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G27" i="3"/>
  <c r="F27"/>
  <c r="E7"/>
  <c r="F7"/>
  <c r="H18" i="5"/>
  <c r="H17"/>
  <c r="H16"/>
  <c r="H15"/>
  <c r="G14"/>
  <c r="E14"/>
  <c r="D14"/>
  <c r="C14"/>
  <c r="C19" s="1"/>
  <c r="H13"/>
  <c r="H12"/>
  <c r="H11"/>
  <c r="F11"/>
  <c r="H10"/>
  <c r="G9"/>
  <c r="G19" s="1"/>
  <c r="F9"/>
  <c r="E9"/>
  <c r="E19" s="1"/>
  <c r="D9"/>
  <c r="D19" s="1"/>
  <c r="C9"/>
  <c r="H9" s="1"/>
  <c r="H8"/>
  <c r="H7"/>
  <c r="F7"/>
  <c r="F19" s="1"/>
  <c r="D26" i="4"/>
  <c r="C26"/>
  <c r="D21"/>
  <c r="C21"/>
  <c r="D19"/>
  <c r="C19"/>
  <c r="C17"/>
  <c r="D14"/>
  <c r="C14"/>
  <c r="D13"/>
  <c r="C13"/>
  <c r="D12"/>
  <c r="D32" s="1"/>
  <c r="D34" s="1"/>
  <c r="C33" s="1"/>
  <c r="C12"/>
  <c r="C32" s="1"/>
  <c r="C34" s="1"/>
  <c r="C6"/>
  <c r="D5"/>
  <c r="C5"/>
  <c r="D23" i="3"/>
  <c r="C23"/>
  <c r="D22"/>
  <c r="C22"/>
  <c r="D20"/>
  <c r="D25" s="1"/>
  <c r="C20"/>
  <c r="C25" s="1"/>
  <c r="D15"/>
  <c r="C15"/>
  <c r="D14"/>
  <c r="C13"/>
  <c r="D12"/>
  <c r="C12"/>
  <c r="D11"/>
  <c r="D16" s="1"/>
  <c r="D17" s="1"/>
  <c r="D26" s="1"/>
  <c r="D28" s="1"/>
  <c r="C11"/>
  <c r="C16" s="1"/>
  <c r="C8"/>
  <c r="C7"/>
  <c r="C17" s="1"/>
  <c r="C26" s="1"/>
  <c r="E40" i="2"/>
  <c r="E30" s="1"/>
  <c r="E39"/>
  <c r="D39"/>
  <c r="E38"/>
  <c r="D38"/>
  <c r="E37"/>
  <c r="D37"/>
  <c r="E36"/>
  <c r="D36"/>
  <c r="E33"/>
  <c r="D33"/>
  <c r="D30"/>
  <c r="E27"/>
  <c r="D27"/>
  <c r="E23"/>
  <c r="D23"/>
  <c r="E22"/>
  <c r="D22"/>
  <c r="E17"/>
  <c r="D17"/>
  <c r="E16"/>
  <c r="D16"/>
  <c r="E13"/>
  <c r="D13"/>
  <c r="E12"/>
  <c r="D12"/>
  <c r="E11"/>
  <c r="D11"/>
  <c r="E10"/>
  <c r="D10"/>
  <c r="E9"/>
  <c r="D9"/>
  <c r="E6"/>
  <c r="D6"/>
  <c r="E4"/>
  <c r="E29" s="1"/>
  <c r="E41" s="1"/>
  <c r="D4"/>
  <c r="D29" s="1"/>
  <c r="D41" s="1"/>
  <c r="E36" i="1"/>
  <c r="D36"/>
  <c r="E35"/>
  <c r="D35"/>
  <c r="E34"/>
  <c r="E31" s="1"/>
  <c r="E29" s="1"/>
  <c r="E33"/>
  <c r="D33"/>
  <c r="D31"/>
  <c r="D29"/>
  <c r="D41" s="1"/>
  <c r="E27"/>
  <c r="D27"/>
  <c r="E20"/>
  <c r="D20"/>
  <c r="D18" s="1"/>
  <c r="E19"/>
  <c r="E18"/>
  <c r="E16"/>
  <c r="E10" s="1"/>
  <c r="E4" s="1"/>
  <c r="E41" s="1"/>
  <c r="E14"/>
  <c r="D14"/>
  <c r="E13"/>
  <c r="D13"/>
  <c r="E11"/>
  <c r="D11"/>
  <c r="D10"/>
  <c r="E8"/>
  <c r="D8"/>
  <c r="E6"/>
  <c r="D6"/>
  <c r="E5"/>
  <c r="D5"/>
  <c r="H19" i="5" l="1"/>
  <c r="H14"/>
  <c r="C27" i="3"/>
  <c r="C28" s="1"/>
</calcChain>
</file>

<file path=xl/sharedStrings.xml><?xml version="1.0" encoding="utf-8"?>
<sst xmlns="http://schemas.openxmlformats.org/spreadsheetml/2006/main" count="220" uniqueCount="196">
  <si>
    <t>Pasqyra Financiare te Vitit 2008</t>
  </si>
  <si>
    <t xml:space="preserve">   Shoqeria Qendra Sportive sh.a Tirane</t>
  </si>
  <si>
    <t>Nr.</t>
  </si>
  <si>
    <t>AKTIVE</t>
  </si>
  <si>
    <t>Shenime</t>
  </si>
  <si>
    <t>I</t>
  </si>
  <si>
    <t>AKTIVET AFATSHKURTRA</t>
  </si>
  <si>
    <t>1 Aktivet monetare</t>
  </si>
  <si>
    <t xml:space="preserve">   &gt; Banka</t>
  </si>
  <si>
    <t xml:space="preserve">   &gt; Arka</t>
  </si>
  <si>
    <t xml:space="preserve">  &gt; Bileta sporti</t>
  </si>
  <si>
    <t>2 Derivative dhe aktive te mbajtura per tregtim</t>
  </si>
  <si>
    <t>3 Aktive te tjera financiare afatshkurtra</t>
  </si>
  <si>
    <t xml:space="preserve">   &gt; Kliente per mallra, produkte e sherbime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</si>
  <si>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</si>
  <si>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</si>
  <si>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</si>
  <si>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</si>
  <si>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 Tatim ne burim</t>
  </si>
  <si>
    <t xml:space="preserve">   &gt; Te tjera (Dogana)</t>
  </si>
  <si>
    <t>4 Inventari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</si>
  <si>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</si>
  <si>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</si>
  <si>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</si>
  <si>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</si>
  <si>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</si>
  <si>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</si>
  <si>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>5 Aktive biologjike afatshkurtra</t>
  </si>
  <si>
    <t>6 Aktive afatshkurtra te mbajtura per rishitje</t>
  </si>
  <si>
    <t>7 Parapagime dhe shpenzime te shtyra</t>
  </si>
  <si>
    <t xml:space="preserve">  &gt; Shpenzime te periudhave te ardhshme</t>
  </si>
  <si>
    <t>II.</t>
  </si>
  <si>
    <t>AKTIVET AFATGJATA</t>
  </si>
  <si>
    <t>1 Investimet financiare afatgjata</t>
  </si>
  <si>
    <t>2 Aktive afatgjata materiale</t>
  </si>
  <si>
    <t xml:space="preserve">  &gt; Toka  </t>
  </si>
  <si>
    <t xml:space="preserve">  &gt; Ndertesa</t>
  </si>
  <si>
    <t xml:space="preserve">  &gt; Makineri dhe pajisje</t>
  </si>
  <si>
    <t xml:space="preserve">  &gt; Aktive te tjera afatgjata materiale</t>
  </si>
  <si>
    <t xml:space="preserve"> &gt; Parapagime per aktive</t>
  </si>
  <si>
    <t>3 Aktivet biologjike afatgjata</t>
  </si>
  <si>
    <t>4 Aktivet afatgjata jomateriale</t>
  </si>
  <si>
    <t>5 Kapitali aksioner i pa paguar</t>
  </si>
  <si>
    <t>6 Aktive te tjera afatgjata</t>
  </si>
  <si>
    <t>TOTALI I AKTIVEVE (I+II)</t>
  </si>
  <si>
    <t>VITI 2008</t>
  </si>
  <si>
    <t>VITI 2007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</si>
  <si>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</si>
  <si>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</si>
  <si>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</si>
  <si>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</si>
  <si>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</si>
  <si>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</si>
  <si>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</si>
  <si>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</si>
  <si>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</si>
  <si>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</si>
  <si>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</si>
  <si>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</si>
  <si>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Taksa fikse</t>
  </si>
  <si>
    <t xml:space="preserve">   &gt; Detyrime tatimore per Tatimin ne Burim</t>
  </si>
  <si>
    <t xml:space="preserve">   &gt; Dividente per t'u paguar</t>
  </si>
  <si>
    <t xml:space="preserve">   &gt; Debitore dhe Kreditore te tjere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</si>
  <si>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</si>
  <si>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</si>
  <si>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</si>
  <si>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</si>
  <si>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</si>
  <si>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</si>
  <si>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</si>
  <si>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</si>
  <si>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</si>
  <si>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</si>
  <si>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</si>
  <si>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</si>
  <si>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</si>
  <si>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</si>
  <si>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3 Kapitali aksionar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</si>
  <si>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</si>
  <si>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</si>
  <si>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</si>
  <si>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</si>
  <si>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</si>
  <si>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</si>
  <si>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</si>
  <si>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</si>
  <si>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Pasqyra e te Ardhurave dhe Shpenzimeve 2008</t>
  </si>
  <si>
    <t>(Bazuar ne klasifikimin e Shpenzimeve sipas Natyres)</t>
  </si>
  <si>
    <t>Pershkrimi i Elementeve</t>
  </si>
  <si>
    <t>Shitjet neto</t>
  </si>
  <si>
    <t>Te ardhura te tjera nga veprimtaria e shfrytezimit(rimarje subvencioni)</t>
  </si>
  <si>
    <t>Ndrysh.ne invent.prod.gatshme e prodhimit ne proçes ( te ardhura tjera)</t>
  </si>
  <si>
    <t>Materialet e konsumuara</t>
  </si>
  <si>
    <t>Kosto e punes</t>
  </si>
  <si>
    <t xml:space="preserve">   Pagat e personelit</t>
  </si>
  <si>
    <t xml:space="preserve">   Shpenzimet per sigurime shoqerore e shendetsore</t>
  </si>
  <si>
    <t>Amortizimet dhe zhvleresimet</t>
  </si>
  <si>
    <t>Shpenzime te tjera</t>
  </si>
  <si>
    <t>Totali i Shpenzimeve (shumat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</si>
  <si>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</si>
  <si>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</si>
  <si>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</si>
  <si>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</si>
  <si>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</si>
  <si>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</si>
  <si>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</si>
  <si>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 xml:space="preserve">   124      Te ardhura dhe shpenzime te tjera financiare nga furnitoret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</si>
  <si>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</si>
  <si>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</si>
  <si>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</si>
  <si>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</si>
  <si>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</si>
  <si>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>Pasqyra e Fluksit Monetar - Metoda Indirekte 2008</t>
  </si>
  <si>
    <t>Pasqyra e Fluksit Monetar - Metoda Indirekte</t>
  </si>
  <si>
    <t>Fluksi i parave nga veprimtaria e shfrytrezimit</t>
  </si>
  <si>
    <t xml:space="preserve">   Fitimi para tatimit</t>
  </si>
  <si>
    <t xml:space="preserve">   Rregullime per:</t>
  </si>
  <si>
    <t xml:space="preserve">      Amortizimin</t>
  </si>
  <si>
    <t xml:space="preserve">      Humbje nga kembimet valutore    </t>
  </si>
  <si>
    <t xml:space="preserve">      Te ardhura nga Investimet</t>
  </si>
  <si>
    <t xml:space="preserve">      Shpenzime per interesa</t>
  </si>
  <si>
    <t xml:space="preserve">   Rritje/renie ne tepricen e kerkesave te arketueshme                                                                                                                                                                                                    nga aktiviteti, si dhe kerkesave te arketueshme ten tjera</t>
  </si>
  <si>
    <t xml:space="preserve">   Rritje/renie ne tepricen e inventarit</t>
  </si>
  <si>
    <t xml:space="preserve">   Rritje/renie ne tepricen e detyrimeve per t'u paguar nga aktiviteti</t>
  </si>
  <si>
    <t xml:space="preserve">   MM te perfituara nga aktivitetet</t>
  </si>
  <si>
    <t xml:space="preserve">   Interesi i paguar</t>
  </si>
  <si>
    <t xml:space="preserve">   Tatim mbi fitimin i paguar</t>
  </si>
  <si>
    <t xml:space="preserve">   MM neto nga aktivitetet e shfrytezimit</t>
  </si>
  <si>
    <t>Fluksi monetar nga veprimtarite investuese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</si>
  <si>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</si>
  <si>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</si>
  <si>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</si>
  <si>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</si>
  <si>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</si>
  <si>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</si>
  <si>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>Fluksi monetar nga aktivitete financiare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</si>
  <si>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</si>
  <si>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</si>
  <si>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</si>
  <si>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</si>
  <si>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</si>
  <si>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</si>
  <si>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</si>
  <si>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</si>
  <si>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Pasqyra e Ndryshimeve ne Kapital 2008</t>
  </si>
  <si>
    <t>Nje pasqyre e pakonsoliduar</t>
  </si>
  <si>
    <t>Emertimi</t>
  </si>
  <si>
    <t xml:space="preserve">Kapitali Aksionar </t>
  </si>
  <si>
    <t>Primi i Aksionit</t>
  </si>
  <si>
    <t>Aksionet e Thesarit</t>
  </si>
  <si>
    <t>Rezervat Stat.ligjore</t>
  </si>
  <si>
    <t>Fitimi i Pashperndare</t>
  </si>
  <si>
    <t>TOTALI</t>
  </si>
  <si>
    <t>Pozicioni me 31 dhjetor 2006</t>
  </si>
  <si>
    <t>A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</si>
  <si>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</si>
  <si>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</si>
  <si>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</si>
  <si>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</si>
  <si>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</si>
  <si>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</si>
  <si>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</si>
  <si>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II</t>
  </si>
  <si>
    <t>Pozicioni me 31 dhjetor 2007</t>
  </si>
  <si>
    <t>Emetimi i kapitalit aksionar</t>
  </si>
  <si>
    <t>Aksione te thesarit te riblera</t>
  </si>
  <si>
    <t>Pozicioni me 31 dhjetor 2008</t>
  </si>
  <si>
    <t>Emertimi dhe Forma ligjore</t>
  </si>
  <si>
    <t>"Qendra Sportive" sh. A.</t>
  </si>
  <si>
    <t>NIPT-i</t>
  </si>
  <si>
    <t>J61813020F</t>
  </si>
  <si>
    <t>Adresa e Selise</t>
  </si>
  <si>
    <t>Tirane</t>
  </si>
  <si>
    <t>Data e krijimit</t>
  </si>
  <si>
    <t>28/02/2000</t>
  </si>
  <si>
    <t>Nr.i Regjistrit Tregtar</t>
  </si>
  <si>
    <t>Veprimtaria Kryesore</t>
  </si>
  <si>
    <t>realizimi te ardhurave nga zhvillimi  i aktiviteteve spotive,</t>
  </si>
  <si>
    <t>mirembajtja dhe administrimi i objekteve sportive</t>
  </si>
  <si>
    <t>PASQYRAT FINANCIARE</t>
  </si>
  <si>
    <t xml:space="preserve">(Ne zbatim te Standartit Kombetar te Kontabilitetit nr.2 dhe ligjit nr.9228 date 29.04.2004                                                                                 </t>
  </si>
  <si>
    <t xml:space="preserve">  "Per Kontabilitetin dhe Pasqyrat Financiare")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</si>
  <si>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</si>
  <si>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</si>
  <si>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</si>
  <si>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</si>
  <si>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</si>
  <si>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</si>
  <si>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>Pasqyrat Financiare jane te rrumbullakosura ne</t>
  </si>
  <si>
    <t>Periudha Kontabel e Pasqyrave Financiare</t>
  </si>
  <si>
    <t>Data e mbylljes se Pasqyrave Financiare</t>
  </si>
  <si>
    <t>Stadiumi Kombetar "Qemal Stafa"</t>
  </si>
  <si>
    <t>Viti 2008</t>
  </si>
  <si>
    <t>Nga 01.01.2008</t>
  </si>
  <si>
    <t>Deri 31.12.2008</t>
  </si>
  <si>
    <t>30.03.2009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</si>
</sst>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Georgi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u/>
      <sz val="12"/>
      <color indexed="8"/>
      <name val="Georgia"/>
      <family val="1"/>
    </font>
    <font>
      <sz val="12"/>
      <name val="Georgia"/>
      <family val="1"/>
    </font>
    <font>
      <sz val="8"/>
      <name val="Georgia"/>
      <family val="1"/>
    </font>
    <font>
      <b/>
      <u/>
      <sz val="11"/>
      <color indexed="8"/>
      <name val="Calibri"/>
      <family val="2"/>
    </font>
    <font>
      <b/>
      <sz val="26"/>
      <name val="Arial"/>
      <family val="2"/>
    </font>
    <font>
      <b/>
      <sz val="20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0" fillId="0" borderId="7" xfId="0" applyBorder="1"/>
    <xf numFmtId="0" fontId="6" fillId="0" borderId="8" xfId="0" applyFont="1" applyBorder="1"/>
    <xf numFmtId="0" fontId="0" fillId="0" borderId="8" xfId="0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7" fillId="0" borderId="9" xfId="0" applyNumberFormat="1" applyFont="1" applyBorder="1"/>
    <xf numFmtId="3" fontId="0" fillId="0" borderId="0" xfId="0" applyNumberFormat="1" applyBorder="1"/>
    <xf numFmtId="0" fontId="0" fillId="0" borderId="8" xfId="0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0" fontId="6" fillId="0" borderId="8" xfId="0" applyFont="1" applyFill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1" xfId="0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0" fontId="6" fillId="0" borderId="8" xfId="0" applyFont="1" applyFill="1" applyBorder="1" applyAlignment="1">
      <alignment horizontal="center"/>
    </xf>
    <xf numFmtId="0" fontId="8" fillId="0" borderId="10" xfId="0" applyFont="1" applyBorder="1"/>
    <xf numFmtId="0" fontId="6" fillId="0" borderId="11" xfId="0" applyFont="1" applyFill="1" applyBorder="1" applyAlignment="1">
      <alignment horizontal="center"/>
    </xf>
    <xf numFmtId="0" fontId="8" fillId="0" borderId="11" xfId="0" applyFon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0" fontId="0" fillId="0" borderId="0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/>
    <xf numFmtId="3" fontId="10" fillId="0" borderId="9" xfId="0" applyNumberFormat="1" applyFont="1" applyBorder="1"/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/>
    <xf numFmtId="3" fontId="11" fillId="0" borderId="9" xfId="0" applyNumberFormat="1" applyFont="1" applyBorder="1"/>
    <xf numFmtId="0" fontId="11" fillId="0" borderId="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/>
    <xf numFmtId="3" fontId="10" fillId="0" borderId="12" xfId="0" applyNumberFormat="1" applyFont="1" applyBorder="1"/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8" xfId="1" applyNumberFormat="1" applyFont="1" applyBorder="1"/>
    <xf numFmtId="0" fontId="6" fillId="0" borderId="9" xfId="0" applyFont="1" applyBorder="1"/>
    <xf numFmtId="0" fontId="0" fillId="0" borderId="8" xfId="0" applyBorder="1" applyAlignment="1">
      <alignment vertical="center"/>
    </xf>
    <xf numFmtId="0" fontId="0" fillId="0" borderId="9" xfId="0" applyFont="1" applyBorder="1"/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vertical="center"/>
    </xf>
    <xf numFmtId="164" fontId="6" fillId="0" borderId="9" xfId="1" applyNumberFormat="1" applyFont="1" applyBorder="1"/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0" fillId="0" borderId="0" xfId="0" applyBorder="1"/>
    <xf numFmtId="0" fontId="0" fillId="0" borderId="18" xfId="0" applyBorder="1"/>
    <xf numFmtId="0" fontId="10" fillId="0" borderId="0" xfId="0" applyFont="1" applyBorder="1"/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8" fillId="0" borderId="0" xfId="0" applyFont="1"/>
    <xf numFmtId="0" fontId="18" fillId="0" borderId="18" xfId="0" applyFont="1" applyBorder="1"/>
    <xf numFmtId="0" fontId="19" fillId="0" borderId="16" xfId="0" applyFont="1" applyBorder="1" applyAlignment="1"/>
    <xf numFmtId="0" fontId="19" fillId="0" borderId="0" xfId="0" applyFont="1" applyBorder="1" applyAlignment="1"/>
    <xf numFmtId="0" fontId="19" fillId="0" borderId="18" xfId="0" applyFont="1" applyBorder="1" applyAlignment="1"/>
    <xf numFmtId="0" fontId="19" fillId="0" borderId="1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4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2" applyFont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QS%20BLC\BILANCE\bilancet%20ne%20vite\Bilanc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"/>
      <sheetName val="aktivi"/>
      <sheetName val="pasivi"/>
      <sheetName val="ardh shp"/>
      <sheetName val="fluks mon"/>
      <sheetName val="levizje kap"/>
      <sheetName val="ndihmese kesh"/>
      <sheetName val="ndimese 2007"/>
      <sheetName val="ban $"/>
      <sheetName val="pag arke"/>
      <sheetName val="pag bank"/>
      <sheetName val="ban arket"/>
      <sheetName val="TVSH"/>
      <sheetName val="nd ardh"/>
      <sheetName val="bileta"/>
      <sheetName val="fat shitje"/>
      <sheetName val="list paga"/>
      <sheetName val="MAG re"/>
      <sheetName val="Ac"/>
      <sheetName val="Bf"/>
      <sheetName val="Ff"/>
      <sheetName val="Ml"/>
      <sheetName val="Ixh"/>
      <sheetName val="Js"/>
      <sheetName val="Kz"/>
      <sheetName val="Lh"/>
      <sheetName val="L1500"/>
      <sheetName val="L 500"/>
      <sheetName val="Ln"/>
      <sheetName val="Plaf"/>
      <sheetName val="Lnt"/>
      <sheetName val="Pll"/>
      <sheetName val="PtPc"/>
      <sheetName val="Pr&amp;ce"/>
      <sheetName val="Sap"/>
      <sheetName val="Sar"/>
      <sheetName val="St"/>
      <sheetName val="Test"/>
      <sheetName val="Tel"/>
      <sheetName val="Dor"/>
      <sheetName val="Kmb"/>
      <sheetName val="Kla"/>
      <sheetName val="leck"/>
      <sheetName val="Pec"/>
      <sheetName val="Kth"/>
      <sheetName val="Vkth"/>
      <sheetName val="Pas"/>
      <sheetName val="Sol"/>
      <sheetName val="Elek"/>
      <sheetName val="Vid"/>
      <sheetName val="Naf"/>
      <sheetName val="Benz"/>
      <sheetName val="pesh"/>
      <sheetName val="vifu"/>
      <sheetName val="kshp"/>
      <sheetName val="foto"/>
      <sheetName val="tfut"/>
      <sheetName val="Ni"/>
      <sheetName val="Torf"/>
      <sheetName val="Sgr"/>
      <sheetName val="Spo"/>
      <sheetName val="Sma"/>
      <sheetName val="Lol"/>
      <sheetName val="Po"/>
      <sheetName val="Fe"/>
      <sheetName val="Bvij"/>
      <sheetName val="Pl"/>
      <sheetName val="Prozh"/>
      <sheetName val="L100"/>
      <sheetName val="L40w"/>
      <sheetName val="Ln18"/>
      <sheetName val="Iz"/>
      <sheetName val="g benz"/>
      <sheetName val="Fxh"/>
      <sheetName val="kr.av"/>
      <sheetName val="kr.st"/>
      <sheetName val="Vigr"/>
      <sheetName val="Kap"/>
      <sheetName val="Xh"/>
      <sheetName val="Sup"/>
      <sheetName val="Alkoo"/>
      <sheetName val="Vhi"/>
      <sheetName val="Da"/>
      <sheetName val="Vi"/>
      <sheetName val="Kuzh"/>
      <sheetName val="Bol"/>
      <sheetName val="Val"/>
      <sheetName val="Bojk"/>
      <sheetName val="Stil"/>
      <sheetName val="Stik"/>
      <sheetName val="Gom"/>
      <sheetName val="Korr"/>
      <sheetName val="Kv 25"/>
      <sheetName val="modem"/>
      <sheetName val="Bll"/>
      <sheetName val="Mpor"/>
      <sheetName val="Kaps"/>
      <sheetName val="Bma&amp;mp"/>
      <sheetName val="Bfh"/>
      <sheetName val="A4"/>
      <sheetName val="Dkh"/>
      <sheetName val="Ton"/>
      <sheetName val="Dkt"/>
      <sheetName val="Zv"/>
      <sheetName val="Bexh"/>
      <sheetName val="Zm"/>
      <sheetName val="Spi"/>
      <sheetName val="L 75"/>
      <sheetName val="Deo"/>
      <sheetName val="Sfu"/>
      <sheetName val="Hol &amp; Ti"/>
      <sheetName val="Nip"/>
      <sheetName val="man e hidr tjer"/>
      <sheetName val="Rub"/>
      <sheetName val="Misar"/>
      <sheetName val="Scryl"/>
      <sheetName val="Bzm"/>
      <sheetName val="Tret"/>
      <sheetName val="Rul"/>
      <sheetName val="Hidr"/>
      <sheetName val="Dryn"/>
      <sheetName val="Fish"/>
      <sheetName val="Brv"/>
      <sheetName val="Elet"/>
      <sheetName val="All"/>
      <sheetName val="Grs"/>
      <sheetName val="Gelq"/>
      <sheetName val="F gelq"/>
      <sheetName val="Dalt"/>
      <sheetName val="Gov"/>
      <sheetName val="cim"/>
      <sheetName val="pz j mur"/>
      <sheetName val="V 6&amp;8"/>
      <sheetName val="Aut"/>
      <sheetName val="xham"/>
      <sheetName val="Scrngj"/>
      <sheetName val="AQT"/>
      <sheetName val="Blerjet"/>
      <sheetName val="Inven"/>
      <sheetName val="arke arketi"/>
    </sheetNames>
    <sheetDataSet>
      <sheetData sheetId="0">
        <row r="5">
          <cell r="D5">
            <v>488700000</v>
          </cell>
          <cell r="H5">
            <v>488700000</v>
          </cell>
        </row>
        <row r="6">
          <cell r="D6">
            <v>49872404.25</v>
          </cell>
          <cell r="H6">
            <v>49872404.25</v>
          </cell>
        </row>
        <row r="9">
          <cell r="D9">
            <v>813717</v>
          </cell>
          <cell r="H9">
            <v>813717</v>
          </cell>
        </row>
        <row r="10">
          <cell r="D10">
            <v>775135.20634213777</v>
          </cell>
        </row>
        <row r="11">
          <cell r="H11">
            <v>-11588554</v>
          </cell>
        </row>
        <row r="13">
          <cell r="D13">
            <v>7763810</v>
          </cell>
          <cell r="H13">
            <v>7763810</v>
          </cell>
        </row>
        <row r="16">
          <cell r="D16">
            <v>3718813.48</v>
          </cell>
          <cell r="H16">
            <v>3644437.2104000002</v>
          </cell>
        </row>
        <row r="17">
          <cell r="C17">
            <v>7650000</v>
          </cell>
          <cell r="G17">
            <v>7650000</v>
          </cell>
        </row>
        <row r="19">
          <cell r="C19">
            <v>591305447</v>
          </cell>
          <cell r="G19">
            <v>591458447</v>
          </cell>
        </row>
        <row r="20">
          <cell r="C20">
            <v>105462128.3</v>
          </cell>
        </row>
        <row r="21">
          <cell r="C21">
            <v>2397920</v>
          </cell>
          <cell r="G21">
            <v>2397920</v>
          </cell>
        </row>
        <row r="25">
          <cell r="C25">
            <v>282452</v>
          </cell>
        </row>
        <row r="27">
          <cell r="C27">
            <v>280287</v>
          </cell>
          <cell r="G27">
            <v>76000</v>
          </cell>
        </row>
        <row r="28">
          <cell r="C28">
            <v>491869</v>
          </cell>
          <cell r="G28">
            <v>696156</v>
          </cell>
        </row>
        <row r="29">
          <cell r="C29">
            <v>-239760</v>
          </cell>
          <cell r="G29">
            <v>-341903.5</v>
          </cell>
        </row>
        <row r="31">
          <cell r="H31">
            <v>308135.56639999989</v>
          </cell>
        </row>
        <row r="33">
          <cell r="C33">
            <v>7361753</v>
          </cell>
          <cell r="G33">
            <v>7132733.0666666627</v>
          </cell>
        </row>
        <row r="35">
          <cell r="C35">
            <v>78009</v>
          </cell>
          <cell r="H35">
            <v>64233</v>
          </cell>
        </row>
        <row r="36">
          <cell r="D36">
            <v>133175</v>
          </cell>
          <cell r="H36">
            <v>179726</v>
          </cell>
        </row>
        <row r="37">
          <cell r="C37">
            <v>76725.056666667107</v>
          </cell>
          <cell r="G37">
            <v>128497.60106666666</v>
          </cell>
        </row>
        <row r="38">
          <cell r="C38">
            <v>8422711.3317478001</v>
          </cell>
          <cell r="G38">
            <v>8947245.3317478001</v>
          </cell>
        </row>
        <row r="39">
          <cell r="H39">
            <v>192061.74799999967</v>
          </cell>
        </row>
        <row r="41">
          <cell r="D41">
            <v>221894.97500000009</v>
          </cell>
          <cell r="H41">
            <v>310203.94999999972</v>
          </cell>
        </row>
        <row r="44">
          <cell r="D44">
            <v>2087170.2999999998</v>
          </cell>
          <cell r="H44">
            <v>1901883.6333333328</v>
          </cell>
        </row>
        <row r="47">
          <cell r="C47">
            <v>18429898.479999997</v>
          </cell>
          <cell r="G47">
            <v>25384592.869999994</v>
          </cell>
        </row>
        <row r="48">
          <cell r="C48">
            <v>7986342.1060000006</v>
          </cell>
          <cell r="G48">
            <v>8476483.0581</v>
          </cell>
        </row>
        <row r="51">
          <cell r="C51">
            <v>4861814</v>
          </cell>
          <cell r="G51">
            <v>5306337</v>
          </cell>
        </row>
        <row r="52">
          <cell r="C52">
            <v>251186</v>
          </cell>
          <cell r="G52">
            <v>318738</v>
          </cell>
        </row>
        <row r="66">
          <cell r="E66">
            <v>1021140</v>
          </cell>
        </row>
        <row r="67">
          <cell r="E67">
            <v>55590</v>
          </cell>
        </row>
        <row r="69">
          <cell r="E69">
            <v>1386452</v>
          </cell>
        </row>
        <row r="70">
          <cell r="E70">
            <v>364996</v>
          </cell>
        </row>
        <row r="71">
          <cell r="E71">
            <v>17260</v>
          </cell>
        </row>
        <row r="72">
          <cell r="E72">
            <v>361706</v>
          </cell>
        </row>
        <row r="73">
          <cell r="E73">
            <v>22750</v>
          </cell>
        </row>
        <row r="74">
          <cell r="E74">
            <v>858240</v>
          </cell>
        </row>
        <row r="75">
          <cell r="E75">
            <v>11385102</v>
          </cell>
        </row>
        <row r="76">
          <cell r="E76">
            <v>2186348.3429999994</v>
          </cell>
        </row>
        <row r="77">
          <cell r="E77">
            <v>184448</v>
          </cell>
        </row>
        <row r="78">
          <cell r="E78">
            <v>102143.5</v>
          </cell>
        </row>
        <row r="82">
          <cell r="D82">
            <v>5794583.333333334</v>
          </cell>
        </row>
        <row r="83">
          <cell r="D83">
            <v>14502506.666666666</v>
          </cell>
        </row>
        <row r="84">
          <cell r="D84">
            <v>7423165.333333334</v>
          </cell>
        </row>
        <row r="85">
          <cell r="F85">
            <v>928583</v>
          </cell>
        </row>
        <row r="86">
          <cell r="D86">
            <v>30102.8521</v>
          </cell>
        </row>
        <row r="89">
          <cell r="D89">
            <v>74376.2696</v>
          </cell>
        </row>
      </sheetData>
      <sheetData sheetId="1">
        <row r="32">
          <cell r="D32">
            <v>68640000</v>
          </cell>
          <cell r="E32">
            <v>68640000</v>
          </cell>
        </row>
      </sheetData>
      <sheetData sheetId="2" refreshError="1"/>
      <sheetData sheetId="3">
        <row r="26">
          <cell r="C26">
            <v>2350179.6120333374</v>
          </cell>
        </row>
        <row r="27">
          <cell r="C27">
            <v>235017.96120333375</v>
          </cell>
        </row>
      </sheetData>
      <sheetData sheetId="4" refreshError="1"/>
      <sheetData sheetId="5" refreshError="1"/>
      <sheetData sheetId="6">
        <row r="20">
          <cell r="G20">
            <v>5894439.2821745276</v>
          </cell>
        </row>
        <row r="22">
          <cell r="G22">
            <v>-223040.5</v>
          </cell>
        </row>
        <row r="23">
          <cell r="G23">
            <v>-269277.61106666364</v>
          </cell>
        </row>
        <row r="24">
          <cell r="G24">
            <v>-67552</v>
          </cell>
        </row>
        <row r="26">
          <cell r="G26">
            <v>514003.62273333222</v>
          </cell>
        </row>
        <row r="27">
          <cell r="G27">
            <v>-74376.269599999767</v>
          </cell>
        </row>
      </sheetData>
      <sheetData sheetId="7">
        <row r="19">
          <cell r="G19">
            <v>2881813</v>
          </cell>
        </row>
        <row r="21">
          <cell r="G21">
            <v>-295817</v>
          </cell>
        </row>
        <row r="22">
          <cell r="G22">
            <v>1599465</v>
          </cell>
        </row>
        <row r="23">
          <cell r="G23">
            <v>-141120</v>
          </cell>
        </row>
        <row r="25">
          <cell r="G25">
            <v>-1768511</v>
          </cell>
        </row>
        <row r="26">
          <cell r="G26">
            <v>1021665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213">
          <cell r="N213">
            <v>39205.522174559999</v>
          </cell>
        </row>
        <row r="214">
          <cell r="N214">
            <v>5226960.46</v>
          </cell>
        </row>
      </sheetData>
      <sheetData sheetId="1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opLeftCell="A23" workbookViewId="0">
      <selection activeCell="J33" sqref="J33"/>
    </sheetView>
  </sheetViews>
  <sheetFormatPr defaultRowHeight="15"/>
  <cols>
    <col min="1" max="1" width="5.5703125" customWidth="1"/>
  </cols>
  <sheetData>
    <row r="1" spans="2:10" ht="15.75" thickBot="1"/>
    <row r="2" spans="2:10">
      <c r="B2" s="85"/>
      <c r="C2" s="86"/>
      <c r="D2" s="86"/>
      <c r="E2" s="86"/>
      <c r="F2" s="86"/>
      <c r="G2" s="86"/>
      <c r="H2" s="86"/>
      <c r="I2" s="86"/>
      <c r="J2" s="87"/>
    </row>
    <row r="3" spans="2:10" ht="15.75">
      <c r="B3" s="88" t="s">
        <v>167</v>
      </c>
      <c r="C3" s="89"/>
      <c r="D3" s="89"/>
      <c r="E3" s="90" t="s">
        <v>168</v>
      </c>
      <c r="F3" s="90"/>
      <c r="G3" s="90"/>
      <c r="H3" s="91"/>
      <c r="I3" s="91"/>
      <c r="J3" s="92"/>
    </row>
    <row r="4" spans="2:10" ht="15.75">
      <c r="B4" s="88" t="s">
        <v>169</v>
      </c>
      <c r="C4" s="89"/>
      <c r="D4" s="89"/>
      <c r="E4" s="90" t="s">
        <v>170</v>
      </c>
      <c r="F4" s="90"/>
      <c r="G4" s="90"/>
      <c r="H4" s="91"/>
      <c r="I4" s="91"/>
      <c r="J4" s="92"/>
    </row>
    <row r="5" spans="2:10" ht="15.75">
      <c r="B5" s="88" t="s">
        <v>171</v>
      </c>
      <c r="C5" s="89"/>
      <c r="D5" s="89"/>
      <c r="E5" s="90" t="s">
        <v>191</v>
      </c>
      <c r="F5" s="90"/>
      <c r="G5" s="90"/>
      <c r="H5" s="91"/>
      <c r="I5" s="91"/>
      <c r="J5" s="92"/>
    </row>
    <row r="6" spans="2:10" ht="15.75">
      <c r="B6" s="88"/>
      <c r="C6" s="89"/>
      <c r="D6" s="89"/>
      <c r="E6" s="89"/>
      <c r="F6" s="89"/>
      <c r="G6" s="93" t="s">
        <v>172</v>
      </c>
      <c r="H6" s="93"/>
      <c r="I6" s="91"/>
      <c r="J6" s="92"/>
    </row>
    <row r="7" spans="2:10">
      <c r="B7" s="94"/>
      <c r="C7" s="91"/>
      <c r="D7" s="91"/>
      <c r="E7" s="91"/>
      <c r="F7" s="91"/>
      <c r="G7" s="91"/>
      <c r="H7" s="91"/>
      <c r="I7" s="91"/>
      <c r="J7" s="92"/>
    </row>
    <row r="8" spans="2:10" ht="15.75">
      <c r="B8" s="88" t="s">
        <v>173</v>
      </c>
      <c r="C8" s="89"/>
      <c r="D8" s="89"/>
      <c r="E8" s="107" t="s">
        <v>174</v>
      </c>
      <c r="F8" s="107"/>
      <c r="G8" s="107"/>
      <c r="H8" s="91"/>
      <c r="I8" s="91"/>
      <c r="J8" s="92"/>
    </row>
    <row r="9" spans="2:10" ht="15.75">
      <c r="B9" s="88" t="s">
        <v>175</v>
      </c>
      <c r="C9" s="89"/>
      <c r="D9" s="89"/>
      <c r="E9" s="108">
        <v>23051</v>
      </c>
      <c r="F9" s="108"/>
      <c r="G9" s="108"/>
      <c r="H9" s="91"/>
      <c r="I9" s="91"/>
      <c r="J9" s="92"/>
    </row>
    <row r="10" spans="2:10" ht="15.75">
      <c r="B10" s="88"/>
      <c r="C10" s="89"/>
      <c r="D10" s="89"/>
      <c r="E10" s="89"/>
      <c r="F10" s="89"/>
      <c r="G10" s="89"/>
      <c r="H10" s="91"/>
      <c r="I10" s="91"/>
      <c r="J10" s="92"/>
    </row>
    <row r="11" spans="2:10" ht="15.75">
      <c r="B11" s="88" t="s">
        <v>176</v>
      </c>
      <c r="C11" s="89"/>
      <c r="D11" s="89"/>
      <c r="E11" s="90" t="s">
        <v>177</v>
      </c>
      <c r="F11" s="90"/>
      <c r="G11" s="90"/>
      <c r="H11" s="91"/>
      <c r="I11" s="91"/>
      <c r="J11" s="92"/>
    </row>
    <row r="12" spans="2:10">
      <c r="B12" s="94"/>
      <c r="C12" s="91"/>
      <c r="D12" s="91"/>
      <c r="E12" s="93" t="s">
        <v>178</v>
      </c>
      <c r="F12" s="91"/>
      <c r="G12" s="91"/>
      <c r="H12" s="91"/>
      <c r="I12" s="91"/>
      <c r="J12" s="92"/>
    </row>
    <row r="13" spans="2:10">
      <c r="B13" s="94"/>
      <c r="C13" s="91"/>
      <c r="D13" s="91"/>
      <c r="E13" s="91"/>
      <c r="F13" s="91"/>
      <c r="G13" s="91"/>
      <c r="H13" s="91"/>
      <c r="I13" s="91"/>
      <c r="J13" s="92"/>
    </row>
    <row r="14" spans="2:10">
      <c r="B14" s="94"/>
      <c r="C14" s="91"/>
      <c r="D14" s="91"/>
      <c r="E14" s="91"/>
      <c r="F14" s="91"/>
      <c r="G14" s="91"/>
      <c r="H14" s="91"/>
      <c r="I14" s="91"/>
      <c r="J14" s="92"/>
    </row>
    <row r="15" spans="2:10">
      <c r="B15" s="94"/>
      <c r="C15" s="91"/>
      <c r="D15" s="91"/>
      <c r="E15" s="91"/>
      <c r="F15" s="91"/>
      <c r="G15" s="91"/>
      <c r="H15" s="91"/>
      <c r="I15" s="91"/>
      <c r="J15" s="92"/>
    </row>
    <row r="16" spans="2:10">
      <c r="B16" s="94"/>
      <c r="C16" s="91"/>
      <c r="D16" s="91"/>
      <c r="E16" s="91"/>
      <c r="F16" s="91"/>
      <c r="G16" s="91"/>
      <c r="H16" s="91"/>
      <c r="I16" s="91"/>
      <c r="J16" s="92"/>
    </row>
    <row r="17" spans="2:11">
      <c r="B17" s="94"/>
      <c r="C17" s="91"/>
      <c r="D17" s="91"/>
      <c r="E17" s="91"/>
      <c r="F17" s="91"/>
      <c r="G17" s="91"/>
      <c r="H17" s="91"/>
      <c r="I17" s="91"/>
      <c r="J17" s="92"/>
    </row>
    <row r="18" spans="2:11" ht="33.75">
      <c r="B18" s="109" t="s">
        <v>179</v>
      </c>
      <c r="C18" s="110"/>
      <c r="D18" s="110"/>
      <c r="E18" s="110"/>
      <c r="F18" s="110"/>
      <c r="G18" s="110"/>
      <c r="H18" s="110"/>
      <c r="I18" s="110"/>
      <c r="J18" s="111"/>
    </row>
    <row r="19" spans="2:11">
      <c r="B19" s="94"/>
      <c r="C19" s="91"/>
      <c r="D19" s="91"/>
      <c r="E19" s="91"/>
      <c r="F19" s="91"/>
      <c r="G19" s="91"/>
      <c r="H19" s="91"/>
      <c r="I19" s="91"/>
      <c r="J19" s="92"/>
    </row>
    <row r="20" spans="2:11">
      <c r="B20" s="94"/>
      <c r="C20" s="91"/>
      <c r="D20" s="91"/>
      <c r="E20" s="91"/>
      <c r="F20" s="91"/>
      <c r="G20" s="91"/>
      <c r="H20" s="91"/>
      <c r="I20" s="91"/>
      <c r="J20" s="92"/>
    </row>
    <row r="21" spans="2:11">
      <c r="B21" s="101" t="s">
        <v>180</v>
      </c>
      <c r="C21" s="102"/>
      <c r="D21" s="102"/>
      <c r="E21" s="102"/>
      <c r="F21" s="102"/>
      <c r="G21" s="102"/>
      <c r="H21" s="102"/>
      <c r="I21" s="102"/>
      <c r="J21" s="103"/>
      <c r="K21" s="99"/>
    </row>
    <row r="22" spans="2:11">
      <c r="B22" s="104" t="s">
        <v>181</v>
      </c>
      <c r="C22" s="105"/>
      <c r="D22" s="105"/>
      <c r="E22" s="105"/>
      <c r="F22" s="105"/>
      <c r="G22" s="105"/>
      <c r="H22" s="106"/>
      <c r="I22" s="106"/>
      <c r="J22" s="100"/>
      <c r="K22" s="99"/>
    </row>
    <row r="23" spans="2:11">
      <c r="B23" s="94"/>
      <c r="C23" s="91"/>
      <c r="D23" s="91"/>
      <c r="E23" s="91"/>
      <c r="F23" s="91"/>
      <c r="G23" s="91"/>
      <c r="H23" s="91"/>
      <c r="I23" s="91"/>
      <c r="J23" s="92"/>
    </row>
    <row r="24" spans="2:11">
      <c r="B24" s="94"/>
      <c r="C24" s="91"/>
      <c r="D24" s="91"/>
      <c r="E24" s="91"/>
      <c r="F24" s="91"/>
      <c r="G24" s="91"/>
      <c r="H24" s="91"/>
      <c r="I24" s="91"/>
      <c r="J24" s="92"/>
    </row>
    <row r="25" spans="2:11" ht="26.25">
      <c r="B25" s="112" t="s">
        <v>192</v>
      </c>
      <c r="C25" s="113"/>
      <c r="D25" s="113"/>
      <c r="E25" s="113"/>
      <c r="F25" s="113"/>
      <c r="G25" s="113"/>
      <c r="H25" s="113"/>
      <c r="I25" s="113"/>
      <c r="J25" s="114"/>
    </row>
    <row r="26" spans="2:11">
      <c r="B26" s="94"/>
      <c r="C26" s="91"/>
      <c r="D26" s="91"/>
      <c r="E26" s="91"/>
      <c r="F26" s="91"/>
      <c r="G26" s="91"/>
      <c r="H26" s="91"/>
      <c r="I26" s="91"/>
      <c r="J26" s="92"/>
    </row>
    <row r="27" spans="2:11">
      <c r="B27" s="94"/>
      <c r="C27" s="91"/>
      <c r="D27" s="91"/>
      <c r="E27" s="91"/>
      <c r="F27" s="91"/>
      <c r="G27" s="91"/>
      <c r="H27" s="91"/>
      <c r="I27" s="91"/>
      <c r="J27" s="92"/>
    </row>
    <row r="28" spans="2:11">
      <c r="B28" s="94"/>
      <c r="C28" s="91"/>
      <c r="D28" s="91"/>
      <c r="E28" s="91"/>
      <c r="F28" s="91"/>
      <c r="G28" s="91"/>
      <c r="H28" s="91"/>
      <c r="I28" s="91"/>
      <c r="J28" s="92"/>
    </row>
    <row r="29" spans="2:11">
      <c r="B29" s="94"/>
      <c r="C29" s="91"/>
      <c r="D29" s="91"/>
      <c r="E29" s="91"/>
      <c r="F29" s="91"/>
      <c r="G29" s="91"/>
      <c r="H29" s="91"/>
      <c r="I29" s="91"/>
      <c r="J29" s="92"/>
    </row>
    <row r="30" spans="2:11">
      <c r="B30" s="94"/>
      <c r="C30" s="91"/>
      <c r="D30" s="91"/>
      <c r="E30" s="91"/>
      <c r="F30" s="91"/>
      <c r="G30" s="91"/>
      <c r="H30" s="91"/>
      <c r="I30" s="91"/>
      <c r="J30" s="92"/>
    </row>
    <row r="31" spans="2:11">
      <c r="B31" s="94"/>
      <c r="C31" s="91"/>
      <c r="D31" s="91"/>
      <c r="E31" s="91"/>
      <c r="F31" s="91"/>
      <c r="G31" s="91"/>
      <c r="H31" s="91"/>
      <c r="I31" s="91"/>
      <c r="J31" s="92"/>
    </row>
    <row r="32" spans="2:11">
      <c r="B32" s="94"/>
      <c r="C32" s="91"/>
      <c r="D32" s="91"/>
      <c r="E32" s="91"/>
      <c r="F32" s="91"/>
      <c r="G32" s="91"/>
      <c r="H32" s="91"/>
      <c r="I32" s="91"/>
      <c r="J32" s="92"/>
    </row>
    <row r="33" spans="2:10" ht="15.75">
      <c r="B33" s="88" t="s">
        <v>182</v>
      </c>
      <c r="C33" s="89"/>
      <c r="D33" s="89"/>
      <c r="E33" s="89"/>
      <c r="F33" s="89"/>
      <c r="G33" s="90"/>
      <c r="H33" s="90" t="s">
        <v>183</v>
      </c>
      <c r="I33" s="95"/>
      <c r="J33" s="92"/>
    </row>
    <row r="34" spans="2:10" ht="15.75">
      <c r="B34" s="88" t="s">
        <v>184</v>
      </c>
      <c r="C34" s="89"/>
      <c r="D34" s="89"/>
      <c r="E34" s="89"/>
      <c r="F34" s="89"/>
      <c r="G34" s="90"/>
      <c r="H34" s="90" t="s">
        <v>185</v>
      </c>
      <c r="I34" s="95"/>
      <c r="J34" s="92"/>
    </row>
    <row r="35" spans="2:10" ht="15.75">
      <c r="B35" s="88" t="s">
        <v>186</v>
      </c>
      <c r="C35" s="89"/>
      <c r="D35" s="89"/>
      <c r="E35" s="89"/>
      <c r="F35" s="89"/>
      <c r="G35" s="90"/>
      <c r="H35" s="90" t="s">
        <v>187</v>
      </c>
      <c r="I35" s="95"/>
      <c r="J35" s="92"/>
    </row>
    <row r="36" spans="2:10" ht="15.75">
      <c r="B36" s="88" t="s">
        <v>188</v>
      </c>
      <c r="C36" s="89"/>
      <c r="D36" s="89"/>
      <c r="E36" s="89"/>
      <c r="F36" s="89"/>
      <c r="G36" s="90"/>
      <c r="H36" s="90" t="s">
        <v>187</v>
      </c>
      <c r="I36" s="95"/>
      <c r="J36" s="92"/>
    </row>
    <row r="37" spans="2:10" ht="15.75">
      <c r="B37" s="88"/>
      <c r="C37" s="89"/>
      <c r="D37" s="89"/>
      <c r="E37" s="89"/>
      <c r="F37" s="89"/>
      <c r="G37" s="89"/>
      <c r="H37" s="89"/>
      <c r="I37" s="91"/>
      <c r="J37" s="92"/>
    </row>
    <row r="38" spans="2:10" ht="15.75">
      <c r="B38" s="88"/>
      <c r="C38" s="89"/>
      <c r="D38" s="89"/>
      <c r="E38" s="89"/>
      <c r="F38" s="89"/>
      <c r="G38" s="89"/>
      <c r="H38" s="89"/>
      <c r="I38" s="91"/>
      <c r="J38" s="92"/>
    </row>
    <row r="39" spans="2:10" ht="15.75">
      <c r="B39" s="88" t="s">
        <v>189</v>
      </c>
      <c r="C39" s="89"/>
      <c r="D39" s="89"/>
      <c r="E39" s="89"/>
      <c r="F39" s="89"/>
      <c r="G39" s="89" t="s">
        <v>193</v>
      </c>
      <c r="H39" s="89"/>
      <c r="I39" s="91"/>
      <c r="J39" s="92"/>
    </row>
    <row r="40" spans="2:10" ht="15.75">
      <c r="B40" s="88"/>
      <c r="C40" s="89"/>
      <c r="D40" s="89"/>
      <c r="E40" s="89"/>
      <c r="F40" s="89"/>
      <c r="G40" s="89" t="s">
        <v>194</v>
      </c>
      <c r="H40" s="89"/>
      <c r="I40" s="91"/>
      <c r="J40" s="92"/>
    </row>
    <row r="41" spans="2:10" ht="15.75">
      <c r="B41" s="88"/>
      <c r="C41" s="89"/>
      <c r="D41" s="89"/>
      <c r="E41" s="89"/>
      <c r="F41" s="89"/>
      <c r="G41" s="89"/>
      <c r="H41" s="89"/>
      <c r="I41" s="91"/>
      <c r="J41" s="92"/>
    </row>
    <row r="42" spans="2:10" ht="15.75">
      <c r="B42" s="88" t="s">
        <v>190</v>
      </c>
      <c r="C42" s="89"/>
      <c r="D42" s="89"/>
      <c r="E42" s="89"/>
      <c r="F42" s="89"/>
      <c r="G42" s="89" t="s">
        <v>195</v>
      </c>
      <c r="H42" s="89"/>
      <c r="I42" s="91"/>
      <c r="J42" s="92"/>
    </row>
    <row r="43" spans="2:10" ht="15.75" thickBot="1">
      <c r="B43" s="96"/>
      <c r="C43" s="97"/>
      <c r="D43" s="97"/>
      <c r="E43" s="97"/>
      <c r="F43" s="97"/>
      <c r="G43" s="97"/>
      <c r="H43" s="97"/>
      <c r="I43" s="97"/>
      <c r="J43" s="98"/>
    </row>
  </sheetData>
  <mergeCells count="4">
    <mergeCell ref="E8:G8"/>
    <mergeCell ref="E9:G9"/>
    <mergeCell ref="B18:J18"/>
    <mergeCell ref="B25:J25"/>
  </mergeCells>
  <pageMargins left="0.6" right="0.31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opLeftCell="A2" workbookViewId="0">
      <selection activeCell="H12" sqref="H12"/>
    </sheetView>
  </sheetViews>
  <sheetFormatPr defaultRowHeight="15"/>
  <cols>
    <col min="1" max="1" width="6" customWidth="1"/>
    <col min="2" max="2" width="42" customWidth="1"/>
    <col min="3" max="3" width="12.28515625" customWidth="1"/>
    <col min="4" max="4" width="14.5703125" customWidth="1"/>
    <col min="5" max="5" width="16.140625" customWidth="1"/>
  </cols>
  <sheetData>
    <row r="1" spans="1:5" ht="18">
      <c r="A1" s="115" t="s">
        <v>0</v>
      </c>
      <c r="B1" s="116"/>
      <c r="C1" s="116"/>
      <c r="D1" s="116"/>
      <c r="E1" s="117"/>
    </row>
    <row r="2" spans="1:5" ht="18.75" thickBot="1">
      <c r="A2" s="1"/>
      <c r="B2" s="1" t="s">
        <v>1</v>
      </c>
      <c r="C2" s="1"/>
      <c r="D2" s="1"/>
      <c r="E2" s="1"/>
    </row>
    <row r="3" spans="1:5" ht="23.25" customHeight="1">
      <c r="A3" s="27" t="s">
        <v>2</v>
      </c>
      <c r="B3" s="28" t="s">
        <v>3</v>
      </c>
      <c r="C3" s="28" t="s">
        <v>4</v>
      </c>
      <c r="D3" s="29" t="s">
        <v>45</v>
      </c>
      <c r="E3" s="30" t="s">
        <v>46</v>
      </c>
    </row>
    <row r="4" spans="1:5" ht="15.75">
      <c r="A4" s="4" t="s">
        <v>5</v>
      </c>
      <c r="B4" s="5" t="s">
        <v>6</v>
      </c>
      <c r="C4" s="6"/>
      <c r="D4" s="7">
        <v>56732516</v>
      </c>
      <c r="E4" s="8">
        <f>SUM(E5,E9:E10,E18,E25:E27)</f>
        <v>48283286.97441446</v>
      </c>
    </row>
    <row r="5" spans="1:5">
      <c r="A5" s="9"/>
      <c r="B5" s="10" t="s">
        <v>7</v>
      </c>
      <c r="C5" s="11"/>
      <c r="D5" s="12">
        <f>SUM(D6:D8)</f>
        <v>39486150.92809999</v>
      </c>
      <c r="E5" s="13">
        <f>SUM(E6:E8)</f>
        <v>31529240.585999995</v>
      </c>
    </row>
    <row r="6" spans="1:5">
      <c r="A6" s="9"/>
      <c r="B6" s="11" t="s">
        <v>8</v>
      </c>
      <c r="C6" s="11"/>
      <c r="D6" s="14">
        <f>[1]Bilanc!G47+[1]Bilanc!G48+[1]Bilanc!G51</f>
        <v>39167412.92809999</v>
      </c>
      <c r="E6" s="15">
        <f>[1]Bilanc!C47+[1]Bilanc!C48+[1]Bilanc!C51</f>
        <v>31278054.585999995</v>
      </c>
    </row>
    <row r="7" spans="1:5">
      <c r="A7" s="9"/>
      <c r="B7" s="11" t="s">
        <v>9</v>
      </c>
      <c r="C7" s="11"/>
      <c r="D7" s="14">
        <v>0</v>
      </c>
      <c r="E7" s="15">
        <v>0</v>
      </c>
    </row>
    <row r="8" spans="1:5">
      <c r="A8" s="9"/>
      <c r="B8" s="11" t="s">
        <v>10</v>
      </c>
      <c r="C8" s="11"/>
      <c r="D8" s="14">
        <f>[1]Bilanc!G52</f>
        <v>318738</v>
      </c>
      <c r="E8" s="15">
        <f>[1]Bilanc!C52</f>
        <v>251186</v>
      </c>
    </row>
    <row r="9" spans="1:5">
      <c r="A9" s="9"/>
      <c r="B9" s="10" t="s">
        <v>11</v>
      </c>
      <c r="C9" s="11"/>
      <c r="D9" s="12"/>
      <c r="E9" s="13"/>
    </row>
    <row r="10" spans="1:5">
      <c r="A10" s="9"/>
      <c r="B10" s="10" t="s">
        <v>12</v>
      </c>
      <c r="C10" s="11"/>
      <c r="D10" s="12">
        <f>SUM(D11:D17)</f>
        <v>16208475.99948113</v>
      </c>
      <c r="E10" s="16">
        <f>SUM(E11:E17)</f>
        <v>15939198.388414467</v>
      </c>
    </row>
    <row r="11" spans="1:5">
      <c r="A11" s="9"/>
      <c r="B11" s="11" t="s">
        <v>13</v>
      </c>
      <c r="C11" s="11"/>
      <c r="D11" s="14">
        <f>[1]Bilanc!G33</f>
        <v>7132733.0666666627</v>
      </c>
      <c r="E11" s="15">
        <f>[1]Bilanc!C33</f>
        <v>7361753</v>
      </c>
    </row>
    <row r="12" spans="1:5">
      <c r="A12" s="9"/>
      <c r="B12" s="11" t="s">
        <v>14</v>
      </c>
      <c r="C12" s="11"/>
      <c r="D12" s="14"/>
      <c r="E12" s="15"/>
    </row>
    <row r="13" spans="1:5">
      <c r="A13" s="9"/>
      <c r="B13" s="11" t="s">
        <v>15</v>
      </c>
      <c r="C13" s="11"/>
      <c r="D13" s="14">
        <f>[1]Bilanc!G38</f>
        <v>8947245.3317478001</v>
      </c>
      <c r="E13" s="15">
        <f>[1]Bilanc!C38</f>
        <v>8422711.3317478001</v>
      </c>
    </row>
    <row r="14" spans="1:5">
      <c r="A14" s="9"/>
      <c r="B14" s="11" t="s">
        <v>16</v>
      </c>
      <c r="C14" s="11"/>
      <c r="D14" s="14">
        <f>[1]Bilanc!G37</f>
        <v>128497.60106666666</v>
      </c>
      <c r="E14" s="15">
        <f>[1]Bilanc!C37</f>
        <v>76725.056666667107</v>
      </c>
    </row>
    <row r="15" spans="1:5">
      <c r="A15" s="9"/>
      <c r="B15" s="11" t="s">
        <v>17</v>
      </c>
      <c r="C15" s="11"/>
      <c r="D15" s="17"/>
      <c r="E15" s="15"/>
    </row>
    <row r="16" spans="1:5">
      <c r="A16" s="9"/>
      <c r="B16" s="11" t="s">
        <v>18</v>
      </c>
      <c r="C16" s="11"/>
      <c r="D16" s="14"/>
      <c r="E16" s="15">
        <f>[1]Bilanc!C35</f>
        <v>78009</v>
      </c>
    </row>
    <row r="17" spans="1:5">
      <c r="A17" s="9"/>
      <c r="B17" s="11" t="s">
        <v>19</v>
      </c>
      <c r="C17" s="11"/>
      <c r="D17" s="14"/>
      <c r="E17" s="15"/>
    </row>
    <row r="18" spans="1:5">
      <c r="A18" s="9"/>
      <c r="B18" s="10" t="s">
        <v>20</v>
      </c>
      <c r="C18" s="11"/>
      <c r="D18" s="12">
        <f>SUM(D19:D24)</f>
        <v>1037888.5</v>
      </c>
      <c r="E18" s="13">
        <f>SUM(E19:E24)</f>
        <v>814848</v>
      </c>
    </row>
    <row r="19" spans="1:5">
      <c r="A19" s="9"/>
      <c r="B19" s="18" t="s">
        <v>21</v>
      </c>
      <c r="C19" s="11"/>
      <c r="D19" s="19">
        <v>607636</v>
      </c>
      <c r="E19" s="20">
        <f>[1]Bilanc!C25</f>
        <v>282452</v>
      </c>
    </row>
    <row r="20" spans="1:5">
      <c r="A20" s="9"/>
      <c r="B20" s="18" t="s">
        <v>22</v>
      </c>
      <c r="C20" s="11"/>
      <c r="D20" s="19">
        <f>[1]Bilanc!G27+[1]Bilanc!G28+[1]Bilanc!G29</f>
        <v>430252.5</v>
      </c>
      <c r="E20" s="20">
        <f>[1]Bilanc!C27+[1]Bilanc!C28+[1]Bilanc!C29</f>
        <v>532396</v>
      </c>
    </row>
    <row r="21" spans="1:5">
      <c r="A21" s="9"/>
      <c r="B21" s="18" t="s">
        <v>23</v>
      </c>
      <c r="C21" s="11"/>
      <c r="D21" s="19"/>
      <c r="E21" s="20"/>
    </row>
    <row r="22" spans="1:5">
      <c r="A22" s="9"/>
      <c r="B22" s="18" t="s">
        <v>24</v>
      </c>
      <c r="C22" s="11"/>
      <c r="D22" s="19"/>
      <c r="E22" s="20"/>
    </row>
    <row r="23" spans="1:5">
      <c r="A23" s="9"/>
      <c r="B23" s="18" t="s">
        <v>25</v>
      </c>
      <c r="C23" s="11"/>
      <c r="D23" s="19"/>
      <c r="E23" s="20"/>
    </row>
    <row r="24" spans="1:5">
      <c r="A24" s="9"/>
      <c r="B24" s="18" t="s">
        <v>26</v>
      </c>
      <c r="C24" s="11"/>
      <c r="D24" s="19"/>
      <c r="E24" s="20"/>
    </row>
    <row r="25" spans="1:5">
      <c r="A25" s="9"/>
      <c r="B25" s="10" t="s">
        <v>27</v>
      </c>
      <c r="C25" s="11"/>
      <c r="D25" s="12"/>
      <c r="E25" s="13"/>
    </row>
    <row r="26" spans="1:5">
      <c r="A26" s="9"/>
      <c r="B26" s="10" t="s">
        <v>28</v>
      </c>
      <c r="C26" s="11"/>
      <c r="D26" s="12"/>
      <c r="E26" s="13"/>
    </row>
    <row r="27" spans="1:5">
      <c r="A27" s="9"/>
      <c r="B27" s="10" t="s">
        <v>29</v>
      </c>
      <c r="C27" s="11"/>
      <c r="D27" s="12">
        <f>SUM(D28:D28)</f>
        <v>0</v>
      </c>
      <c r="E27" s="13">
        <f>SUM(E28:E28)</f>
        <v>0</v>
      </c>
    </row>
    <row r="28" spans="1:5">
      <c r="A28" s="9"/>
      <c r="B28" s="18" t="s">
        <v>30</v>
      </c>
      <c r="C28" s="11"/>
      <c r="D28" s="12"/>
      <c r="E28" s="13"/>
    </row>
    <row r="29" spans="1:5" ht="15.75">
      <c r="A29" s="4" t="s">
        <v>31</v>
      </c>
      <c r="B29" s="5" t="s">
        <v>32</v>
      </c>
      <c r="C29" s="6"/>
      <c r="D29" s="7">
        <f>SUM(D30:D31,D37:D40)</f>
        <v>488319840.01782548</v>
      </c>
      <c r="E29" s="8">
        <f>SUM(E30:E31,E37:E40)</f>
        <v>494214279.30000001</v>
      </c>
    </row>
    <row r="30" spans="1:5">
      <c r="A30" s="9"/>
      <c r="B30" s="10" t="s">
        <v>33</v>
      </c>
      <c r="C30" s="11"/>
      <c r="D30" s="12"/>
      <c r="E30" s="13"/>
    </row>
    <row r="31" spans="1:5">
      <c r="A31" s="9"/>
      <c r="B31" s="10" t="s">
        <v>34</v>
      </c>
      <c r="C31" s="11"/>
      <c r="D31" s="12">
        <f>SUM(D32:D36)</f>
        <v>488319840.01782548</v>
      </c>
      <c r="E31" s="13">
        <f>SUM(E32:E36)</f>
        <v>494214279.30000001</v>
      </c>
    </row>
    <row r="32" spans="1:5">
      <c r="A32" s="9"/>
      <c r="B32" s="11" t="s">
        <v>35</v>
      </c>
      <c r="C32" s="11"/>
      <c r="D32" s="19">
        <v>68640000</v>
      </c>
      <c r="E32" s="20">
        <v>68640000</v>
      </c>
    </row>
    <row r="33" spans="1:5">
      <c r="A33" s="9"/>
      <c r="B33" s="11" t="s">
        <v>36</v>
      </c>
      <c r="C33" s="11"/>
      <c r="D33" s="19">
        <f>[1]Bilanc!G19-[1]aktivi!D32-[1]Inven!N214-165455087</f>
        <v>352136399.54000002</v>
      </c>
      <c r="E33" s="20">
        <f>[1]Bilanc!C19-[1]aktivi!E32-165455087</f>
        <v>357210360</v>
      </c>
    </row>
    <row r="34" spans="1:5">
      <c r="A34" s="9"/>
      <c r="B34" s="11" t="s">
        <v>37</v>
      </c>
      <c r="C34" s="11"/>
      <c r="D34" s="19">
        <v>57951729</v>
      </c>
      <c r="E34" s="20">
        <f>[1]Bilanc!C20-46630252-98874</f>
        <v>58733002.299999997</v>
      </c>
    </row>
    <row r="35" spans="1:5">
      <c r="A35" s="9"/>
      <c r="B35" s="11" t="s">
        <v>38</v>
      </c>
      <c r="C35" s="11"/>
      <c r="D35" s="19">
        <f>[1]Bilanc!G21-[1]Inven!N213-417003</f>
        <v>1941711.47782544</v>
      </c>
      <c r="E35" s="20">
        <f>[1]Bilanc!C21-417003</f>
        <v>1980917</v>
      </c>
    </row>
    <row r="36" spans="1:5">
      <c r="A36" s="9"/>
      <c r="B36" s="11" t="s">
        <v>39</v>
      </c>
      <c r="C36" s="11"/>
      <c r="D36" s="19">
        <f>[1]Bilanc!G17</f>
        <v>7650000</v>
      </c>
      <c r="E36" s="20">
        <f>[1]Bilanc!C17</f>
        <v>7650000</v>
      </c>
    </row>
    <row r="37" spans="1:5">
      <c r="A37" s="9"/>
      <c r="B37" s="10" t="s">
        <v>40</v>
      </c>
      <c r="C37" s="11"/>
      <c r="D37" s="12"/>
      <c r="E37" s="13"/>
    </row>
    <row r="38" spans="1:5">
      <c r="A38" s="9"/>
      <c r="B38" s="10" t="s">
        <v>41</v>
      </c>
      <c r="C38" s="11"/>
      <c r="D38" s="12"/>
      <c r="E38" s="13"/>
    </row>
    <row r="39" spans="1:5">
      <c r="A39" s="9"/>
      <c r="B39" s="21" t="s">
        <v>42</v>
      </c>
      <c r="C39" s="11"/>
      <c r="D39" s="12"/>
      <c r="E39" s="13"/>
    </row>
    <row r="40" spans="1:5">
      <c r="A40" s="9"/>
      <c r="B40" s="21" t="s">
        <v>43</v>
      </c>
      <c r="C40" s="11"/>
      <c r="D40" s="12"/>
      <c r="E40" s="13"/>
    </row>
    <row r="41" spans="1:5" ht="16.5" thickBot="1">
      <c r="A41" s="22"/>
      <c r="B41" s="23" t="s">
        <v>44</v>
      </c>
      <c r="C41" s="24"/>
      <c r="D41" s="25">
        <f>SUM(D4,D29)</f>
        <v>545052356.01782548</v>
      </c>
      <c r="E41" s="26">
        <f>SUM(E4,E29)</f>
        <v>542497566.27441442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J13" sqref="J13"/>
    </sheetView>
  </sheetViews>
  <sheetFormatPr defaultRowHeight="15"/>
  <cols>
    <col min="1" max="1" width="7.28515625" customWidth="1"/>
    <col min="2" max="2" width="45.7109375" customWidth="1"/>
    <col min="3" max="4" width="11.85546875" customWidth="1"/>
    <col min="5" max="5" width="14.140625" customWidth="1"/>
  </cols>
  <sheetData>
    <row r="1" spans="1:5">
      <c r="A1" s="118" t="s">
        <v>0</v>
      </c>
      <c r="B1" s="119"/>
      <c r="C1" s="119"/>
      <c r="D1" s="119"/>
      <c r="E1" s="120"/>
    </row>
    <row r="2" spans="1:5" ht="19.5" thickBot="1">
      <c r="A2" s="31"/>
      <c r="B2" s="32" t="s">
        <v>1</v>
      </c>
      <c r="C2" s="31"/>
      <c r="D2" s="31"/>
      <c r="E2" s="31"/>
    </row>
    <row r="3" spans="1:5">
      <c r="A3" s="33" t="s">
        <v>2</v>
      </c>
      <c r="B3" s="34" t="s">
        <v>47</v>
      </c>
      <c r="C3" s="34" t="s">
        <v>4</v>
      </c>
      <c r="D3" s="29" t="s">
        <v>45</v>
      </c>
      <c r="E3" s="30" t="s">
        <v>46</v>
      </c>
    </row>
    <row r="4" spans="1:5">
      <c r="A4" s="35" t="s">
        <v>5</v>
      </c>
      <c r="B4" s="36" t="s">
        <v>48</v>
      </c>
      <c r="C4" s="37"/>
      <c r="D4" s="12">
        <f>SUM(D5:D6,D9,D20:D21)</f>
        <v>2956243.8977333321</v>
      </c>
      <c r="E4" s="13">
        <f>SUM(E5:E6,E9,E20:E21)</f>
        <v>2442240.2749999999</v>
      </c>
    </row>
    <row r="5" spans="1:5">
      <c r="A5" s="38"/>
      <c r="B5" s="10" t="s">
        <v>49</v>
      </c>
      <c r="C5" s="37"/>
      <c r="D5" s="12"/>
      <c r="E5" s="13"/>
    </row>
    <row r="6" spans="1:5">
      <c r="A6" s="38"/>
      <c r="B6" s="10" t="s">
        <v>50</v>
      </c>
      <c r="C6" s="37"/>
      <c r="D6" s="12">
        <f>SUM(D7:D8)</f>
        <v>0</v>
      </c>
      <c r="E6" s="13">
        <f>SUM(E7:E8)</f>
        <v>0</v>
      </c>
    </row>
    <row r="7" spans="1:5">
      <c r="A7" s="38"/>
      <c r="B7" s="37" t="s">
        <v>51</v>
      </c>
      <c r="C7" s="37"/>
      <c r="D7" s="39"/>
      <c r="E7" s="40"/>
    </row>
    <row r="8" spans="1:5">
      <c r="A8" s="38"/>
      <c r="B8" s="37" t="s">
        <v>52</v>
      </c>
      <c r="C8" s="37"/>
      <c r="D8" s="39"/>
      <c r="E8" s="40"/>
    </row>
    <row r="9" spans="1:5">
      <c r="A9" s="38"/>
      <c r="B9" s="10" t="s">
        <v>53</v>
      </c>
      <c r="C9" s="37"/>
      <c r="D9" s="12">
        <f>SUM(D10:D19)</f>
        <v>2956243.8977333321</v>
      </c>
      <c r="E9" s="13">
        <f>SUM(E10:E19)</f>
        <v>2442240.2749999999</v>
      </c>
    </row>
    <row r="10" spans="1:5">
      <c r="A10" s="38"/>
      <c r="B10" s="37" t="s">
        <v>54</v>
      </c>
      <c r="C10" s="37"/>
      <c r="D10" s="39">
        <f>[1]Bilanc!H31</f>
        <v>308135.56639999989</v>
      </c>
      <c r="E10" s="40">
        <f>[1]Bilanc!C31</f>
        <v>0</v>
      </c>
    </row>
    <row r="11" spans="1:5">
      <c r="A11" s="38"/>
      <c r="B11" s="37" t="s">
        <v>55</v>
      </c>
      <c r="C11" s="37"/>
      <c r="D11" s="39">
        <f>[1]Bilanc!H39</f>
        <v>192061.74799999967</v>
      </c>
      <c r="E11" s="40">
        <f>[1]Bilanc!C39</f>
        <v>0</v>
      </c>
    </row>
    <row r="12" spans="1:5">
      <c r="A12" s="38"/>
      <c r="B12" s="37" t="s">
        <v>56</v>
      </c>
      <c r="C12" s="37"/>
      <c r="D12" s="39">
        <f>[1]Bilanc!H41</f>
        <v>310203.94999999972</v>
      </c>
      <c r="E12" s="40">
        <f>[1]Bilanc!D41</f>
        <v>221894.97500000009</v>
      </c>
    </row>
    <row r="13" spans="1:5">
      <c r="A13" s="38"/>
      <c r="B13" s="37" t="s">
        <v>57</v>
      </c>
      <c r="C13" s="37"/>
      <c r="D13" s="39">
        <f>[1]Bilanc!H36</f>
        <v>179726</v>
      </c>
      <c r="E13" s="40">
        <f>[1]Bilanc!D36</f>
        <v>133175</v>
      </c>
    </row>
    <row r="14" spans="1:5">
      <c r="A14" s="38"/>
      <c r="B14" s="37" t="s">
        <v>58</v>
      </c>
      <c r="C14" s="37"/>
      <c r="D14" s="39"/>
      <c r="E14" s="40"/>
    </row>
    <row r="15" spans="1:5">
      <c r="A15" s="38"/>
      <c r="B15" s="37" t="s">
        <v>59</v>
      </c>
      <c r="C15" s="37"/>
      <c r="D15" s="39"/>
      <c r="E15" s="40"/>
    </row>
    <row r="16" spans="1:5">
      <c r="A16" s="38"/>
      <c r="B16" s="37" t="s">
        <v>60</v>
      </c>
      <c r="C16" s="37"/>
      <c r="D16" s="39">
        <f>[1]Bilanc!H35</f>
        <v>64233</v>
      </c>
      <c r="E16" s="40">
        <f>[1]Bilanc!D35</f>
        <v>0</v>
      </c>
    </row>
    <row r="17" spans="1:5">
      <c r="A17" s="38"/>
      <c r="B17" s="37" t="s">
        <v>17</v>
      </c>
      <c r="C17" s="37"/>
      <c r="D17" s="39">
        <f>[1]Bilanc!H44</f>
        <v>1901883.6333333328</v>
      </c>
      <c r="E17" s="40">
        <f>[1]Bilanc!D44</f>
        <v>2087170.2999999998</v>
      </c>
    </row>
    <row r="18" spans="1:5">
      <c r="A18" s="38"/>
      <c r="B18" s="37" t="s">
        <v>61</v>
      </c>
      <c r="C18" s="37"/>
      <c r="D18" s="39"/>
      <c r="E18" s="40"/>
    </row>
    <row r="19" spans="1:5">
      <c r="A19" s="38"/>
      <c r="B19" s="37" t="s">
        <v>62</v>
      </c>
      <c r="C19" s="37"/>
      <c r="D19" s="39"/>
      <c r="E19" s="40"/>
    </row>
    <row r="20" spans="1:5">
      <c r="A20" s="38"/>
      <c r="B20" s="10" t="s">
        <v>63</v>
      </c>
      <c r="C20" s="37"/>
      <c r="D20" s="12"/>
      <c r="E20" s="13"/>
    </row>
    <row r="21" spans="1:5">
      <c r="A21" s="38"/>
      <c r="B21" s="10" t="s">
        <v>64</v>
      </c>
      <c r="C21" s="37"/>
      <c r="D21" s="12"/>
      <c r="E21" s="13"/>
    </row>
    <row r="22" spans="1:5">
      <c r="A22" s="35" t="s">
        <v>31</v>
      </c>
      <c r="B22" s="36" t="s">
        <v>65</v>
      </c>
      <c r="C22" s="37"/>
      <c r="D22" s="12">
        <f>SUM(D23,D26:D28)</f>
        <v>3644437.2104000002</v>
      </c>
      <c r="E22" s="13">
        <f>SUM(E23,E26:E28)</f>
        <v>3718813.48</v>
      </c>
    </row>
    <row r="23" spans="1:5">
      <c r="A23" s="38"/>
      <c r="B23" s="10" t="s">
        <v>66</v>
      </c>
      <c r="C23" s="37"/>
      <c r="D23" s="12">
        <f>SUM(D24:D25)</f>
        <v>0</v>
      </c>
      <c r="E23" s="13">
        <f>SUM(E24:E25)</f>
        <v>0</v>
      </c>
    </row>
    <row r="24" spans="1:5">
      <c r="A24" s="38"/>
      <c r="B24" s="37" t="s">
        <v>67</v>
      </c>
      <c r="C24" s="37"/>
      <c r="D24" s="39"/>
      <c r="E24" s="40"/>
    </row>
    <row r="25" spans="1:5">
      <c r="A25" s="38"/>
      <c r="B25" s="37" t="s">
        <v>68</v>
      </c>
      <c r="C25" s="37"/>
      <c r="D25" s="39"/>
      <c r="E25" s="40"/>
    </row>
    <row r="26" spans="1:5">
      <c r="A26" s="38"/>
      <c r="B26" s="10" t="s">
        <v>69</v>
      </c>
      <c r="C26" s="37"/>
      <c r="D26" s="12"/>
      <c r="E26" s="13"/>
    </row>
    <row r="27" spans="1:5">
      <c r="A27" s="38"/>
      <c r="B27" s="10" t="s">
        <v>70</v>
      </c>
      <c r="C27" s="37"/>
      <c r="D27" s="12">
        <f>[1]Bilanc!H16</f>
        <v>3644437.2104000002</v>
      </c>
      <c r="E27" s="13">
        <f>[1]Bilanc!D16</f>
        <v>3718813.48</v>
      </c>
    </row>
    <row r="28" spans="1:5">
      <c r="A28" s="38"/>
      <c r="B28" s="10" t="s">
        <v>71</v>
      </c>
      <c r="C28" s="37"/>
      <c r="D28" s="12"/>
      <c r="E28" s="13"/>
    </row>
    <row r="29" spans="1:5">
      <c r="A29" s="38"/>
      <c r="B29" s="36" t="s">
        <v>72</v>
      </c>
      <c r="C29" s="37"/>
      <c r="D29" s="12">
        <f>SUM(D4,D22)</f>
        <v>6600681.1081333328</v>
      </c>
      <c r="E29" s="13">
        <f>SUM(E4,E22)</f>
        <v>6161053.7549999999</v>
      </c>
    </row>
    <row r="30" spans="1:5">
      <c r="A30" s="35" t="s">
        <v>73</v>
      </c>
      <c r="B30" s="41" t="s">
        <v>74</v>
      </c>
      <c r="C30" s="37"/>
      <c r="D30" s="12">
        <f>SUM(D31:D40)</f>
        <v>538451674.45634222</v>
      </c>
      <c r="E30" s="13">
        <f>SUM(E31:E40)</f>
        <v>536336512.45634216</v>
      </c>
    </row>
    <row r="31" spans="1:5">
      <c r="A31" s="38"/>
      <c r="B31" s="21" t="s">
        <v>75</v>
      </c>
      <c r="C31" s="37"/>
      <c r="D31" s="12"/>
      <c r="E31" s="13"/>
    </row>
    <row r="32" spans="1:5">
      <c r="A32" s="38"/>
      <c r="B32" s="21" t="s">
        <v>76</v>
      </c>
      <c r="C32" s="37"/>
      <c r="D32" s="12"/>
      <c r="E32" s="13"/>
    </row>
    <row r="33" spans="1:5">
      <c r="A33" s="38"/>
      <c r="B33" s="21" t="s">
        <v>77</v>
      </c>
      <c r="C33" s="37"/>
      <c r="D33" s="12">
        <f>[1]Bilanc!H5</f>
        <v>488700000</v>
      </c>
      <c r="E33" s="13">
        <f>[1]Bilanc!D5</f>
        <v>488700000</v>
      </c>
    </row>
    <row r="34" spans="1:5">
      <c r="A34" s="38"/>
      <c r="B34" s="21" t="s">
        <v>78</v>
      </c>
      <c r="C34" s="37"/>
      <c r="D34" s="12"/>
      <c r="E34" s="13"/>
    </row>
    <row r="35" spans="1:5">
      <c r="A35" s="38"/>
      <c r="B35" s="21" t="s">
        <v>79</v>
      </c>
      <c r="C35" s="37"/>
      <c r="D35" s="12"/>
      <c r="E35" s="13"/>
    </row>
    <row r="36" spans="1:5">
      <c r="A36" s="38"/>
      <c r="B36" s="21" t="s">
        <v>80</v>
      </c>
      <c r="C36" s="37"/>
      <c r="D36" s="12">
        <f>[1]Bilanc!H13</f>
        <v>7763810</v>
      </c>
      <c r="E36" s="13">
        <f>[1]Bilanc!D13</f>
        <v>7763810</v>
      </c>
    </row>
    <row r="37" spans="1:5">
      <c r="A37" s="38"/>
      <c r="B37" s="21" t="s">
        <v>81</v>
      </c>
      <c r="C37" s="37"/>
      <c r="D37" s="12">
        <f>[1]Bilanc!H9</f>
        <v>813717</v>
      </c>
      <c r="E37" s="13">
        <f>[1]Bilanc!D9</f>
        <v>813717</v>
      </c>
    </row>
    <row r="38" spans="1:5">
      <c r="A38" s="38"/>
      <c r="B38" s="21" t="s">
        <v>82</v>
      </c>
      <c r="C38" s="37"/>
      <c r="D38" s="12">
        <f>[1]Bilanc!D6</f>
        <v>49872404.25</v>
      </c>
      <c r="E38" s="13">
        <f>[1]Bilanc!H6</f>
        <v>49872404.25</v>
      </c>
    </row>
    <row r="39" spans="1:5">
      <c r="A39" s="38"/>
      <c r="B39" s="21" t="s">
        <v>83</v>
      </c>
      <c r="C39" s="37"/>
      <c r="D39" s="12">
        <f>E39+E40</f>
        <v>-10813418.793657862</v>
      </c>
      <c r="E39" s="13">
        <f>[1]Bilanc!H11</f>
        <v>-11588554</v>
      </c>
    </row>
    <row r="40" spans="1:5">
      <c r="A40" s="38"/>
      <c r="B40" s="21" t="s">
        <v>84</v>
      </c>
      <c r="C40" s="37"/>
      <c r="D40" s="12">
        <v>2115162</v>
      </c>
      <c r="E40" s="13">
        <f>[1]Bilanc!D10</f>
        <v>775135.20634213777</v>
      </c>
    </row>
    <row r="41" spans="1:5" ht="15.75" thickBot="1">
      <c r="A41" s="42"/>
      <c r="B41" s="43" t="s">
        <v>85</v>
      </c>
      <c r="C41" s="44"/>
      <c r="D41" s="45">
        <f>SUM(D29:D30)</f>
        <v>545052355.56447554</v>
      </c>
      <c r="E41" s="46">
        <f>SUM(E29:E30)</f>
        <v>542497566.21134222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0" workbookViewId="0">
      <selection activeCell="G27" sqref="G27"/>
    </sheetView>
  </sheetViews>
  <sheetFormatPr defaultRowHeight="15"/>
  <cols>
    <col min="1" max="1" width="6.5703125" customWidth="1"/>
    <col min="2" max="2" width="56.28515625" customWidth="1"/>
    <col min="3" max="3" width="13.7109375" customWidth="1"/>
    <col min="4" max="4" width="13.140625" customWidth="1"/>
    <col min="5" max="6" width="10.140625" bestFit="1" customWidth="1"/>
  </cols>
  <sheetData>
    <row r="1" spans="1:6" ht="18">
      <c r="A1" s="121" t="s">
        <v>86</v>
      </c>
      <c r="B1" s="121"/>
      <c r="C1" s="121"/>
      <c r="D1" s="121"/>
    </row>
    <row r="2" spans="1:6" ht="18">
      <c r="A2" s="122" t="s">
        <v>87</v>
      </c>
      <c r="B2" s="122"/>
      <c r="C2" s="122"/>
      <c r="D2" s="122"/>
    </row>
    <row r="3" spans="1:6" ht="18">
      <c r="A3" s="1"/>
      <c r="B3" s="1"/>
      <c r="C3" s="1"/>
      <c r="D3" s="1"/>
    </row>
    <row r="4" spans="1:6" ht="18.75">
      <c r="A4" s="32"/>
      <c r="B4" s="1" t="s">
        <v>1</v>
      </c>
      <c r="C4" s="32"/>
      <c r="D4" s="32"/>
    </row>
    <row r="5" spans="1:6" ht="15.75" thickBot="1">
      <c r="A5" s="47"/>
      <c r="B5" s="47"/>
      <c r="C5" s="47"/>
      <c r="D5" s="47"/>
    </row>
    <row r="6" spans="1:6">
      <c r="A6" s="48" t="s">
        <v>2</v>
      </c>
      <c r="B6" s="49" t="s">
        <v>88</v>
      </c>
      <c r="C6" s="29" t="s">
        <v>45</v>
      </c>
      <c r="D6" s="30" t="s">
        <v>46</v>
      </c>
    </row>
    <row r="7" spans="1:6">
      <c r="A7" s="50">
        <v>1</v>
      </c>
      <c r="B7" s="51" t="s">
        <v>89</v>
      </c>
      <c r="C7" s="52">
        <f>[1]Bilanc!D82+[1]Bilanc!D83+[1]Bilanc!D84</f>
        <v>27720255.333333336</v>
      </c>
      <c r="D7" s="53">
        <v>31217518</v>
      </c>
      <c r="E7" s="84">
        <f>C7+C8</f>
        <v>27794631.602933336</v>
      </c>
      <c r="F7" s="84">
        <f>D7+D8</f>
        <v>31271461</v>
      </c>
    </row>
    <row r="8" spans="1:6">
      <c r="A8" s="50">
        <v>2</v>
      </c>
      <c r="B8" s="51" t="s">
        <v>90</v>
      </c>
      <c r="C8" s="52">
        <f>[1]Bilanc!D89</f>
        <v>74376.2696</v>
      </c>
      <c r="D8" s="53">
        <v>53943</v>
      </c>
    </row>
    <row r="9" spans="1:6">
      <c r="A9" s="50">
        <v>3</v>
      </c>
      <c r="B9" s="51" t="s">
        <v>91</v>
      </c>
      <c r="C9" s="52">
        <v>0</v>
      </c>
      <c r="D9" s="53">
        <v>77704</v>
      </c>
    </row>
    <row r="10" spans="1:6">
      <c r="A10" s="50">
        <v>4</v>
      </c>
      <c r="B10" s="51" t="s">
        <v>92</v>
      </c>
      <c r="C10" s="52">
        <v>1637131</v>
      </c>
      <c r="D10" s="53">
        <v>1925529</v>
      </c>
    </row>
    <row r="11" spans="1:6">
      <c r="A11" s="50">
        <v>5</v>
      </c>
      <c r="B11" s="51" t="s">
        <v>93</v>
      </c>
      <c r="C11" s="52">
        <f>SUM(C12:C13)</f>
        <v>13571450.342999998</v>
      </c>
      <c r="D11" s="53">
        <f>SUM(D12:D13)</f>
        <v>10855668</v>
      </c>
    </row>
    <row r="12" spans="1:6">
      <c r="A12" s="54"/>
      <c r="B12" s="51" t="s">
        <v>94</v>
      </c>
      <c r="C12" s="52">
        <f>[1]Bilanc!E75</f>
        <v>11385102</v>
      </c>
      <c r="D12" s="53">
        <f>8493123+630500</f>
        <v>9123623</v>
      </c>
    </row>
    <row r="13" spans="1:6">
      <c r="A13" s="54"/>
      <c r="B13" s="51" t="s">
        <v>95</v>
      </c>
      <c r="C13" s="52">
        <f>[1]Bilanc!E76</f>
        <v>2186348.3429999994</v>
      </c>
      <c r="D13" s="53">
        <v>1732045</v>
      </c>
    </row>
    <row r="14" spans="1:6">
      <c r="A14" s="50">
        <v>6</v>
      </c>
      <c r="B14" s="51" t="s">
        <v>96</v>
      </c>
      <c r="C14" s="52">
        <v>6819831</v>
      </c>
      <c r="D14" s="53">
        <f>6796876+41700</f>
        <v>6838576</v>
      </c>
    </row>
    <row r="15" spans="1:6">
      <c r="A15" s="50">
        <v>7</v>
      </c>
      <c r="B15" s="51" t="s">
        <v>97</v>
      </c>
      <c r="C15" s="52">
        <f>[1]Bilanc!E66+[1]Bilanc!E67+[1]Bilanc!E69+[1]Bilanc!E70+[1]Bilanc!E71+[1]Bilanc!E72+[1]Bilanc!E74+[1]Bilanc!E77+[1]Bilanc!E78</f>
        <v>4351975.5</v>
      </c>
      <c r="D15" s="53">
        <f>3598587+3930072+848240-1</f>
        <v>8376898</v>
      </c>
    </row>
    <row r="16" spans="1:6">
      <c r="A16" s="50">
        <v>8</v>
      </c>
      <c r="B16" s="55" t="s">
        <v>98</v>
      </c>
      <c r="C16" s="56">
        <f>SUM(C10+C11+C14+C15)</f>
        <v>26380387.842999998</v>
      </c>
      <c r="D16" s="57">
        <f>SUM(D10+D11+D14+D15)</f>
        <v>27996671</v>
      </c>
    </row>
    <row r="17" spans="1:7">
      <c r="A17" s="50">
        <v>9</v>
      </c>
      <c r="B17" s="55" t="s">
        <v>99</v>
      </c>
      <c r="C17" s="56">
        <f>SUM(C7+C8+C9-C16)</f>
        <v>1414243.7599333376</v>
      </c>
      <c r="D17" s="57">
        <f>SUM(D7+D8+D9-D16)</f>
        <v>3352494</v>
      </c>
    </row>
    <row r="18" spans="1:7">
      <c r="A18" s="50">
        <v>10</v>
      </c>
      <c r="B18" s="51" t="s">
        <v>100</v>
      </c>
      <c r="C18" s="52"/>
      <c r="D18" s="53"/>
    </row>
    <row r="19" spans="1:7">
      <c r="A19" s="50">
        <v>11</v>
      </c>
      <c r="B19" s="51" t="s">
        <v>101</v>
      </c>
      <c r="C19" s="52"/>
      <c r="D19" s="53"/>
    </row>
    <row r="20" spans="1:7">
      <c r="A20" s="50">
        <v>12</v>
      </c>
      <c r="B20" s="51" t="s">
        <v>102</v>
      </c>
      <c r="C20" s="52">
        <f>SUM(C21:C24)</f>
        <v>935935.85210000002</v>
      </c>
      <c r="D20" s="53">
        <f>SUM(D21:D24)</f>
        <v>-1647287</v>
      </c>
    </row>
    <row r="21" spans="1:7">
      <c r="A21" s="54"/>
      <c r="B21" s="51" t="s">
        <v>103</v>
      </c>
      <c r="C21" s="52"/>
      <c r="D21" s="53"/>
    </row>
    <row r="22" spans="1:7">
      <c r="A22" s="54"/>
      <c r="B22" s="51" t="s">
        <v>104</v>
      </c>
      <c r="C22" s="52">
        <f>[1]Bilanc!D86-[1]Bilanc!E73</f>
        <v>7352.8521000000001</v>
      </c>
      <c r="D22" s="53">
        <f>124997</f>
        <v>124997</v>
      </c>
    </row>
    <row r="23" spans="1:7">
      <c r="A23" s="54"/>
      <c r="B23" s="51" t="s">
        <v>105</v>
      </c>
      <c r="C23" s="52">
        <f>[1]Bilanc!F85</f>
        <v>928583</v>
      </c>
      <c r="D23" s="53">
        <f>-1772284</f>
        <v>-1772284</v>
      </c>
    </row>
    <row r="24" spans="1:7">
      <c r="A24" s="54"/>
      <c r="B24" s="51" t="s">
        <v>106</v>
      </c>
      <c r="C24" s="52"/>
      <c r="D24" s="53"/>
    </row>
    <row r="25" spans="1:7">
      <c r="A25" s="50">
        <v>13</v>
      </c>
      <c r="B25" s="58" t="s">
        <v>107</v>
      </c>
      <c r="C25" s="56">
        <f>SUM(C18:C20)</f>
        <v>935935.85210000002</v>
      </c>
      <c r="D25" s="57">
        <f>SUM(D18:D20)</f>
        <v>-1647287</v>
      </c>
    </row>
    <row r="26" spans="1:7">
      <c r="A26" s="50">
        <v>14</v>
      </c>
      <c r="B26" s="55" t="s">
        <v>108</v>
      </c>
      <c r="C26" s="56">
        <f>SUM(C17+C25)</f>
        <v>2350179.6120333374</v>
      </c>
      <c r="D26" s="57">
        <f>SUM(D17+D25)</f>
        <v>1705207</v>
      </c>
    </row>
    <row r="27" spans="1:7">
      <c r="A27" s="50">
        <v>15</v>
      </c>
      <c r="B27" s="51" t="s">
        <v>109</v>
      </c>
      <c r="C27" s="52">
        <f>C26*10%</f>
        <v>235017.96120333375</v>
      </c>
      <c r="D27" s="53">
        <v>930072</v>
      </c>
      <c r="F27" s="123">
        <f>C27/C26</f>
        <v>0.1</v>
      </c>
      <c r="G27" s="124">
        <f>D27/0.2</f>
        <v>4650360</v>
      </c>
    </row>
    <row r="28" spans="1:7">
      <c r="A28" s="50">
        <v>16</v>
      </c>
      <c r="B28" s="55" t="s">
        <v>110</v>
      </c>
      <c r="C28" s="56">
        <f>SUM(C26-C27)</f>
        <v>2115161.6508300034</v>
      </c>
      <c r="D28" s="57">
        <f>SUM(D26-D27)</f>
        <v>775135</v>
      </c>
    </row>
    <row r="29" spans="1:7" ht="15.75" thickBot="1">
      <c r="A29" s="59">
        <v>17</v>
      </c>
      <c r="B29" s="60" t="s">
        <v>111</v>
      </c>
      <c r="C29" s="61"/>
      <c r="D29" s="62"/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4" sqref="C4:D4"/>
    </sheetView>
  </sheetViews>
  <sheetFormatPr defaultRowHeight="15"/>
  <cols>
    <col min="1" max="1" width="6.140625" customWidth="1"/>
    <col min="2" max="2" width="55.85546875" customWidth="1"/>
    <col min="3" max="3" width="13.85546875" customWidth="1"/>
    <col min="4" max="4" width="14.7109375" customWidth="1"/>
  </cols>
  <sheetData>
    <row r="1" spans="1:4" ht="18">
      <c r="A1" s="121" t="s">
        <v>112</v>
      </c>
      <c r="B1" s="121"/>
      <c r="C1" s="121"/>
      <c r="D1" s="121"/>
    </row>
    <row r="2" spans="1:4" ht="18">
      <c r="A2" s="122" t="s">
        <v>1</v>
      </c>
      <c r="B2" s="122"/>
      <c r="C2" s="122"/>
      <c r="D2" s="122"/>
    </row>
    <row r="3" spans="1:4" ht="15.75" thickBot="1">
      <c r="A3" s="47"/>
      <c r="B3" s="47"/>
      <c r="C3" s="47"/>
      <c r="D3" s="47"/>
    </row>
    <row r="4" spans="1:4">
      <c r="A4" s="2" t="s">
        <v>2</v>
      </c>
      <c r="B4" s="3" t="s">
        <v>113</v>
      </c>
      <c r="C4" s="29" t="s">
        <v>45</v>
      </c>
      <c r="D4" s="30" t="s">
        <v>46</v>
      </c>
    </row>
    <row r="5" spans="1:4">
      <c r="A5" s="63"/>
      <c r="B5" s="64" t="s">
        <v>114</v>
      </c>
      <c r="C5" s="65">
        <f>SUM(C6:C11)</f>
        <v>2350179.6120333374</v>
      </c>
      <c r="D5" s="66">
        <f>SUM(D6:D11)</f>
        <v>1705207</v>
      </c>
    </row>
    <row r="6" spans="1:4">
      <c r="A6" s="63"/>
      <c r="B6" s="67" t="s">
        <v>115</v>
      </c>
      <c r="C6" s="19">
        <f>'[1]ardh shp'!C26</f>
        <v>2350179.6120333374</v>
      </c>
      <c r="D6" s="68">
        <v>1705207</v>
      </c>
    </row>
    <row r="7" spans="1:4">
      <c r="A7" s="63"/>
      <c r="B7" s="67" t="s">
        <v>116</v>
      </c>
      <c r="C7" s="18"/>
      <c r="D7" s="68"/>
    </row>
    <row r="8" spans="1:4">
      <c r="A8" s="63"/>
      <c r="B8" s="67" t="s">
        <v>117</v>
      </c>
      <c r="C8" s="18"/>
      <c r="D8" s="68"/>
    </row>
    <row r="9" spans="1:4">
      <c r="A9" s="63"/>
      <c r="B9" s="67" t="s">
        <v>118</v>
      </c>
      <c r="C9" s="18"/>
      <c r="D9" s="68"/>
    </row>
    <row r="10" spans="1:4">
      <c r="A10" s="69"/>
      <c r="B10" s="67" t="s">
        <v>119</v>
      </c>
      <c r="C10" s="11"/>
      <c r="D10" s="70"/>
    </row>
    <row r="11" spans="1:4">
      <c r="A11" s="69"/>
      <c r="B11" s="67" t="s">
        <v>120</v>
      </c>
      <c r="C11" s="11"/>
      <c r="D11" s="70"/>
    </row>
    <row r="12" spans="1:4" ht="31.5" customHeight="1">
      <c r="A12" s="69"/>
      <c r="B12" s="71" t="s">
        <v>121</v>
      </c>
      <c r="C12" s="14">
        <f>'[1]ndihmese kesh'!G23+'[1]ndihmese kesh'!G24</f>
        <v>-336829.61106666364</v>
      </c>
      <c r="D12" s="15">
        <f>'[1]ndimese 2007'!G22+'[1]ndimese 2007'!G23-27000+2</f>
        <v>1431347</v>
      </c>
    </row>
    <row r="13" spans="1:4">
      <c r="A13" s="69"/>
      <c r="B13" s="72" t="s">
        <v>122</v>
      </c>
      <c r="C13" s="14">
        <f>'[1]ndihmese kesh'!G22</f>
        <v>-223040.5</v>
      </c>
      <c r="D13" s="15">
        <f>'[1]ndimese 2007'!G21</f>
        <v>-295817</v>
      </c>
    </row>
    <row r="14" spans="1:4">
      <c r="A14" s="69"/>
      <c r="B14" s="72" t="s">
        <v>123</v>
      </c>
      <c r="C14" s="14">
        <f>'[1]ndihmese kesh'!G26+'[1]ndihmese kesh'!G27</f>
        <v>439627.35313333245</v>
      </c>
      <c r="D14" s="15">
        <f>'[1]ndimese 2007'!G25+'[1]ndimese 2007'!G26</f>
        <v>-746846</v>
      </c>
    </row>
    <row r="15" spans="1:4">
      <c r="A15" s="73"/>
      <c r="B15" s="72" t="s">
        <v>124</v>
      </c>
      <c r="C15" s="11"/>
      <c r="D15" s="70"/>
    </row>
    <row r="16" spans="1:4">
      <c r="A16" s="73"/>
      <c r="B16" s="72" t="s">
        <v>125</v>
      </c>
      <c r="C16" s="11"/>
      <c r="D16" s="70"/>
    </row>
    <row r="17" spans="1:4">
      <c r="A17" s="73"/>
      <c r="B17" s="72" t="s">
        <v>126</v>
      </c>
      <c r="C17" s="14">
        <f>-'[1]ardh shp'!C27</f>
        <v>-235017.96120333375</v>
      </c>
      <c r="D17" s="70">
        <v>-930072</v>
      </c>
    </row>
    <row r="18" spans="1:4">
      <c r="A18" s="73"/>
      <c r="B18" s="72" t="s">
        <v>127</v>
      </c>
      <c r="C18" s="11"/>
      <c r="D18" s="70"/>
    </row>
    <row r="19" spans="1:4">
      <c r="A19" s="73"/>
      <c r="B19" s="64" t="s">
        <v>128</v>
      </c>
      <c r="C19" s="65">
        <f>SUM(C20:C25)</f>
        <v>5894439.2821745276</v>
      </c>
      <c r="D19" s="74">
        <f>SUM(D20:D25)</f>
        <v>2881813</v>
      </c>
    </row>
    <row r="20" spans="1:4">
      <c r="A20" s="73"/>
      <c r="B20" s="72" t="s">
        <v>129</v>
      </c>
      <c r="C20" s="11"/>
      <c r="D20" s="70"/>
    </row>
    <row r="21" spans="1:4">
      <c r="A21" s="73"/>
      <c r="B21" s="72" t="s">
        <v>130</v>
      </c>
      <c r="C21" s="14">
        <f>'[1]ndihmese kesh'!G20</f>
        <v>5894439.2821745276</v>
      </c>
      <c r="D21" s="15">
        <f>'[1]ndimese 2007'!G19</f>
        <v>2881813</v>
      </c>
    </row>
    <row r="22" spans="1:4">
      <c r="A22" s="73"/>
      <c r="B22" s="72" t="s">
        <v>131</v>
      </c>
      <c r="C22" s="11"/>
      <c r="D22" s="70"/>
    </row>
    <row r="23" spans="1:4">
      <c r="A23" s="73"/>
      <c r="B23" s="67" t="s">
        <v>132</v>
      </c>
      <c r="C23" s="11"/>
      <c r="D23" s="70"/>
    </row>
    <row r="24" spans="1:4">
      <c r="A24" s="73"/>
      <c r="B24" s="72" t="s">
        <v>133</v>
      </c>
      <c r="C24" s="11"/>
      <c r="D24" s="70"/>
    </row>
    <row r="25" spans="1:4">
      <c r="A25" s="73"/>
      <c r="B25" s="72" t="s">
        <v>134</v>
      </c>
      <c r="C25" s="11"/>
      <c r="D25" s="70"/>
    </row>
    <row r="26" spans="1:4">
      <c r="A26" s="73"/>
      <c r="B26" s="64" t="s">
        <v>135</v>
      </c>
      <c r="C26" s="10">
        <f>SUM(C27:C31)</f>
        <v>0</v>
      </c>
      <c r="D26" s="66">
        <f>SUM(D27:D31)</f>
        <v>0</v>
      </c>
    </row>
    <row r="27" spans="1:4">
      <c r="A27" s="73"/>
      <c r="B27" s="72" t="s">
        <v>136</v>
      </c>
      <c r="C27" s="14"/>
      <c r="D27" s="70"/>
    </row>
    <row r="28" spans="1:4">
      <c r="A28" s="73"/>
      <c r="B28" s="72" t="s">
        <v>137</v>
      </c>
      <c r="C28" s="11"/>
      <c r="D28" s="70"/>
    </row>
    <row r="29" spans="1:4">
      <c r="A29" s="73"/>
      <c r="B29" s="72" t="s">
        <v>138</v>
      </c>
      <c r="C29" s="11"/>
      <c r="D29" s="70"/>
    </row>
    <row r="30" spans="1:4">
      <c r="A30" s="73"/>
      <c r="B30" s="72" t="s">
        <v>139</v>
      </c>
      <c r="C30" s="11"/>
      <c r="D30" s="70"/>
    </row>
    <row r="31" spans="1:4">
      <c r="A31" s="73"/>
      <c r="B31" s="72" t="s">
        <v>140</v>
      </c>
      <c r="C31" s="11"/>
      <c r="D31" s="70"/>
    </row>
    <row r="32" spans="1:4">
      <c r="A32" s="73"/>
      <c r="B32" s="64" t="s">
        <v>141</v>
      </c>
      <c r="C32" s="12">
        <f>C12+C13+C27+C14+C6+C19+C17</f>
        <v>7889358.1750711994</v>
      </c>
      <c r="D32" s="13">
        <f>D12+D13+D27+D14+D6+D19+D17</f>
        <v>4045632</v>
      </c>
    </row>
    <row r="33" spans="1:4">
      <c r="A33" s="69"/>
      <c r="B33" s="64" t="s">
        <v>142</v>
      </c>
      <c r="C33" s="65">
        <f>D34</f>
        <v>31278055</v>
      </c>
      <c r="D33" s="74">
        <v>27232423</v>
      </c>
    </row>
    <row r="34" spans="1:4" ht="15.75" thickBot="1">
      <c r="A34" s="75"/>
      <c r="B34" s="76" t="s">
        <v>143</v>
      </c>
      <c r="C34" s="45">
        <f>SUM(C32:C33)</f>
        <v>39167413.175071202</v>
      </c>
      <c r="D34" s="46">
        <f>SUM(D32:D33)</f>
        <v>31278055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B19" sqref="B19"/>
    </sheetView>
  </sheetViews>
  <sheetFormatPr defaultRowHeight="15"/>
  <cols>
    <col min="2" max="2" width="33.7109375" customWidth="1"/>
    <col min="3" max="3" width="18.28515625" customWidth="1"/>
    <col min="4" max="4" width="15" customWidth="1"/>
    <col min="5" max="6" width="20.7109375" customWidth="1"/>
    <col min="7" max="7" width="19.85546875" customWidth="1"/>
    <col min="8" max="8" width="16.7109375" customWidth="1"/>
  </cols>
  <sheetData>
    <row r="2" spans="1:8" ht="18">
      <c r="A2" s="121" t="s">
        <v>144</v>
      </c>
      <c r="B2" s="121"/>
      <c r="C2" s="121"/>
      <c r="D2" s="121"/>
      <c r="E2" s="121"/>
      <c r="F2" s="121"/>
      <c r="G2" s="121"/>
      <c r="H2" s="121"/>
    </row>
    <row r="3" spans="1:8" ht="18">
      <c r="A3" s="77"/>
      <c r="B3" s="1" t="s">
        <v>1</v>
      </c>
      <c r="C3" s="77"/>
      <c r="D3" s="77"/>
      <c r="E3" s="77"/>
      <c r="F3" s="77"/>
      <c r="G3" s="77"/>
      <c r="H3" s="77"/>
    </row>
    <row r="4" spans="1:8" ht="15.75">
      <c r="A4" s="78" t="s">
        <v>145</v>
      </c>
      <c r="B4" s="79"/>
      <c r="C4" s="80"/>
      <c r="D4" s="80"/>
      <c r="E4" s="80"/>
      <c r="F4" s="80"/>
      <c r="G4" s="80"/>
      <c r="H4" s="80"/>
    </row>
    <row r="5" spans="1:8" ht="15.75" thickBot="1">
      <c r="A5" s="81"/>
    </row>
    <row r="6" spans="1:8" ht="24.75" customHeight="1">
      <c r="A6" s="2" t="s">
        <v>2</v>
      </c>
      <c r="B6" s="3" t="s">
        <v>146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151</v>
      </c>
      <c r="H6" s="82" t="s">
        <v>152</v>
      </c>
    </row>
    <row r="7" spans="1:8">
      <c r="A7" s="69" t="s">
        <v>5</v>
      </c>
      <c r="B7" s="64" t="s">
        <v>153</v>
      </c>
      <c r="C7" s="12">
        <v>488700000</v>
      </c>
      <c r="D7" s="12">
        <v>0</v>
      </c>
      <c r="E7" s="12"/>
      <c r="F7" s="12">
        <f>49872404+8604527</f>
        <v>58476931</v>
      </c>
      <c r="G7" s="12">
        <v>-11588555</v>
      </c>
      <c r="H7" s="13">
        <f>SUM(C7:G7)</f>
        <v>535588376</v>
      </c>
    </row>
    <row r="8" spans="1:8">
      <c r="A8" s="69" t="s">
        <v>154</v>
      </c>
      <c r="B8" s="67" t="s">
        <v>155</v>
      </c>
      <c r="C8" s="14"/>
      <c r="D8" s="14"/>
      <c r="E8" s="14"/>
      <c r="F8" s="14"/>
      <c r="G8" s="14"/>
      <c r="H8" s="13">
        <f t="shared" ref="H8:H18" si="0">SUM(C8:G8)</f>
        <v>0</v>
      </c>
    </row>
    <row r="9" spans="1:8">
      <c r="A9" s="69" t="s">
        <v>156</v>
      </c>
      <c r="B9" s="64" t="s">
        <v>157</v>
      </c>
      <c r="C9" s="12">
        <f>SUM(C10:C13)</f>
        <v>0</v>
      </c>
      <c r="D9" s="12">
        <f>SUM(D10:D13)</f>
        <v>0</v>
      </c>
      <c r="E9" s="12">
        <f>SUM(E10:E13)</f>
        <v>0</v>
      </c>
      <c r="F9" s="12">
        <f>SUM(F10:F13)</f>
        <v>-26998</v>
      </c>
      <c r="G9" s="12">
        <f>SUM(G10:G13)</f>
        <v>775135</v>
      </c>
      <c r="H9" s="13">
        <f t="shared" si="0"/>
        <v>748137</v>
      </c>
    </row>
    <row r="10" spans="1:8">
      <c r="A10" s="69">
        <v>1</v>
      </c>
      <c r="B10" s="67" t="s">
        <v>158</v>
      </c>
      <c r="C10" s="14"/>
      <c r="D10" s="14"/>
      <c r="E10" s="14"/>
      <c r="F10" s="14"/>
      <c r="G10" s="14">
        <v>775135</v>
      </c>
      <c r="H10" s="13">
        <f t="shared" si="0"/>
        <v>775135</v>
      </c>
    </row>
    <row r="11" spans="1:8">
      <c r="A11" s="69">
        <v>2</v>
      </c>
      <c r="B11" s="67" t="s">
        <v>159</v>
      </c>
      <c r="C11" s="14"/>
      <c r="D11" s="14"/>
      <c r="E11" s="14"/>
      <c r="F11" s="14">
        <f>-27000+2</f>
        <v>-26998</v>
      </c>
      <c r="G11" s="14"/>
      <c r="H11" s="13">
        <f t="shared" si="0"/>
        <v>-26998</v>
      </c>
    </row>
    <row r="12" spans="1:8">
      <c r="A12" s="69">
        <v>3</v>
      </c>
      <c r="B12" s="67" t="s">
        <v>160</v>
      </c>
      <c r="C12" s="14"/>
      <c r="D12" s="14"/>
      <c r="E12" s="14"/>
      <c r="F12" s="14"/>
      <c r="G12" s="14"/>
      <c r="H12" s="13">
        <f t="shared" si="0"/>
        <v>0</v>
      </c>
    </row>
    <row r="13" spans="1:8">
      <c r="A13" s="69">
        <v>4</v>
      </c>
      <c r="B13" s="83" t="s">
        <v>161</v>
      </c>
      <c r="C13" s="14"/>
      <c r="D13" s="14"/>
      <c r="E13" s="14"/>
      <c r="F13" s="14"/>
      <c r="G13" s="14"/>
      <c r="H13" s="13">
        <f t="shared" si="0"/>
        <v>0</v>
      </c>
    </row>
    <row r="14" spans="1:8">
      <c r="A14" s="69" t="s">
        <v>162</v>
      </c>
      <c r="B14" s="64" t="s">
        <v>163</v>
      </c>
      <c r="C14" s="12">
        <f>C7</f>
        <v>488700000</v>
      </c>
      <c r="D14" s="12">
        <f>SUM(D10:D13)</f>
        <v>0</v>
      </c>
      <c r="E14" s="12">
        <f>SUM(E10:E13)</f>
        <v>0</v>
      </c>
      <c r="F14" s="12">
        <v>0</v>
      </c>
      <c r="G14" s="12">
        <f>G15+G16+G17+G18</f>
        <v>2115162</v>
      </c>
      <c r="H14" s="13">
        <f t="shared" si="0"/>
        <v>490815162</v>
      </c>
    </row>
    <row r="15" spans="1:8">
      <c r="A15" s="69">
        <v>1</v>
      </c>
      <c r="B15" s="67" t="s">
        <v>158</v>
      </c>
      <c r="C15" s="14"/>
      <c r="D15" s="14"/>
      <c r="E15" s="14"/>
      <c r="F15" s="14"/>
      <c r="G15" s="14">
        <v>2115162</v>
      </c>
      <c r="H15" s="13">
        <f t="shared" si="0"/>
        <v>2115162</v>
      </c>
    </row>
    <row r="16" spans="1:8">
      <c r="A16" s="69">
        <v>2</v>
      </c>
      <c r="B16" s="67" t="s">
        <v>159</v>
      </c>
      <c r="C16" s="14"/>
      <c r="D16" s="14"/>
      <c r="E16" s="14"/>
      <c r="F16" s="14"/>
      <c r="G16" s="14"/>
      <c r="H16" s="13">
        <f t="shared" si="0"/>
        <v>0</v>
      </c>
    </row>
    <row r="17" spans="1:8">
      <c r="A17" s="69">
        <v>3</v>
      </c>
      <c r="B17" s="83" t="s">
        <v>164</v>
      </c>
      <c r="C17" s="14"/>
      <c r="D17" s="14"/>
      <c r="E17" s="14"/>
      <c r="F17" s="14"/>
      <c r="G17" s="14"/>
      <c r="H17" s="13">
        <f t="shared" si="0"/>
        <v>0</v>
      </c>
    </row>
    <row r="18" spans="1:8">
      <c r="A18" s="69">
        <v>4</v>
      </c>
      <c r="B18" s="83" t="s">
        <v>165</v>
      </c>
      <c r="C18" s="14"/>
      <c r="D18" s="14"/>
      <c r="E18" s="14"/>
      <c r="F18" s="14"/>
      <c r="G18" s="14"/>
      <c r="H18" s="13">
        <f t="shared" si="0"/>
        <v>0</v>
      </c>
    </row>
    <row r="19" spans="1:8" ht="15.75" thickBot="1">
      <c r="A19" s="75" t="s">
        <v>73</v>
      </c>
      <c r="B19" s="76" t="s">
        <v>166</v>
      </c>
      <c r="C19" s="45">
        <f>C14</f>
        <v>488700000</v>
      </c>
      <c r="D19" s="45">
        <f>D7+D9+D14</f>
        <v>0</v>
      </c>
      <c r="E19" s="45">
        <f>E7+E9+E14</f>
        <v>0</v>
      </c>
      <c r="F19" s="45">
        <f>F7+F9+F14</f>
        <v>58449933</v>
      </c>
      <c r="G19" s="45">
        <f>G7+G9+G14</f>
        <v>-8698258</v>
      </c>
      <c r="H19" s="46">
        <f>SUM(C19:G19)</f>
        <v>538451675</v>
      </c>
    </row>
    <row r="20" spans="1:8">
      <c r="C20" s="84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2018-11-24T10:07:12Z</dcterms:modified>
</cp:coreProperties>
</file>