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tabRatio="914" activeTab="4"/>
  </bookViews>
  <sheets>
    <sheet name="KAPAK " sheetId="1" r:id="rId1"/>
    <sheet name="GJENDJA LLOGA " sheetId="2" r:id="rId2"/>
    <sheet name="AKTIV " sheetId="3" r:id="rId3"/>
    <sheet name="PASIV " sheetId="4" r:id="rId4"/>
    <sheet name="ARDHURA&amp;SHPENZIME (FORMATI 2)" sheetId="5" r:id="rId5"/>
    <sheet name="Cash-flow indirekte" sheetId="6" r:id="rId6"/>
    <sheet name="KAP2" sheetId="7" r:id="rId7"/>
    <sheet name="Shen.Spjeg.faqa 1" sheetId="8" r:id="rId8"/>
    <sheet name="SHENIMET " sheetId="9" r:id="rId9"/>
    <sheet name="aktivet" sheetId="10" r:id="rId10"/>
    <sheet name="pasq 1 " sheetId="11" r:id="rId11"/>
    <sheet name="pasq 2" sheetId="12" r:id="rId12"/>
    <sheet name="gjendje mag" sheetId="13" r:id="rId13"/>
    <sheet name="mjete trans" sheetId="14" r:id="rId14"/>
    <sheet name="Sheet2" sheetId="15" r:id="rId15"/>
    <sheet name="Sheet1" sheetId="16" r:id="rId16"/>
  </sheets>
  <definedNames>
    <definedName name="_xlnm.Print_Area" localSheetId="2">'AKTIV '!$B$2:$G$86</definedName>
    <definedName name="_xlnm.Print_Area" localSheetId="4">'ARDHURA&amp;SHPENZIME (FORMATI 2)'!$B$2:$E$80</definedName>
    <definedName name="_xlnm.Print_Area" localSheetId="3">'PASIV '!$B$2:$G$88</definedName>
    <definedName name="_xlnm.Print_Area" localSheetId="8">'SHENIMET '!$B$2:$K$50</definedName>
  </definedNames>
  <calcPr fullCalcOnLoad="1"/>
</workbook>
</file>

<file path=xl/sharedStrings.xml><?xml version="1.0" encoding="utf-8"?>
<sst xmlns="http://schemas.openxmlformats.org/spreadsheetml/2006/main" count="1330" uniqueCount="1132">
  <si>
    <t>Viti  2011</t>
  </si>
  <si>
    <t xml:space="preserve">Blerje /shpenzime te materialeve te para </t>
  </si>
  <si>
    <t>Blerje /shpenzime materiale  tjera</t>
  </si>
  <si>
    <t>Shpenzime akcize</t>
  </si>
  <si>
    <t>Viti 2011</t>
  </si>
  <si>
    <t>shoqeria ka kerkuar per rimbursim dhe qe kontrolli tatimor e zbriti si vlere)</t>
  </si>
  <si>
    <t>Pozicioni me 31 dhjetor 2011</t>
  </si>
  <si>
    <t>dhe 600 038.67 debitore&amp;kreditore te ndryshem.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</si>
  <si>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</si>
  <si>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</si>
  <si>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</si>
  <si>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</si>
  <si>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</si>
  <si>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</si>
  <si>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</si>
  <si>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</si>
  <si>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</si>
  <si>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</si>
  <si>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</si>
  <si>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</si>
  <si>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</si>
  <si>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</si>
  <si>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</si>
  <si>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</si>
  <si>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</si>
  <si>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</si>
  <si>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</si>
  <si>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</si>
  <si>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</si>
  <si>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</si>
  <si>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</si>
  <si>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</si>
  <si>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</si>
  <si>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</si>
  <si>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</si>
  <si>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</si>
  <si>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</si>
  <si>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</si>
  <si>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</si>
  <si>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</si>
  <si>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</si>
  <si>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</si>
  <si>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</si>
  <si>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</si>
  <si>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</si>
  <si>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</si>
  <si>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</si>
  <si>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</si>
  <si>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</si>
  <si>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d)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</si>
  <si>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</si>
  <si>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</si>
  <si>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</si>
  <si>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</si>
  <si>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</si>
  <si>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</si>
  <si>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</si>
  <si>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</si>
  <si>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</si>
  <si>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</si>
  <si>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</si>
  <si>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</si>
  <si>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</si>
  <si>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</si>
  <si>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</si>
  <si>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</si>
  <si>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</si>
  <si>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</si>
  <si>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</si>
  <si>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</si>
  <si>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</si>
  <si>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</si>
  <si>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</si>
  <si>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</si>
  <si>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</si>
  <si>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</si>
  <si>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</si>
  <si>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</si>
  <si>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</si>
  <si>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</si>
  <si>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</si>
  <si>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</si>
  <si>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</si>
  <si>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SHOQERIA     URBAN DISTRIBUTION SHPK</t>
  </si>
  <si>
    <t>NIPTI   K81318001M</t>
  </si>
  <si>
    <t>Njesi</t>
  </si>
  <si>
    <t>Sasi</t>
  </si>
  <si>
    <t>Cmim</t>
  </si>
  <si>
    <t>Vlere</t>
  </si>
  <si>
    <t>Kafe kokerr</t>
  </si>
  <si>
    <t>Kg</t>
  </si>
  <si>
    <t>Sheqer</t>
  </si>
  <si>
    <t>Qumesht</t>
  </si>
  <si>
    <t>Caj limoni pluhur</t>
  </si>
  <si>
    <t>Kakao</t>
  </si>
  <si>
    <t xml:space="preserve">Gota plastike </t>
  </si>
  <si>
    <t>Cope</t>
  </si>
  <si>
    <t>Luge te vogla</t>
  </si>
  <si>
    <t>Snikers</t>
  </si>
  <si>
    <t>Pepsi</t>
  </si>
  <si>
    <t>Ivi rico</t>
  </si>
  <si>
    <t>Ivi pjeshke</t>
  </si>
  <si>
    <t>Bake rolls pizza</t>
  </si>
  <si>
    <t>Lloji i automjetit</t>
  </si>
  <si>
    <t>Shasia</t>
  </si>
  <si>
    <t>Vlera</t>
  </si>
  <si>
    <t xml:space="preserve">Fiat Doblo Cargo </t>
  </si>
  <si>
    <t>ZFA22300005506245</t>
  </si>
  <si>
    <t>1,365,000 leke</t>
  </si>
  <si>
    <t>SHOQERIA  URBAN DISTRIBUTION SHPK</t>
  </si>
  <si>
    <t>NIPT  K81318001M</t>
  </si>
  <si>
    <t>Targa</t>
  </si>
  <si>
    <t>TR 3071 N</t>
  </si>
  <si>
    <t>471</t>
  </si>
  <si>
    <t>Llogari ne pritje</t>
  </si>
  <si>
    <t>408</t>
  </si>
  <si>
    <t>Furnitore per fatura te pamberitura</t>
  </si>
  <si>
    <t>618112</t>
  </si>
  <si>
    <t>Shpenzime agjensie</t>
  </si>
  <si>
    <t>Ndryshim gjendje materiale te para</t>
  </si>
  <si>
    <t>Ndryshim gjendje mallra</t>
  </si>
  <si>
    <t xml:space="preserve">Llogari ne pritje </t>
  </si>
  <si>
    <t>periudhes raportuese dhe qe korigjim nuk ka.</t>
  </si>
  <si>
    <t>Paradhënie për punonjësit</t>
  </si>
  <si>
    <t xml:space="preserve"> Furnitore per fatura te pamberitura</t>
  </si>
  <si>
    <t>Andri Ibrahimaj</t>
  </si>
  <si>
    <t>automatikë</t>
  </si>
  <si>
    <t>Shitje produkt i gatshem</t>
  </si>
  <si>
    <t>Te ardhura nga shitja makineri,pajisje</t>
  </si>
  <si>
    <t xml:space="preserve">Te ardhura te tjera </t>
  </si>
  <si>
    <t>Humbje nga konvertimi</t>
  </si>
  <si>
    <t>Shpenzime te ndryshme</t>
  </si>
  <si>
    <t>Shpenzime doganore</t>
  </si>
  <si>
    <t>Shp per pritje e dhurata</t>
  </si>
  <si>
    <t>Vlera kont. e AQ te shitura</t>
  </si>
  <si>
    <t>Takse ambalazhi</t>
  </si>
  <si>
    <t>Reklame , publicitet</t>
  </si>
  <si>
    <t>Shpenzime te panjohura</t>
  </si>
  <si>
    <t>Interesa kredi bankare</t>
  </si>
  <si>
    <t>pajisje zyre</t>
  </si>
  <si>
    <t>(   ___________________________  )</t>
  </si>
  <si>
    <t>Nr.37312</t>
  </si>
  <si>
    <t>Financiare" të ndryshuar,dhe në Standartet Kombëtare të Kontabilitetit-SKK2  )</t>
  </si>
  <si>
    <t>681850</t>
  </si>
  <si>
    <t>Shpenzime amortizimi - Paisje informative</t>
  </si>
  <si>
    <t>Shpenzime amortizimi - Të tjera AA</t>
  </si>
  <si>
    <t>686000</t>
  </si>
  <si>
    <t>Provizione per zhvleresimin e aktiveve financiare</t>
  </si>
  <si>
    <t>687000</t>
  </si>
  <si>
    <t>Shpenzime të tjera amortizimi dhe zhvlerësimi</t>
  </si>
  <si>
    <t>694000</t>
  </si>
  <si>
    <t>Tatim fitimi</t>
  </si>
  <si>
    <t>701100</t>
  </si>
  <si>
    <t>Shtje të produkteve të veta</t>
  </si>
  <si>
    <t>702100</t>
  </si>
  <si>
    <t>Shitje produkte te ndermjetme</t>
  </si>
  <si>
    <t>703100</t>
  </si>
  <si>
    <t>Shitje të nën-produkteve</t>
  </si>
  <si>
    <t>704100</t>
  </si>
  <si>
    <t>Shitje të punimeve dhe shërbimeve</t>
  </si>
  <si>
    <t>705100</t>
  </si>
  <si>
    <t>708101</t>
  </si>
  <si>
    <t>Të ardhura të tjera - Qera</t>
  </si>
  <si>
    <t>708102</t>
  </si>
  <si>
    <t>Të ardhura të tjera - Komisione &amp; gjoba të vëna</t>
  </si>
  <si>
    <t>708103</t>
  </si>
  <si>
    <t>Të ardhura të tjera - Transport për të tretë</t>
  </si>
  <si>
    <t>708104</t>
  </si>
  <si>
    <t>Të ardhura të tjera - Të tjera</t>
  </si>
  <si>
    <t>711101</t>
  </si>
  <si>
    <t>Ndryshim gjëndje i prodhimit në proçes</t>
  </si>
  <si>
    <t>712101</t>
  </si>
  <si>
    <t>Ndryshim gjendje i produkteve te gatshme</t>
  </si>
  <si>
    <t>721100</t>
  </si>
  <si>
    <t>Prodhimi i aktiveve afatgjatë - Jomaterialë</t>
  </si>
  <si>
    <t>722100</t>
  </si>
  <si>
    <t>Prodhimi i aktiveve afatgjatë -  Materiale</t>
  </si>
  <si>
    <t>730100</t>
  </si>
  <si>
    <t>Të Ardhura nga grantet</t>
  </si>
  <si>
    <t>750100</t>
  </si>
  <si>
    <t>Të Ardhura të tjera</t>
  </si>
  <si>
    <t>761100</t>
  </si>
  <si>
    <t>Të ardhura financiare nga shoqëritë e kontrolluara</t>
  </si>
  <si>
    <t>762100</t>
  </si>
  <si>
    <t>Të ardhura financiare nga shoqëritë e lidhura</t>
  </si>
  <si>
    <t>763100</t>
  </si>
  <si>
    <t>Të ardhura nga dividentë</t>
  </si>
  <si>
    <t>764100</t>
  </si>
  <si>
    <t>Fitim nga rivlerësimi i letrave me vlerë</t>
  </si>
  <si>
    <t>765100</t>
  </si>
  <si>
    <t>Fitim nga shitja e letrave me vlerë</t>
  </si>
  <si>
    <t>767100</t>
  </si>
  <si>
    <t>Të ardhura nga interesi</t>
  </si>
  <si>
    <t>768100</t>
  </si>
  <si>
    <t>Të ardhura të tjera financiare</t>
  </si>
  <si>
    <t>769101</t>
  </si>
  <si>
    <t>Fitim nga këmbimet valutore (te realizuara)</t>
  </si>
  <si>
    <t>769102</t>
  </si>
  <si>
    <t>Fitim nga këmbimet valutore (te pa realizuara)</t>
  </si>
  <si>
    <t>771100</t>
  </si>
  <si>
    <t>Te ardhura nga shitja e AA</t>
  </si>
  <si>
    <t>772100</t>
  </si>
  <si>
    <t>Te ardhura nga rivleresimi i AA</t>
  </si>
  <si>
    <t>101</t>
  </si>
  <si>
    <t>102</t>
  </si>
  <si>
    <t>103</t>
  </si>
  <si>
    <t>104</t>
  </si>
  <si>
    <t>105</t>
  </si>
  <si>
    <t>106</t>
  </si>
  <si>
    <t>107</t>
  </si>
  <si>
    <t>1078</t>
  </si>
  <si>
    <t>1073</t>
  </si>
  <si>
    <t>108</t>
  </si>
  <si>
    <t>109</t>
  </si>
  <si>
    <t>201</t>
  </si>
  <si>
    <t>203</t>
  </si>
  <si>
    <t>205</t>
  </si>
  <si>
    <t>208</t>
  </si>
  <si>
    <t>211</t>
  </si>
  <si>
    <t>212</t>
  </si>
  <si>
    <t>213</t>
  </si>
  <si>
    <t>215</t>
  </si>
  <si>
    <t>2188</t>
  </si>
  <si>
    <t>2181</t>
  </si>
  <si>
    <t>2182</t>
  </si>
  <si>
    <t>231</t>
  </si>
  <si>
    <t>240</t>
  </si>
  <si>
    <t>250</t>
  </si>
  <si>
    <t>261</t>
  </si>
  <si>
    <t>262</t>
  </si>
  <si>
    <t>263</t>
  </si>
  <si>
    <t>265</t>
  </si>
  <si>
    <t>268</t>
  </si>
  <si>
    <t>2801</t>
  </si>
  <si>
    <t>28012</t>
  </si>
  <si>
    <t>28013</t>
  </si>
  <si>
    <t>2812</t>
  </si>
  <si>
    <t>2813</t>
  </si>
  <si>
    <t>2815</t>
  </si>
  <si>
    <t>2818</t>
  </si>
  <si>
    <t>2901</t>
  </si>
  <si>
    <t>2903</t>
  </si>
  <si>
    <t>290</t>
  </si>
  <si>
    <t>2912</t>
  </si>
  <si>
    <t>2913</t>
  </si>
  <si>
    <t>2911</t>
  </si>
  <si>
    <t>2915</t>
  </si>
  <si>
    <t>2918</t>
  </si>
  <si>
    <t>2961</t>
  </si>
  <si>
    <t>2962</t>
  </si>
  <si>
    <t>2963</t>
  </si>
  <si>
    <t>2965</t>
  </si>
  <si>
    <t>311</t>
  </si>
  <si>
    <t>3123</t>
  </si>
  <si>
    <t>3124</t>
  </si>
  <si>
    <t>3125</t>
  </si>
  <si>
    <t>3126</t>
  </si>
  <si>
    <t>3127</t>
  </si>
  <si>
    <t>3201</t>
  </si>
  <si>
    <t>3311</t>
  </si>
  <si>
    <t>3321</t>
  </si>
  <si>
    <t>3331</t>
  </si>
  <si>
    <t>341</t>
  </si>
  <si>
    <t>347</t>
  </si>
  <si>
    <t>351</t>
  </si>
  <si>
    <t>361</t>
  </si>
  <si>
    <t>371</t>
  </si>
  <si>
    <t>401</t>
  </si>
  <si>
    <t>402</t>
  </si>
  <si>
    <t>403</t>
  </si>
  <si>
    <t>404</t>
  </si>
  <si>
    <t>409</t>
  </si>
  <si>
    <t>411</t>
  </si>
  <si>
    <t>412</t>
  </si>
  <si>
    <t>413</t>
  </si>
  <si>
    <t>414</t>
  </si>
  <si>
    <t>416</t>
  </si>
  <si>
    <t>418</t>
  </si>
  <si>
    <t>419</t>
  </si>
  <si>
    <t>4211</t>
  </si>
  <si>
    <t>4231</t>
  </si>
  <si>
    <t>431</t>
  </si>
  <si>
    <t>4411</t>
  </si>
  <si>
    <t>4412</t>
  </si>
  <si>
    <t>4421</t>
  </si>
  <si>
    <t>4431</t>
  </si>
  <si>
    <t>444</t>
  </si>
  <si>
    <t>4453</t>
  </si>
  <si>
    <t>4454</t>
  </si>
  <si>
    <t>4456</t>
  </si>
  <si>
    <t>4457</t>
  </si>
  <si>
    <t>4458</t>
  </si>
  <si>
    <t>4471</t>
  </si>
  <si>
    <t>449</t>
  </si>
  <si>
    <t>451</t>
  </si>
  <si>
    <t>455</t>
  </si>
  <si>
    <t>456</t>
  </si>
  <si>
    <t>457</t>
  </si>
  <si>
    <t>460</t>
  </si>
  <si>
    <t>4611</t>
  </si>
  <si>
    <t>4631</t>
  </si>
  <si>
    <t>4632</t>
  </si>
  <si>
    <t>4661</t>
  </si>
  <si>
    <t>4662</t>
  </si>
  <si>
    <t>467</t>
  </si>
  <si>
    <t>4671</t>
  </si>
  <si>
    <t>4672</t>
  </si>
  <si>
    <t>4681</t>
  </si>
  <si>
    <t>4682</t>
  </si>
  <si>
    <t>4683</t>
  </si>
  <si>
    <t>4684</t>
  </si>
  <si>
    <t>4691</t>
  </si>
  <si>
    <t>481</t>
  </si>
  <si>
    <t>484</t>
  </si>
  <si>
    <t>486</t>
  </si>
  <si>
    <t>487</t>
  </si>
  <si>
    <t>488</t>
  </si>
  <si>
    <t>503</t>
  </si>
  <si>
    <t>5041</t>
  </si>
  <si>
    <t>511</t>
  </si>
  <si>
    <t xml:space="preserve">Vlera monetare në tranzit </t>
  </si>
  <si>
    <t>5121</t>
  </si>
  <si>
    <t>5124</t>
  </si>
  <si>
    <t>5125</t>
  </si>
  <si>
    <t>5126</t>
  </si>
  <si>
    <t>5191</t>
  </si>
  <si>
    <t>5194</t>
  </si>
  <si>
    <t>5195</t>
  </si>
  <si>
    <t>5311</t>
  </si>
  <si>
    <t>5314</t>
  </si>
  <si>
    <t xml:space="preserve">EMERTIMI </t>
  </si>
  <si>
    <t xml:space="preserve">DEBI </t>
  </si>
  <si>
    <t xml:space="preserve">KREDI </t>
  </si>
  <si>
    <t>BILANCI KONTABEL</t>
  </si>
  <si>
    <t>Monedha:</t>
  </si>
  <si>
    <t>LEK</t>
  </si>
  <si>
    <t>Shenime</t>
  </si>
  <si>
    <t>AKTIVET</t>
  </si>
  <si>
    <t>I</t>
  </si>
  <si>
    <t>Mjete monetare</t>
  </si>
  <si>
    <t>Derivative dhe aktive financiare te mbajtura per tregtim</t>
  </si>
  <si>
    <t>i</t>
  </si>
  <si>
    <t>Derivativet</t>
  </si>
  <si>
    <t>ii</t>
  </si>
  <si>
    <t>Aktivet e mbajtura per tregtim</t>
  </si>
  <si>
    <t>Aktive te tjera afatshkurtra financiare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</si>
  <si>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</si>
  <si>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</si>
  <si>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</si>
  <si>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</si>
  <si>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</si>
  <si>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</si>
  <si>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</si>
  <si>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</si>
  <si>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</si>
  <si>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</si>
  <si>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</si>
  <si>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</si>
  <si>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</si>
  <si>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Aktivet biologjike afatshkurtra</t>
  </si>
  <si>
    <t>Aktivet afatshkurtra te mbajtura per shitje</t>
  </si>
  <si>
    <t>Parapagimet dhe shpenzimet e shtyra</t>
  </si>
  <si>
    <t>II</t>
  </si>
  <si>
    <t>Investimet financiare afatgjata</t>
  </si>
  <si>
    <t>Aksione dhe pjesemarrje te tjera ne njesi te kontrolluara</t>
  </si>
  <si>
    <t>Aksione dhe investime te tjera ne pjesmarrje</t>
  </si>
  <si>
    <t>Aksione dhe letra te tjera me vlere</t>
  </si>
  <si>
    <t>Llogari/Kerkesa te arketueshme afatgjata</t>
  </si>
  <si>
    <t>Aktive afatgjata materiale</t>
  </si>
  <si>
    <t>Toka</t>
  </si>
  <si>
    <t>Ndertesa</t>
  </si>
  <si>
    <t>Makineri dhe pajisje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</si>
  <si>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</si>
  <si>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</si>
  <si>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</si>
  <si>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</si>
  <si>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</si>
  <si>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</si>
  <si>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 (ne proces)</t>
  </si>
  <si>
    <t>Totali i Aktiveve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</si>
  <si>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</si>
  <si>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</si>
  <si>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</si>
  <si>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</si>
  <si>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</si>
  <si>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</si>
  <si>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</si>
  <si>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</si>
  <si>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</si>
  <si>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Parapagimet e arkëtuara</t>
  </si>
  <si>
    <t>Grantet dhe te ardhurat e shtyra</t>
  </si>
  <si>
    <t>Provizionet afatshkurtra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</si>
  <si>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</si>
  <si>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</si>
  <si>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</si>
  <si>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</si>
  <si>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</si>
  <si>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</si>
  <si>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</si>
  <si>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</si>
  <si>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</si>
  <si>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</si>
  <si>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</si>
  <si>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</t>
  </si>
  <si>
    <t>Rezerva</t>
  </si>
  <si>
    <t>Rezerva ligjore</t>
  </si>
  <si>
    <t>Rezerva te tjera</t>
  </si>
  <si>
    <t>Rezerva statuore</t>
  </si>
  <si>
    <t>Fitimet e pashperndara</t>
  </si>
  <si>
    <t>Fitimi/Humbja e vitit financiar</t>
  </si>
  <si>
    <t>Totali i Detyrimeve dhe i Kapitalit</t>
  </si>
  <si>
    <t>Shuma I.2</t>
  </si>
  <si>
    <t>Shuma I.3</t>
  </si>
  <si>
    <t>Shuma II.4</t>
  </si>
  <si>
    <t>Shuma II.2</t>
  </si>
  <si>
    <t>Shuma II.1</t>
  </si>
  <si>
    <t xml:space="preserve"> Shuma I.2</t>
  </si>
  <si>
    <t xml:space="preserve"> Shuma I.3</t>
  </si>
  <si>
    <t xml:space="preserve"> Totali per Detyrimet Afatgjata</t>
  </si>
  <si>
    <t>Totali per  Detyrimet Afatshkurtra</t>
  </si>
  <si>
    <t xml:space="preserve">  Shuma II.1</t>
  </si>
  <si>
    <t xml:space="preserve"> </t>
  </si>
  <si>
    <t>ShumaI.6</t>
  </si>
  <si>
    <t>Shuma I.4</t>
  </si>
  <si>
    <t xml:space="preserve"> Totali per     Kapitalin</t>
  </si>
  <si>
    <t xml:space="preserve">DETYRIMET  DHE KAPITALI </t>
  </si>
  <si>
    <t xml:space="preserve">Totali i detyrimeve  </t>
  </si>
  <si>
    <t>Aktive te tjera afatgjata materiale(vl kontabel)</t>
  </si>
  <si>
    <t>Shuma I.1</t>
  </si>
  <si>
    <t xml:space="preserve"> Totali i  Aktivet Afatshkurtra  (I)</t>
  </si>
  <si>
    <t xml:space="preserve"> Totali  i   Aktivet    Afatgjata  (II)</t>
  </si>
  <si>
    <t xml:space="preserve">Hua  te tjera </t>
  </si>
  <si>
    <t xml:space="preserve">Vlera monetare ne  banke </t>
  </si>
  <si>
    <t xml:space="preserve"> Vlera monetare ne   arke </t>
  </si>
  <si>
    <t xml:space="preserve">AKTIVE AFATSHKURTRA </t>
  </si>
  <si>
    <t xml:space="preserve">Kliente per mallra , produkte e sherbime </t>
  </si>
  <si>
    <t xml:space="preserve">Parapagime te dhena </t>
  </si>
  <si>
    <t xml:space="preserve">Debitore te tjere , kreditore te tjere </t>
  </si>
  <si>
    <t>Tatimi mbi fitimin (tep. debitore )</t>
  </si>
  <si>
    <t>Tatimi mbi ardhurat personale  (tep. debitore )</t>
  </si>
  <si>
    <t>Tatimi ne burim    (tep. debitore )</t>
  </si>
  <si>
    <t>Shteti   -TVSH  per tu marre    (tep. debitore )</t>
  </si>
  <si>
    <t>Te  tjera tatime per tu paguar dhe per tu kthyer  (tep. debitore )</t>
  </si>
  <si>
    <t>Te drejta dhe detyrime ndaj ortakeve dhe aksionerve   (tep. debitore )</t>
  </si>
  <si>
    <t>Qera financiare   (kur eshte afatshkurter dhe ka teprice debitore )</t>
  </si>
  <si>
    <t>Shpenzime te periudhave te ardhme  ( tep . Debitore)</t>
  </si>
  <si>
    <t>Shpenzime te llogaritura  ( tep . Debitore)</t>
  </si>
  <si>
    <t xml:space="preserve">AKTIVE AFATGJATA </t>
  </si>
  <si>
    <t>Te drejta ndaj pronareve per kapitalin e nenshkruar ,(tep debitore )</t>
  </si>
  <si>
    <t xml:space="preserve">AA ne proces </t>
  </si>
  <si>
    <t xml:space="preserve"> Llogari bankare te zbuluara (overdrafte bankar</t>
  </si>
  <si>
    <t xml:space="preserve"> Furnitore per mallra , produkte e sherbime </t>
  </si>
  <si>
    <t xml:space="preserve"> Furnitore per aktive afatgjate </t>
  </si>
  <si>
    <t xml:space="preserve"> Premtim pagesa te pagueshme </t>
  </si>
  <si>
    <t xml:space="preserve"> Paga dhe shperblime </t>
  </si>
  <si>
    <t xml:space="preserve"> Paradhenie per  punonjesit </t>
  </si>
  <si>
    <t xml:space="preserve"> Sigurime shoqerore  dhe shendesore </t>
  </si>
  <si>
    <t xml:space="preserve"> Organizma te tjera shoqerore </t>
  </si>
  <si>
    <t>Inventari Imet</t>
  </si>
  <si>
    <t>vi</t>
  </si>
  <si>
    <t xml:space="preserve">Tatim  mbi te ardhurat  personale </t>
  </si>
  <si>
    <t>Akciza</t>
  </si>
  <si>
    <t xml:space="preserve">Tatim  te tjera  per punonjesit </t>
  </si>
  <si>
    <t xml:space="preserve">Tatim mbi fitimin </t>
  </si>
  <si>
    <t xml:space="preserve">Shteti  - TVSH   per tu paguar  </t>
  </si>
  <si>
    <t xml:space="preserve">Te tjera  tatime per tu paguar dhe per tu kthyer </t>
  </si>
  <si>
    <t xml:space="preserve">Tatime ne burim </t>
  </si>
  <si>
    <r>
      <t xml:space="preserve">    </t>
    </r>
    <r>
      <rPr>
        <b/>
        <sz val="9"/>
        <rFont val="Arial"/>
        <family val="2"/>
      </rPr>
      <t>A)</t>
    </r>
    <r>
      <rPr>
        <sz val="9"/>
        <rFont val="Arial"/>
        <family val="2"/>
      </rPr>
      <t xml:space="preserve"> Detyrime per sigurimet shoqerore dhe shendesore </t>
    </r>
  </si>
  <si>
    <r>
      <t xml:space="preserve">    </t>
    </r>
    <r>
      <rPr>
        <b/>
        <sz val="9"/>
        <rFont val="Arial"/>
        <family val="2"/>
      </rPr>
      <t>B)</t>
    </r>
    <r>
      <rPr>
        <sz val="9"/>
        <rFont val="Arial"/>
        <family val="2"/>
      </rPr>
      <t xml:space="preserve"> Shteti per tatime dhe taksa </t>
    </r>
  </si>
  <si>
    <t xml:space="preserve">Te drejta  dhe detyrime ndaj pronareve per kapitalin e nenshkruar </t>
  </si>
  <si>
    <t xml:space="preserve">Qera  financiare afatshkurter </t>
  </si>
  <si>
    <t>Debitore te tjere ,kreditore te tjere  (tep kreditore )</t>
  </si>
  <si>
    <t>Te drejta  dhe detyrime ndaj pjestareve te tjere te grupit</t>
  </si>
  <si>
    <t xml:space="preserve">Te drejta  dhe detyrime ndaj ortakeve  dhe aksionereve </t>
  </si>
  <si>
    <t xml:space="preserve"> Parapagime  te marra </t>
  </si>
  <si>
    <t xml:space="preserve">Provizione  afatgjate </t>
  </si>
  <si>
    <t xml:space="preserve">Kapitali  I paguar </t>
  </si>
  <si>
    <t xml:space="preserve"> Kapitali  I nenshkruar  I  papaguar </t>
  </si>
  <si>
    <t xml:space="preserve">Aksione te thesarit </t>
  </si>
  <si>
    <t xml:space="preserve">Fitimi / Humbja e pashperndare </t>
  </si>
  <si>
    <t xml:space="preserve">Fitimi / Humbja  Rezultati I Ushtrimi </t>
  </si>
  <si>
    <t xml:space="preserve">DETYRIMET AFATSHKURTRA </t>
  </si>
  <si>
    <t xml:space="preserve">DETYRIMET AFATGJATA </t>
  </si>
  <si>
    <t>TE ARDHURAT E SHPENZIMET (formati 2)</t>
  </si>
  <si>
    <t>(Bazuar ne klasifikimin e Shpenzimeve sipas Funksioneve  )</t>
  </si>
  <si>
    <t>Emertimi</t>
  </si>
  <si>
    <t>Shitjet neto</t>
  </si>
  <si>
    <t>701, 705</t>
  </si>
  <si>
    <t>705</t>
  </si>
  <si>
    <t>Shitje mallrash</t>
  </si>
  <si>
    <t>Kostoja e prodhimit/blerjes se mallrave</t>
  </si>
  <si>
    <t>601, 605</t>
  </si>
  <si>
    <t>601</t>
  </si>
  <si>
    <t>6021</t>
  </si>
  <si>
    <t>6027</t>
  </si>
  <si>
    <t xml:space="preserve">Blerje /shpenzime iventar imet </t>
  </si>
  <si>
    <t>6031</t>
  </si>
  <si>
    <t>Ndrysh.gjend.mater.para</t>
  </si>
  <si>
    <t>6032</t>
  </si>
  <si>
    <t>Ndrysh.gjend.mater.tjera</t>
  </si>
  <si>
    <t>605</t>
  </si>
  <si>
    <t>Blerje /shpenzime mallra, sherbimesh</t>
  </si>
  <si>
    <t>6035</t>
  </si>
  <si>
    <t>Ndrysh.gjend.mallra</t>
  </si>
  <si>
    <t>Fitimi (humbja) bruto   (1-2)</t>
  </si>
  <si>
    <t>Shpenzimet e shitjes</t>
  </si>
  <si>
    <t xml:space="preserve">Shpenzime reklama ,publicteti </t>
  </si>
  <si>
    <t>Shpenzime administrative</t>
  </si>
  <si>
    <t>641</t>
  </si>
  <si>
    <t xml:space="preserve">Pagat dhe shperblimet e personelit   </t>
  </si>
  <si>
    <t>644</t>
  </si>
  <si>
    <t>Sigurimet shoqerore dhe shendetesore</t>
  </si>
  <si>
    <t>648</t>
  </si>
  <si>
    <t>Shpenzime te tjera per personelin</t>
  </si>
  <si>
    <t>Te ardhura te tjera nga veprimtarite e shfrytezimit</t>
  </si>
  <si>
    <t>702-708X</t>
  </si>
  <si>
    <t>7081</t>
  </si>
  <si>
    <t>Qera</t>
  </si>
  <si>
    <t>Shpenzime te tjera te zakonshme</t>
  </si>
  <si>
    <t>604</t>
  </si>
  <si>
    <t>Bl.energji,avull,uje</t>
  </si>
  <si>
    <t>608</t>
  </si>
  <si>
    <t>Blerje /shpenzime te tjera</t>
  </si>
  <si>
    <t>613</t>
  </si>
  <si>
    <t>Qira</t>
  </si>
  <si>
    <t>615</t>
  </si>
  <si>
    <t>Mirembajtje dhe riparime</t>
  </si>
  <si>
    <t>616</t>
  </si>
  <si>
    <t>Sigurime</t>
  </si>
  <si>
    <t>6183</t>
  </si>
  <si>
    <t>Shpenzime kanceleri</t>
  </si>
  <si>
    <t>626</t>
  </si>
  <si>
    <t>Shpz.postare e telekom.</t>
  </si>
  <si>
    <t>6271</t>
  </si>
  <si>
    <t>Transporte per blerje</t>
  </si>
  <si>
    <t>628</t>
  </si>
  <si>
    <t>Sherbime bankare</t>
  </si>
  <si>
    <t>634</t>
  </si>
  <si>
    <t>Taksa dhe tarifa vendore</t>
  </si>
  <si>
    <t>657</t>
  </si>
  <si>
    <t>Gjoba dhe demshperblime</t>
  </si>
  <si>
    <t>Fitimi (humbja) nga veprimtarite e shfrytezimit</t>
  </si>
  <si>
    <t>Te ardhura e shpenzime financiare nga njesite e kontrolluara</t>
  </si>
  <si>
    <t>762, 662</t>
  </si>
  <si>
    <t>Te ardhura e shpenzime nga investime ne pjesemarrje</t>
  </si>
  <si>
    <t>761; 661</t>
  </si>
  <si>
    <t>Te ardhurat dhe shpenzimet financiare nga</t>
  </si>
  <si>
    <t xml:space="preserve">    a</t>
  </si>
  <si>
    <t>Te ardhura e shpenzime financiare nga investime te tjera financiare afatgjata</t>
  </si>
  <si>
    <t>763, 764;765;664,665</t>
  </si>
  <si>
    <t xml:space="preserve">    b</t>
  </si>
  <si>
    <t xml:space="preserve"> Te ardhura e shpenzime financiare nga interesi</t>
  </si>
  <si>
    <t>767; 667</t>
  </si>
  <si>
    <t>767</t>
  </si>
  <si>
    <t>Te ardhura nga interesat</t>
  </si>
  <si>
    <t>Shpenzime interesi</t>
  </si>
  <si>
    <t xml:space="preserve">    c</t>
  </si>
  <si>
    <t xml:space="preserve"> Te ardhura e shpenzime financiare nga kursi i kembimit</t>
  </si>
  <si>
    <t>769; 669</t>
  </si>
  <si>
    <t>769</t>
  </si>
  <si>
    <t>Fitim nga kembimet valutore</t>
  </si>
  <si>
    <t xml:space="preserve">    d</t>
  </si>
  <si>
    <t xml:space="preserve">   Te ardhura e shpenzime financiare nga te tjera financiare</t>
  </si>
  <si>
    <t>768; 668</t>
  </si>
  <si>
    <t>Totali (a÷d)</t>
  </si>
  <si>
    <t>Shuma te ardhurave e shpenzimeve financiare                               (11.1+/-11.2+/-11.3+/-11.4)</t>
  </si>
  <si>
    <t>Fitimi (humbja) para tatimit    (8+/-12)</t>
  </si>
  <si>
    <t>Shpenzimet e tatimit te fitimit</t>
  </si>
  <si>
    <t>Fitimi (humbja) neto e vitit financiar  (13-14)</t>
  </si>
  <si>
    <t xml:space="preserve">Dorezim punimesh e sherbime </t>
  </si>
  <si>
    <t xml:space="preserve">NIPTI  </t>
  </si>
  <si>
    <t>Shpenzime te tjera</t>
  </si>
  <si>
    <t>Interesi i paguar</t>
  </si>
  <si>
    <t>Blerja e aktiveve afatgjata materiale</t>
  </si>
  <si>
    <t>TOTALI</t>
  </si>
  <si>
    <t>A</t>
  </si>
  <si>
    <t>Efekti ndryshimeve ne politikat kontabel</t>
  </si>
  <si>
    <t>B</t>
  </si>
  <si>
    <t>Pozicioni i rregulluar</t>
  </si>
  <si>
    <t>Dividentet e paguar</t>
  </si>
  <si>
    <t>Fitimi neto per periudhen kontabel</t>
  </si>
  <si>
    <t>Aksione te thesari te riblera</t>
  </si>
  <si>
    <t>III</t>
  </si>
  <si>
    <t>Nje pasqyre e pa Konsoliduar</t>
  </si>
  <si>
    <t>Primi aksionit</t>
  </si>
  <si>
    <t>Aksione thesari</t>
  </si>
  <si>
    <t>Rezerva stat.ligjore</t>
  </si>
  <si>
    <t xml:space="preserve">Fitimi pashperndare </t>
  </si>
  <si>
    <t>Rritja rezerves kapitalit</t>
  </si>
  <si>
    <t>Emetimi aksioneve</t>
  </si>
  <si>
    <t>Emetimi kapitali aksionar</t>
  </si>
  <si>
    <t>Sqarim: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</si>
  <si>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</si>
  <si>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</si>
  <si>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</si>
  <si>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a) Informacion i përgjithsëm dhe politikat kontabël</t>
  </si>
  <si>
    <t>b)Shënimet qe shpjegojnë zërat e ndryshëm të pasqyrave financiare</t>
  </si>
  <si>
    <t>c) Shënime të tjera shpjegeuse</t>
  </si>
  <si>
    <t>Per Drejtimin  e Njesise  Ekonomike</t>
  </si>
  <si>
    <t>Acct. #</t>
  </si>
  <si>
    <t>Kapitali i paguar</t>
  </si>
  <si>
    <t>Kapitali i nënshkruar i papaguar</t>
  </si>
  <si>
    <t>Aksione të thesarit</t>
  </si>
  <si>
    <t>Prime të lidhura me kapitalin</t>
  </si>
  <si>
    <t>Zbritje të lidhura me kapitalin</t>
  </si>
  <si>
    <t>Rezerva nga rivlerësimi</t>
  </si>
  <si>
    <t>Rezerva statutore</t>
  </si>
  <si>
    <t>Rezerva të tjera</t>
  </si>
  <si>
    <t>Fitim/Humbje e pa shpërndarë</t>
  </si>
  <si>
    <t>Rezultati i ushtrimit</t>
  </si>
  <si>
    <t>Emri i mirë</t>
  </si>
  <si>
    <t>Shpenzime të nisjes dhe zhvillimit</t>
  </si>
  <si>
    <t>Koncesione, të drejta, licensa etj.</t>
  </si>
  <si>
    <t>Të tjera AA jo-materiale</t>
  </si>
  <si>
    <t>Toka, troje, terrene</t>
  </si>
  <si>
    <t>Ndërtesa</t>
  </si>
  <si>
    <t>Instalime, makineri e paisje, instrumente</t>
  </si>
  <si>
    <t>Mjete transporti</t>
  </si>
  <si>
    <t>Mobilje dhe paisje zyre</t>
  </si>
  <si>
    <t>Paisje informative</t>
  </si>
  <si>
    <t>Të tjera AA materiale</t>
  </si>
  <si>
    <t>AA materiale në proces</t>
  </si>
  <si>
    <t>AA jo materiale në proces</t>
  </si>
  <si>
    <t>Aktive afatgjate biologjike</t>
  </si>
  <si>
    <t>AA te mbajtura per shitje</t>
  </si>
  <si>
    <t>Aksione të shoqërive të kontrolluara</t>
  </si>
  <si>
    <t>Aksione të shoqërive të lidhura</t>
  </si>
  <si>
    <t>Aksione të tjera dhe letra me vlerë</t>
  </si>
  <si>
    <t>Huadhënie afat gjate</t>
  </si>
  <si>
    <t>Të drejta të tjera afatgjatë</t>
  </si>
  <si>
    <t>Amortz. Akum. për emrin e mirë</t>
  </si>
  <si>
    <t>Amortz. Akum. për shpenzimet e zhvillimit</t>
  </si>
  <si>
    <t>Amortz. Akum. për koncesionet, patenta, licensat etj.</t>
  </si>
  <si>
    <t>Amortz. Akum. për ndërtesa</t>
  </si>
  <si>
    <t>Amortz. Akum. për instalime, makineri e paisje</t>
  </si>
  <si>
    <t>Amortz. Akum. për mjete transporti</t>
  </si>
  <si>
    <t>Amortz. Akum. për mobilje e paisje zyre</t>
  </si>
  <si>
    <t>Amortz. Akum. për paisje informative</t>
  </si>
  <si>
    <t>Amortz. Akum. për të tjera AA materiale</t>
  </si>
  <si>
    <t>Zhvlerësime për emrin e mirë</t>
  </si>
  <si>
    <t>Zhvlerësime për shpenzimet e zhvillimit</t>
  </si>
  <si>
    <t>Zhvlerësime për konçesione, patenta, liçensa e të drejta.</t>
  </si>
  <si>
    <t>Zhvlerësime për të tjera AA jomateriale</t>
  </si>
  <si>
    <t>Zhvlerësime për tokën</t>
  </si>
  <si>
    <t>Zhvlerësime për ndërtesat</t>
  </si>
  <si>
    <t>Zhvlerësime për instalime, makineri, paisje</t>
  </si>
  <si>
    <t>Zhvlerësime për mjete transporti</t>
  </si>
  <si>
    <t>Zhvlerësime për mobilje e paisje zyre</t>
  </si>
  <si>
    <t>Zhvlerësime për paisje informative</t>
  </si>
  <si>
    <t>Zhvlerësime për te tjera AA materiale</t>
  </si>
  <si>
    <t>Zhvlerësime për aksione të shoqërive të kontrolluara</t>
  </si>
  <si>
    <t>Zhvlerësime për aksione të shoqërive të lidhura</t>
  </si>
  <si>
    <t>Zhvlerësime për aksione të tjera dhe letra me vlerë</t>
  </si>
  <si>
    <t>Zhvlerësime për huadhënie afatgjatë</t>
  </si>
  <si>
    <t>Inventar - Lëndë e parë</t>
  </si>
  <si>
    <t>Inventar - Materiale ndihmëse</t>
  </si>
  <si>
    <t>Inventar - Lëndë djegëse</t>
  </si>
  <si>
    <t>Inventar - Pjesë ndërrimi</t>
  </si>
  <si>
    <t>Inventar - Materiale paketimi</t>
  </si>
  <si>
    <t>Inventar - Materiale të tjera</t>
  </si>
  <si>
    <t>Inventari imet dhe ambalazh qarkullues</t>
  </si>
  <si>
    <t>Inventar - Prodhim në proces</t>
  </si>
  <si>
    <t>Inventar - Punime ne proces</t>
  </si>
  <si>
    <t>Inventar - Sherbime ne proces</t>
  </si>
  <si>
    <t>Inventar - Proudukte te ndermjetme</t>
  </si>
  <si>
    <t>Inventar - Nenprodukte</t>
  </si>
  <si>
    <t>Inventar - Mallra</t>
  </si>
  <si>
    <t>Inventar - Aktive biologjike afat shkurter</t>
  </si>
  <si>
    <t>Inventar - Inventar ne transit ose tek te trete</t>
  </si>
  <si>
    <t>Furnitorë për mallra, produkte e shërbime</t>
  </si>
  <si>
    <t>Furnitore importi</t>
  </si>
  <si>
    <t>Premtim pagesa të pagueshme</t>
  </si>
  <si>
    <t>Furnitorë për AA</t>
  </si>
  <si>
    <t>Parapagime të marra</t>
  </si>
  <si>
    <t>Klientë për mallra, produkte e shërbime</t>
  </si>
  <si>
    <t>Klientë eksporti</t>
  </si>
  <si>
    <t>Premtim pagesa të arkëtueshme</t>
  </si>
  <si>
    <t>Klientë për AA</t>
  </si>
  <si>
    <t>Të drejta për t'u arkëtuar nga procese gjyqësore</t>
  </si>
  <si>
    <t>Parapagime të dhëna</t>
  </si>
  <si>
    <t>Paga dhe shpërblime</t>
  </si>
  <si>
    <t>Sigurime shoqërore dhe shëndetësore</t>
  </si>
  <si>
    <t>Detyrime për akcizen</t>
  </si>
  <si>
    <t>Detyrime për doganen</t>
  </si>
  <si>
    <t>Detyrime për tatim mbi të ardhura personale</t>
  </si>
  <si>
    <t>Detyrime për tatime të tjera për punonjësit</t>
  </si>
  <si>
    <t>Detyrime për tatim mbi fitimin</t>
  </si>
  <si>
    <t>TVSH për t'u paguar</t>
  </si>
  <si>
    <t>TVSH për t'u marrë</t>
  </si>
  <si>
    <t>TVSH e zbritshme</t>
  </si>
  <si>
    <t>TVSH e pagushme</t>
  </si>
  <si>
    <t>TVSH për t'u rregulluar</t>
  </si>
  <si>
    <t>Të tjera tatime për t'u paguar dhe për t'u kthyer</t>
  </si>
  <si>
    <t>Detyrime për tatime në burim</t>
  </si>
  <si>
    <t>Detyrime për tatime në burim - Qera</t>
  </si>
  <si>
    <t>Detyrime për tatime në burim - Tjera</t>
  </si>
  <si>
    <t>Llogari të lidhura brenda grupit</t>
  </si>
  <si>
    <t>Të drejta/detyrime ndaj ortakëve dhe aksionerëve</t>
  </si>
  <si>
    <t>Te drejta per kapitalin e nenshkruar e te papaguar</t>
  </si>
  <si>
    <t>Dividentë te deklaruar dhe te papaguar</t>
  </si>
  <si>
    <t>Detyrime per qera financiare</t>
  </si>
  <si>
    <t xml:space="preserve">Huamarrje afat shkurtër - Bankat </t>
  </si>
  <si>
    <t>Provizione afatshkurtër</t>
  </si>
  <si>
    <t>Provizione afatgjatë</t>
  </si>
  <si>
    <t>Grante afatshkurtër</t>
  </si>
  <si>
    <t>Grante afatgjatë</t>
  </si>
  <si>
    <t>Debitorë/Kreditore të tjerë</t>
  </si>
  <si>
    <t>Kreditore te tjere</t>
  </si>
  <si>
    <t>Debitore te tjere</t>
  </si>
  <si>
    <t>Huamarrje afatgjatë - Bankat</t>
  </si>
  <si>
    <t>Obligacione - Primi i obligacionit</t>
  </si>
  <si>
    <t>Obligacione - Zbritja e obligacionit</t>
  </si>
  <si>
    <t>Huamarrje afatgjatë - Të tjera</t>
  </si>
  <si>
    <t>Huadhënie afatshkurtër</t>
  </si>
  <si>
    <t>Shpenzime të llogaritura</t>
  </si>
  <si>
    <t>Interesa pasive të llogaritura</t>
  </si>
  <si>
    <t>Shpenzime për t'u shpërndarë</t>
  </si>
  <si>
    <t>Të ardhura të llogaritura</t>
  </si>
  <si>
    <t>Të ardhura të periudhave të ardhëshme</t>
  </si>
  <si>
    <t>Letra me vlere të pjesëmarrjes</t>
  </si>
  <si>
    <t>Letra me vlere të huave</t>
  </si>
  <si>
    <t>Vlera monetare ne banke - LEK</t>
  </si>
  <si>
    <t>Vlera monetare ne banke - EUR</t>
  </si>
  <si>
    <t>Vlera monetare ne banke - USD</t>
  </si>
  <si>
    <t>Vlera monetare ne banke - Te tjera monedha</t>
  </si>
  <si>
    <t>Llogari bankare të zbuluara - LEK</t>
  </si>
  <si>
    <t>Llogari bankare të zbuluara - EUR</t>
  </si>
  <si>
    <t>Llogari bankare të zbuluara - USD</t>
  </si>
  <si>
    <t>Arka - LEK</t>
  </si>
  <si>
    <t>Arka - EUR</t>
  </si>
  <si>
    <t>Arka - USD</t>
  </si>
  <si>
    <t>Arka - Te tjera monedha</t>
  </si>
  <si>
    <t>601100</t>
  </si>
  <si>
    <t>Lëndë të para</t>
  </si>
  <si>
    <t>602300</t>
  </si>
  <si>
    <t xml:space="preserve">Materiale ndihmëse </t>
  </si>
  <si>
    <t>602400</t>
  </si>
  <si>
    <t>Lëndë djegëse</t>
  </si>
  <si>
    <t>602500</t>
  </si>
  <si>
    <t>Pjesë ndërrimi</t>
  </si>
  <si>
    <t>602600</t>
  </si>
  <si>
    <t>Materiale paketimi</t>
  </si>
  <si>
    <t>602700</t>
  </si>
  <si>
    <t>Materiale të tjera</t>
  </si>
  <si>
    <t>605100</t>
  </si>
  <si>
    <t>Blerje/Shpenzime mallra</t>
  </si>
  <si>
    <t>611100</t>
  </si>
  <si>
    <t>Sherbime/Trajtime te pergjithshme</t>
  </si>
  <si>
    <t>611101</t>
  </si>
  <si>
    <t>Shërbime të përgjithshme prodhimi</t>
  </si>
  <si>
    <t>611102</t>
  </si>
  <si>
    <t>Shpenzime auditimi/taksa</t>
  </si>
  <si>
    <t>611103</t>
  </si>
  <si>
    <t>Shpenzime avokatie</t>
  </si>
  <si>
    <t>613100</t>
  </si>
  <si>
    <t>Sherbime - Qera</t>
  </si>
  <si>
    <t>613101</t>
  </si>
  <si>
    <t>Qera makineri e paisje</t>
  </si>
  <si>
    <t>613102</t>
  </si>
  <si>
    <t>Qera magazina</t>
  </si>
  <si>
    <t>613103</t>
  </si>
  <si>
    <t>Qera autovetura</t>
  </si>
  <si>
    <t>613104</t>
  </si>
  <si>
    <t>Qera zyre</t>
  </si>
  <si>
    <t>613105</t>
  </si>
  <si>
    <t>Qera apartamente</t>
  </si>
  <si>
    <t>615100</t>
  </si>
  <si>
    <t>Sherbime riparim &amp; mirembajtje</t>
  </si>
  <si>
    <t>616100</t>
  </si>
  <si>
    <t>Siguracione</t>
  </si>
  <si>
    <t>616101</t>
  </si>
  <si>
    <t>Siguracioni i ndertesave</t>
  </si>
  <si>
    <t>616102</t>
  </si>
  <si>
    <t>Siguracioni i punonjësve</t>
  </si>
  <si>
    <t>616103</t>
  </si>
  <si>
    <t>Siguracioni i automjeteve</t>
  </si>
  <si>
    <t>617100</t>
  </si>
  <si>
    <t>Kërkime dhe studime</t>
  </si>
  <si>
    <t>618101</t>
  </si>
  <si>
    <t>Shërbimi rojes private</t>
  </si>
  <si>
    <t>618102</t>
  </si>
  <si>
    <t>Pije freskuse, kafe etj.</t>
  </si>
  <si>
    <t>618103</t>
  </si>
  <si>
    <t>Detergjente, higjenike, etj</t>
  </si>
  <si>
    <t>618104</t>
  </si>
  <si>
    <t>Entertainment (pritje percellje)</t>
  </si>
  <si>
    <t>618105</t>
  </si>
  <si>
    <t>Antarësime, abonime</t>
  </si>
  <si>
    <t>618106</t>
  </si>
  <si>
    <t>Librari teknike</t>
  </si>
  <si>
    <t>618107</t>
  </si>
  <si>
    <t>Të tjera të përgjithshme</t>
  </si>
  <si>
    <t>618108</t>
  </si>
  <si>
    <t>Kancelari, printime dhe fotokopje</t>
  </si>
  <si>
    <t>618109</t>
  </si>
  <si>
    <t>Konferenca, simposiume</t>
  </si>
  <si>
    <t>618110</t>
  </si>
  <si>
    <t>618111</t>
  </si>
  <si>
    <t xml:space="preserve">Rregullime/sistemime të vogla llogarish </t>
  </si>
  <si>
    <t>621101</t>
  </si>
  <si>
    <t>Personel me kontrate i pakualifikuar</t>
  </si>
  <si>
    <t>621102</t>
  </si>
  <si>
    <t>Personel për konsulence teknike</t>
  </si>
  <si>
    <t>623100</t>
  </si>
  <si>
    <t>Shpenzime për koncesione, licensa, patenta etj.</t>
  </si>
  <si>
    <t>624101</t>
  </si>
  <si>
    <t>Reklama, publicitet</t>
  </si>
  <si>
    <t>624102</t>
  </si>
  <si>
    <t>Shpenzime marketingu</t>
  </si>
  <si>
    <t>625101</t>
  </si>
  <si>
    <t>Shpenzime udhëtimi - Hotel and lodging</t>
  </si>
  <si>
    <t>625102</t>
  </si>
  <si>
    <t>Shpenzime udhëtimi - Bileta avioni</t>
  </si>
  <si>
    <t>625103</t>
  </si>
  <si>
    <t>Shpenzime udhëtimi - Restorant</t>
  </si>
  <si>
    <t>625104</t>
  </si>
  <si>
    <t>Shpenzime udhëtimi - Dieta</t>
  </si>
  <si>
    <t>625105</t>
  </si>
  <si>
    <t>Shpenzime udhëtimi - Të tjera</t>
  </si>
  <si>
    <t>626101</t>
  </si>
  <si>
    <t>Shpenzime telefon&amp;internet</t>
  </si>
  <si>
    <t>626102</t>
  </si>
  <si>
    <t>Shpenzime postare</t>
  </si>
  <si>
    <t>626103</t>
  </si>
  <si>
    <t>Radio comunication</t>
  </si>
  <si>
    <t>627101</t>
  </si>
  <si>
    <t>Shpenzime transporti - Blerje</t>
  </si>
  <si>
    <t>627201</t>
  </si>
  <si>
    <t>Shpenzime transporti - Shitje</t>
  </si>
  <si>
    <t>627301</t>
  </si>
  <si>
    <t>Shpenzime transporti - Personeli</t>
  </si>
  <si>
    <t>627401</t>
  </si>
  <si>
    <t>Shpenzime transporti - Të tjera</t>
  </si>
  <si>
    <t>628101</t>
  </si>
  <si>
    <t>Komisione dhe tarifa bankare</t>
  </si>
  <si>
    <t>632101</t>
  </si>
  <si>
    <t>Shpenzime dogane</t>
  </si>
  <si>
    <t>632102</t>
  </si>
  <si>
    <t>Shpenzime të tjera te lidhura me doganën</t>
  </si>
  <si>
    <t>633100</t>
  </si>
  <si>
    <t>Tatime taksa - Akciza</t>
  </si>
  <si>
    <t>634100</t>
  </si>
  <si>
    <t>Tatime taksa - Taksa vendore</t>
  </si>
  <si>
    <t>638101</t>
  </si>
  <si>
    <t>Tatim taksa - Taksa minerare</t>
  </si>
  <si>
    <t>638102</t>
  </si>
  <si>
    <t>Tatim taksa - Taksa /Licenca e ambjentit</t>
  </si>
  <si>
    <t>638103</t>
  </si>
  <si>
    <t>Tatim taksa - Automjete</t>
  </si>
  <si>
    <t>638104</t>
  </si>
  <si>
    <t>Tatim në burim</t>
  </si>
  <si>
    <t>638105</t>
  </si>
  <si>
    <t>Të tjera taksa</t>
  </si>
  <si>
    <t>641101</t>
  </si>
  <si>
    <t>Paga personeli</t>
  </si>
  <si>
    <t>644101</t>
  </si>
  <si>
    <t>Sigurime shoqërore (kompania)</t>
  </si>
  <si>
    <t>644201</t>
  </si>
  <si>
    <t>Sigurime shëndetsore (kompania)</t>
  </si>
  <si>
    <t>645100</t>
  </si>
  <si>
    <t>Të tjera kontribute për personelin</t>
  </si>
  <si>
    <t>648101</t>
  </si>
  <si>
    <t>Shpërblime për punonjësit</t>
  </si>
  <si>
    <t>648102</t>
  </si>
  <si>
    <t>Trainime teknike</t>
  </si>
  <si>
    <t>648103</t>
  </si>
  <si>
    <t>Trainime jo teknike</t>
  </si>
  <si>
    <t>648104</t>
  </si>
  <si>
    <t>Tarifa shkollimi</t>
  </si>
  <si>
    <t>652101</t>
  </si>
  <si>
    <t>Vl. kontabel e AA te shitura</t>
  </si>
  <si>
    <t>653101</t>
  </si>
  <si>
    <t>Dhurata, donacione, sponsorizime</t>
  </si>
  <si>
    <t>653102</t>
  </si>
  <si>
    <t>Ndihma ekonomike</t>
  </si>
  <si>
    <t>654101</t>
  </si>
  <si>
    <t>Shpenzime përfaqësimi</t>
  </si>
  <si>
    <t>657101</t>
  </si>
  <si>
    <t>Gjoba dhe dëmshpërblime</t>
  </si>
  <si>
    <t>658100</t>
  </si>
  <si>
    <t>661100</t>
  </si>
  <si>
    <t>Shpenzime financiare nga shoqëritë e kontrolluara</t>
  </si>
  <si>
    <t>662100</t>
  </si>
  <si>
    <t>Shpenzime financiare nga shoqëritë e lidhura</t>
  </si>
  <si>
    <t>664100</t>
  </si>
  <si>
    <t>Humbje nga rivlerësimi i letrave me vlerë</t>
  </si>
  <si>
    <t>665101</t>
  </si>
  <si>
    <t>Humbje nga shitja e letrave me vlerë</t>
  </si>
  <si>
    <t>667100</t>
  </si>
  <si>
    <t>Shpenzime për interesa bankare</t>
  </si>
  <si>
    <t>668101</t>
  </si>
  <si>
    <t>Shpenzime financiare</t>
  </si>
  <si>
    <t>669101</t>
  </si>
  <si>
    <t>Humbje nga këmbimet valutore (te realizuara)</t>
  </si>
  <si>
    <t>669102</t>
  </si>
  <si>
    <t>Humbje nga këmbimet valutore (te pa realizuara)</t>
  </si>
  <si>
    <t>Shpenzime amortizimi - Emri e mirë</t>
  </si>
  <si>
    <t>Shpenzime amortizimi - Shpenzimet e zhvillimit</t>
  </si>
  <si>
    <t>Shpenzime amortizimi - Koncesione, patenta, licensat etj.</t>
  </si>
  <si>
    <t>Shpenzime amortizimi - Të tjera AA jomateriale</t>
  </si>
  <si>
    <t>681210</t>
  </si>
  <si>
    <t>Shpenzime amortizimi - Ndërtesa</t>
  </si>
  <si>
    <t>681310</t>
  </si>
  <si>
    <t>Shpenzime amortizimi - Makineri, Paisje</t>
  </si>
  <si>
    <t>681510</t>
  </si>
  <si>
    <t>Shpenzime amortizimi - Mjete transporti</t>
  </si>
  <si>
    <t>681810</t>
  </si>
  <si>
    <t>Shpenzime amortizimi - Mobilje e paisje zyre</t>
  </si>
  <si>
    <t xml:space="preserve">KAPITALI </t>
  </si>
  <si>
    <t>Fluksi monetar nga veprimtaritë e shfrytëzimit</t>
  </si>
  <si>
    <t>Fluksi monetar nga veprimtaritë investuese</t>
  </si>
  <si>
    <t>Interesi i arkëtuar</t>
  </si>
  <si>
    <t>Dividendët e arkëtuar</t>
  </si>
  <si>
    <t>Të ardhura nga huamarrje afatgjata</t>
  </si>
  <si>
    <t>Pagesat e detyrimeve të qirasë financiare</t>
  </si>
  <si>
    <t>Rritja/rënia neto e mjeteve monetare</t>
  </si>
  <si>
    <t>Mjetet monetare në fillim të periudhës kontabël</t>
  </si>
  <si>
    <t>Mjetet monetare në fund të periudhës kontabël</t>
  </si>
  <si>
    <t>Leke</t>
  </si>
  <si>
    <t xml:space="preserve">Vlera monetare ne banke </t>
  </si>
  <si>
    <t>512</t>
  </si>
  <si>
    <t xml:space="preserve">Arka </t>
  </si>
  <si>
    <t>Amortizime dhe zhveresimi</t>
  </si>
  <si>
    <t xml:space="preserve">Instalime ,makineri ,pajisje pune </t>
  </si>
  <si>
    <t xml:space="preserve">Mjete transporti </t>
  </si>
  <si>
    <t xml:space="preserve">Hua nga banka  </t>
  </si>
  <si>
    <t xml:space="preserve">Urban Distribution sh.p.k </t>
  </si>
  <si>
    <t>K81318001M</t>
  </si>
  <si>
    <t xml:space="preserve">Hua te tjera afatgjata </t>
  </si>
  <si>
    <t>LIST OF ACCOUNTS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</si>
  <si>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</si>
  <si>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</si>
  <si>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</si>
  <si>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</si>
  <si>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</si>
  <si>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</si>
  <si>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</si>
  <si>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</si>
  <si>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</si>
  <si>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</si>
  <si>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</si>
  <si>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</si>
  <si>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</si>
  <si>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</si>
  <si>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</si>
  <si>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</si>
  <si>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</si>
  <si>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</si>
  <si>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</si>
  <si>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</si>
  <si>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</si>
  <si>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</si>
  <si>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</si>
  <si>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</si>
  <si>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</si>
  <si>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</si>
  <si>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</si>
  <si>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</si>
  <si>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</si>
  <si>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</si>
  <si>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</si>
  <si>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</si>
  <si>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</si>
  <si>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</si>
  <si>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</si>
  <si>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</si>
  <si>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</si>
  <si>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</si>
  <si>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</si>
  <si>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</si>
  <si>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</si>
  <si>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</si>
  <si>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</si>
  <si>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</si>
  <si>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</si>
  <si>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</si>
  <si>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percaktimin e kostos se inventareve eshte zgjedhur metoda "Kosto Mesatare "(SKK 4)</t>
  </si>
  <si>
    <t>C</t>
  </si>
  <si>
    <t xml:space="preserve">Shenime te tjera shpjeguese </t>
  </si>
  <si>
    <t xml:space="preserve">SUBJEKTI </t>
  </si>
  <si>
    <t xml:space="preserve">URBAN DISTRIBUTION SH.P.K </t>
  </si>
  <si>
    <t>Likujditetet jane paraqitur ne bilanc me gjendjen e llogarise bankare ne daten e fundit</t>
  </si>
  <si>
    <t xml:space="preserve">Ngjarje te ndodhura pas dates se bilancit per te cilat behen rregullime apo ngjarje te </t>
  </si>
  <si>
    <t>Gabime materiale te ndodhura ne periudhat kontabel te mepareshme te konstatuara gjate</t>
  </si>
  <si>
    <t>ndodhura pas dates se bilancit per te cilat nuk behen rregulline  nuk ka.</t>
  </si>
  <si>
    <t xml:space="preserve">     Kuadri kontabel i aplikuar : Standartet Kombetare te Kontabilitetit ne Shqiperi.(SKK 2; 49)</t>
  </si>
  <si>
    <t>(  Mbështetur në Ligjin nr.9228,datë 29.04.2004 "Për Kontabilitetin dhe Pasqyrat</t>
  </si>
  <si>
    <t>PASQYRAT  FINANCIARE</t>
  </si>
  <si>
    <t xml:space="preserve">- Emri  </t>
  </si>
  <si>
    <t>- NIPT</t>
  </si>
  <si>
    <t xml:space="preserve">- Adresa </t>
  </si>
  <si>
    <t xml:space="preserve">- Data e krijimit </t>
  </si>
  <si>
    <t xml:space="preserve">- Nr.Regj.Tregtar </t>
  </si>
  <si>
    <t xml:space="preserve">- Pasqyrat Financiare </t>
  </si>
  <si>
    <t xml:space="preserve">Individuale </t>
  </si>
  <si>
    <t>□</t>
  </si>
  <si>
    <t xml:space="preserve">Te konsoliduara </t>
  </si>
  <si>
    <t xml:space="preserve">- Monedha  </t>
  </si>
  <si>
    <t xml:space="preserve">- Rrumbullakimi </t>
  </si>
  <si>
    <t xml:space="preserve">Nga </t>
  </si>
  <si>
    <t xml:space="preserve">Leke </t>
  </si>
  <si>
    <t>Të dhëna identifikuese</t>
  </si>
  <si>
    <t xml:space="preserve">Të dhëna të tjera </t>
  </si>
  <si>
    <t>- Periudha kontabël</t>
  </si>
  <si>
    <t xml:space="preserve">- Fusha e veprimtarisë </t>
  </si>
  <si>
    <t>- Data e plotësimit të PF</t>
  </si>
  <si>
    <t>Tregtim me shumicë dhe pakicë</t>
  </si>
  <si>
    <t>instalim,mirëmbajtje,furnizim dhe riparim i distributorëve</t>
  </si>
  <si>
    <t>Rr. e re e Rinasit,servis OMCN</t>
  </si>
  <si>
    <t xml:space="preserve">Berxull,Tirane </t>
  </si>
  <si>
    <t>Pozicioni me 31 dhjetor 2010</t>
  </si>
  <si>
    <t>29 Janar 2008</t>
  </si>
  <si>
    <t>Nr</t>
  </si>
  <si>
    <t>Sasia</t>
  </si>
  <si>
    <t>Gjendje</t>
  </si>
  <si>
    <t>Shtesa</t>
  </si>
  <si>
    <t>Pakesime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</si>
  <si>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</si>
  <si>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</si>
  <si>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</si>
  <si>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</si>
  <si>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</si>
  <si>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</si>
  <si>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</si>
  <si>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</si>
  <si>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</si>
  <si>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</si>
  <si>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</si>
  <si>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</si>
  <si>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</si>
  <si>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</si>
  <si>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</si>
  <si>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</si>
  <si>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</si>
  <si>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</si>
  <si>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</si>
  <si>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</si>
  <si>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>Kafe Ciald</t>
  </si>
  <si>
    <t>Lupo kek</t>
  </si>
  <si>
    <t>Biskolate</t>
  </si>
  <si>
    <t>VITI 2012</t>
  </si>
  <si>
    <t>01.01.2012</t>
  </si>
  <si>
    <t>Deri 31.12.2012</t>
  </si>
  <si>
    <t>Periudha :01/01/2012-31/12/2012</t>
  </si>
  <si>
    <t>Viti raportues  2012</t>
  </si>
  <si>
    <t>Viti paraardhes  2011</t>
  </si>
  <si>
    <t>Viti raportues 2012</t>
  </si>
  <si>
    <t>Viti paraardhes 2011</t>
  </si>
  <si>
    <t>Periudha :01/01/2012  -    31/12/2012</t>
  </si>
  <si>
    <t>Pozicioni me 31 dhjetor 2012</t>
  </si>
  <si>
    <t>Pasqyra  e  Ndryshimeve  ne  Kapital  2012</t>
  </si>
  <si>
    <t>Viti 2012</t>
  </si>
  <si>
    <t>Gjendje magazine mallra dhe materiale 31/12/2012</t>
  </si>
  <si>
    <t>B-52</t>
  </si>
  <si>
    <t>Mini kakao</t>
  </si>
  <si>
    <t>Molto qershi</t>
  </si>
  <si>
    <t>Molto kakao</t>
  </si>
  <si>
    <t>Patatina Lays</t>
  </si>
  <si>
    <t>Coca Cola</t>
  </si>
  <si>
    <t>Biskota Crakers</t>
  </si>
  <si>
    <t>Bake rolls spinaq</t>
  </si>
  <si>
    <t>Bake rolls hudher</t>
  </si>
  <si>
    <t>Inventari i mjeteve te transportit deri ne date 31/12/2012</t>
  </si>
  <si>
    <t>OK</t>
  </si>
  <si>
    <t>Nr.</t>
  </si>
  <si>
    <t>Emertimi I Bankes</t>
  </si>
  <si>
    <t>Numri i llogarise</t>
  </si>
  <si>
    <t>Lloji monedhes</t>
  </si>
  <si>
    <t>Gjendje 31.12.2012</t>
  </si>
  <si>
    <t>Raiffaisen Bank</t>
  </si>
  <si>
    <t>Euro</t>
  </si>
  <si>
    <t>0003911978</t>
  </si>
  <si>
    <t>0002911978</t>
  </si>
  <si>
    <t>Credins Bank</t>
  </si>
  <si>
    <t>00000145575</t>
  </si>
  <si>
    <t>00000145573</t>
  </si>
  <si>
    <t xml:space="preserve">Administratori </t>
  </si>
  <si>
    <t xml:space="preserve">              Pasqyra e gjendjes se Bankave per vitin 2012</t>
  </si>
  <si>
    <t>Procredit Bank</t>
  </si>
  <si>
    <t>Union Bank</t>
  </si>
  <si>
    <t>14-845593-00-01</t>
  </si>
  <si>
    <t>S H E N I M E T          S H P J E G U E S E</t>
  </si>
  <si>
    <t>Viti  2012</t>
  </si>
  <si>
    <t>Shitje pjese kembimi</t>
  </si>
  <si>
    <t>Ndrysh.gjend.i pjese kembimi</t>
  </si>
  <si>
    <t xml:space="preserve"> te vitit pra me 31.12.2012,dhe perputhen me ekstraktet e bankes dhe gjendjen e arkes </t>
  </si>
  <si>
    <t>paraqitet me koston e marrjes ku kemi materiale te para,mallra,pjese kembimi dhe inventar te imet</t>
  </si>
  <si>
    <t>Gjendja e inventarit te mallrave  ne bilanc eshte ne shumen  2095752.31 leke dhe</t>
  </si>
  <si>
    <t xml:space="preserve">tatim fitimi gjithsej ne vitin 2012 eshte 330 684.87 leke  dhe 1 640 525 llogari ne pritje (tvsh kreditore qe </t>
  </si>
  <si>
    <t>Te tjera kerkesa rezulton me saldo debitore per shumen 2 571 248 leke e cila perbehet nga :</t>
  </si>
  <si>
    <t>Shteti tatim taksa perbehet nga Tatim mbi te ardhurat nga punesimi llogaritur ne Dhjetor 2012</t>
  </si>
  <si>
    <t xml:space="preserve">dhe paguar ne Janar 2013 per shumen 23 810 dhe sigurime shoq&amp;shend per shumen 72 010 leke </t>
  </si>
  <si>
    <t>dhe TVSH per tu paguar ne shumen 104 054 leke</t>
  </si>
  <si>
    <t>Aktivet Afatgjata Materiale  me vlere fillestare   2012</t>
  </si>
  <si>
    <t>Amortizimi A.A.Materiale   2012</t>
  </si>
  <si>
    <t>Vlera Kontabel Neto e A.A.Materiale  2012</t>
  </si>
  <si>
    <t xml:space="preserve">Personeli persona perbehet nga Pagat e llogaritura gjate vitit 2011 dhe 2012 </t>
  </si>
  <si>
    <t xml:space="preserve">Pasqyra e fluksit monetar - Metoda indirekte </t>
  </si>
  <si>
    <t>Fitimi para tatimit</t>
  </si>
  <si>
    <t>Rregullime për:</t>
  </si>
  <si>
    <t xml:space="preserve">       Amortizimin</t>
  </si>
  <si>
    <t xml:space="preserve">      Humbje nga këmbimet valutore</t>
  </si>
  <si>
    <t xml:space="preserve">      Shpenzimet e shtyra</t>
  </si>
  <si>
    <t xml:space="preserve">      Shpenzime për interesa</t>
  </si>
  <si>
    <t>Rritje/rënie në tepricën e kërkesave të arkëtueshme nga  aktiviteti, si dhe kërkesave të arkëtueshme të tjera</t>
  </si>
  <si>
    <t>Rritje/rënie në tepricën inventarit</t>
  </si>
  <si>
    <t>Rritje/rënie në tepricën e detyrimeve, për t’u paguar nga aktiviteti</t>
  </si>
  <si>
    <t>MM të përftuara nga aktivitetet</t>
  </si>
  <si>
    <t>Tatim mbi  fitimin i paguar</t>
  </si>
  <si>
    <t>MM neto nga aktivitetet e shfrytëzimit</t>
  </si>
  <si>
    <t>Blerja e shoqërisë së kontrolluar X minus paratë e arkëtuara</t>
  </si>
  <si>
    <t>Të ardhura nga shitja e pajisjeve</t>
  </si>
  <si>
    <t>MM neto, e përdorur në aktivitetet investuese</t>
  </si>
  <si>
    <t>Fluksi monetar nga veprimtaritë financiare</t>
  </si>
  <si>
    <t>Të ardhura nga emetimi i kapitalit aksionar (kontribute ortaku)</t>
  </si>
  <si>
    <t xml:space="preserve">Dividendët e paguar </t>
  </si>
  <si>
    <t>MM neto e përdorur në aktivitetet financiare</t>
  </si>
  <si>
    <t>Shpenzime te panjohura per vitin 2012</t>
  </si>
  <si>
    <t>Interesi i njohur nga Banka e Shqiperise per vitin 2012 eshte 10.7%</t>
  </si>
  <si>
    <t>Overdrafti Raiffeisen 2.000.000 leke,Credins 3.000.000 leke</t>
  </si>
  <si>
    <t>Ak-invest 5000 euro</t>
  </si>
  <si>
    <t>Shuma e interesave te paguara gjate 2012 eshte 920830 leke</t>
  </si>
  <si>
    <t>5 697 950 * 10.7%</t>
  </si>
  <si>
    <t>920830-609680.7=311149.3</t>
  </si>
  <si>
    <t xml:space="preserve">311149.3 jane shpenzime te panjohura nga tatimet </t>
  </si>
  <si>
    <t>shp te panjohura 22971.3 (gjoba) +311149.3=334120.6</t>
  </si>
  <si>
    <t>28 Mars 2013</t>
  </si>
  <si>
    <t>Normat e interesit te marra nga banka:</t>
  </si>
  <si>
    <t>Credins 18%</t>
  </si>
  <si>
    <t>Ak-Invest 20%</t>
  </si>
  <si>
    <t>Raiffeisen  16.36%</t>
  </si>
  <si>
    <t>Mesatare 18.12%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</si>
</sst>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(* #,##0_);_(* \(#,##0\);_(* &quot;-&quot;??_);_(@_)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.0_);_(* \(#,##0.0\);_(* &quot;-&quot;?_);_(@_)"/>
    <numFmt numFmtId="192" formatCode="#,##0.0_);[Red]\(#,##0.0\)"/>
    <numFmt numFmtId="193" formatCode="#,##0.0"/>
    <numFmt numFmtId="194" formatCode="#,##0.00_);\-#,##0.00"/>
  </numFmts>
  <fonts count="125">
    <font>
      <sz val="10"/>
      <name val="Arial"/>
      <family val="0"/>
    </font>
    <font>
      <sz val="10"/>
      <color indexed="8"/>
      <name val="MS Sans Serif"/>
      <family val="2"/>
    </font>
    <font>
      <sz val="8.5"/>
      <color indexed="8"/>
      <name val="Arial"/>
      <family val="2"/>
    </font>
    <font>
      <b/>
      <sz val="14.05"/>
      <color indexed="8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.95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9"/>
      <color indexed="21"/>
      <name val="Arial"/>
      <family val="2"/>
    </font>
    <font>
      <sz val="8.5"/>
      <color indexed="21"/>
      <name val="Arial"/>
      <family val="2"/>
    </font>
    <font>
      <b/>
      <sz val="9"/>
      <color indexed="21"/>
      <name val="Arial"/>
      <family val="2"/>
    </font>
    <font>
      <sz val="8.5"/>
      <name val="Arial"/>
      <family val="2"/>
    </font>
    <font>
      <sz val="9.95"/>
      <color indexed="8"/>
      <name val="Arial"/>
      <family val="2"/>
    </font>
    <font>
      <i/>
      <sz val="9.95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95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MS Sans Serif"/>
      <family val="2"/>
    </font>
    <font>
      <sz val="7"/>
      <color indexed="8"/>
      <name val="Microsoft Sans Serif"/>
      <family val="2"/>
    </font>
    <font>
      <sz val="12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u val="single"/>
      <sz val="11"/>
      <name val="Arial"/>
      <family val="2"/>
    </font>
    <font>
      <b/>
      <u val="single"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color indexed="21"/>
      <name val="Arial"/>
      <family val="2"/>
    </font>
    <font>
      <b/>
      <sz val="14.05"/>
      <color indexed="8"/>
      <name val="Arial"/>
      <family val="2"/>
    </font>
    <font>
      <sz val="9.85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.95"/>
      <name val="Arial"/>
      <family val="2"/>
    </font>
    <font>
      <sz val="9"/>
      <color indexed="12"/>
      <name val="Arial"/>
      <family val="2"/>
    </font>
    <font>
      <b/>
      <sz val="11.05"/>
      <color indexed="8"/>
      <name val="Arial"/>
      <family val="2"/>
    </font>
    <font>
      <b/>
      <sz val="8.9"/>
      <color indexed="8"/>
      <name val="Arial"/>
      <family val="2"/>
    </font>
    <font>
      <b/>
      <u val="single"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b/>
      <sz val="3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38"/>
      <name val="Times New Roman"/>
      <family val="1"/>
    </font>
    <font>
      <sz val="11.5"/>
      <name val="Times New Roman"/>
      <family val="1"/>
    </font>
    <font>
      <b/>
      <sz val="26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Tahoma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12"/>
      <name val="Garamond"/>
      <family val="1"/>
    </font>
    <font>
      <sz val="10"/>
      <name val="Academy Engraved LET"/>
      <family val="0"/>
    </font>
    <font>
      <sz val="8"/>
      <name val="Academy Engraved LET"/>
      <family val="0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u val="single"/>
      <sz val="8.5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i/>
      <sz val="8.5"/>
      <color indexed="8"/>
      <name val="MS Sans Serif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5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9" tint="-0.24997000396251678"/>
      <name val="Arial"/>
      <family val="2"/>
    </font>
    <font>
      <sz val="10"/>
      <color theme="6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hair"/>
      <bottom style="medium"/>
    </border>
    <border>
      <left style="hair"/>
      <right style="medium"/>
      <top style="hair"/>
      <bottom/>
    </border>
    <border>
      <left style="hair"/>
      <right style="hair"/>
      <top style="hair"/>
      <bottom style="hair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7" fillId="26" borderId="0" applyNumberFormat="0" applyBorder="0" applyAlignment="0" applyProtection="0"/>
    <xf numFmtId="0" fontId="108" fillId="27" borderId="1" applyNumberFormat="0" applyAlignment="0" applyProtection="0"/>
    <xf numFmtId="0" fontId="10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67" fontId="78" fillId="0" borderId="0" applyBorder="0" applyProtection="0">
      <alignment horizontal="left" vertical="top" wrapText="1"/>
    </xf>
    <xf numFmtId="179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5" fillId="30" borderId="1" applyNumberFormat="0" applyAlignment="0" applyProtection="0"/>
    <xf numFmtId="0" fontId="116" fillId="0" borderId="6" applyNumberFormat="0" applyFill="0" applyAlignment="0" applyProtection="0"/>
    <xf numFmtId="0" fontId="11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1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9" applyNumberFormat="0" applyFill="0" applyAlignment="0" applyProtection="0"/>
    <xf numFmtId="0" fontId="122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2" fillId="0" borderId="0" xfId="73" applyNumberFormat="1" applyFont="1" applyFill="1" applyBorder="1" applyAlignment="1" applyProtection="1">
      <alignment horizontal="center"/>
      <protection/>
    </xf>
    <xf numFmtId="0" fontId="7" fillId="0" borderId="10" xfId="73" applyFont="1" applyBorder="1" applyAlignment="1">
      <alignment vertical="center"/>
      <protection/>
    </xf>
    <xf numFmtId="0" fontId="2" fillId="0" borderId="10" xfId="73" applyNumberFormat="1" applyFont="1" applyFill="1" applyBorder="1" applyAlignment="1" applyProtection="1">
      <alignment horizontal="center"/>
      <protection/>
    </xf>
    <xf numFmtId="179" fontId="10" fillId="0" borderId="10" xfId="73" applyNumberFormat="1" applyFont="1" applyFill="1" applyBorder="1" applyAlignment="1" applyProtection="1">
      <alignment/>
      <protection/>
    </xf>
    <xf numFmtId="0" fontId="12" fillId="0" borderId="10" xfId="73" applyFont="1" applyBorder="1">
      <alignment/>
      <protection/>
    </xf>
    <xf numFmtId="0" fontId="13" fillId="0" borderId="10" xfId="73" applyFont="1" applyFill="1" applyBorder="1" applyAlignment="1">
      <alignment horizontal="center"/>
      <protection/>
    </xf>
    <xf numFmtId="0" fontId="15" fillId="0" borderId="10" xfId="73" applyFont="1" applyFill="1" applyBorder="1" applyAlignment="1">
      <alignment horizontal="center"/>
      <protection/>
    </xf>
    <xf numFmtId="0" fontId="17" fillId="0" borderId="10" xfId="73" applyFont="1" applyBorder="1" applyAlignment="1">
      <alignment vertical="center"/>
      <protection/>
    </xf>
    <xf numFmtId="0" fontId="7" fillId="0" borderId="10" xfId="73" applyFont="1" applyBorder="1" applyAlignment="1">
      <alignment horizontal="left" vertical="center"/>
      <protection/>
    </xf>
    <xf numFmtId="179" fontId="0" fillId="0" borderId="10" xfId="42" applyFont="1" applyFill="1" applyBorder="1" applyAlignment="1" applyProtection="1">
      <alignment/>
      <protection/>
    </xf>
    <xf numFmtId="179" fontId="19" fillId="0" borderId="10" xfId="42" applyFont="1" applyFill="1" applyBorder="1" applyAlignment="1" applyProtection="1">
      <alignment/>
      <protection/>
    </xf>
    <xf numFmtId="0" fontId="2" fillId="33" borderId="10" xfId="73" applyNumberFormat="1" applyFont="1" applyFill="1" applyBorder="1" applyAlignment="1" applyProtection="1">
      <alignment horizontal="center"/>
      <protection/>
    </xf>
    <xf numFmtId="0" fontId="18" fillId="0" borderId="11" xfId="0" applyFont="1" applyFill="1" applyBorder="1" applyAlignment="1">
      <alignment/>
    </xf>
    <xf numFmtId="0" fontId="12" fillId="0" borderId="12" xfId="73" applyFont="1" applyBorder="1">
      <alignment/>
      <protection/>
    </xf>
    <xf numFmtId="0" fontId="18" fillId="0" borderId="11" xfId="73" applyFont="1" applyFill="1" applyBorder="1">
      <alignment/>
      <protection/>
    </xf>
    <xf numFmtId="0" fontId="7" fillId="0" borderId="13" xfId="73" applyFont="1" applyBorder="1" applyAlignment="1">
      <alignment horizontal="left" vertical="center"/>
      <protection/>
    </xf>
    <xf numFmtId="0" fontId="7" fillId="0" borderId="14" xfId="73" applyFont="1" applyBorder="1" applyAlignment="1">
      <alignment horizontal="left" vertical="center"/>
      <protection/>
    </xf>
    <xf numFmtId="0" fontId="7" fillId="0" borderId="11" xfId="73" applyFont="1" applyBorder="1" applyAlignment="1">
      <alignment vertical="center"/>
      <protection/>
    </xf>
    <xf numFmtId="0" fontId="7" fillId="0" borderId="13" xfId="73" applyFont="1" applyBorder="1" applyAlignment="1">
      <alignment vertical="center"/>
      <protection/>
    </xf>
    <xf numFmtId="0" fontId="18" fillId="0" borderId="14" xfId="73" applyFont="1" applyBorder="1">
      <alignment/>
      <protection/>
    </xf>
    <xf numFmtId="0" fontId="12" fillId="0" borderId="15" xfId="73" applyFont="1" applyBorder="1">
      <alignment/>
      <protection/>
    </xf>
    <xf numFmtId="0" fontId="12" fillId="0" borderId="16" xfId="73" applyFont="1" applyBorder="1">
      <alignment/>
      <protection/>
    </xf>
    <xf numFmtId="0" fontId="18" fillId="0" borderId="15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2" xfId="73" applyFont="1" applyFill="1" applyBorder="1">
      <alignment/>
      <protection/>
    </xf>
    <xf numFmtId="0" fontId="7" fillId="0" borderId="11" xfId="73" applyFont="1" applyBorder="1" applyAlignment="1">
      <alignment horizontal="left" vertical="center"/>
      <protection/>
    </xf>
    <xf numFmtId="0" fontId="17" fillId="0" borderId="11" xfId="73" applyFont="1" applyBorder="1" applyAlignment="1">
      <alignment horizontal="left" vertical="center"/>
      <protection/>
    </xf>
    <xf numFmtId="0" fontId="17" fillId="0" borderId="16" xfId="73" applyFont="1" applyBorder="1" applyAlignment="1">
      <alignment horizontal="left" vertical="center"/>
      <protection/>
    </xf>
    <xf numFmtId="0" fontId="12" fillId="0" borderId="10" xfId="73" applyFont="1" applyFill="1" applyBorder="1" applyAlignment="1">
      <alignment horizontal="center"/>
      <protection/>
    </xf>
    <xf numFmtId="0" fontId="12" fillId="0" borderId="10" xfId="73" applyNumberFormat="1" applyFont="1" applyFill="1" applyBorder="1" applyAlignment="1" applyProtection="1">
      <alignment horizontal="center"/>
      <protection/>
    </xf>
    <xf numFmtId="0" fontId="18" fillId="0" borderId="12" xfId="0" applyFont="1" applyBorder="1" applyAlignment="1">
      <alignment/>
    </xf>
    <xf numFmtId="0" fontId="0" fillId="0" borderId="0" xfId="0" applyBorder="1" applyAlignment="1">
      <alignment/>
    </xf>
    <xf numFmtId="0" fontId="12" fillId="0" borderId="11" xfId="73" applyFont="1" applyBorder="1">
      <alignment/>
      <protection/>
    </xf>
    <xf numFmtId="0" fontId="2" fillId="0" borderId="16" xfId="73" applyNumberFormat="1" applyFont="1" applyFill="1" applyBorder="1" applyAlignment="1" applyProtection="1">
      <alignment horizontal="center"/>
      <protection/>
    </xf>
    <xf numFmtId="0" fontId="18" fillId="0" borderId="11" xfId="73" applyFont="1" applyFill="1" applyBorder="1" applyAlignment="1">
      <alignment horizontal="right"/>
      <protection/>
    </xf>
    <xf numFmtId="0" fontId="18" fillId="0" borderId="10" xfId="73" applyFont="1" applyFill="1" applyBorder="1" applyAlignment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9" fontId="16" fillId="0" borderId="0" xfId="0" applyNumberFormat="1" applyFont="1" applyAlignment="1">
      <alignment horizontal="right" vertical="center"/>
    </xf>
    <xf numFmtId="39" fontId="7" fillId="0" borderId="0" xfId="0" applyNumberFormat="1" applyFont="1" applyAlignment="1">
      <alignment horizontal="righ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>
      <alignment/>
      <protection/>
    </xf>
    <xf numFmtId="179" fontId="0" fillId="0" borderId="0" xfId="0" applyNumberForma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30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18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3" fontId="22" fillId="0" borderId="21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3" fontId="22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vertical="center"/>
    </xf>
    <xf numFmtId="0" fontId="4" fillId="0" borderId="32" xfId="0" applyFont="1" applyBorder="1" applyAlignment="1">
      <alignment/>
    </xf>
    <xf numFmtId="0" fontId="32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2" xfId="0" applyBorder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wrapText="1"/>
    </xf>
    <xf numFmtId="0" fontId="31" fillId="0" borderId="0" xfId="0" applyFont="1" applyFill="1" applyAlignment="1">
      <alignment/>
    </xf>
    <xf numFmtId="49" fontId="36" fillId="0" borderId="1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13" fillId="0" borderId="10" xfId="73" applyNumberFormat="1" applyFont="1" applyFill="1" applyBorder="1" applyAlignment="1" applyProtection="1">
      <alignment horizontal="center"/>
      <protection/>
    </xf>
    <xf numFmtId="179" fontId="38" fillId="0" borderId="10" xfId="42" applyFont="1" applyFill="1" applyBorder="1" applyAlignment="1" applyProtection="1">
      <alignment/>
      <protection/>
    </xf>
    <xf numFmtId="0" fontId="7" fillId="0" borderId="43" xfId="73" applyFont="1" applyBorder="1" applyAlignment="1">
      <alignment horizontal="center" vertical="center"/>
      <protection/>
    </xf>
    <xf numFmtId="0" fontId="2" fillId="0" borderId="44" xfId="73" applyNumberFormat="1" applyFont="1" applyFill="1" applyBorder="1" applyAlignment="1" applyProtection="1">
      <alignment horizontal="center"/>
      <protection/>
    </xf>
    <xf numFmtId="0" fontId="8" fillId="0" borderId="44" xfId="73" applyNumberFormat="1" applyFont="1" applyFill="1" applyBorder="1" applyAlignment="1" applyProtection="1">
      <alignment/>
      <protection/>
    </xf>
    <xf numFmtId="1" fontId="7" fillId="0" borderId="45" xfId="73" applyNumberFormat="1" applyFont="1" applyBorder="1" applyAlignment="1">
      <alignment horizontal="center" vertical="center"/>
      <protection/>
    </xf>
    <xf numFmtId="179" fontId="10" fillId="0" borderId="46" xfId="73" applyNumberFormat="1" applyFont="1" applyFill="1" applyBorder="1" applyAlignment="1" applyProtection="1">
      <alignment/>
      <protection/>
    </xf>
    <xf numFmtId="179" fontId="12" fillId="0" borderId="46" xfId="42" applyFont="1" applyFill="1" applyBorder="1" applyAlignment="1" applyProtection="1">
      <alignment/>
      <protection/>
    </xf>
    <xf numFmtId="179" fontId="9" fillId="0" borderId="46" xfId="73" applyNumberFormat="1" applyFont="1" applyFill="1" applyBorder="1" applyAlignment="1" applyProtection="1">
      <alignment/>
      <protection/>
    </xf>
    <xf numFmtId="0" fontId="16" fillId="0" borderId="45" xfId="73" applyFont="1" applyBorder="1" applyAlignment="1">
      <alignment horizontal="right" vertical="center"/>
      <protection/>
    </xf>
    <xf numFmtId="0" fontId="7" fillId="0" borderId="45" xfId="73" applyFont="1" applyBorder="1" applyAlignment="1">
      <alignment horizontal="left" vertical="center"/>
      <protection/>
    </xf>
    <xf numFmtId="179" fontId="12" fillId="0" borderId="46" xfId="73" applyNumberFormat="1" applyFont="1" applyFill="1" applyBorder="1" applyAlignment="1" applyProtection="1">
      <alignment/>
      <protection/>
    </xf>
    <xf numFmtId="0" fontId="12" fillId="0" borderId="46" xfId="73" applyNumberFormat="1" applyFont="1" applyFill="1" applyBorder="1" applyAlignment="1" applyProtection="1">
      <alignment/>
      <protection/>
    </xf>
    <xf numFmtId="0" fontId="9" fillId="0" borderId="46" xfId="73" applyNumberFormat="1" applyFont="1" applyFill="1" applyBorder="1" applyAlignment="1" applyProtection="1">
      <alignment/>
      <protection/>
    </xf>
    <xf numFmtId="0" fontId="24" fillId="33" borderId="47" xfId="73" applyFont="1" applyFill="1" applyBorder="1" applyAlignment="1">
      <alignment horizontal="left" vertical="center"/>
      <protection/>
    </xf>
    <xf numFmtId="0" fontId="7" fillId="0" borderId="45" xfId="73" applyFont="1" applyBorder="1" applyAlignment="1">
      <alignment horizontal="center" vertical="center"/>
      <protection/>
    </xf>
    <xf numFmtId="1" fontId="14" fillId="0" borderId="45" xfId="73" applyNumberFormat="1" applyFont="1" applyBorder="1" applyAlignment="1">
      <alignment horizontal="center" vertical="center"/>
      <protection/>
    </xf>
    <xf numFmtId="0" fontId="24" fillId="33" borderId="48" xfId="73" applyFont="1" applyFill="1" applyBorder="1" applyAlignment="1">
      <alignment horizontal="left" vertical="center"/>
      <protection/>
    </xf>
    <xf numFmtId="0" fontId="2" fillId="33" borderId="21" xfId="73" applyNumberFormat="1" applyFont="1" applyFill="1" applyBorder="1" applyAlignment="1" applyProtection="1">
      <alignment horizontal="center"/>
      <protection/>
    </xf>
    <xf numFmtId="0" fontId="8" fillId="0" borderId="0" xfId="73" applyNumberFormat="1" applyFont="1" applyFill="1" applyBorder="1" applyAlignment="1" applyProtection="1">
      <alignment/>
      <protection/>
    </xf>
    <xf numFmtId="0" fontId="2" fillId="0" borderId="0" xfId="73" applyNumberFormat="1" applyFont="1" applyFill="1" applyBorder="1" applyAlignment="1" applyProtection="1">
      <alignment/>
      <protection/>
    </xf>
    <xf numFmtId="0" fontId="21" fillId="0" borderId="0" xfId="73" applyFont="1" applyAlignment="1">
      <alignment horizontal="left" vertical="center"/>
      <protection/>
    </xf>
    <xf numFmtId="0" fontId="9" fillId="0" borderId="0" xfId="73" applyNumberFormat="1" applyFont="1" applyFill="1" applyBorder="1" applyAlignment="1" applyProtection="1">
      <alignment/>
      <protection/>
    </xf>
    <xf numFmtId="0" fontId="21" fillId="0" borderId="43" xfId="73" applyFont="1" applyBorder="1" applyAlignment="1">
      <alignment horizontal="right" vertical="center"/>
      <protection/>
    </xf>
    <xf numFmtId="0" fontId="40" fillId="0" borderId="49" xfId="73" applyFont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9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38" fillId="0" borderId="10" xfId="0" applyFont="1" applyBorder="1" applyAlignment="1">
      <alignment/>
    </xf>
    <xf numFmtId="179" fontId="12" fillId="0" borderId="10" xfId="42" applyFont="1" applyFill="1" applyBorder="1" applyAlignment="1">
      <alignment/>
    </xf>
    <xf numFmtId="0" fontId="42" fillId="0" borderId="10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43" fillId="0" borderId="45" xfId="0" applyFont="1" applyBorder="1" applyAlignment="1">
      <alignment/>
    </xf>
    <xf numFmtId="0" fontId="43" fillId="0" borderId="45" xfId="0" applyFont="1" applyFill="1" applyBorder="1" applyAlignment="1">
      <alignment/>
    </xf>
    <xf numFmtId="0" fontId="43" fillId="0" borderId="45" xfId="0" applyFont="1" applyBorder="1" applyAlignment="1">
      <alignment horizontal="left"/>
    </xf>
    <xf numFmtId="179" fontId="42" fillId="0" borderId="46" xfId="42" applyFont="1" applyFill="1" applyBorder="1" applyAlignment="1" applyProtection="1">
      <alignment/>
      <protection/>
    </xf>
    <xf numFmtId="0" fontId="7" fillId="33" borderId="50" xfId="0" applyFont="1" applyFill="1" applyBorder="1" applyAlignment="1">
      <alignment vertical="center"/>
    </xf>
    <xf numFmtId="0" fontId="45" fillId="0" borderId="0" xfId="0" applyNumberFormat="1" applyFont="1" applyFill="1" applyBorder="1" applyAlignment="1" applyProtection="1">
      <alignment/>
      <protection/>
    </xf>
    <xf numFmtId="0" fontId="45" fillId="0" borderId="0" xfId="0" applyFont="1" applyAlignment="1">
      <alignment horizontal="right" vertical="center"/>
    </xf>
    <xf numFmtId="0" fontId="46" fillId="0" borderId="0" xfId="0" applyNumberFormat="1" applyFont="1" applyFill="1" applyBorder="1" applyAlignment="1" applyProtection="1">
      <alignment/>
      <protection/>
    </xf>
    <xf numFmtId="0" fontId="45" fillId="0" borderId="43" xfId="0" applyFont="1" applyBorder="1" applyAlignment="1">
      <alignment horizontal="right" vertical="center"/>
    </xf>
    <xf numFmtId="0" fontId="45" fillId="0" borderId="49" xfId="0" applyFont="1" applyBorder="1" applyAlignment="1">
      <alignment horizontal="center" vertical="center"/>
    </xf>
    <xf numFmtId="0" fontId="45" fillId="0" borderId="45" xfId="0" applyFont="1" applyBorder="1" applyAlignment="1">
      <alignment horizontal="right" vertical="center"/>
    </xf>
    <xf numFmtId="0" fontId="43" fillId="0" borderId="45" xfId="0" applyFont="1" applyBorder="1" applyAlignment="1">
      <alignment horizontal="left" vertical="center"/>
    </xf>
    <xf numFmtId="0" fontId="18" fillId="0" borderId="45" xfId="0" applyFont="1" applyBorder="1" applyAlignment="1">
      <alignment/>
    </xf>
    <xf numFmtId="0" fontId="45" fillId="0" borderId="45" xfId="0" applyFont="1" applyFill="1" applyBorder="1" applyAlignment="1">
      <alignment horizontal="right" vertical="center"/>
    </xf>
    <xf numFmtId="0" fontId="45" fillId="0" borderId="45" xfId="0" applyNumberFormat="1" applyFont="1" applyFill="1" applyBorder="1" applyAlignment="1" applyProtection="1">
      <alignment horizontal="right"/>
      <protection/>
    </xf>
    <xf numFmtId="0" fontId="45" fillId="33" borderId="49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/>
    </xf>
    <xf numFmtId="0" fontId="23" fillId="0" borderId="0" xfId="0" applyFont="1" applyAlignment="1">
      <alignment/>
    </xf>
    <xf numFmtId="179" fontId="0" fillId="0" borderId="0" xfId="0" applyNumberFormat="1" applyAlignment="1">
      <alignment/>
    </xf>
    <xf numFmtId="179" fontId="0" fillId="0" borderId="44" xfId="42" applyFont="1" applyFill="1" applyBorder="1" applyAlignment="1" applyProtection="1">
      <alignment/>
      <protection/>
    </xf>
    <xf numFmtId="179" fontId="19" fillId="33" borderId="50" xfId="42" applyFont="1" applyFill="1" applyBorder="1" applyAlignment="1" applyProtection="1">
      <alignment/>
      <protection/>
    </xf>
    <xf numFmtId="179" fontId="12" fillId="0" borderId="10" xfId="42" applyFont="1" applyBorder="1" applyAlignment="1">
      <alignment/>
    </xf>
    <xf numFmtId="179" fontId="12" fillId="0" borderId="10" xfId="42" applyFont="1" applyFill="1" applyBorder="1" applyAlignment="1" applyProtection="1">
      <alignment/>
      <protection/>
    </xf>
    <xf numFmtId="179" fontId="12" fillId="0" borderId="10" xfId="42" applyFont="1" applyBorder="1" applyAlignment="1">
      <alignment vertical="center"/>
    </xf>
    <xf numFmtId="0" fontId="12" fillId="0" borderId="45" xfId="0" applyFont="1" applyBorder="1" applyAlignment="1">
      <alignment/>
    </xf>
    <xf numFmtId="0" fontId="43" fillId="0" borderId="11" xfId="73" applyFont="1" applyBorder="1" applyAlignment="1">
      <alignment horizontal="right" vertical="center"/>
      <protection/>
    </xf>
    <xf numFmtId="0" fontId="9" fillId="0" borderId="10" xfId="73" applyNumberFormat="1" applyFont="1" applyFill="1" applyBorder="1" applyAlignment="1" applyProtection="1">
      <alignment horizontal="center"/>
      <protection/>
    </xf>
    <xf numFmtId="0" fontId="51" fillId="34" borderId="51" xfId="73" applyNumberFormat="1" applyFont="1" applyFill="1" applyBorder="1" applyAlignment="1" applyProtection="1">
      <alignment horizontal="center"/>
      <protection/>
    </xf>
    <xf numFmtId="0" fontId="12" fillId="0" borderId="10" xfId="73" applyFont="1" applyBorder="1" applyAlignment="1">
      <alignment vertical="center"/>
      <protection/>
    </xf>
    <xf numFmtId="186" fontId="23" fillId="0" borderId="46" xfId="73" applyNumberFormat="1" applyFont="1" applyFill="1" applyBorder="1" applyAlignment="1" applyProtection="1">
      <alignment/>
      <protection/>
    </xf>
    <xf numFmtId="0" fontId="12" fillId="0" borderId="12" xfId="73" applyFont="1" applyBorder="1" applyAlignment="1">
      <alignment vertical="center"/>
      <protection/>
    </xf>
    <xf numFmtId="0" fontId="52" fillId="0" borderId="45" xfId="73" applyFont="1" applyBorder="1" applyAlignment="1">
      <alignment horizontal="right" vertical="center"/>
      <protection/>
    </xf>
    <xf numFmtId="0" fontId="22" fillId="0" borderId="45" xfId="73" applyFont="1" applyBorder="1" applyAlignment="1">
      <alignment horizontal="right" vertical="center"/>
      <protection/>
    </xf>
    <xf numFmtId="0" fontId="17" fillId="0" borderId="14" xfId="73" applyFont="1" applyBorder="1" applyAlignment="1">
      <alignment vertical="center"/>
      <protection/>
    </xf>
    <xf numFmtId="186" fontId="12" fillId="0" borderId="46" xfId="73" applyNumberFormat="1" applyFont="1" applyFill="1" applyBorder="1" applyAlignment="1" applyProtection="1">
      <alignment/>
      <protection/>
    </xf>
    <xf numFmtId="0" fontId="24" fillId="0" borderId="45" xfId="73" applyFont="1" applyBorder="1" applyAlignment="1">
      <alignment horizontal="left" vertical="center"/>
      <protection/>
    </xf>
    <xf numFmtId="0" fontId="24" fillId="0" borderId="10" xfId="73" applyFont="1" applyBorder="1" applyAlignment="1">
      <alignment horizontal="left" vertical="center"/>
      <protection/>
    </xf>
    <xf numFmtId="179" fontId="53" fillId="0" borderId="46" xfId="73" applyNumberFormat="1" applyFont="1" applyFill="1" applyBorder="1" applyAlignment="1" applyProtection="1">
      <alignment/>
      <protection/>
    </xf>
    <xf numFmtId="0" fontId="8" fillId="0" borderId="45" xfId="73" applyNumberFormat="1" applyFont="1" applyFill="1" applyBorder="1" applyAlignment="1" applyProtection="1">
      <alignment/>
      <protection/>
    </xf>
    <xf numFmtId="0" fontId="24" fillId="33" borderId="10" xfId="73" applyFont="1" applyFill="1" applyBorder="1" applyAlignment="1">
      <alignment horizontal="left" vertical="center"/>
      <protection/>
    </xf>
    <xf numFmtId="179" fontId="19" fillId="33" borderId="46" xfId="73" applyNumberFormat="1" applyFont="1" applyFill="1" applyBorder="1" applyAlignment="1" applyProtection="1">
      <alignment/>
      <protection/>
    </xf>
    <xf numFmtId="0" fontId="24" fillId="0" borderId="48" xfId="73" applyFont="1" applyBorder="1" applyAlignment="1">
      <alignment horizontal="left" vertical="center"/>
      <protection/>
    </xf>
    <xf numFmtId="0" fontId="24" fillId="33" borderId="21" xfId="73" applyFont="1" applyFill="1" applyBorder="1" applyAlignment="1">
      <alignment horizontal="left" vertical="center"/>
      <protection/>
    </xf>
    <xf numFmtId="0" fontId="0" fillId="35" borderId="0" xfId="0" applyFill="1" applyAlignment="1">
      <alignment/>
    </xf>
    <xf numFmtId="0" fontId="54" fillId="0" borderId="0" xfId="73" applyFont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54" fillId="0" borderId="0" xfId="73" applyFont="1" applyAlignment="1">
      <alignment horizontal="left" vertical="center"/>
      <protection/>
    </xf>
    <xf numFmtId="0" fontId="0" fillId="0" borderId="20" xfId="64" applyBorder="1">
      <alignment/>
      <protection/>
    </xf>
    <xf numFmtId="0" fontId="0" fillId="0" borderId="30" xfId="64" applyBorder="1">
      <alignment/>
      <protection/>
    </xf>
    <xf numFmtId="0" fontId="0" fillId="0" borderId="31" xfId="64" applyBorder="1">
      <alignment/>
      <protection/>
    </xf>
    <xf numFmtId="0" fontId="0" fillId="0" borderId="0" xfId="64">
      <alignment/>
      <protection/>
    </xf>
    <xf numFmtId="0" fontId="0" fillId="0" borderId="0" xfId="64" applyAlignment="1">
      <alignment vertical="center"/>
      <protection/>
    </xf>
    <xf numFmtId="0" fontId="4" fillId="0" borderId="32" xfId="64" applyFont="1" applyBorder="1">
      <alignment/>
      <protection/>
    </xf>
    <xf numFmtId="0" fontId="32" fillId="0" borderId="34" xfId="64" applyFont="1" applyBorder="1" applyAlignment="1">
      <alignment horizontal="center"/>
      <protection/>
    </xf>
    <xf numFmtId="0" fontId="4" fillId="0" borderId="36" xfId="64" applyFont="1" applyBorder="1">
      <alignment/>
      <protection/>
    </xf>
    <xf numFmtId="0" fontId="4" fillId="0" borderId="33" xfId="64" applyFont="1" applyBorder="1">
      <alignment/>
      <protection/>
    </xf>
    <xf numFmtId="0" fontId="4" fillId="0" borderId="0" xfId="64" applyFont="1">
      <alignment/>
      <protection/>
    </xf>
    <xf numFmtId="0" fontId="4" fillId="0" borderId="37" xfId="64" applyFont="1" applyBorder="1">
      <alignment/>
      <protection/>
    </xf>
    <xf numFmtId="0" fontId="4" fillId="0" borderId="38" xfId="64" applyFont="1" applyBorder="1">
      <alignment/>
      <protection/>
    </xf>
    <xf numFmtId="0" fontId="4" fillId="0" borderId="38" xfId="64" applyFont="1" applyBorder="1" applyAlignment="1">
      <alignment/>
      <protection/>
    </xf>
    <xf numFmtId="0" fontId="4" fillId="0" borderId="37" xfId="64" applyFont="1" applyFill="1" applyBorder="1">
      <alignment/>
      <protection/>
    </xf>
    <xf numFmtId="0" fontId="4" fillId="0" borderId="39" xfId="64" applyFont="1" applyBorder="1">
      <alignment/>
      <protection/>
    </xf>
    <xf numFmtId="0" fontId="4" fillId="0" borderId="41" xfId="64" applyFont="1" applyBorder="1">
      <alignment/>
      <protection/>
    </xf>
    <xf numFmtId="0" fontId="0" fillId="0" borderId="32" xfId="64" applyBorder="1">
      <alignment/>
      <protection/>
    </xf>
    <xf numFmtId="0" fontId="0" fillId="0" borderId="0" xfId="64" applyBorder="1">
      <alignment/>
      <protection/>
    </xf>
    <xf numFmtId="0" fontId="0" fillId="0" borderId="33" xfId="64" applyBorder="1">
      <alignment/>
      <protection/>
    </xf>
    <xf numFmtId="0" fontId="56" fillId="0" borderId="0" xfId="64" applyFont="1" applyBorder="1" applyAlignment="1">
      <alignment horizontal="right" vertical="center"/>
      <protection/>
    </xf>
    <xf numFmtId="0" fontId="56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 horizontal="right" vertical="center"/>
      <protection/>
    </xf>
    <xf numFmtId="0" fontId="0" fillId="0" borderId="0" xfId="64" applyFont="1" applyBorder="1" applyAlignment="1">
      <alignment horizontal="right"/>
      <protection/>
    </xf>
    <xf numFmtId="0" fontId="0" fillId="0" borderId="0" xfId="64" applyFont="1" applyFill="1" applyBorder="1">
      <alignment/>
      <protection/>
    </xf>
    <xf numFmtId="0" fontId="0" fillId="0" borderId="0" xfId="64" applyFont="1">
      <alignment/>
      <protection/>
    </xf>
    <xf numFmtId="0" fontId="0" fillId="0" borderId="0" xfId="64" applyFont="1" applyBorder="1">
      <alignment/>
      <protection/>
    </xf>
    <xf numFmtId="0" fontId="0" fillId="0" borderId="32" xfId="64" applyFont="1" applyBorder="1">
      <alignment/>
      <protection/>
    </xf>
    <xf numFmtId="0" fontId="0" fillId="0" borderId="33" xfId="64" applyFont="1" applyBorder="1">
      <alignment/>
      <protection/>
    </xf>
    <xf numFmtId="0" fontId="0" fillId="0" borderId="33" xfId="64" applyBorder="1" applyAlignment="1">
      <alignment horizontal="center"/>
      <protection/>
    </xf>
    <xf numFmtId="0" fontId="0" fillId="0" borderId="14" xfId="64" applyBorder="1">
      <alignment/>
      <protection/>
    </xf>
    <xf numFmtId="0" fontId="0" fillId="0" borderId="15" xfId="64" applyBorder="1">
      <alignment/>
      <protection/>
    </xf>
    <xf numFmtId="0" fontId="0" fillId="0" borderId="42" xfId="64" applyBorder="1">
      <alignment/>
      <protection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left" indent="8"/>
    </xf>
    <xf numFmtId="0" fontId="31" fillId="0" borderId="0" xfId="0" applyFont="1" applyBorder="1" applyAlignment="1">
      <alignment/>
    </xf>
    <xf numFmtId="0" fontId="33" fillId="0" borderId="33" xfId="0" applyFont="1" applyBorder="1" applyAlignment="1">
      <alignment/>
    </xf>
    <xf numFmtId="0" fontId="31" fillId="0" borderId="33" xfId="0" applyFont="1" applyBorder="1" applyAlignment="1">
      <alignment/>
    </xf>
    <xf numFmtId="0" fontId="59" fillId="0" borderId="32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59" fillId="0" borderId="33" xfId="0" applyFont="1" applyBorder="1" applyAlignment="1">
      <alignment/>
    </xf>
    <xf numFmtId="0" fontId="60" fillId="0" borderId="32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33" xfId="0" applyFont="1" applyBorder="1" applyAlignment="1">
      <alignment/>
    </xf>
    <xf numFmtId="0" fontId="59" fillId="0" borderId="0" xfId="0" applyFont="1" applyAlignment="1">
      <alignment/>
    </xf>
    <xf numFmtId="0" fontId="62" fillId="0" borderId="32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33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42" xfId="0" applyFont="1" applyBorder="1" applyAlignment="1">
      <alignment/>
    </xf>
    <xf numFmtId="49" fontId="62" fillId="0" borderId="0" xfId="0" applyNumberFormat="1" applyFont="1" applyBorder="1" applyAlignment="1">
      <alignment/>
    </xf>
    <xf numFmtId="49" fontId="62" fillId="0" borderId="14" xfId="0" applyNumberFormat="1" applyFont="1" applyBorder="1" applyAlignment="1">
      <alignment/>
    </xf>
    <xf numFmtId="49" fontId="62" fillId="0" borderId="15" xfId="0" applyNumberFormat="1" applyFont="1" applyBorder="1" applyAlignment="1">
      <alignment/>
    </xf>
    <xf numFmtId="49" fontId="62" fillId="0" borderId="42" xfId="0" applyNumberFormat="1" applyFont="1" applyBorder="1" applyAlignment="1">
      <alignment horizontal="center"/>
    </xf>
    <xf numFmtId="49" fontId="64" fillId="0" borderId="0" xfId="0" applyNumberFormat="1" applyFont="1" applyBorder="1" applyAlignment="1">
      <alignment/>
    </xf>
    <xf numFmtId="49" fontId="58" fillId="0" borderId="0" xfId="0" applyNumberFormat="1" applyFont="1" applyBorder="1" applyAlignment="1">
      <alignment/>
    </xf>
    <xf numFmtId="0" fontId="63" fillId="0" borderId="32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60" fillId="0" borderId="0" xfId="0" applyFont="1" applyBorder="1" applyAlignment="1">
      <alignment horizontal="right"/>
    </xf>
    <xf numFmtId="49" fontId="58" fillId="0" borderId="32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5" fillId="0" borderId="32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33" xfId="0" applyFont="1" applyBorder="1" applyAlignment="1">
      <alignment horizontal="center"/>
    </xf>
    <xf numFmtId="0" fontId="58" fillId="0" borderId="32" xfId="0" applyFont="1" applyBorder="1" applyAlignment="1">
      <alignment/>
    </xf>
    <xf numFmtId="0" fontId="58" fillId="0" borderId="33" xfId="0" applyFont="1" applyBorder="1" applyAlignment="1">
      <alignment/>
    </xf>
    <xf numFmtId="49" fontId="58" fillId="0" borderId="33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horizontal="center"/>
    </xf>
    <xf numFmtId="49" fontId="58" fillId="0" borderId="33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11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/>
    </xf>
    <xf numFmtId="0" fontId="49" fillId="0" borderId="10" xfId="0" applyFont="1" applyFill="1" applyBorder="1" applyAlignment="1">
      <alignment wrapText="1"/>
    </xf>
    <xf numFmtId="49" fontId="19" fillId="35" borderId="10" xfId="0" applyNumberFormat="1" applyFont="1" applyFill="1" applyBorder="1" applyAlignment="1">
      <alignment horizontal="center"/>
    </xf>
    <xf numFmtId="0" fontId="37" fillId="35" borderId="10" xfId="0" applyFont="1" applyFill="1" applyBorder="1" applyAlignment="1">
      <alignment wrapText="1"/>
    </xf>
    <xf numFmtId="0" fontId="31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/>
    </xf>
    <xf numFmtId="179" fontId="50" fillId="0" borderId="10" xfId="42" applyFont="1" applyFill="1" applyBorder="1" applyAlignment="1">
      <alignment horizontal="center"/>
    </xf>
    <xf numFmtId="179" fontId="19" fillId="0" borderId="10" xfId="42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62" fillId="0" borderId="32" xfId="0" applyNumberFormat="1" applyFont="1" applyBorder="1" applyAlignment="1">
      <alignment horizontal="left"/>
    </xf>
    <xf numFmtId="49" fontId="69" fillId="0" borderId="32" xfId="0" applyNumberFormat="1" applyFont="1" applyBorder="1" applyAlignment="1">
      <alignment horizontal="left"/>
    </xf>
    <xf numFmtId="49" fontId="69" fillId="0" borderId="0" xfId="0" applyNumberFormat="1" applyFont="1" applyBorder="1" applyAlignment="1">
      <alignment horizontal="left"/>
    </xf>
    <xf numFmtId="186" fontId="21" fillId="0" borderId="0" xfId="42" applyNumberFormat="1" applyFont="1" applyAlignment="1">
      <alignment horizontal="left" vertical="center"/>
    </xf>
    <xf numFmtId="186" fontId="2" fillId="0" borderId="0" xfId="42" applyNumberFormat="1" applyFont="1" applyFill="1" applyBorder="1" applyAlignment="1" applyProtection="1">
      <alignment horizontal="center"/>
      <protection/>
    </xf>
    <xf numFmtId="186" fontId="8" fillId="0" borderId="0" xfId="42" applyNumberFormat="1" applyFont="1" applyFill="1" applyBorder="1" applyAlignment="1" applyProtection="1">
      <alignment/>
      <protection/>
    </xf>
    <xf numFmtId="186" fontId="8" fillId="0" borderId="44" xfId="42" applyNumberFormat="1" applyFont="1" applyFill="1" applyBorder="1" applyAlignment="1" applyProtection="1">
      <alignment/>
      <protection/>
    </xf>
    <xf numFmtId="186" fontId="8" fillId="0" borderId="10" xfId="42" applyNumberFormat="1" applyFont="1" applyFill="1" applyBorder="1" applyAlignment="1" applyProtection="1">
      <alignment/>
      <protection/>
    </xf>
    <xf numFmtId="186" fontId="23" fillId="0" borderId="10" xfId="42" applyNumberFormat="1" applyFont="1" applyFill="1" applyBorder="1" applyAlignment="1" applyProtection="1">
      <alignment/>
      <protection/>
    </xf>
    <xf numFmtId="186" fontId="0" fillId="0" borderId="10" xfId="42" applyNumberFormat="1" applyFont="1" applyFill="1" applyBorder="1" applyAlignment="1" applyProtection="1">
      <alignment/>
      <protection/>
    </xf>
    <xf numFmtId="186" fontId="12" fillId="0" borderId="10" xfId="42" applyNumberFormat="1" applyFont="1" applyFill="1" applyBorder="1" applyAlignment="1" applyProtection="1">
      <alignment/>
      <protection/>
    </xf>
    <xf numFmtId="186" fontId="14" fillId="0" borderId="10" xfId="42" applyNumberFormat="1" applyFont="1" applyFill="1" applyBorder="1" applyAlignment="1" applyProtection="1">
      <alignment/>
      <protection/>
    </xf>
    <xf numFmtId="186" fontId="22" fillId="0" borderId="10" xfId="42" applyNumberFormat="1" applyFont="1" applyFill="1" applyBorder="1" applyAlignment="1" applyProtection="1">
      <alignment/>
      <protection/>
    </xf>
    <xf numFmtId="186" fontId="42" fillId="0" borderId="10" xfId="42" applyNumberFormat="1" applyFont="1" applyFill="1" applyBorder="1" applyAlignment="1" applyProtection="1">
      <alignment/>
      <protection/>
    </xf>
    <xf numFmtId="186" fontId="19" fillId="33" borderId="10" xfId="42" applyNumberFormat="1" applyFont="1" applyFill="1" applyBorder="1" applyAlignment="1" applyProtection="1">
      <alignment/>
      <protection/>
    </xf>
    <xf numFmtId="186" fontId="38" fillId="0" borderId="10" xfId="42" applyNumberFormat="1" applyFont="1" applyFill="1" applyBorder="1" applyAlignment="1" applyProtection="1">
      <alignment/>
      <protection/>
    </xf>
    <xf numFmtId="186" fontId="9" fillId="0" borderId="10" xfId="42" applyNumberFormat="1" applyFont="1" applyFill="1" applyBorder="1" applyAlignment="1" applyProtection="1">
      <alignment/>
      <protection/>
    </xf>
    <xf numFmtId="186" fontId="8" fillId="33" borderId="21" xfId="42" applyNumberFormat="1" applyFont="1" applyFill="1" applyBorder="1" applyAlignment="1" applyProtection="1">
      <alignment/>
      <protection/>
    </xf>
    <xf numFmtId="186" fontId="0" fillId="0" borderId="0" xfId="42" applyNumberFormat="1" applyFont="1" applyAlignment="1">
      <alignment/>
    </xf>
    <xf numFmtId="0" fontId="31" fillId="0" borderId="0" xfId="0" applyFont="1" applyBorder="1" applyAlignment="1">
      <alignment horizontal="left" indent="6"/>
    </xf>
    <xf numFmtId="0" fontId="19" fillId="0" borderId="0" xfId="0" applyFont="1" applyBorder="1" applyAlignment="1">
      <alignment horizontal="left" indent="4"/>
    </xf>
    <xf numFmtId="0" fontId="0" fillId="0" borderId="33" xfId="0" applyBorder="1" applyAlignment="1">
      <alignment horizontal="left"/>
    </xf>
    <xf numFmtId="0" fontId="33" fillId="0" borderId="0" xfId="0" applyFont="1" applyBorder="1" applyAlignment="1">
      <alignment horizontal="center"/>
    </xf>
    <xf numFmtId="179" fontId="0" fillId="0" borderId="0" xfId="0" applyNumberFormat="1" applyFill="1" applyAlignment="1">
      <alignment/>
    </xf>
    <xf numFmtId="186" fontId="12" fillId="0" borderId="46" xfId="42" applyNumberFormat="1" applyFont="1" applyFill="1" applyBorder="1" applyAlignment="1" applyProtection="1">
      <alignment/>
      <protection/>
    </xf>
    <xf numFmtId="186" fontId="8" fillId="0" borderId="46" xfId="73" applyNumberFormat="1" applyFont="1" applyFill="1" applyBorder="1" applyAlignment="1" applyProtection="1">
      <alignment/>
      <protection/>
    </xf>
    <xf numFmtId="186" fontId="8" fillId="0" borderId="46" xfId="42" applyNumberFormat="1" applyFont="1" applyFill="1" applyBorder="1" applyAlignment="1" applyProtection="1">
      <alignment/>
      <protection/>
    </xf>
    <xf numFmtId="186" fontId="38" fillId="0" borderId="46" xfId="42" applyNumberFormat="1" applyFont="1" applyFill="1" applyBorder="1" applyAlignment="1" applyProtection="1">
      <alignment/>
      <protection/>
    </xf>
    <xf numFmtId="186" fontId="0" fillId="0" borderId="46" xfId="42" applyNumberFormat="1" applyFont="1" applyFill="1" applyBorder="1" applyAlignment="1" applyProtection="1">
      <alignment/>
      <protection/>
    </xf>
    <xf numFmtId="186" fontId="19" fillId="0" borderId="46" xfId="42" applyNumberFormat="1" applyFont="1" applyFill="1" applyBorder="1" applyAlignment="1" applyProtection="1">
      <alignment/>
      <protection/>
    </xf>
    <xf numFmtId="186" fontId="23" fillId="0" borderId="46" xfId="42" applyNumberFormat="1" applyFont="1" applyFill="1" applyBorder="1" applyAlignment="1" applyProtection="1">
      <alignment/>
      <protection/>
    </xf>
    <xf numFmtId="186" fontId="19" fillId="0" borderId="46" xfId="73" applyNumberFormat="1" applyFont="1" applyFill="1" applyBorder="1" applyAlignment="1" applyProtection="1">
      <alignment/>
      <protection/>
    </xf>
    <xf numFmtId="186" fontId="0" fillId="0" borderId="46" xfId="73" applyNumberFormat="1" applyFont="1" applyFill="1" applyBorder="1" applyAlignment="1" applyProtection="1">
      <alignment/>
      <protection/>
    </xf>
    <xf numFmtId="186" fontId="9" fillId="0" borderId="46" xfId="42" applyNumberFormat="1" applyFont="1" applyFill="1" applyBorder="1" applyAlignment="1" applyProtection="1">
      <alignment/>
      <protection/>
    </xf>
    <xf numFmtId="186" fontId="8" fillId="33" borderId="52" xfId="42" applyNumberFormat="1" applyFont="1" applyFill="1" applyBorder="1" applyAlignment="1" applyProtection="1">
      <alignment/>
      <protection/>
    </xf>
    <xf numFmtId="186" fontId="19" fillId="33" borderId="46" xfId="73" applyNumberFormat="1" applyFont="1" applyFill="1" applyBorder="1" applyAlignment="1" applyProtection="1">
      <alignment/>
      <protection/>
    </xf>
    <xf numFmtId="186" fontId="42" fillId="33" borderId="52" xfId="73" applyNumberFormat="1" applyFont="1" applyFill="1" applyBorder="1" applyAlignment="1" applyProtection="1">
      <alignment/>
      <protection/>
    </xf>
    <xf numFmtId="186" fontId="20" fillId="34" borderId="53" xfId="73" applyNumberFormat="1" applyFont="1" applyFill="1" applyBorder="1" applyAlignment="1" applyProtection="1">
      <alignment/>
      <protection/>
    </xf>
    <xf numFmtId="179" fontId="0" fillId="0" borderId="10" xfId="42" applyFont="1" applyFill="1" applyBorder="1" applyAlignment="1">
      <alignment horizontal="center"/>
    </xf>
    <xf numFmtId="0" fontId="12" fillId="0" borderId="16" xfId="0" applyFont="1" applyBorder="1" applyAlignment="1">
      <alignment/>
    </xf>
    <xf numFmtId="0" fontId="43" fillId="0" borderId="45" xfId="0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center"/>
    </xf>
    <xf numFmtId="179" fontId="50" fillId="0" borderId="10" xfId="42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79" fontId="50" fillId="35" borderId="10" xfId="42" applyFont="1" applyFill="1" applyBorder="1" applyAlignment="1">
      <alignment horizontal="center"/>
    </xf>
    <xf numFmtId="186" fontId="20" fillId="34" borderId="51" xfId="73" applyNumberFormat="1" applyFont="1" applyFill="1" applyBorder="1" applyAlignment="1" applyProtection="1">
      <alignment/>
      <protection/>
    </xf>
    <xf numFmtId="186" fontId="0" fillId="0" borderId="10" xfId="73" applyNumberFormat="1" applyFont="1" applyFill="1" applyBorder="1" applyAlignment="1" applyProtection="1">
      <alignment/>
      <protection/>
    </xf>
    <xf numFmtId="186" fontId="8" fillId="0" borderId="10" xfId="73" applyNumberFormat="1" applyFont="1" applyFill="1" applyBorder="1" applyAlignment="1" applyProtection="1">
      <alignment/>
      <protection/>
    </xf>
    <xf numFmtId="186" fontId="12" fillId="0" borderId="10" xfId="73" applyNumberFormat="1" applyFont="1" applyFill="1" applyBorder="1" applyAlignment="1" applyProtection="1">
      <alignment/>
      <protection/>
    </xf>
    <xf numFmtId="186" fontId="19" fillId="0" borderId="10" xfId="42" applyNumberFormat="1" applyFont="1" applyFill="1" applyBorder="1" applyAlignment="1" applyProtection="1">
      <alignment/>
      <protection/>
    </xf>
    <xf numFmtId="186" fontId="19" fillId="33" borderId="10" xfId="73" applyNumberFormat="1" applyFont="1" applyFill="1" applyBorder="1" applyAlignment="1" applyProtection="1">
      <alignment/>
      <protection/>
    </xf>
    <xf numFmtId="186" fontId="23" fillId="0" borderId="10" xfId="73" applyNumberFormat="1" applyFont="1" applyFill="1" applyBorder="1" applyAlignment="1" applyProtection="1">
      <alignment/>
      <protection/>
    </xf>
    <xf numFmtId="186" fontId="19" fillId="0" borderId="10" xfId="73" applyNumberFormat="1" applyFont="1" applyFill="1" applyBorder="1" applyAlignment="1" applyProtection="1">
      <alignment/>
      <protection/>
    </xf>
    <xf numFmtId="186" fontId="42" fillId="33" borderId="21" xfId="73" applyNumberFormat="1" applyFont="1" applyFill="1" applyBorder="1" applyAlignment="1" applyProtection="1">
      <alignment/>
      <protection/>
    </xf>
    <xf numFmtId="186" fontId="8" fillId="0" borderId="0" xfId="73" applyNumberFormat="1" applyFont="1" applyFill="1" applyBorder="1" applyAlignment="1" applyProtection="1">
      <alignment/>
      <protection/>
    </xf>
    <xf numFmtId="186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ill="1" applyBorder="1" applyAlignment="1" applyProtection="1">
      <alignment/>
      <protection/>
    </xf>
    <xf numFmtId="1" fontId="7" fillId="0" borderId="45" xfId="73" applyNumberFormat="1" applyFont="1" applyFill="1" applyBorder="1" applyAlignment="1">
      <alignment horizontal="center" vertical="center"/>
      <protection/>
    </xf>
    <xf numFmtId="0" fontId="18" fillId="0" borderId="11" xfId="73" applyFont="1" applyFill="1" applyBorder="1" applyAlignment="1">
      <alignment vertical="center"/>
      <protection/>
    </xf>
    <xf numFmtId="0" fontId="12" fillId="0" borderId="12" xfId="73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1" fontId="14" fillId="0" borderId="45" xfId="73" applyNumberFormat="1" applyFont="1" applyFill="1" applyBorder="1" applyAlignment="1">
      <alignment horizontal="center" vertical="center"/>
      <protection/>
    </xf>
    <xf numFmtId="0" fontId="12" fillId="0" borderId="12" xfId="73" applyFont="1" applyFill="1" applyBorder="1">
      <alignment/>
      <protection/>
    </xf>
    <xf numFmtId="0" fontId="7" fillId="0" borderId="10" xfId="73" applyFont="1" applyFill="1" applyBorder="1" applyAlignment="1">
      <alignment vertical="center"/>
      <protection/>
    </xf>
    <xf numFmtId="0" fontId="7" fillId="0" borderId="13" xfId="73" applyFont="1" applyFill="1" applyBorder="1" applyAlignment="1">
      <alignment vertical="center"/>
      <protection/>
    </xf>
    <xf numFmtId="0" fontId="16" fillId="0" borderId="45" xfId="73" applyFont="1" applyFill="1" applyBorder="1" applyAlignment="1">
      <alignment horizontal="right" vertical="center"/>
      <protection/>
    </xf>
    <xf numFmtId="0" fontId="17" fillId="0" borderId="10" xfId="73" applyFont="1" applyFill="1" applyBorder="1" applyAlignment="1">
      <alignment vertical="center"/>
      <protection/>
    </xf>
    <xf numFmtId="0" fontId="7" fillId="0" borderId="45" xfId="73" applyFont="1" applyFill="1" applyBorder="1" applyAlignment="1">
      <alignment horizontal="left" vertical="center"/>
      <protection/>
    </xf>
    <xf numFmtId="0" fontId="7" fillId="0" borderId="10" xfId="73" applyFont="1" applyFill="1" applyBorder="1" applyAlignment="1">
      <alignment horizontal="left" vertical="center"/>
      <protection/>
    </xf>
    <xf numFmtId="0" fontId="44" fillId="0" borderId="10" xfId="73" applyFont="1" applyFill="1" applyBorder="1" applyAlignment="1">
      <alignment vertical="center"/>
      <protection/>
    </xf>
    <xf numFmtId="0" fontId="12" fillId="0" borderId="10" xfId="73" applyFont="1" applyFill="1" applyBorder="1" applyAlignment="1">
      <alignment vertical="center"/>
      <protection/>
    </xf>
    <xf numFmtId="0" fontId="12" fillId="0" borderId="16" xfId="73" applyFont="1" applyFill="1" applyBorder="1">
      <alignment/>
      <protection/>
    </xf>
    <xf numFmtId="0" fontId="52" fillId="0" borderId="45" xfId="73" applyFont="1" applyFill="1" applyBorder="1" applyAlignment="1">
      <alignment horizontal="right" vertical="center"/>
      <protection/>
    </xf>
    <xf numFmtId="0" fontId="17" fillId="0" borderId="13" xfId="73" applyFont="1" applyFill="1" applyBorder="1" applyAlignment="1">
      <alignment vertical="center"/>
      <protection/>
    </xf>
    <xf numFmtId="0" fontId="22" fillId="0" borderId="10" xfId="73" applyFont="1" applyFill="1" applyBorder="1">
      <alignment/>
      <protection/>
    </xf>
    <xf numFmtId="186" fontId="0" fillId="0" borderId="0" xfId="0" applyNumberFormat="1" applyFont="1" applyFill="1" applyAlignment="1">
      <alignment/>
    </xf>
    <xf numFmtId="0" fontId="22" fillId="0" borderId="45" xfId="73" applyFont="1" applyFill="1" applyBorder="1" applyAlignment="1">
      <alignment horizontal="right" vertical="center"/>
      <protection/>
    </xf>
    <xf numFmtId="0" fontId="17" fillId="0" borderId="11" xfId="73" applyFont="1" applyFill="1" applyBorder="1" applyAlignment="1">
      <alignment vertical="center"/>
      <protection/>
    </xf>
    <xf numFmtId="0" fontId="12" fillId="0" borderId="10" xfId="73" applyFont="1" applyFill="1" applyBorder="1">
      <alignment/>
      <protection/>
    </xf>
    <xf numFmtId="0" fontId="11" fillId="0" borderId="45" xfId="73" applyFont="1" applyFill="1" applyBorder="1">
      <alignment/>
      <protection/>
    </xf>
    <xf numFmtId="0" fontId="31" fillId="0" borderId="45" xfId="73" applyFont="1" applyFill="1" applyBorder="1">
      <alignment/>
      <protection/>
    </xf>
    <xf numFmtId="0" fontId="7" fillId="0" borderId="13" xfId="73" applyFont="1" applyFill="1" applyBorder="1" applyAlignment="1">
      <alignment horizontal="left" vertical="center"/>
      <protection/>
    </xf>
    <xf numFmtId="0" fontId="18" fillId="0" borderId="14" xfId="73" applyFont="1" applyFill="1" applyBorder="1">
      <alignment/>
      <protection/>
    </xf>
    <xf numFmtId="0" fontId="20" fillId="0" borderId="45" xfId="73" applyFont="1" applyFill="1" applyBorder="1" applyAlignment="1">
      <alignment horizontal="left" vertical="center"/>
      <protection/>
    </xf>
    <xf numFmtId="0" fontId="17" fillId="0" borderId="10" xfId="73" applyFont="1" applyFill="1" applyBorder="1" applyAlignment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7" fillId="0" borderId="11" xfId="73" applyFont="1" applyFill="1" applyBorder="1" applyAlignment="1">
      <alignment horizontal="left" vertical="center"/>
      <protection/>
    </xf>
    <xf numFmtId="171" fontId="0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3" fontId="0" fillId="0" borderId="10" xfId="49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1" xfId="49" applyNumberFormat="1" applyBorder="1" applyAlignment="1">
      <alignment/>
    </xf>
    <xf numFmtId="0" fontId="0" fillId="0" borderId="54" xfId="0" applyFont="1" applyBorder="1" applyAlignment="1">
      <alignment vertical="center"/>
    </xf>
    <xf numFmtId="0" fontId="37" fillId="0" borderId="51" xfId="0" applyFont="1" applyBorder="1" applyAlignment="1">
      <alignment vertical="center"/>
    </xf>
    <xf numFmtId="0" fontId="37" fillId="0" borderId="51" xfId="0" applyFont="1" applyBorder="1" applyAlignment="1">
      <alignment horizontal="center" vertical="center"/>
    </xf>
    <xf numFmtId="3" fontId="37" fillId="0" borderId="51" xfId="49" applyNumberFormat="1" applyFont="1" applyBorder="1" applyAlignment="1">
      <alignment vertical="center"/>
    </xf>
    <xf numFmtId="3" fontId="37" fillId="0" borderId="53" xfId="49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49" applyNumberFormat="1" applyFill="1" applyBorder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1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right"/>
    </xf>
    <xf numFmtId="2" fontId="58" fillId="0" borderId="0" xfId="70" applyNumberFormat="1" applyFont="1" applyBorder="1" applyAlignment="1">
      <alignment wrapText="1"/>
      <protection/>
    </xf>
    <xf numFmtId="0" fontId="19" fillId="0" borderId="21" xfId="70" applyFont="1" applyBorder="1" applyAlignment="1">
      <alignment horizontal="center"/>
      <protection/>
    </xf>
    <xf numFmtId="2" fontId="72" fillId="0" borderId="33" xfId="70" applyNumberFormat="1" applyFont="1" applyBorder="1" applyAlignment="1">
      <alignment horizontal="center" wrapText="1"/>
      <protection/>
    </xf>
    <xf numFmtId="0" fontId="73" fillId="0" borderId="55" xfId="70" applyFont="1" applyBorder="1" applyAlignment="1">
      <alignment horizontal="center" vertical="center" wrapText="1"/>
      <protection/>
    </xf>
    <xf numFmtId="0" fontId="19" fillId="0" borderId="56" xfId="70" applyFont="1" applyBorder="1" applyAlignment="1">
      <alignment horizontal="center"/>
      <protection/>
    </xf>
    <xf numFmtId="0" fontId="19" fillId="0" borderId="44" xfId="70" applyFont="1" applyBorder="1" applyAlignment="1">
      <alignment horizontal="left" wrapText="1"/>
      <protection/>
    </xf>
    <xf numFmtId="0" fontId="19" fillId="0" borderId="44" xfId="70" applyFont="1" applyBorder="1" applyAlignment="1">
      <alignment horizontal="left"/>
      <protection/>
    </xf>
    <xf numFmtId="0" fontId="0" fillId="0" borderId="48" xfId="70" applyFont="1" applyBorder="1" applyAlignment="1">
      <alignment horizontal="center"/>
      <protection/>
    </xf>
    <xf numFmtId="0" fontId="0" fillId="0" borderId="16" xfId="70" applyFont="1" applyBorder="1" applyAlignment="1">
      <alignment horizontal="left" wrapText="1"/>
      <protection/>
    </xf>
    <xf numFmtId="0" fontId="19" fillId="0" borderId="10" xfId="70" applyFont="1" applyBorder="1" applyAlignment="1">
      <alignment horizontal="left"/>
      <protection/>
    </xf>
    <xf numFmtId="0" fontId="0" fillId="0" borderId="57" xfId="70" applyFont="1" applyBorder="1" applyAlignment="1">
      <alignment horizontal="center"/>
      <protection/>
    </xf>
    <xf numFmtId="0" fontId="37" fillId="0" borderId="16" xfId="70" applyFont="1" applyBorder="1" applyAlignment="1">
      <alignment horizontal="left" wrapText="1"/>
      <protection/>
    </xf>
    <xf numFmtId="0" fontId="19" fillId="0" borderId="45" xfId="70" applyFont="1" applyBorder="1" applyAlignment="1">
      <alignment horizontal="center"/>
      <protection/>
    </xf>
    <xf numFmtId="0" fontId="19" fillId="0" borderId="16" xfId="70" applyFont="1" applyBorder="1" applyAlignment="1">
      <alignment horizontal="left" wrapText="1"/>
      <protection/>
    </xf>
    <xf numFmtId="0" fontId="0" fillId="0" borderId="13" xfId="70" applyFont="1" applyBorder="1" applyAlignment="1">
      <alignment horizontal="left" wrapText="1"/>
      <protection/>
    </xf>
    <xf numFmtId="0" fontId="0" fillId="0" borderId="47" xfId="70" applyFont="1" applyBorder="1" applyAlignment="1">
      <alignment horizontal="center"/>
      <protection/>
    </xf>
    <xf numFmtId="0" fontId="0" fillId="0" borderId="42" xfId="70" applyFont="1" applyBorder="1" applyAlignment="1">
      <alignment horizontal="left" wrapText="1"/>
      <protection/>
    </xf>
    <xf numFmtId="0" fontId="19" fillId="0" borderId="45" xfId="70" applyFont="1" applyBorder="1" applyAlignment="1">
      <alignment horizontal="center" vertical="center"/>
      <protection/>
    </xf>
    <xf numFmtId="0" fontId="19" fillId="0" borderId="57" xfId="70" applyFont="1" applyBorder="1" applyAlignment="1">
      <alignment horizontal="center" vertical="center"/>
      <protection/>
    </xf>
    <xf numFmtId="0" fontId="0" fillId="0" borderId="16" xfId="70" applyFont="1" applyBorder="1" applyAlignment="1">
      <alignment horizontal="center" wrapText="1"/>
      <protection/>
    </xf>
    <xf numFmtId="0" fontId="19" fillId="0" borderId="48" xfId="70" applyFont="1" applyBorder="1" applyAlignment="1">
      <alignment horizontal="center"/>
      <protection/>
    </xf>
    <xf numFmtId="0" fontId="49" fillId="0" borderId="10" xfId="70" applyFont="1" applyBorder="1" applyAlignment="1">
      <alignment horizontal="left" wrapText="1"/>
      <protection/>
    </xf>
    <xf numFmtId="0" fontId="19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9" fillId="0" borderId="57" xfId="70" applyFont="1" applyBorder="1" applyAlignment="1">
      <alignment horizontal="center"/>
      <protection/>
    </xf>
    <xf numFmtId="0" fontId="19" fillId="0" borderId="10" xfId="70" applyFont="1" applyBorder="1" applyAlignment="1">
      <alignment horizontal="left" wrapText="1"/>
      <protection/>
    </xf>
    <xf numFmtId="0" fontId="19" fillId="0" borderId="47" xfId="70" applyFont="1" applyBorder="1" applyAlignment="1">
      <alignment horizontal="center"/>
      <protection/>
    </xf>
    <xf numFmtId="0" fontId="19" fillId="0" borderId="13" xfId="70" applyFont="1" applyBorder="1" applyAlignment="1">
      <alignment horizontal="left" wrapText="1"/>
      <protection/>
    </xf>
    <xf numFmtId="0" fontId="19" fillId="0" borderId="49" xfId="70" applyFont="1" applyBorder="1" applyAlignment="1">
      <alignment horizontal="center"/>
      <protection/>
    </xf>
    <xf numFmtId="0" fontId="19" fillId="0" borderId="50" xfId="70" applyFont="1" applyBorder="1" applyAlignment="1">
      <alignment horizontal="left" wrapText="1"/>
      <protection/>
    </xf>
    <xf numFmtId="0" fontId="19" fillId="0" borderId="50" xfId="70" applyFont="1" applyBorder="1" applyAlignment="1">
      <alignment horizontal="left"/>
      <protection/>
    </xf>
    <xf numFmtId="0" fontId="19" fillId="0" borderId="0" xfId="70" applyFont="1" applyBorder="1" applyAlignment="1">
      <alignment horizontal="center"/>
      <protection/>
    </xf>
    <xf numFmtId="0" fontId="19" fillId="0" borderId="0" xfId="70" applyFont="1" applyBorder="1" applyAlignment="1">
      <alignment horizontal="left" wrapText="1"/>
      <protection/>
    </xf>
    <xf numFmtId="0" fontId="19" fillId="0" borderId="0" xfId="70" applyFont="1" applyBorder="1" applyAlignment="1">
      <alignment horizontal="left"/>
      <protection/>
    </xf>
    <xf numFmtId="0" fontId="73" fillId="0" borderId="43" xfId="70" applyFont="1" applyBorder="1" applyAlignment="1">
      <alignment horizontal="center"/>
      <protection/>
    </xf>
    <xf numFmtId="0" fontId="73" fillId="0" borderId="44" xfId="70" applyFont="1" applyBorder="1" applyAlignment="1">
      <alignment horizontal="left" wrapText="1"/>
      <protection/>
    </xf>
    <xf numFmtId="0" fontId="4" fillId="0" borderId="45" xfId="70" applyFont="1" applyBorder="1" applyAlignment="1">
      <alignment horizontal="left"/>
      <protection/>
    </xf>
    <xf numFmtId="0" fontId="4" fillId="0" borderId="10" xfId="74" applyFont="1" applyFill="1" applyBorder="1" applyAlignment="1">
      <alignment horizontal="left" wrapText="1"/>
      <protection/>
    </xf>
    <xf numFmtId="0" fontId="73" fillId="0" borderId="10" xfId="70" applyFont="1" applyBorder="1" applyAlignment="1">
      <alignment horizontal="left"/>
      <protection/>
    </xf>
    <xf numFmtId="0" fontId="4" fillId="0" borderId="10" xfId="70" applyFont="1" applyBorder="1" applyAlignment="1">
      <alignment horizontal="left" wrapText="1"/>
      <protection/>
    </xf>
    <xf numFmtId="0" fontId="73" fillId="0" borderId="45" xfId="70" applyFont="1" applyBorder="1" applyAlignment="1">
      <alignment horizontal="center"/>
      <protection/>
    </xf>
    <xf numFmtId="0" fontId="73" fillId="0" borderId="10" xfId="70" applyFont="1" applyBorder="1" applyAlignment="1">
      <alignment horizontal="left" wrapText="1"/>
      <protection/>
    </xf>
    <xf numFmtId="0" fontId="4" fillId="0" borderId="45" xfId="70" applyFont="1" applyBorder="1" applyAlignment="1">
      <alignment horizontal="center"/>
      <protection/>
    </xf>
    <xf numFmtId="0" fontId="4" fillId="0" borderId="10" xfId="70" applyFont="1" applyBorder="1" applyAlignment="1">
      <alignment horizontal="left"/>
      <protection/>
    </xf>
    <xf numFmtId="0" fontId="4" fillId="0" borderId="45" xfId="70" applyFont="1" applyFill="1" applyBorder="1" applyAlignment="1">
      <alignment horizontal="center"/>
      <protection/>
    </xf>
    <xf numFmtId="0" fontId="4" fillId="0" borderId="58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45" xfId="70" applyFont="1" applyBorder="1">
      <alignment/>
      <protection/>
    </xf>
    <xf numFmtId="0" fontId="4" fillId="0" borderId="45" xfId="0" applyFont="1" applyBorder="1" applyAlignment="1">
      <alignment/>
    </xf>
    <xf numFmtId="0" fontId="4" fillId="0" borderId="45" xfId="70" applyFont="1" applyBorder="1">
      <alignment/>
      <protection/>
    </xf>
    <xf numFmtId="0" fontId="4" fillId="0" borderId="49" xfId="70" applyFont="1" applyBorder="1">
      <alignment/>
      <protection/>
    </xf>
    <xf numFmtId="0" fontId="73" fillId="0" borderId="50" xfId="70" applyFont="1" applyBorder="1" applyAlignment="1">
      <alignment horizontal="left"/>
      <protection/>
    </xf>
    <xf numFmtId="0" fontId="4" fillId="0" borderId="50" xfId="70" applyFont="1" applyBorder="1" applyAlignment="1">
      <alignment horizontal="left"/>
      <protection/>
    </xf>
    <xf numFmtId="0" fontId="79" fillId="0" borderId="59" xfId="0" applyFont="1" applyBorder="1" applyAlignment="1">
      <alignment horizontal="center"/>
    </xf>
    <xf numFmtId="0" fontId="79" fillId="0" borderId="60" xfId="0" applyFont="1" applyBorder="1" applyAlignment="1">
      <alignment horizontal="center"/>
    </xf>
    <xf numFmtId="0" fontId="79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49" fillId="0" borderId="58" xfId="0" applyFont="1" applyBorder="1" applyAlignment="1">
      <alignment/>
    </xf>
    <xf numFmtId="0" fontId="49" fillId="0" borderId="69" xfId="0" applyFont="1" applyBorder="1" applyAlignment="1">
      <alignment/>
    </xf>
    <xf numFmtId="0" fontId="0" fillId="0" borderId="58" xfId="0" applyBorder="1" applyAlignment="1">
      <alignment horizontal="center"/>
    </xf>
    <xf numFmtId="179" fontId="0" fillId="0" borderId="69" xfId="42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49" fillId="0" borderId="73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9" fillId="0" borderId="74" xfId="0" applyFont="1" applyBorder="1" applyAlignment="1">
      <alignment horizontal="center"/>
    </xf>
    <xf numFmtId="190" fontId="19" fillId="0" borderId="75" xfId="42" applyNumberFormat="1" applyFont="1" applyBorder="1" applyAlignment="1">
      <alignment horizontal="center"/>
    </xf>
    <xf numFmtId="0" fontId="42" fillId="0" borderId="0" xfId="73" applyFont="1" applyAlignment="1">
      <alignment horizontal="left" vertical="center"/>
      <protection/>
    </xf>
    <xf numFmtId="0" fontId="0" fillId="0" borderId="0" xfId="0" applyFont="1" applyBorder="1" applyAlignment="1">
      <alignment horizontal="center"/>
    </xf>
    <xf numFmtId="0" fontId="76" fillId="0" borderId="0" xfId="0" applyFont="1" applyAlignment="1">
      <alignment horizontal="right"/>
    </xf>
    <xf numFmtId="179" fontId="50" fillId="0" borderId="10" xfId="42" applyFont="1" applyFill="1" applyBorder="1" applyAlignment="1">
      <alignment horizontal="center"/>
    </xf>
    <xf numFmtId="186" fontId="22" fillId="0" borderId="46" xfId="42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19" fillId="0" borderId="0" xfId="42" applyFont="1" applyFill="1" applyBorder="1" applyAlignment="1">
      <alignment horizontal="center"/>
    </xf>
    <xf numFmtId="179" fontId="0" fillId="0" borderId="0" xfId="42" applyFont="1" applyFill="1" applyAlignment="1">
      <alignment horizontal="center"/>
    </xf>
    <xf numFmtId="179" fontId="50" fillId="0" borderId="0" xfId="42" applyFont="1" applyFill="1" applyAlignment="1">
      <alignment horizontal="center"/>
    </xf>
    <xf numFmtId="179" fontId="0" fillId="0" borderId="0" xfId="0" applyNumberFormat="1" applyFont="1" applyFill="1" applyBorder="1" applyAlignment="1" applyProtection="1">
      <alignment/>
      <protection/>
    </xf>
    <xf numFmtId="0" fontId="23" fillId="0" borderId="44" xfId="70" applyFont="1" applyBorder="1" applyAlignment="1">
      <alignment horizontal="left"/>
      <protection/>
    </xf>
    <xf numFmtId="0" fontId="23" fillId="0" borderId="10" xfId="70" applyFont="1" applyBorder="1" applyAlignment="1">
      <alignment horizontal="left"/>
      <protection/>
    </xf>
    <xf numFmtId="0" fontId="23" fillId="0" borderId="10" xfId="70" applyFont="1" applyBorder="1" applyAlignment="1">
      <alignment horizontal="left" wrapText="1"/>
      <protection/>
    </xf>
    <xf numFmtId="0" fontId="23" fillId="0" borderId="13" xfId="70" applyFont="1" applyBorder="1" applyAlignment="1">
      <alignment horizontal="center" vertical="center" wrapText="1"/>
      <protection/>
    </xf>
    <xf numFmtId="0" fontId="23" fillId="0" borderId="50" xfId="70" applyFont="1" applyBorder="1" applyAlignment="1">
      <alignment horizontal="left"/>
      <protection/>
    </xf>
    <xf numFmtId="0" fontId="23" fillId="0" borderId="0" xfId="70" applyFont="1" applyBorder="1" applyAlignment="1">
      <alignment horizontal="center"/>
      <protection/>
    </xf>
    <xf numFmtId="0" fontId="23" fillId="0" borderId="0" xfId="70" applyFont="1" applyBorder="1" applyAlignment="1">
      <alignment horizontal="left" wrapText="1"/>
      <protection/>
    </xf>
    <xf numFmtId="0" fontId="23" fillId="0" borderId="0" xfId="70" applyFont="1" applyBorder="1" applyAlignment="1">
      <alignment horizontal="left"/>
      <protection/>
    </xf>
    <xf numFmtId="0" fontId="22" fillId="0" borderId="0" xfId="0" applyFont="1" applyAlignment="1">
      <alignment/>
    </xf>
    <xf numFmtId="0" fontId="48" fillId="0" borderId="0" xfId="0" applyFont="1" applyAlignment="1">
      <alignment/>
    </xf>
    <xf numFmtId="0" fontId="77" fillId="0" borderId="0" xfId="0" applyFont="1" applyAlignment="1">
      <alignment/>
    </xf>
    <xf numFmtId="0" fontId="22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22" fillId="0" borderId="21" xfId="70" applyFont="1" applyBorder="1">
      <alignment/>
      <protection/>
    </xf>
    <xf numFmtId="2" fontId="48" fillId="0" borderId="21" xfId="70" applyNumberFormat="1" applyFont="1" applyBorder="1" applyAlignment="1">
      <alignment horizontal="center" wrapText="1"/>
      <protection/>
    </xf>
    <xf numFmtId="0" fontId="23" fillId="0" borderId="21" xfId="70" applyFont="1" applyBorder="1" applyAlignment="1">
      <alignment horizontal="center" vertical="center" wrapText="1"/>
      <protection/>
    </xf>
    <xf numFmtId="0" fontId="22" fillId="0" borderId="0" xfId="70" applyFont="1">
      <alignment/>
      <protection/>
    </xf>
    <xf numFmtId="0" fontId="23" fillId="0" borderId="10" xfId="70" applyFont="1" applyFill="1" applyBorder="1" applyAlignment="1">
      <alignment horizontal="left"/>
      <protection/>
    </xf>
    <xf numFmtId="3" fontId="0" fillId="0" borderId="10" xfId="49" applyNumberFormat="1" applyFont="1" applyBorder="1" applyAlignment="1">
      <alignment/>
    </xf>
    <xf numFmtId="0" fontId="0" fillId="0" borderId="63" xfId="0" applyFont="1" applyBorder="1" applyAlignment="1">
      <alignment horizontal="center"/>
    </xf>
    <xf numFmtId="190" fontId="80" fillId="0" borderId="76" xfId="42" applyNumberFormat="1" applyFont="1" applyBorder="1" applyAlignment="1">
      <alignment horizontal="center"/>
    </xf>
    <xf numFmtId="0" fontId="80" fillId="0" borderId="77" xfId="0" applyFont="1" applyFill="1" applyBorder="1" applyAlignment="1">
      <alignment horizontal="center"/>
    </xf>
    <xf numFmtId="0" fontId="80" fillId="0" borderId="63" xfId="0" applyFon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179" fontId="0" fillId="0" borderId="0" xfId="42" applyFont="1" applyFill="1" applyBorder="1" applyAlignment="1" applyProtection="1">
      <alignment/>
      <protection/>
    </xf>
    <xf numFmtId="0" fontId="81" fillId="0" borderId="67" xfId="0" applyFont="1" applyBorder="1" applyAlignment="1">
      <alignment/>
    </xf>
    <xf numFmtId="0" fontId="0" fillId="0" borderId="58" xfId="0" applyBorder="1" applyAlignment="1">
      <alignment/>
    </xf>
    <xf numFmtId="0" fontId="0" fillId="0" borderId="69" xfId="0" applyBorder="1" applyAlignment="1">
      <alignment/>
    </xf>
    <xf numFmtId="179" fontId="12" fillId="0" borderId="58" xfId="42" applyFont="1" applyBorder="1" applyAlignment="1">
      <alignment/>
    </xf>
    <xf numFmtId="179" fontId="12" fillId="0" borderId="0" xfId="42" applyFont="1" applyFill="1" applyBorder="1" applyAlignment="1" applyProtection="1">
      <alignment/>
      <protection/>
    </xf>
    <xf numFmtId="0" fontId="123" fillId="0" borderId="58" xfId="0" applyFont="1" applyBorder="1" applyAlignment="1">
      <alignment/>
    </xf>
    <xf numFmtId="0" fontId="123" fillId="0" borderId="0" xfId="0" applyFont="1" applyBorder="1" applyAlignment="1">
      <alignment/>
    </xf>
    <xf numFmtId="0" fontId="124" fillId="0" borderId="58" xfId="0" applyFont="1" applyBorder="1" applyAlignment="1">
      <alignment/>
    </xf>
    <xf numFmtId="0" fontId="124" fillId="0" borderId="0" xfId="0" applyFont="1" applyBorder="1" applyAlignment="1">
      <alignment/>
    </xf>
    <xf numFmtId="186" fontId="8" fillId="0" borderId="78" xfId="42" applyNumberFormat="1" applyFont="1" applyFill="1" applyBorder="1" applyAlignment="1" applyProtection="1">
      <alignment/>
      <protection/>
    </xf>
    <xf numFmtId="186" fontId="14" fillId="0" borderId="46" xfId="42" applyNumberFormat="1" applyFont="1" applyFill="1" applyBorder="1" applyAlignment="1" applyProtection="1">
      <alignment/>
      <protection/>
    </xf>
    <xf numFmtId="0" fontId="8" fillId="0" borderId="78" xfId="73" applyNumberFormat="1" applyFont="1" applyFill="1" applyBorder="1" applyAlignment="1" applyProtection="1">
      <alignment/>
      <protection/>
    </xf>
    <xf numFmtId="0" fontId="80" fillId="0" borderId="79" xfId="0" applyFont="1" applyFill="1" applyBorder="1" applyAlignment="1">
      <alignment horizontal="center"/>
    </xf>
    <xf numFmtId="2" fontId="80" fillId="0" borderId="63" xfId="0" applyNumberFormat="1" applyFont="1" applyFill="1" applyBorder="1" applyAlignment="1">
      <alignment horizontal="center"/>
    </xf>
    <xf numFmtId="190" fontId="80" fillId="0" borderId="80" xfId="42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80" fillId="0" borderId="62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4" fontId="80" fillId="0" borderId="63" xfId="0" applyNumberFormat="1" applyFont="1" applyFill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2" fontId="0" fillId="0" borderId="63" xfId="0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69">
      <alignment/>
      <protection/>
    </xf>
    <xf numFmtId="0" fontId="27" fillId="0" borderId="0" xfId="69" applyFont="1">
      <alignment/>
      <protection/>
    </xf>
    <xf numFmtId="0" fontId="4" fillId="0" borderId="47" xfId="71" applyFont="1" applyBorder="1">
      <alignment/>
      <protection/>
    </xf>
    <xf numFmtId="0" fontId="4" fillId="0" borderId="0" xfId="72" applyFont="1">
      <alignment/>
      <protection/>
    </xf>
    <xf numFmtId="0" fontId="4" fillId="0" borderId="0" xfId="71" applyFont="1">
      <alignment/>
      <protection/>
    </xf>
    <xf numFmtId="4" fontId="4" fillId="0" borderId="0" xfId="69" applyNumberFormat="1">
      <alignment/>
      <protection/>
    </xf>
    <xf numFmtId="0" fontId="0" fillId="0" borderId="0" xfId="71" applyFont="1">
      <alignment/>
      <protection/>
    </xf>
    <xf numFmtId="179" fontId="0" fillId="0" borderId="0" xfId="71" applyNumberFormat="1">
      <alignment/>
      <protection/>
    </xf>
    <xf numFmtId="0" fontId="4" fillId="0" borderId="10" xfId="71" applyFont="1" applyFill="1" applyBorder="1" applyAlignment="1">
      <alignment horizontal="right"/>
      <protection/>
    </xf>
    <xf numFmtId="0" fontId="4" fillId="0" borderId="10" xfId="71" applyFont="1" applyFill="1" applyBorder="1">
      <alignment/>
      <protection/>
    </xf>
    <xf numFmtId="4" fontId="4" fillId="0" borderId="10" xfId="71" applyNumberFormat="1" applyFont="1" applyFill="1" applyBorder="1">
      <alignment/>
      <protection/>
    </xf>
    <xf numFmtId="179" fontId="4" fillId="0" borderId="0" xfId="48" applyFont="1" applyFill="1" applyAlignment="1">
      <alignment/>
    </xf>
    <xf numFmtId="0" fontId="83" fillId="0" borderId="82" xfId="71" applyFont="1" applyBorder="1" applyAlignment="1">
      <alignment horizontal="center" wrapText="1"/>
      <protection/>
    </xf>
    <xf numFmtId="0" fontId="84" fillId="0" borderId="82" xfId="71" applyFont="1" applyBorder="1" applyAlignment="1">
      <alignment horizontal="center" wrapText="1"/>
      <protection/>
    </xf>
    <xf numFmtId="0" fontId="4" fillId="0" borderId="45" xfId="71" applyFont="1" applyBorder="1">
      <alignment/>
      <protection/>
    </xf>
    <xf numFmtId="0" fontId="4" fillId="36" borderId="47" xfId="71" applyFont="1" applyFill="1" applyBorder="1">
      <alignment/>
      <protection/>
    </xf>
    <xf numFmtId="0" fontId="4" fillId="36" borderId="44" xfId="71" applyFont="1" applyFill="1" applyBorder="1">
      <alignment/>
      <protection/>
    </xf>
    <xf numFmtId="49" fontId="4" fillId="36" borderId="13" xfId="71" applyNumberFormat="1" applyFont="1" applyFill="1" applyBorder="1" applyAlignment="1">
      <alignment horizontal="right"/>
      <protection/>
    </xf>
    <xf numFmtId="0" fontId="4" fillId="36" borderId="13" xfId="71" applyFont="1" applyFill="1" applyBorder="1">
      <alignment/>
      <protection/>
    </xf>
    <xf numFmtId="4" fontId="4" fillId="36" borderId="13" xfId="71" applyNumberFormat="1" applyFont="1" applyFill="1" applyBorder="1">
      <alignment/>
      <protection/>
    </xf>
    <xf numFmtId="0" fontId="4" fillId="36" borderId="45" xfId="71" applyFont="1" applyFill="1" applyBorder="1">
      <alignment/>
      <protection/>
    </xf>
    <xf numFmtId="4" fontId="4" fillId="36" borderId="10" xfId="71" applyNumberFormat="1" applyFont="1" applyFill="1" applyBorder="1">
      <alignment/>
      <protection/>
    </xf>
    <xf numFmtId="0" fontId="4" fillId="36" borderId="10" xfId="71" applyFont="1" applyFill="1" applyBorder="1">
      <alignment/>
      <protection/>
    </xf>
    <xf numFmtId="0" fontId="4" fillId="36" borderId="13" xfId="71" applyFont="1" applyFill="1" applyBorder="1" applyAlignment="1">
      <alignment horizontal="center"/>
      <protection/>
    </xf>
    <xf numFmtId="0" fontId="4" fillId="36" borderId="10" xfId="71" applyFont="1" applyFill="1" applyBorder="1" applyAlignment="1">
      <alignment horizontal="center"/>
      <protection/>
    </xf>
    <xf numFmtId="0" fontId="4" fillId="0" borderId="10" xfId="71" applyFont="1" applyFill="1" applyBorder="1" applyAlignment="1">
      <alignment horizontal="center"/>
      <protection/>
    </xf>
    <xf numFmtId="0" fontId="12" fillId="0" borderId="45" xfId="0" applyFont="1" applyBorder="1" applyAlignment="1">
      <alignment horizontal="left"/>
    </xf>
    <xf numFmtId="186" fontId="37" fillId="0" borderId="0" xfId="0" applyNumberFormat="1" applyFont="1" applyFill="1" applyBorder="1" applyAlignment="1">
      <alignment vertical="center"/>
    </xf>
    <xf numFmtId="0" fontId="0" fillId="37" borderId="0" xfId="0" applyFont="1" applyFill="1" applyBorder="1" applyAlignment="1">
      <alignment/>
    </xf>
    <xf numFmtId="0" fontId="0" fillId="37" borderId="0" xfId="0" applyFont="1" applyFill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0" xfId="64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38" borderId="0" xfId="0" applyFont="1" applyFill="1" applyAlignment="1">
      <alignment/>
    </xf>
    <xf numFmtId="0" fontId="22" fillId="38" borderId="0" xfId="0" applyFont="1" applyFill="1" applyAlignment="1">
      <alignment/>
    </xf>
    <xf numFmtId="0" fontId="26" fillId="0" borderId="0" xfId="0" applyFont="1" applyAlignment="1">
      <alignment/>
    </xf>
    <xf numFmtId="0" fontId="85" fillId="0" borderId="79" xfId="0" applyNumberFormat="1" applyFont="1" applyFill="1" applyBorder="1" applyAlignment="1" applyProtection="1">
      <alignment/>
      <protection/>
    </xf>
    <xf numFmtId="0" fontId="86" fillId="0" borderId="79" xfId="0" applyNumberFormat="1" applyFont="1" applyFill="1" applyBorder="1" applyAlignment="1" applyProtection="1">
      <alignment/>
      <protection/>
    </xf>
    <xf numFmtId="0" fontId="86" fillId="0" borderId="79" xfId="0" applyNumberFormat="1" applyFont="1" applyFill="1" applyBorder="1" applyAlignment="1" applyProtection="1">
      <alignment wrapText="1"/>
      <protection/>
    </xf>
    <xf numFmtId="0" fontId="87" fillId="0" borderId="79" xfId="0" applyNumberFormat="1" applyFont="1" applyFill="1" applyBorder="1" applyAlignment="1" applyProtection="1">
      <alignment horizontal="center"/>
      <protection/>
    </xf>
    <xf numFmtId="0" fontId="89" fillId="0" borderId="79" xfId="0" applyNumberFormat="1" applyFont="1" applyFill="1" applyBorder="1" applyAlignment="1" applyProtection="1">
      <alignment/>
      <protection/>
    </xf>
    <xf numFmtId="0" fontId="85" fillId="0" borderId="64" xfId="0" applyNumberFormat="1" applyFont="1" applyFill="1" applyBorder="1" applyAlignment="1" applyProtection="1">
      <alignment/>
      <protection/>
    </xf>
    <xf numFmtId="186" fontId="0" fillId="0" borderId="0" xfId="0" applyNumberFormat="1" applyFill="1" applyBorder="1" applyAlignment="1" applyProtection="1">
      <alignment/>
      <protection/>
    </xf>
    <xf numFmtId="10" fontId="123" fillId="0" borderId="0" xfId="0" applyNumberFormat="1" applyFont="1" applyBorder="1" applyAlignment="1">
      <alignment/>
    </xf>
    <xf numFmtId="186" fontId="85" fillId="0" borderId="80" xfId="42" applyNumberFormat="1" applyFont="1" applyFill="1" applyBorder="1" applyAlignment="1" applyProtection="1">
      <alignment/>
      <protection/>
    </xf>
    <xf numFmtId="186" fontId="86" fillId="0" borderId="80" xfId="42" applyNumberFormat="1" applyFont="1" applyFill="1" applyBorder="1" applyAlignment="1" applyProtection="1">
      <alignment/>
      <protection/>
    </xf>
    <xf numFmtId="186" fontId="86" fillId="0" borderId="80" xfId="42" applyNumberFormat="1" applyFont="1" applyFill="1" applyBorder="1" applyAlignment="1" applyProtection="1">
      <alignment wrapText="1"/>
      <protection/>
    </xf>
    <xf numFmtId="186" fontId="87" fillId="0" borderId="80" xfId="42" applyNumberFormat="1" applyFont="1" applyFill="1" applyBorder="1" applyAlignment="1" applyProtection="1">
      <alignment horizontal="center"/>
      <protection/>
    </xf>
    <xf numFmtId="186" fontId="88" fillId="0" borderId="80" xfId="42" applyNumberFormat="1" applyFont="1" applyFill="1" applyBorder="1" applyAlignment="1" applyProtection="1">
      <alignment horizontal="center"/>
      <protection/>
    </xf>
    <xf numFmtId="186" fontId="89" fillId="0" borderId="80" xfId="42" applyNumberFormat="1" applyFont="1" applyFill="1" applyBorder="1" applyAlignment="1" applyProtection="1">
      <alignment/>
      <protection/>
    </xf>
    <xf numFmtId="186" fontId="85" fillId="0" borderId="75" xfId="42" applyNumberFormat="1" applyFont="1" applyFill="1" applyBorder="1" applyAlignment="1" applyProtection="1">
      <alignment/>
      <protection/>
    </xf>
    <xf numFmtId="0" fontId="68" fillId="0" borderId="32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33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57" fillId="0" borderId="32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5" fillId="0" borderId="30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20" fillId="0" borderId="10" xfId="73" applyFont="1" applyBorder="1" applyAlignment="1">
      <alignment horizontal="left" vertical="center"/>
      <protection/>
    </xf>
    <xf numFmtId="0" fontId="17" fillId="0" borderId="11" xfId="73" applyFont="1" applyBorder="1" applyAlignment="1">
      <alignment horizontal="left" vertical="center"/>
      <protection/>
    </xf>
    <xf numFmtId="0" fontId="17" fillId="0" borderId="16" xfId="73" applyFont="1" applyBorder="1" applyAlignment="1">
      <alignment horizontal="left" vertical="center"/>
      <protection/>
    </xf>
    <xf numFmtId="0" fontId="20" fillId="0" borderId="44" xfId="73" applyFont="1" applyBorder="1" applyAlignment="1">
      <alignment horizontal="left" vertical="center"/>
      <protection/>
    </xf>
    <xf numFmtId="0" fontId="7" fillId="0" borderId="13" xfId="73" applyFont="1" applyFill="1" applyBorder="1" applyAlignment="1">
      <alignment horizontal="left" vertical="center"/>
      <protection/>
    </xf>
    <xf numFmtId="0" fontId="7" fillId="0" borderId="10" xfId="73" applyFont="1" applyFill="1" applyBorder="1" applyAlignment="1">
      <alignment horizontal="left" vertical="center"/>
      <protection/>
    </xf>
    <xf numFmtId="0" fontId="39" fillId="0" borderId="0" xfId="73" applyFont="1" applyAlignment="1">
      <alignment horizontal="center" vertical="center"/>
      <protection/>
    </xf>
    <xf numFmtId="0" fontId="21" fillId="0" borderId="78" xfId="73" applyFont="1" applyBorder="1" applyAlignment="1">
      <alignment horizontal="center" vertical="center" wrapText="1"/>
      <protection/>
    </xf>
    <xf numFmtId="0" fontId="21" fillId="0" borderId="83" xfId="73" applyFont="1" applyBorder="1" applyAlignment="1">
      <alignment horizontal="center" vertical="center" wrapText="1"/>
      <protection/>
    </xf>
    <xf numFmtId="0" fontId="25" fillId="0" borderId="44" xfId="73" applyFont="1" applyBorder="1" applyAlignment="1">
      <alignment horizontal="center" vertical="center"/>
      <protection/>
    </xf>
    <xf numFmtId="0" fontId="25" fillId="0" borderId="50" xfId="73" applyFont="1" applyBorder="1" applyAlignment="1">
      <alignment horizontal="center" vertical="center"/>
      <protection/>
    </xf>
    <xf numFmtId="0" fontId="21" fillId="0" borderId="44" xfId="73" applyFont="1" applyBorder="1" applyAlignment="1">
      <alignment horizontal="center" vertical="center" wrapText="1"/>
      <protection/>
    </xf>
    <xf numFmtId="0" fontId="21" fillId="0" borderId="50" xfId="73" applyFont="1" applyBorder="1" applyAlignment="1">
      <alignment horizontal="center" vertical="center" wrapText="1"/>
      <protection/>
    </xf>
    <xf numFmtId="0" fontId="7" fillId="0" borderId="84" xfId="73" applyFont="1" applyBorder="1" applyAlignment="1">
      <alignment horizontal="center" vertical="center"/>
      <protection/>
    </xf>
    <xf numFmtId="0" fontId="7" fillId="0" borderId="85" xfId="73" applyFont="1" applyBorder="1" applyAlignment="1">
      <alignment horizontal="center" vertical="center"/>
      <protection/>
    </xf>
    <xf numFmtId="0" fontId="7" fillId="0" borderId="86" xfId="73" applyFont="1" applyBorder="1" applyAlignment="1">
      <alignment horizontal="center" vertical="center"/>
      <protection/>
    </xf>
    <xf numFmtId="0" fontId="7" fillId="0" borderId="87" xfId="73" applyFont="1" applyBorder="1" applyAlignment="1">
      <alignment horizontal="center" vertical="center"/>
      <protection/>
    </xf>
    <xf numFmtId="0" fontId="55" fillId="0" borderId="0" xfId="73" applyFont="1" applyAlignment="1">
      <alignment horizontal="center" vertical="center"/>
      <protection/>
    </xf>
    <xf numFmtId="0" fontId="20" fillId="34" borderId="88" xfId="73" applyFont="1" applyFill="1" applyBorder="1" applyAlignment="1">
      <alignment horizontal="center" vertical="center"/>
      <protection/>
    </xf>
    <xf numFmtId="0" fontId="20" fillId="34" borderId="89" xfId="73" applyFont="1" applyFill="1" applyBorder="1" applyAlignment="1">
      <alignment horizontal="center" vertical="center"/>
      <protection/>
    </xf>
    <xf numFmtId="0" fontId="20" fillId="34" borderId="90" xfId="73" applyFont="1" applyFill="1" applyBorder="1" applyAlignment="1">
      <alignment horizontal="center" vertical="center"/>
      <protection/>
    </xf>
    <xf numFmtId="0" fontId="17" fillId="0" borderId="11" xfId="73" applyFont="1" applyFill="1" applyBorder="1" applyAlignment="1">
      <alignment horizontal="left" vertical="center"/>
      <protection/>
    </xf>
    <xf numFmtId="0" fontId="17" fillId="0" borderId="16" xfId="73" applyFont="1" applyFill="1" applyBorder="1" applyAlignment="1">
      <alignment horizontal="left" vertical="center"/>
      <protection/>
    </xf>
    <xf numFmtId="0" fontId="27" fillId="33" borderId="11" xfId="73" applyFont="1" applyFill="1" applyBorder="1" applyAlignment="1">
      <alignment horizontal="left" vertical="center"/>
      <protection/>
    </xf>
    <xf numFmtId="0" fontId="27" fillId="33" borderId="16" xfId="73" applyFont="1" applyFill="1" applyBorder="1" applyAlignment="1">
      <alignment horizontal="left" vertical="center"/>
      <protection/>
    </xf>
    <xf numFmtId="0" fontId="27" fillId="33" borderId="20" xfId="73" applyFont="1" applyFill="1" applyBorder="1" applyAlignment="1">
      <alignment horizontal="left" vertical="center"/>
      <protection/>
    </xf>
    <xf numFmtId="0" fontId="27" fillId="33" borderId="31" xfId="73" applyFont="1" applyFill="1" applyBorder="1" applyAlignment="1">
      <alignment horizontal="left" vertical="center"/>
      <protection/>
    </xf>
    <xf numFmtId="0" fontId="20" fillId="0" borderId="44" xfId="73" applyFont="1" applyFill="1" applyBorder="1" applyAlignment="1">
      <alignment horizontal="left" vertical="center"/>
      <protection/>
    </xf>
    <xf numFmtId="0" fontId="21" fillId="0" borderId="91" xfId="73" applyFont="1" applyBorder="1" applyAlignment="1">
      <alignment horizontal="center" vertical="center" wrapText="1"/>
      <protection/>
    </xf>
    <xf numFmtId="0" fontId="21" fillId="0" borderId="92" xfId="73" applyFont="1" applyBorder="1" applyAlignment="1">
      <alignment horizontal="center" vertical="center" wrapText="1"/>
      <protection/>
    </xf>
    <xf numFmtId="0" fontId="25" fillId="0" borderId="93" xfId="73" applyFont="1" applyBorder="1" applyAlignment="1">
      <alignment horizontal="center" vertical="center"/>
      <protection/>
    </xf>
    <xf numFmtId="0" fontId="25" fillId="0" borderId="94" xfId="73" applyFont="1" applyBorder="1" applyAlignment="1">
      <alignment horizontal="center" vertical="center"/>
      <protection/>
    </xf>
    <xf numFmtId="0" fontId="41" fillId="0" borderId="44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1" fillId="0" borderId="0" xfId="75" applyFont="1" applyAlignment="1">
      <alignment horizontal="center"/>
      <protection/>
    </xf>
    <xf numFmtId="0" fontId="42" fillId="0" borderId="0" xfId="73" applyNumberFormat="1" applyFont="1" applyFill="1" applyBorder="1" applyAlignment="1" applyProtection="1">
      <alignment horizontal="left"/>
      <protection/>
    </xf>
    <xf numFmtId="0" fontId="8" fillId="0" borderId="0" xfId="73" applyNumberFormat="1" applyFont="1" applyFill="1" applyBorder="1" applyAlignment="1" applyProtection="1">
      <alignment horizontal="left"/>
      <protection/>
    </xf>
    <xf numFmtId="0" fontId="85" fillId="0" borderId="95" xfId="0" applyNumberFormat="1" applyFont="1" applyFill="1" applyBorder="1" applyAlignment="1" applyProtection="1">
      <alignment horizontal="center" vertical="center"/>
      <protection/>
    </xf>
    <xf numFmtId="0" fontId="85" fillId="0" borderId="79" xfId="0" applyNumberFormat="1" applyFont="1" applyFill="1" applyBorder="1" applyAlignment="1" applyProtection="1">
      <alignment horizontal="center" vertical="center"/>
      <protection/>
    </xf>
    <xf numFmtId="0" fontId="85" fillId="0" borderId="96" xfId="0" applyNumberFormat="1" applyFont="1" applyFill="1" applyBorder="1" applyAlignment="1" applyProtection="1">
      <alignment horizontal="center" vertical="center"/>
      <protection/>
    </xf>
    <xf numFmtId="0" fontId="85" fillId="0" borderId="9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35" fillId="0" borderId="32" xfId="64" applyFont="1" applyBorder="1" applyAlignment="1">
      <alignment horizontal="center" vertical="center"/>
      <protection/>
    </xf>
    <xf numFmtId="0" fontId="35" fillId="0" borderId="0" xfId="64" applyFont="1" applyBorder="1" applyAlignment="1">
      <alignment horizontal="center" vertical="center"/>
      <protection/>
    </xf>
    <xf numFmtId="0" fontId="35" fillId="0" borderId="33" xfId="64" applyFont="1" applyBorder="1" applyAlignment="1">
      <alignment horizontal="center" vertical="center"/>
      <protection/>
    </xf>
    <xf numFmtId="0" fontId="33" fillId="0" borderId="0" xfId="0" applyFont="1" applyBorder="1" applyAlignment="1">
      <alignment horizontal="center"/>
    </xf>
    <xf numFmtId="0" fontId="35" fillId="0" borderId="3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12" xfId="70" applyFont="1" applyBorder="1" applyAlignment="1">
      <alignment horizontal="left" wrapText="1"/>
      <protection/>
    </xf>
    <xf numFmtId="0" fontId="19" fillId="0" borderId="16" xfId="70" applyFont="1" applyBorder="1" applyAlignment="1">
      <alignment horizontal="left" wrapText="1"/>
      <protection/>
    </xf>
    <xf numFmtId="0" fontId="0" fillId="0" borderId="12" xfId="70" applyFont="1" applyBorder="1" applyAlignment="1">
      <alignment horizontal="left" wrapText="1"/>
      <protection/>
    </xf>
    <xf numFmtId="0" fontId="0" fillId="0" borderId="16" xfId="70" applyFont="1" applyBorder="1" applyAlignment="1">
      <alignment horizontal="left" wrapText="1"/>
      <protection/>
    </xf>
    <xf numFmtId="2" fontId="19" fillId="0" borderId="11" xfId="70" applyNumberFormat="1" applyFont="1" applyBorder="1" applyAlignment="1">
      <alignment horizontal="center" wrapText="1"/>
      <protection/>
    </xf>
    <xf numFmtId="2" fontId="19" fillId="0" borderId="12" xfId="70" applyNumberFormat="1" applyFont="1" applyBorder="1" applyAlignment="1">
      <alignment horizontal="center" wrapText="1"/>
      <protection/>
    </xf>
    <xf numFmtId="2" fontId="19" fillId="0" borderId="16" xfId="70" applyNumberFormat="1" applyFont="1" applyBorder="1" applyAlignment="1">
      <alignment horizontal="center" wrapText="1"/>
      <protection/>
    </xf>
    <xf numFmtId="2" fontId="72" fillId="0" borderId="0" xfId="70" applyNumberFormat="1" applyFont="1" applyBorder="1" applyAlignment="1">
      <alignment horizontal="center" wrapText="1"/>
      <protection/>
    </xf>
    <xf numFmtId="2" fontId="72" fillId="0" borderId="33" xfId="70" applyNumberFormat="1" applyFont="1" applyBorder="1" applyAlignment="1">
      <alignment horizontal="center" wrapText="1"/>
      <protection/>
    </xf>
    <xf numFmtId="0" fontId="19" fillId="0" borderId="98" xfId="70" applyFont="1" applyBorder="1" applyAlignment="1">
      <alignment horizontal="left" wrapText="1"/>
      <protection/>
    </xf>
    <xf numFmtId="0" fontId="19" fillId="0" borderId="44" xfId="70" applyFont="1" applyBorder="1" applyAlignment="1">
      <alignment horizontal="left" wrapText="1"/>
      <protection/>
    </xf>
    <xf numFmtId="0" fontId="19" fillId="0" borderId="50" xfId="70" applyFont="1" applyBorder="1" applyAlignment="1">
      <alignment horizontal="left" wrapText="1"/>
      <protection/>
    </xf>
    <xf numFmtId="0" fontId="0" fillId="0" borderId="12" xfId="70" applyFont="1" applyBorder="1" applyAlignment="1">
      <alignment horizontal="center" wrapText="1"/>
      <protection/>
    </xf>
    <xf numFmtId="0" fontId="0" fillId="0" borderId="16" xfId="70" applyFont="1" applyBorder="1" applyAlignment="1">
      <alignment horizontal="center" wrapText="1"/>
      <protection/>
    </xf>
    <xf numFmtId="0" fontId="37" fillId="0" borderId="16" xfId="70" applyFont="1" applyBorder="1" applyAlignment="1">
      <alignment horizontal="left" wrapText="1"/>
      <protection/>
    </xf>
    <xf numFmtId="0" fontId="37" fillId="0" borderId="10" xfId="70" applyFont="1" applyBorder="1" applyAlignment="1">
      <alignment horizontal="left" wrapText="1"/>
      <protection/>
    </xf>
    <xf numFmtId="0" fontId="19" fillId="0" borderId="10" xfId="70" applyFont="1" applyBorder="1" applyAlignment="1">
      <alignment horizontal="left" wrapText="1"/>
      <protection/>
    </xf>
    <xf numFmtId="0" fontId="4" fillId="0" borderId="10" xfId="70" applyFont="1" applyBorder="1" applyAlignment="1">
      <alignment horizontal="left"/>
      <protection/>
    </xf>
    <xf numFmtId="0" fontId="74" fillId="0" borderId="10" xfId="70" applyFont="1" applyBorder="1" applyAlignment="1">
      <alignment horizontal="left"/>
      <protection/>
    </xf>
    <xf numFmtId="0" fontId="74" fillId="0" borderId="50" xfId="70" applyFont="1" applyBorder="1" applyAlignment="1">
      <alignment horizontal="left"/>
      <protection/>
    </xf>
    <xf numFmtId="0" fontId="73" fillId="0" borderId="10" xfId="74" applyFont="1" applyFill="1" applyBorder="1" applyAlignment="1">
      <alignment horizontal="left" wrapText="1"/>
      <protection/>
    </xf>
    <xf numFmtId="0" fontId="4" fillId="0" borderId="10" xfId="74" applyFont="1" applyFill="1" applyBorder="1" applyAlignment="1">
      <alignment horizontal="left" wrapText="1"/>
      <protection/>
    </xf>
    <xf numFmtId="0" fontId="73" fillId="0" borderId="10" xfId="70" applyFont="1" applyBorder="1" applyAlignment="1">
      <alignment horizontal="left" wrapText="1"/>
      <protection/>
    </xf>
    <xf numFmtId="0" fontId="73" fillId="0" borderId="10" xfId="70" applyFont="1" applyBorder="1" applyAlignment="1">
      <alignment horizontal="left"/>
      <protection/>
    </xf>
    <xf numFmtId="0" fontId="74" fillId="0" borderId="10" xfId="74" applyFont="1" applyFill="1" applyBorder="1" applyAlignment="1">
      <alignment horizontal="left" wrapText="1"/>
      <protection/>
    </xf>
    <xf numFmtId="0" fontId="4" fillId="0" borderId="10" xfId="70" applyFont="1" applyBorder="1" applyAlignment="1">
      <alignment horizontal="left" wrapText="1"/>
      <protection/>
    </xf>
    <xf numFmtId="2" fontId="23" fillId="0" borderId="11" xfId="70" applyNumberFormat="1" applyFont="1" applyBorder="1" applyAlignment="1">
      <alignment horizontal="center" wrapText="1"/>
      <protection/>
    </xf>
    <xf numFmtId="2" fontId="23" fillId="0" borderId="12" xfId="70" applyNumberFormat="1" applyFont="1" applyBorder="1" applyAlignment="1">
      <alignment horizontal="center" wrapText="1"/>
      <protection/>
    </xf>
    <xf numFmtId="2" fontId="23" fillId="0" borderId="16" xfId="70" applyNumberFormat="1" applyFont="1" applyBorder="1" applyAlignment="1">
      <alignment horizontal="center" wrapText="1"/>
      <protection/>
    </xf>
    <xf numFmtId="0" fontId="48" fillId="0" borderId="20" xfId="70" applyFont="1" applyBorder="1" applyAlignment="1">
      <alignment horizontal="center" wrapText="1"/>
      <protection/>
    </xf>
    <xf numFmtId="0" fontId="48" fillId="0" borderId="30" xfId="70" applyFont="1" applyBorder="1" applyAlignment="1">
      <alignment horizontal="center" wrapText="1"/>
      <protection/>
    </xf>
    <xf numFmtId="0" fontId="48" fillId="0" borderId="31" xfId="70" applyFont="1" applyBorder="1" applyAlignment="1">
      <alignment horizontal="center" wrapText="1"/>
      <protection/>
    </xf>
    <xf numFmtId="0" fontId="73" fillId="0" borderId="98" xfId="70" applyFont="1" applyBorder="1" applyAlignment="1">
      <alignment horizontal="left" wrapText="1"/>
      <protection/>
    </xf>
    <xf numFmtId="0" fontId="73" fillId="0" borderId="44" xfId="70" applyFont="1" applyBorder="1" applyAlignment="1">
      <alignment horizontal="left" wrapText="1"/>
      <protection/>
    </xf>
    <xf numFmtId="0" fontId="75" fillId="0" borderId="0" xfId="0" applyFont="1" applyAlignment="1">
      <alignment horizontal="center"/>
    </xf>
    <xf numFmtId="0" fontId="20" fillId="0" borderId="0" xfId="73" applyFont="1" applyAlignment="1">
      <alignment horizontal="center" vertical="center"/>
      <protection/>
    </xf>
    <xf numFmtId="40" fontId="82" fillId="0" borderId="0" xfId="69" applyNumberFormat="1" applyFont="1" applyAlignment="1">
      <alignment horizontal="center"/>
      <protection/>
    </xf>
    <xf numFmtId="0" fontId="11" fillId="0" borderId="0" xfId="71" applyFont="1" applyAlignment="1">
      <alignment horizontal="left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3 2" xfId="47"/>
    <cellStyle name="Comma 4" xfId="48"/>
    <cellStyle name="Comma_21.Aktivet Afatgjata Materiale  09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4" xfId="63"/>
    <cellStyle name="Normal 2" xfId="64"/>
    <cellStyle name="Normal 2 2" xfId="65"/>
    <cellStyle name="Normal 2 3" xfId="66"/>
    <cellStyle name="Normal 3" xfId="67"/>
    <cellStyle name="Normal 4" xfId="68"/>
    <cellStyle name="Normal 5" xfId="69"/>
    <cellStyle name="Normal_asn_2009 Propozimet" xfId="70"/>
    <cellStyle name="Normal_Centralizator 2003" xfId="71"/>
    <cellStyle name="Normal_Seksioni G 2" xfId="72"/>
    <cellStyle name="Normal_Sheet1" xfId="73"/>
    <cellStyle name="Normal_Sheet2" xfId="74"/>
    <cellStyle name="Normal_Sheet3" xfId="75"/>
    <cellStyle name="Normale_BILANCIO FKT 1997" xfId="76"/>
    <cellStyle name="Note" xfId="77"/>
    <cellStyle name="Output" xfId="78"/>
    <cellStyle name="Percent" xfId="79"/>
    <cellStyle name="Percent 2" xfId="80"/>
    <cellStyle name="Percent 3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4"/>
  <sheetViews>
    <sheetView zoomScalePageLayoutView="0" workbookViewId="0" topLeftCell="A28">
      <selection activeCell="X43" sqref="X43"/>
    </sheetView>
  </sheetViews>
  <sheetFormatPr defaultColWidth="9.140625" defaultRowHeight="12.75"/>
  <cols>
    <col min="1" max="1" width="2.28125" style="246" customWidth="1"/>
    <col min="2" max="9" width="5.7109375" style="246" customWidth="1"/>
    <col min="10" max="10" width="5.28125" style="246" customWidth="1"/>
    <col min="11" max="11" width="3.57421875" style="246" customWidth="1"/>
    <col min="12" max="15" width="5.7109375" style="246" customWidth="1"/>
    <col min="16" max="16" width="3.140625" style="246" customWidth="1"/>
    <col min="17" max="18" width="5.7109375" style="246" customWidth="1"/>
    <col min="19" max="19" width="3.57421875" style="246" customWidth="1"/>
    <col min="20" max="20" width="5.7109375" style="246" customWidth="1"/>
    <col min="21" max="21" width="3.421875" style="246" customWidth="1"/>
    <col min="22" max="22" width="1.8515625" style="246" customWidth="1"/>
    <col min="23" max="16384" width="9.140625" style="246" customWidth="1"/>
  </cols>
  <sheetData>
    <row r="1" ht="6.75" customHeight="1"/>
    <row r="2" spans="1:22" ht="12.75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39"/>
    </row>
    <row r="3" spans="1:23" s="243" customFormat="1" ht="13.5" customHeight="1">
      <c r="A3" s="242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62"/>
      <c r="N3" s="240"/>
      <c r="O3" s="244"/>
      <c r="P3" s="244"/>
      <c r="Q3" s="244"/>
      <c r="R3" s="244"/>
      <c r="S3" s="244"/>
      <c r="T3" s="244"/>
      <c r="U3" s="245"/>
      <c r="V3" s="244"/>
      <c r="W3" s="244"/>
    </row>
    <row r="4" spans="1:23" s="243" customFormat="1" ht="13.5" customHeight="1">
      <c r="A4" s="242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5"/>
      <c r="V4" s="244"/>
      <c r="W4" s="244"/>
    </row>
    <row r="5" spans="1:23" s="243" customFormat="1" ht="13.5" customHeight="1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1"/>
      <c r="V5" s="244"/>
      <c r="W5" s="244"/>
    </row>
    <row r="6" spans="1:23" s="243" customFormat="1" ht="13.5" customHeight="1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41"/>
      <c r="V6" s="244"/>
      <c r="W6" s="244"/>
    </row>
    <row r="7" spans="1:23" ht="12.75">
      <c r="A7" s="238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41"/>
      <c r="W7" s="239"/>
    </row>
    <row r="8" spans="1:21" ht="12.75">
      <c r="A8" s="238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41"/>
    </row>
    <row r="9" spans="1:21" ht="12.75">
      <c r="A9" s="238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41"/>
    </row>
    <row r="10" spans="1:21" ht="12.75">
      <c r="A10" s="238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41"/>
    </row>
    <row r="11" spans="1:21" ht="47.25">
      <c r="A11" s="594" t="s">
        <v>987</v>
      </c>
      <c r="B11" s="595"/>
      <c r="C11" s="595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5"/>
      <c r="T11" s="595"/>
      <c r="U11" s="596"/>
    </row>
    <row r="12" spans="1:21" ht="11.25" customHeight="1">
      <c r="A12" s="259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1"/>
    </row>
    <row r="13" spans="1:21" ht="24.75" customHeight="1">
      <c r="A13" s="259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1"/>
    </row>
    <row r="14" spans="1:21" ht="21.75" customHeight="1">
      <c r="A14" s="600" t="s">
        <v>986</v>
      </c>
      <c r="B14" s="601"/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601"/>
      <c r="P14" s="601"/>
      <c r="Q14" s="601"/>
      <c r="R14" s="601"/>
      <c r="S14" s="601"/>
      <c r="T14" s="601"/>
      <c r="U14" s="602"/>
    </row>
    <row r="15" spans="1:21" ht="21.75" customHeight="1">
      <c r="A15" s="600" t="s">
        <v>142</v>
      </c>
      <c r="B15" s="601"/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2"/>
    </row>
    <row r="16" spans="1:21" ht="12.75">
      <c r="A16" s="238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41"/>
    </row>
    <row r="17" spans="1:21" ht="12.75">
      <c r="A17" s="238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41"/>
    </row>
    <row r="18" spans="1:21" ht="33">
      <c r="A18" s="597"/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9"/>
    </row>
    <row r="19" spans="1:21" ht="12.75">
      <c r="A19" s="238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41"/>
    </row>
    <row r="20" spans="1:21" ht="12.75">
      <c r="A20" s="238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41"/>
    </row>
    <row r="21" spans="1:21" ht="12.75">
      <c r="A21" s="238"/>
      <c r="B21" s="239"/>
      <c r="C21" s="239"/>
      <c r="D21" s="239"/>
      <c r="E21" s="239"/>
      <c r="F21" s="606" t="s">
        <v>1040</v>
      </c>
      <c r="G21" s="606"/>
      <c r="H21" s="606"/>
      <c r="I21" s="606"/>
      <c r="J21" s="606"/>
      <c r="K21" s="606"/>
      <c r="L21" s="606"/>
      <c r="M21" s="239"/>
      <c r="N21" s="239"/>
      <c r="O21" s="239"/>
      <c r="P21" s="239"/>
      <c r="Q21" s="239"/>
      <c r="R21" s="239"/>
      <c r="S21" s="239"/>
      <c r="T21" s="239"/>
      <c r="U21" s="241"/>
    </row>
    <row r="22" spans="1:21" ht="12.75">
      <c r="A22" s="238"/>
      <c r="B22" s="239"/>
      <c r="C22" s="239"/>
      <c r="D22" s="239"/>
      <c r="E22" s="239"/>
      <c r="F22" s="606"/>
      <c r="G22" s="606"/>
      <c r="H22" s="606"/>
      <c r="I22" s="606"/>
      <c r="J22" s="606"/>
      <c r="K22" s="606"/>
      <c r="L22" s="606"/>
      <c r="M22" s="239"/>
      <c r="N22" s="239"/>
      <c r="O22" s="239"/>
      <c r="P22" s="239"/>
      <c r="Q22" s="239"/>
      <c r="R22" s="239"/>
      <c r="S22" s="239"/>
      <c r="T22" s="239"/>
      <c r="U22" s="241"/>
    </row>
    <row r="23" spans="1:21" ht="12.75">
      <c r="A23" s="238"/>
      <c r="B23" s="239"/>
      <c r="C23" s="239"/>
      <c r="D23" s="239"/>
      <c r="E23" s="239"/>
      <c r="F23" s="606"/>
      <c r="G23" s="606"/>
      <c r="H23" s="606"/>
      <c r="I23" s="606"/>
      <c r="J23" s="606"/>
      <c r="K23" s="606"/>
      <c r="L23" s="606"/>
      <c r="M23" s="239"/>
      <c r="N23" s="239"/>
      <c r="O23" s="239"/>
      <c r="P23" s="239"/>
      <c r="Q23" s="239"/>
      <c r="R23" s="239"/>
      <c r="S23" s="239"/>
      <c r="T23" s="239"/>
      <c r="U23" s="241"/>
    </row>
    <row r="24" spans="1:21" ht="12.75">
      <c r="A24" s="238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41"/>
    </row>
    <row r="25" spans="1:21" ht="30.75" customHeight="1">
      <c r="A25" s="238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41"/>
    </row>
    <row r="26" spans="1:21" ht="12.75">
      <c r="A26" s="238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41"/>
    </row>
    <row r="27" spans="1:21" ht="12.75">
      <c r="A27" s="238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41"/>
    </row>
    <row r="28" spans="1:21" ht="12.75">
      <c r="A28" s="238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41"/>
    </row>
    <row r="29" spans="1:21" ht="15" customHeight="1">
      <c r="A29" s="238"/>
      <c r="B29" s="603" t="s">
        <v>1001</v>
      </c>
      <c r="C29" s="604"/>
      <c r="D29" s="604"/>
      <c r="E29" s="604"/>
      <c r="F29" s="604"/>
      <c r="G29" s="604"/>
      <c r="H29" s="604"/>
      <c r="I29" s="604"/>
      <c r="J29" s="605"/>
      <c r="K29" s="265"/>
      <c r="L29" s="603" t="s">
        <v>1002</v>
      </c>
      <c r="M29" s="604"/>
      <c r="N29" s="604"/>
      <c r="O29" s="604"/>
      <c r="P29" s="604"/>
      <c r="Q29" s="604"/>
      <c r="R29" s="604"/>
      <c r="S29" s="604"/>
      <c r="T29" s="605"/>
      <c r="U29" s="241"/>
    </row>
    <row r="30" spans="1:21" ht="15" customHeight="1">
      <c r="A30" s="238"/>
      <c r="B30" s="266"/>
      <c r="C30" s="267"/>
      <c r="D30" s="267"/>
      <c r="E30" s="267"/>
      <c r="F30" s="267"/>
      <c r="G30" s="267"/>
      <c r="H30" s="267"/>
      <c r="I30" s="267"/>
      <c r="J30" s="268"/>
      <c r="K30" s="265"/>
      <c r="L30" s="266"/>
      <c r="M30" s="267"/>
      <c r="N30" s="267"/>
      <c r="O30" s="267"/>
      <c r="P30" s="267"/>
      <c r="Q30" s="267"/>
      <c r="R30" s="267"/>
      <c r="S30" s="267"/>
      <c r="T30" s="268"/>
      <c r="U30" s="241"/>
    </row>
    <row r="31" spans="1:21" ht="15" customHeight="1">
      <c r="A31" s="238"/>
      <c r="B31" s="269"/>
      <c r="C31" s="264"/>
      <c r="D31" s="264"/>
      <c r="E31" s="264"/>
      <c r="F31" s="264"/>
      <c r="G31" s="264"/>
      <c r="H31" s="264"/>
      <c r="I31" s="264"/>
      <c r="J31" s="270"/>
      <c r="K31" s="265"/>
      <c r="L31" s="269"/>
      <c r="M31" s="264"/>
      <c r="N31" s="264"/>
      <c r="O31" s="264"/>
      <c r="P31" s="258" t="s">
        <v>995</v>
      </c>
      <c r="Q31" s="248" t="s">
        <v>994</v>
      </c>
      <c r="R31" s="248"/>
      <c r="S31" s="264"/>
      <c r="T31" s="270"/>
      <c r="U31" s="241"/>
    </row>
    <row r="32" spans="1:21" ht="15" customHeight="1">
      <c r="A32" s="238"/>
      <c r="B32" s="263" t="s">
        <v>988</v>
      </c>
      <c r="C32" s="258"/>
      <c r="D32" s="258"/>
      <c r="E32" s="258"/>
      <c r="F32" s="253" t="s">
        <v>926</v>
      </c>
      <c r="G32" s="258"/>
      <c r="H32" s="258"/>
      <c r="I32" s="258"/>
      <c r="J32" s="271"/>
      <c r="K32" s="265"/>
      <c r="L32" s="263" t="s">
        <v>993</v>
      </c>
      <c r="M32" s="258"/>
      <c r="N32" s="258"/>
      <c r="O32" s="258"/>
      <c r="P32" s="258"/>
      <c r="Q32" s="258"/>
      <c r="R32" s="258"/>
      <c r="S32" s="258"/>
      <c r="T32" s="271"/>
      <c r="U32" s="241"/>
    </row>
    <row r="33" spans="1:21" ht="15" customHeight="1">
      <c r="A33" s="238"/>
      <c r="B33" s="263" t="s">
        <v>421</v>
      </c>
      <c r="C33" s="258"/>
      <c r="D33" s="258"/>
      <c r="E33" s="258"/>
      <c r="F33" s="253"/>
      <c r="G33" s="258"/>
      <c r="H33" s="258"/>
      <c r="I33" s="258"/>
      <c r="J33" s="271"/>
      <c r="K33" s="265"/>
      <c r="L33" s="263" t="s">
        <v>421</v>
      </c>
      <c r="M33" s="258"/>
      <c r="N33" s="258"/>
      <c r="O33" s="265"/>
      <c r="P33" s="258" t="s">
        <v>995</v>
      </c>
      <c r="Q33" s="253" t="s">
        <v>996</v>
      </c>
      <c r="R33" s="253"/>
      <c r="S33" s="253"/>
      <c r="T33" s="271"/>
      <c r="U33" s="241"/>
    </row>
    <row r="34" spans="1:21" ht="15" customHeight="1">
      <c r="A34" s="238"/>
      <c r="B34" s="263" t="s">
        <v>989</v>
      </c>
      <c r="C34" s="258"/>
      <c r="D34" s="258"/>
      <c r="E34" s="258"/>
      <c r="F34" s="253" t="s">
        <v>927</v>
      </c>
      <c r="G34" s="258"/>
      <c r="H34" s="258"/>
      <c r="I34" s="258"/>
      <c r="J34" s="271"/>
      <c r="K34" s="265"/>
      <c r="L34" s="263"/>
      <c r="M34" s="258"/>
      <c r="N34" s="258"/>
      <c r="O34" s="258"/>
      <c r="P34" s="258"/>
      <c r="Q34" s="253"/>
      <c r="R34" s="253"/>
      <c r="S34" s="253"/>
      <c r="T34" s="271"/>
      <c r="U34" s="241"/>
    </row>
    <row r="35" spans="1:21" ht="15" customHeight="1">
      <c r="A35" s="242"/>
      <c r="B35" s="263"/>
      <c r="C35" s="258"/>
      <c r="D35" s="258"/>
      <c r="E35" s="258"/>
      <c r="F35" s="253"/>
      <c r="G35" s="258"/>
      <c r="H35" s="258"/>
      <c r="I35" s="258"/>
      <c r="J35" s="271"/>
      <c r="K35" s="272"/>
      <c r="L35" s="263"/>
      <c r="M35" s="258"/>
      <c r="N35" s="258"/>
      <c r="O35" s="258"/>
      <c r="P35" s="258"/>
      <c r="Q35" s="253"/>
      <c r="R35" s="253"/>
      <c r="S35" s="253"/>
      <c r="T35" s="271"/>
      <c r="U35" s="245"/>
    </row>
    <row r="36" spans="1:21" ht="15" customHeight="1">
      <c r="A36" s="242"/>
      <c r="B36" s="263" t="s">
        <v>990</v>
      </c>
      <c r="C36" s="258"/>
      <c r="D36" s="258"/>
      <c r="E36" s="258"/>
      <c r="F36" s="253" t="s">
        <v>1008</v>
      </c>
      <c r="G36" s="258"/>
      <c r="H36" s="258"/>
      <c r="I36" s="258"/>
      <c r="J36" s="271"/>
      <c r="K36" s="272"/>
      <c r="L36" s="263" t="s">
        <v>997</v>
      </c>
      <c r="M36" s="258"/>
      <c r="N36" s="258"/>
      <c r="O36" s="258"/>
      <c r="P36" s="258"/>
      <c r="Q36" s="253" t="s">
        <v>1000</v>
      </c>
      <c r="R36" s="253"/>
      <c r="S36" s="253"/>
      <c r="T36" s="271"/>
      <c r="U36" s="245"/>
    </row>
    <row r="37" spans="1:21" ht="15" customHeight="1">
      <c r="A37" s="242"/>
      <c r="B37" s="263"/>
      <c r="C37" s="258"/>
      <c r="D37" s="258"/>
      <c r="E37" s="258"/>
      <c r="F37" s="253" t="s">
        <v>1009</v>
      </c>
      <c r="G37" s="258"/>
      <c r="H37" s="258"/>
      <c r="I37" s="258"/>
      <c r="J37" s="271"/>
      <c r="K37" s="272"/>
      <c r="L37" s="263"/>
      <c r="M37" s="258"/>
      <c r="N37" s="258"/>
      <c r="O37" s="258"/>
      <c r="P37" s="258"/>
      <c r="Q37" s="253"/>
      <c r="R37" s="253"/>
      <c r="S37" s="253"/>
      <c r="T37" s="271"/>
      <c r="U37" s="245"/>
    </row>
    <row r="38" spans="1:21" ht="15" customHeight="1">
      <c r="A38" s="242"/>
      <c r="B38" s="263"/>
      <c r="C38" s="258"/>
      <c r="D38" s="258"/>
      <c r="E38" s="258"/>
      <c r="F38" s="258"/>
      <c r="G38" s="258"/>
      <c r="H38" s="258"/>
      <c r="I38" s="258"/>
      <c r="J38" s="271"/>
      <c r="K38" s="272"/>
      <c r="L38" s="263"/>
      <c r="M38" s="258"/>
      <c r="N38" s="258"/>
      <c r="O38" s="258"/>
      <c r="P38" s="258"/>
      <c r="Q38" s="253"/>
      <c r="R38" s="253"/>
      <c r="S38" s="253"/>
      <c r="T38" s="271"/>
      <c r="U38" s="245"/>
    </row>
    <row r="39" spans="1:21" ht="15" customHeight="1">
      <c r="A39" s="242"/>
      <c r="B39" s="263" t="s">
        <v>991</v>
      </c>
      <c r="C39" s="258"/>
      <c r="D39" s="258"/>
      <c r="E39" s="258"/>
      <c r="F39" s="253" t="s">
        <v>1011</v>
      </c>
      <c r="G39" s="258"/>
      <c r="H39" s="258"/>
      <c r="I39" s="258"/>
      <c r="J39" s="271"/>
      <c r="K39" s="272"/>
      <c r="L39" s="263" t="s">
        <v>998</v>
      </c>
      <c r="M39" s="258"/>
      <c r="N39" s="258"/>
      <c r="O39" s="258"/>
      <c r="P39" s="258"/>
      <c r="Q39" s="253" t="s">
        <v>1000</v>
      </c>
      <c r="R39" s="253"/>
      <c r="S39" s="253"/>
      <c r="T39" s="271"/>
      <c r="U39" s="245"/>
    </row>
    <row r="40" spans="1:21" ht="15" customHeight="1">
      <c r="A40" s="238"/>
      <c r="B40" s="263"/>
      <c r="C40" s="258"/>
      <c r="D40" s="258"/>
      <c r="E40" s="258"/>
      <c r="F40" s="258"/>
      <c r="G40" s="258"/>
      <c r="H40" s="258"/>
      <c r="I40" s="258"/>
      <c r="J40" s="271"/>
      <c r="K40" s="265"/>
      <c r="L40" s="263"/>
      <c r="M40" s="258"/>
      <c r="N40" s="258"/>
      <c r="O40" s="258"/>
      <c r="P40" s="258"/>
      <c r="Q40" s="253"/>
      <c r="R40" s="253"/>
      <c r="S40" s="253"/>
      <c r="T40" s="271"/>
      <c r="U40" s="241"/>
    </row>
    <row r="41" spans="1:21" ht="15" customHeight="1">
      <c r="A41" s="247"/>
      <c r="B41" s="263" t="s">
        <v>992</v>
      </c>
      <c r="C41" s="258"/>
      <c r="D41" s="258"/>
      <c r="E41" s="258"/>
      <c r="F41" s="253" t="s">
        <v>141</v>
      </c>
      <c r="G41" s="258"/>
      <c r="H41" s="258"/>
      <c r="I41" s="258"/>
      <c r="J41" s="271"/>
      <c r="K41" s="273"/>
      <c r="L41" s="263" t="s">
        <v>1003</v>
      </c>
      <c r="M41" s="258"/>
      <c r="N41" s="258"/>
      <c r="O41" s="258"/>
      <c r="P41" s="258"/>
      <c r="Q41" s="253"/>
      <c r="R41" s="253"/>
      <c r="S41" s="253"/>
      <c r="T41" s="271"/>
      <c r="U41" s="249"/>
    </row>
    <row r="42" spans="1:21" ht="15" customHeight="1">
      <c r="A42" s="247"/>
      <c r="B42" s="263"/>
      <c r="C42" s="258"/>
      <c r="D42" s="258"/>
      <c r="E42" s="258"/>
      <c r="F42" s="258"/>
      <c r="G42" s="258"/>
      <c r="H42" s="258"/>
      <c r="I42" s="258"/>
      <c r="J42" s="271"/>
      <c r="K42" s="273"/>
      <c r="L42" s="263"/>
      <c r="M42" s="257" t="s">
        <v>999</v>
      </c>
      <c r="N42" s="257" t="s">
        <v>1041</v>
      </c>
      <c r="O42" s="257"/>
      <c r="P42" s="257"/>
      <c r="Q42" s="257" t="s">
        <v>1042</v>
      </c>
      <c r="R42" s="257"/>
      <c r="S42" s="257"/>
      <c r="T42" s="271"/>
      <c r="U42" s="249"/>
    </row>
    <row r="43" spans="1:21" ht="15" customHeight="1">
      <c r="A43" s="247"/>
      <c r="B43" s="263" t="s">
        <v>1004</v>
      </c>
      <c r="C43" s="258"/>
      <c r="D43" s="258"/>
      <c r="E43" s="258"/>
      <c r="F43" s="290" t="s">
        <v>1006</v>
      </c>
      <c r="G43" s="258"/>
      <c r="H43" s="258"/>
      <c r="I43" s="258"/>
      <c r="J43" s="271"/>
      <c r="K43" s="273"/>
      <c r="L43" s="263"/>
      <c r="M43" s="258"/>
      <c r="N43" s="258"/>
      <c r="O43" s="258"/>
      <c r="P43" s="258"/>
      <c r="Q43" s="253"/>
      <c r="R43" s="253"/>
      <c r="S43" s="253"/>
      <c r="T43" s="271"/>
      <c r="U43" s="249"/>
    </row>
    <row r="44" spans="1:21" s="243" customFormat="1" ht="15" customHeight="1">
      <c r="A44" s="247"/>
      <c r="B44" s="289" t="s">
        <v>1007</v>
      </c>
      <c r="C44" s="253"/>
      <c r="D44" s="253"/>
      <c r="E44" s="253"/>
      <c r="F44" s="253"/>
      <c r="G44" s="258"/>
      <c r="H44" s="258"/>
      <c r="I44" s="258"/>
      <c r="J44" s="274"/>
      <c r="K44" s="272"/>
      <c r="L44" s="263" t="s">
        <v>1005</v>
      </c>
      <c r="M44" s="258"/>
      <c r="N44" s="258"/>
      <c r="O44" s="258"/>
      <c r="P44" s="258"/>
      <c r="Q44" s="253" t="s">
        <v>1126</v>
      </c>
      <c r="R44" s="253"/>
      <c r="S44" s="253"/>
      <c r="T44" s="274"/>
      <c r="U44" s="249"/>
    </row>
    <row r="45" spans="1:21" s="243" customFormat="1" ht="15" customHeight="1">
      <c r="A45" s="247"/>
      <c r="B45" s="288" t="s">
        <v>126</v>
      </c>
      <c r="C45" s="253"/>
      <c r="D45" s="253"/>
      <c r="E45" s="253"/>
      <c r="F45" s="253"/>
      <c r="G45" s="258"/>
      <c r="H45" s="258"/>
      <c r="I45" s="258"/>
      <c r="J45" s="274"/>
      <c r="K45" s="272"/>
      <c r="L45" s="263"/>
      <c r="M45" s="258"/>
      <c r="N45" s="258"/>
      <c r="O45" s="258"/>
      <c r="P45" s="258"/>
      <c r="Q45" s="258"/>
      <c r="R45" s="258"/>
      <c r="S45" s="258"/>
      <c r="T45" s="274"/>
      <c r="U45" s="249"/>
    </row>
    <row r="46" spans="1:21" s="243" customFormat="1" ht="15" customHeight="1">
      <c r="A46" s="247"/>
      <c r="B46" s="254"/>
      <c r="C46" s="255"/>
      <c r="D46" s="255"/>
      <c r="E46" s="255"/>
      <c r="F46" s="255"/>
      <c r="G46" s="255"/>
      <c r="H46" s="255"/>
      <c r="I46" s="255"/>
      <c r="J46" s="256"/>
      <c r="K46" s="244"/>
      <c r="L46" s="254"/>
      <c r="M46" s="255"/>
      <c r="N46" s="255"/>
      <c r="O46" s="255"/>
      <c r="P46" s="255"/>
      <c r="Q46" s="255"/>
      <c r="R46" s="255"/>
      <c r="S46" s="255"/>
      <c r="T46" s="256"/>
      <c r="U46" s="249"/>
    </row>
    <row r="47" spans="1:21" s="243" customFormat="1" ht="12.75" customHeight="1">
      <c r="A47" s="250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2"/>
    </row>
    <row r="48" ht="12.75" customHeight="1"/>
    <row r="49" spans="1:21" s="275" customFormat="1" ht="12.75" customHeight="1">
      <c r="A49" s="246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</row>
    <row r="50" spans="1:21" s="275" customFormat="1" ht="12.75" customHeight="1">
      <c r="A50" s="246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</row>
    <row r="51" spans="1:21" s="275" customFormat="1" ht="12.75" customHeight="1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</row>
    <row r="52" spans="1:21" s="275" customFormat="1" ht="12.75" customHeight="1">
      <c r="A52" s="246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</row>
    <row r="53" spans="1:21" s="275" customFormat="1" ht="12.75" customHeight="1">
      <c r="A53" s="246"/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</row>
    <row r="54" spans="1:21" s="275" customFormat="1" ht="12.75" customHeight="1">
      <c r="A54" s="246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</row>
    <row r="55" ht="12.75" customHeight="1"/>
  </sheetData>
  <sheetProtection/>
  <mergeCells count="7">
    <mergeCell ref="A11:U11"/>
    <mergeCell ref="A18:U18"/>
    <mergeCell ref="A15:U15"/>
    <mergeCell ref="L29:T29"/>
    <mergeCell ref="B29:J29"/>
    <mergeCell ref="A14:U14"/>
    <mergeCell ref="F21:L23"/>
  </mergeCells>
  <printOptions horizontalCentered="1" verticalCentered="1"/>
  <pageMargins left="0.17" right="0" top="0.23" bottom="0.3937007874015748" header="0.28" footer="0.5118110236220472"/>
  <pageSetup horizontalDpi="600" verticalDpi="600" orientation="portrait" paperSize="12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25">
      <selection activeCell="J12" sqref="J12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spans="2:5" ht="12.75">
      <c r="B1" s="378" t="s">
        <v>109</v>
      </c>
      <c r="C1" s="399"/>
      <c r="D1" s="399"/>
      <c r="E1" s="99"/>
    </row>
    <row r="2" spans="2:6" ht="12.75">
      <c r="B2" s="378" t="s">
        <v>110</v>
      </c>
      <c r="C2" s="399"/>
      <c r="D2" s="399"/>
      <c r="E2" s="99"/>
      <c r="F2" s="570" t="s">
        <v>1063</v>
      </c>
    </row>
    <row r="3" ht="12.75">
      <c r="B3" s="378"/>
    </row>
    <row r="4" spans="2:7" ht="15.75">
      <c r="B4" s="663" t="s">
        <v>1093</v>
      </c>
      <c r="C4" s="663"/>
      <c r="D4" s="663"/>
      <c r="E4" s="663"/>
      <c r="F4" s="663"/>
      <c r="G4" s="663"/>
    </row>
    <row r="6" spans="1:7" ht="12.75">
      <c r="A6" s="664" t="s">
        <v>1012</v>
      </c>
      <c r="B6" s="666" t="s">
        <v>485</v>
      </c>
      <c r="C6" s="664" t="s">
        <v>1013</v>
      </c>
      <c r="D6" s="379" t="s">
        <v>1014</v>
      </c>
      <c r="E6" s="664" t="s">
        <v>1015</v>
      </c>
      <c r="F6" s="664" t="s">
        <v>1016</v>
      </c>
      <c r="G6" s="379" t="s">
        <v>1014</v>
      </c>
    </row>
    <row r="7" spans="1:9" ht="12.75">
      <c r="A7" s="665"/>
      <c r="B7" s="667"/>
      <c r="C7" s="665"/>
      <c r="D7" s="380">
        <v>40909</v>
      </c>
      <c r="E7" s="665"/>
      <c r="F7" s="665"/>
      <c r="G7" s="380">
        <v>41274</v>
      </c>
      <c r="H7" s="32"/>
      <c r="I7" s="32"/>
    </row>
    <row r="8" spans="1:9" ht="12.75">
      <c r="A8" s="166">
        <v>1</v>
      </c>
      <c r="B8" s="85" t="s">
        <v>369</v>
      </c>
      <c r="C8" s="166"/>
      <c r="D8" s="381"/>
      <c r="E8" s="381"/>
      <c r="F8" s="381"/>
      <c r="G8" s="381">
        <f aca="true" t="shared" si="0" ref="G8:G16">D8+E8-F8</f>
        <v>0</v>
      </c>
      <c r="H8" s="32"/>
      <c r="I8" s="32"/>
    </row>
    <row r="9" spans="1:9" ht="12.75">
      <c r="A9" s="166">
        <v>2</v>
      </c>
      <c r="B9" s="85" t="s">
        <v>1017</v>
      </c>
      <c r="C9" s="166"/>
      <c r="D9" s="381"/>
      <c r="E9" s="381"/>
      <c r="F9" s="381"/>
      <c r="G9" s="381">
        <f t="shared" si="0"/>
        <v>0</v>
      </c>
      <c r="H9" s="382"/>
      <c r="I9" s="383"/>
    </row>
    <row r="10" spans="1:9" ht="12.75">
      <c r="A10" s="166">
        <v>3</v>
      </c>
      <c r="B10" s="384" t="s">
        <v>1018</v>
      </c>
      <c r="C10" s="166"/>
      <c r="D10" s="381">
        <v>39228012.75</v>
      </c>
      <c r="E10" s="381">
        <v>788093.28</v>
      </c>
      <c r="F10" s="381">
        <v>788093.28</v>
      </c>
      <c r="G10" s="381">
        <f t="shared" si="0"/>
        <v>39228012.75</v>
      </c>
      <c r="H10" s="382"/>
      <c r="I10" s="383"/>
    </row>
    <row r="11" spans="1:9" ht="12.75">
      <c r="A11" s="166">
        <v>4</v>
      </c>
      <c r="B11" s="384" t="s">
        <v>617</v>
      </c>
      <c r="C11" s="166"/>
      <c r="D11" s="381">
        <v>1365000</v>
      </c>
      <c r="E11" s="381"/>
      <c r="F11" s="381"/>
      <c r="G11" s="381">
        <f t="shared" si="0"/>
        <v>1365000</v>
      </c>
      <c r="H11" s="382"/>
      <c r="I11" s="383"/>
    </row>
    <row r="12" spans="1:9" ht="12.75">
      <c r="A12" s="166">
        <v>5</v>
      </c>
      <c r="B12" s="384" t="s">
        <v>1019</v>
      </c>
      <c r="C12" s="166"/>
      <c r="E12" s="381"/>
      <c r="F12" s="381"/>
      <c r="G12" s="381">
        <f t="shared" si="0"/>
        <v>0</v>
      </c>
      <c r="H12" s="382"/>
      <c r="I12" s="383"/>
    </row>
    <row r="13" spans="1:9" ht="12.75">
      <c r="A13" s="166">
        <v>1</v>
      </c>
      <c r="B13" s="384" t="s">
        <v>1020</v>
      </c>
      <c r="C13" s="166"/>
      <c r="D13" s="381">
        <v>313080.09</v>
      </c>
      <c r="E13" s="381"/>
      <c r="F13" s="381"/>
      <c r="G13" s="381">
        <f t="shared" si="0"/>
        <v>313080.09</v>
      </c>
      <c r="H13" s="382"/>
      <c r="I13" s="383"/>
    </row>
    <row r="14" spans="1:9" ht="12.75">
      <c r="A14" s="166">
        <v>2</v>
      </c>
      <c r="B14" s="165"/>
      <c r="C14" s="166"/>
      <c r="D14" s="381"/>
      <c r="E14" s="381"/>
      <c r="F14" s="381"/>
      <c r="G14" s="381">
        <f t="shared" si="0"/>
        <v>0</v>
      </c>
      <c r="H14" s="32"/>
      <c r="I14" s="32"/>
    </row>
    <row r="15" spans="1:9" ht="12.75">
      <c r="A15" s="166">
        <v>3</v>
      </c>
      <c r="B15" s="165"/>
      <c r="C15" s="166"/>
      <c r="D15" s="381"/>
      <c r="E15" s="381"/>
      <c r="F15" s="381"/>
      <c r="G15" s="381">
        <f t="shared" si="0"/>
        <v>0</v>
      </c>
      <c r="H15" s="32"/>
      <c r="I15" s="32"/>
    </row>
    <row r="16" spans="1:9" ht="13.5" thickBot="1">
      <c r="A16" s="386">
        <v>4</v>
      </c>
      <c r="B16" s="387"/>
      <c r="C16" s="386"/>
      <c r="D16" s="388"/>
      <c r="E16" s="388"/>
      <c r="F16" s="388"/>
      <c r="G16" s="381">
        <f t="shared" si="0"/>
        <v>0</v>
      </c>
      <c r="H16" s="32"/>
      <c r="I16" s="32"/>
    </row>
    <row r="17" spans="1:9" ht="13.5" thickBot="1">
      <c r="A17" s="389"/>
      <c r="B17" s="390" t="s">
        <v>1021</v>
      </c>
      <c r="C17" s="391"/>
      <c r="D17" s="392">
        <f>SUM(D8:D16)</f>
        <v>40906092.84</v>
      </c>
      <c r="E17" s="392">
        <f>SUM(E8:E16)</f>
        <v>788093.28</v>
      </c>
      <c r="F17" s="392">
        <f>SUM(F8:F16)</f>
        <v>788093.28</v>
      </c>
      <c r="G17" s="393">
        <f>SUM(G8:G16)</f>
        <v>40906092.84</v>
      </c>
      <c r="I17" s="394"/>
    </row>
    <row r="20" spans="2:9" ht="15.75">
      <c r="B20" s="663" t="s">
        <v>1094</v>
      </c>
      <c r="C20" s="663"/>
      <c r="D20" s="663"/>
      <c r="E20" s="663"/>
      <c r="F20" s="663"/>
      <c r="G20" s="663"/>
      <c r="I20" s="394"/>
    </row>
    <row r="22" spans="1:7" ht="12.75">
      <c r="A22" s="664" t="s">
        <v>1012</v>
      </c>
      <c r="B22" s="666" t="s">
        <v>485</v>
      </c>
      <c r="C22" s="664" t="s">
        <v>1013</v>
      </c>
      <c r="D22" s="379" t="s">
        <v>1014</v>
      </c>
      <c r="E22" s="664" t="s">
        <v>1015</v>
      </c>
      <c r="F22" s="664" t="s">
        <v>1016</v>
      </c>
      <c r="G22" s="379" t="s">
        <v>1014</v>
      </c>
    </row>
    <row r="23" spans="1:7" ht="12.75">
      <c r="A23" s="665"/>
      <c r="B23" s="667"/>
      <c r="C23" s="665"/>
      <c r="D23" s="380">
        <v>40909</v>
      </c>
      <c r="E23" s="665"/>
      <c r="F23" s="665"/>
      <c r="G23" s="380">
        <v>41274</v>
      </c>
    </row>
    <row r="24" spans="1:9" ht="12.75">
      <c r="A24" s="166">
        <v>1</v>
      </c>
      <c r="B24" s="85" t="s">
        <v>369</v>
      </c>
      <c r="C24" s="166"/>
      <c r="D24" s="381">
        <v>0</v>
      </c>
      <c r="E24" s="381">
        <v>0</v>
      </c>
      <c r="F24" s="381"/>
      <c r="G24" s="381">
        <f aca="true" t="shared" si="1" ref="G24:G32">D24+E24</f>
        <v>0</v>
      </c>
      <c r="I24" s="394"/>
    </row>
    <row r="25" spans="1:9" ht="12.75">
      <c r="A25" s="166">
        <v>2</v>
      </c>
      <c r="B25" s="85" t="s">
        <v>1017</v>
      </c>
      <c r="C25" s="166"/>
      <c r="D25" s="381"/>
      <c r="E25" s="381"/>
      <c r="F25" s="381"/>
      <c r="G25" s="381">
        <f t="shared" si="1"/>
        <v>0</v>
      </c>
      <c r="I25" s="99"/>
    </row>
    <row r="26" spans="1:7" ht="12.75">
      <c r="A26" s="166">
        <v>3</v>
      </c>
      <c r="B26" s="384" t="s">
        <v>1022</v>
      </c>
      <c r="C26" s="166"/>
      <c r="D26" s="381">
        <v>9360131</v>
      </c>
      <c r="E26" s="381">
        <v>449628</v>
      </c>
      <c r="F26" s="381"/>
      <c r="G26" s="381">
        <f t="shared" si="1"/>
        <v>9809759</v>
      </c>
    </row>
    <row r="27" spans="1:9" ht="12.75">
      <c r="A27" s="166">
        <v>4</v>
      </c>
      <c r="B27" s="384" t="s">
        <v>617</v>
      </c>
      <c r="C27" s="166"/>
      <c r="D27" s="508">
        <v>676783</v>
      </c>
      <c r="E27" s="381">
        <v>142193</v>
      </c>
      <c r="F27" s="381"/>
      <c r="G27" s="381">
        <f t="shared" si="1"/>
        <v>818976</v>
      </c>
      <c r="I27" s="394"/>
    </row>
    <row r="28" spans="1:7" ht="12.75">
      <c r="A28" s="166">
        <v>5</v>
      </c>
      <c r="B28" s="384" t="s">
        <v>1019</v>
      </c>
      <c r="C28" s="166"/>
      <c r="E28" s="395"/>
      <c r="F28" s="381"/>
      <c r="G28" s="381">
        <f t="shared" si="1"/>
        <v>0</v>
      </c>
    </row>
    <row r="29" spans="1:7" ht="12.75">
      <c r="A29" s="166">
        <v>1</v>
      </c>
      <c r="B29" s="384" t="s">
        <v>1020</v>
      </c>
      <c r="C29" s="166"/>
      <c r="D29" s="381">
        <v>67649</v>
      </c>
      <c r="E29" s="381">
        <v>27292</v>
      </c>
      <c r="F29" s="381"/>
      <c r="G29" s="381">
        <f t="shared" si="1"/>
        <v>94941</v>
      </c>
    </row>
    <row r="30" spans="1:7" ht="12.75">
      <c r="A30" s="166">
        <v>2</v>
      </c>
      <c r="B30" s="165"/>
      <c r="C30" s="166"/>
      <c r="D30" s="381"/>
      <c r="E30" s="381"/>
      <c r="F30" s="381"/>
      <c r="G30" s="381">
        <f t="shared" si="1"/>
        <v>0</v>
      </c>
    </row>
    <row r="31" spans="1:7" ht="12.75">
      <c r="A31" s="166">
        <v>3</v>
      </c>
      <c r="B31" s="165"/>
      <c r="C31" s="166"/>
      <c r="D31" s="381"/>
      <c r="E31" s="381"/>
      <c r="F31" s="381"/>
      <c r="G31" s="381">
        <f t="shared" si="1"/>
        <v>0</v>
      </c>
    </row>
    <row r="32" spans="1:7" ht="13.5" thickBot="1">
      <c r="A32" s="386">
        <v>4</v>
      </c>
      <c r="B32" s="387"/>
      <c r="C32" s="386"/>
      <c r="D32" s="388"/>
      <c r="E32" s="388"/>
      <c r="F32" s="388"/>
      <c r="G32" s="381">
        <f t="shared" si="1"/>
        <v>0</v>
      </c>
    </row>
    <row r="33" spans="1:10" ht="13.5" thickBot="1">
      <c r="A33" s="389"/>
      <c r="B33" s="390" t="s">
        <v>1021</v>
      </c>
      <c r="C33" s="391"/>
      <c r="D33" s="392">
        <f>SUM(D24:D32)</f>
        <v>10104563</v>
      </c>
      <c r="E33" s="392">
        <f>SUM(E24:E32)</f>
        <v>619113</v>
      </c>
      <c r="F33" s="392">
        <f>SUM(F24:F32)</f>
        <v>0</v>
      </c>
      <c r="G33" s="393">
        <f>SUM(G24:G32)</f>
        <v>10723676</v>
      </c>
      <c r="H33" s="396"/>
      <c r="I33" s="394"/>
      <c r="J33" s="394"/>
    </row>
    <row r="34" ht="12.75">
      <c r="G34" s="396"/>
    </row>
    <row r="36" spans="2:7" ht="15.75">
      <c r="B36" s="663" t="s">
        <v>1095</v>
      </c>
      <c r="C36" s="663"/>
      <c r="D36" s="663"/>
      <c r="E36" s="663"/>
      <c r="F36" s="663"/>
      <c r="G36" s="663"/>
    </row>
    <row r="38" spans="1:7" ht="12.75">
      <c r="A38" s="664" t="s">
        <v>1012</v>
      </c>
      <c r="B38" s="666" t="s">
        <v>485</v>
      </c>
      <c r="C38" s="664" t="s">
        <v>1013</v>
      </c>
      <c r="D38" s="379" t="s">
        <v>1014</v>
      </c>
      <c r="E38" s="664" t="s">
        <v>1015</v>
      </c>
      <c r="F38" s="664" t="s">
        <v>1016</v>
      </c>
      <c r="G38" s="379" t="s">
        <v>1014</v>
      </c>
    </row>
    <row r="39" spans="1:7" ht="12.75">
      <c r="A39" s="665"/>
      <c r="B39" s="667"/>
      <c r="C39" s="665"/>
      <c r="D39" s="380">
        <v>40909</v>
      </c>
      <c r="E39" s="665"/>
      <c r="F39" s="665"/>
      <c r="G39" s="380">
        <v>41274</v>
      </c>
    </row>
    <row r="40" spans="1:7" ht="12.75">
      <c r="A40" s="166">
        <v>1</v>
      </c>
      <c r="B40" s="85" t="s">
        <v>369</v>
      </c>
      <c r="C40" s="166"/>
      <c r="D40" s="381">
        <v>0</v>
      </c>
      <c r="E40" s="381"/>
      <c r="F40" s="381">
        <v>0</v>
      </c>
      <c r="G40" s="381">
        <f aca="true" t="shared" si="2" ref="G40:G48">D40+E40-F40</f>
        <v>0</v>
      </c>
    </row>
    <row r="41" spans="1:14" ht="12.75">
      <c r="A41" s="166">
        <v>2</v>
      </c>
      <c r="B41" s="384" t="s">
        <v>1017</v>
      </c>
      <c r="C41" s="166"/>
      <c r="D41" s="381"/>
      <c r="E41" s="381"/>
      <c r="F41" s="381"/>
      <c r="G41" s="381">
        <f t="shared" si="2"/>
        <v>0</v>
      </c>
      <c r="M41" s="32"/>
      <c r="N41" s="32"/>
    </row>
    <row r="42" spans="1:14" ht="12.75">
      <c r="A42" s="166">
        <v>3</v>
      </c>
      <c r="B42" s="384" t="s">
        <v>1022</v>
      </c>
      <c r="C42" s="166"/>
      <c r="D42" s="381">
        <f>D10-D26</f>
        <v>29867881.75</v>
      </c>
      <c r="E42" s="396"/>
      <c r="F42" s="381"/>
      <c r="G42" s="381">
        <f t="shared" si="2"/>
        <v>29867881.75</v>
      </c>
      <c r="M42" s="32"/>
      <c r="N42" s="32"/>
    </row>
    <row r="43" spans="1:14" ht="12.75">
      <c r="A43" s="166">
        <v>4</v>
      </c>
      <c r="B43" s="384" t="s">
        <v>617</v>
      </c>
      <c r="C43" s="166"/>
      <c r="D43" s="381">
        <f>D11-D27</f>
        <v>688217</v>
      </c>
      <c r="E43" s="381"/>
      <c r="F43" s="381"/>
      <c r="G43" s="381">
        <f t="shared" si="2"/>
        <v>688217</v>
      </c>
      <c r="M43" s="32"/>
      <c r="N43" s="32"/>
    </row>
    <row r="44" spans="1:14" ht="12.75">
      <c r="A44" s="166">
        <v>5</v>
      </c>
      <c r="B44" s="384" t="s">
        <v>1019</v>
      </c>
      <c r="C44" s="166"/>
      <c r="D44" s="381">
        <f>D12-D28</f>
        <v>0</v>
      </c>
      <c r="E44" s="381"/>
      <c r="F44" s="381"/>
      <c r="G44" s="381">
        <f t="shared" si="2"/>
        <v>0</v>
      </c>
      <c r="M44" s="32"/>
      <c r="N44" s="32"/>
    </row>
    <row r="45" spans="1:14" ht="12.75">
      <c r="A45" s="166">
        <v>1</v>
      </c>
      <c r="B45" s="384" t="s">
        <v>1020</v>
      </c>
      <c r="C45" s="166"/>
      <c r="D45" s="381">
        <f>D13-D29</f>
        <v>245431.09000000003</v>
      </c>
      <c r="E45" s="381"/>
      <c r="F45" s="381"/>
      <c r="G45" s="381">
        <f t="shared" si="2"/>
        <v>245431.09000000003</v>
      </c>
      <c r="M45" s="32"/>
      <c r="N45" s="32"/>
    </row>
    <row r="46" spans="1:14" ht="12.75">
      <c r="A46" s="166">
        <v>2</v>
      </c>
      <c r="B46" s="384"/>
      <c r="C46" s="166"/>
      <c r="D46" s="381">
        <f>D14-D30</f>
        <v>0</v>
      </c>
      <c r="E46" s="381"/>
      <c r="F46" s="381"/>
      <c r="G46" s="381">
        <f t="shared" si="2"/>
        <v>0</v>
      </c>
      <c r="M46" s="32"/>
      <c r="N46" s="32"/>
    </row>
    <row r="47" spans="1:14" ht="12.75">
      <c r="A47" s="166">
        <v>3</v>
      </c>
      <c r="B47" s="165"/>
      <c r="C47" s="166"/>
      <c r="D47" s="381"/>
      <c r="E47" s="381"/>
      <c r="F47" s="381"/>
      <c r="G47" s="381">
        <f t="shared" si="2"/>
        <v>0</v>
      </c>
      <c r="M47" s="32"/>
      <c r="N47" s="32"/>
    </row>
    <row r="48" spans="1:14" ht="13.5" thickBot="1">
      <c r="A48" s="386">
        <v>4</v>
      </c>
      <c r="B48" s="387"/>
      <c r="C48" s="386"/>
      <c r="D48" s="388"/>
      <c r="E48" s="388"/>
      <c r="F48" s="388"/>
      <c r="G48" s="388">
        <f t="shared" si="2"/>
        <v>0</v>
      </c>
      <c r="M48" s="32"/>
      <c r="N48" s="32"/>
    </row>
    <row r="49" spans="1:14" ht="13.5" thickBot="1">
      <c r="A49" s="389"/>
      <c r="B49" s="390" t="s">
        <v>1021</v>
      </c>
      <c r="C49" s="391"/>
      <c r="D49" s="392">
        <f>SUM(D40:D48)</f>
        <v>30801529.84</v>
      </c>
      <c r="E49" s="392">
        <f>SUM(E40:E48)</f>
        <v>0</v>
      </c>
      <c r="F49" s="392">
        <f>SUM(F40:F48)</f>
        <v>0</v>
      </c>
      <c r="G49" s="393">
        <f>SUM(G40:G48)</f>
        <v>30801529.84</v>
      </c>
      <c r="I49" s="396"/>
      <c r="J49" s="394"/>
      <c r="M49" s="168"/>
      <c r="N49" s="32"/>
    </row>
    <row r="50" spans="6:10" s="32" customFormat="1" ht="12.75">
      <c r="F50" s="383"/>
      <c r="G50" s="397"/>
      <c r="J50" s="383"/>
    </row>
    <row r="51" spans="4:14" ht="12.75">
      <c r="D51" s="394"/>
      <c r="G51" s="394"/>
      <c r="I51" s="396"/>
      <c r="M51" s="32"/>
      <c r="N51" s="32"/>
    </row>
    <row r="52" spans="4:14" ht="12.75">
      <c r="D52" s="394"/>
      <c r="G52" s="394"/>
      <c r="I52" s="394"/>
      <c r="M52" s="32"/>
      <c r="N52" s="32"/>
    </row>
    <row r="53" spans="5:14" ht="15.75">
      <c r="E53" s="654" t="s">
        <v>1023</v>
      </c>
      <c r="F53" s="654"/>
      <c r="G53" s="654"/>
      <c r="M53" s="32"/>
      <c r="N53" s="32"/>
    </row>
    <row r="54" spans="5:7" ht="12.75">
      <c r="E54" s="668" t="s">
        <v>125</v>
      </c>
      <c r="F54" s="668"/>
      <c r="G54" s="668"/>
    </row>
  </sheetData>
  <sheetProtection/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" right="0.7" top="0.52" bottom="0.4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9.421875" style="0" customWidth="1"/>
    <col min="9" max="9" width="13.28125" style="0" customWidth="1"/>
    <col min="10" max="10" width="12.8515625" style="0" customWidth="1"/>
    <col min="11" max="11" width="4.7109375" style="0" customWidth="1"/>
    <col min="16" max="16" width="53.421875" style="0" customWidth="1"/>
  </cols>
  <sheetData>
    <row r="1" spans="1:10" ht="12.75">
      <c r="A1" s="99"/>
      <c r="B1" s="378" t="s">
        <v>109</v>
      </c>
      <c r="C1" s="399"/>
      <c r="D1" s="399"/>
      <c r="E1" s="99"/>
      <c r="F1" s="99"/>
      <c r="G1" s="99"/>
      <c r="H1" s="99"/>
      <c r="I1" s="99"/>
      <c r="J1" s="99"/>
    </row>
    <row r="2" spans="1:10" ht="12.75">
      <c r="A2" s="99"/>
      <c r="B2" s="378" t="s">
        <v>110</v>
      </c>
      <c r="C2" s="399"/>
      <c r="D2" s="399"/>
      <c r="E2" s="99"/>
      <c r="F2" s="99"/>
      <c r="G2" s="99"/>
      <c r="H2" s="99"/>
      <c r="I2" s="99"/>
      <c r="J2" s="99"/>
    </row>
    <row r="3" spans="1:10" ht="12.75">
      <c r="A3" s="99"/>
      <c r="B3" s="400"/>
      <c r="C3" s="99"/>
      <c r="D3" s="99"/>
      <c r="E3" s="99"/>
      <c r="F3" s="349"/>
      <c r="G3" s="99"/>
      <c r="H3" s="99"/>
      <c r="I3" s="400" t="s">
        <v>1024</v>
      </c>
      <c r="J3" s="576" t="s">
        <v>1063</v>
      </c>
    </row>
    <row r="4" spans="1:10" ht="12.75">
      <c r="A4" s="99"/>
      <c r="B4" s="400"/>
      <c r="C4" s="99"/>
      <c r="D4" s="99"/>
      <c r="E4" s="99"/>
      <c r="F4" s="99"/>
      <c r="G4" s="99"/>
      <c r="H4" s="99"/>
      <c r="I4" s="99"/>
      <c r="J4" s="99"/>
    </row>
    <row r="5" spans="1:16" ht="12.75">
      <c r="A5" s="97"/>
      <c r="B5" s="97"/>
      <c r="C5" s="97"/>
      <c r="D5" s="97"/>
      <c r="E5" s="97"/>
      <c r="F5" s="97"/>
      <c r="G5" s="97"/>
      <c r="H5" s="97"/>
      <c r="I5" s="401"/>
      <c r="J5" s="402" t="s">
        <v>1025</v>
      </c>
      <c r="K5" s="32"/>
      <c r="L5" s="32"/>
      <c r="M5" s="32"/>
      <c r="N5" s="32"/>
      <c r="O5" s="32"/>
      <c r="P5" s="32"/>
    </row>
    <row r="6" spans="1:16" ht="15.75" customHeight="1">
      <c r="A6" s="673" t="s">
        <v>1026</v>
      </c>
      <c r="B6" s="674"/>
      <c r="C6" s="674"/>
      <c r="D6" s="674"/>
      <c r="E6" s="674"/>
      <c r="F6" s="674"/>
      <c r="G6" s="674"/>
      <c r="H6" s="674"/>
      <c r="I6" s="674"/>
      <c r="J6" s="675"/>
      <c r="K6" s="403"/>
      <c r="L6" s="403"/>
      <c r="M6" s="403"/>
      <c r="N6" s="403"/>
      <c r="O6" s="403"/>
      <c r="P6" s="403"/>
    </row>
    <row r="7" spans="1:10" ht="26.25" customHeight="1" thickBot="1">
      <c r="A7" s="404"/>
      <c r="B7" s="676" t="s">
        <v>1027</v>
      </c>
      <c r="C7" s="676"/>
      <c r="D7" s="676"/>
      <c r="E7" s="676"/>
      <c r="F7" s="677"/>
      <c r="G7" s="405" t="s">
        <v>1028</v>
      </c>
      <c r="H7" s="405" t="s">
        <v>1029</v>
      </c>
      <c r="I7" s="406">
        <v>2012</v>
      </c>
      <c r="J7" s="406" t="s">
        <v>4</v>
      </c>
    </row>
    <row r="8" spans="1:10" ht="16.5" customHeight="1">
      <c r="A8" s="407">
        <v>1</v>
      </c>
      <c r="B8" s="678" t="s">
        <v>1030</v>
      </c>
      <c r="C8" s="679"/>
      <c r="D8" s="679"/>
      <c r="E8" s="679"/>
      <c r="F8" s="679"/>
      <c r="G8" s="408">
        <v>70</v>
      </c>
      <c r="H8" s="408">
        <v>11100</v>
      </c>
      <c r="I8" s="409">
        <f>SUM(I9:I11)</f>
        <v>5543.856540000001</v>
      </c>
      <c r="J8" s="409">
        <f>SUM(J9:J11)</f>
        <v>7011.27932</v>
      </c>
    </row>
    <row r="9" spans="1:10" ht="16.5" customHeight="1">
      <c r="A9" s="410" t="s">
        <v>1031</v>
      </c>
      <c r="B9" s="671" t="s">
        <v>1032</v>
      </c>
      <c r="C9" s="671"/>
      <c r="D9" s="671"/>
      <c r="E9" s="671"/>
      <c r="F9" s="672"/>
      <c r="G9" s="411" t="s">
        <v>1033</v>
      </c>
      <c r="H9" s="411">
        <v>11101</v>
      </c>
      <c r="I9" s="412">
        <f>2344619.73/1000</f>
        <v>2344.61973</v>
      </c>
      <c r="J9" s="412">
        <f>4006535.32/1000</f>
        <v>4006.53532</v>
      </c>
    </row>
    <row r="10" spans="1:10" ht="16.5" customHeight="1">
      <c r="A10" s="413" t="s">
        <v>1034</v>
      </c>
      <c r="B10" s="671" t="s">
        <v>1035</v>
      </c>
      <c r="C10" s="671"/>
      <c r="D10" s="671"/>
      <c r="E10" s="671"/>
      <c r="F10" s="672"/>
      <c r="G10" s="411">
        <v>704</v>
      </c>
      <c r="H10" s="411">
        <v>11102</v>
      </c>
      <c r="I10" s="412">
        <f>1666.67/1000</f>
        <v>1.66667</v>
      </c>
      <c r="J10" s="412">
        <f>8393.34/1000</f>
        <v>8.39334</v>
      </c>
    </row>
    <row r="11" spans="1:10" ht="16.5" customHeight="1">
      <c r="A11" s="413" t="s">
        <v>1036</v>
      </c>
      <c r="B11" s="671" t="s">
        <v>8</v>
      </c>
      <c r="C11" s="671"/>
      <c r="D11" s="671"/>
      <c r="E11" s="671"/>
      <c r="F11" s="672"/>
      <c r="G11" s="414">
        <v>705</v>
      </c>
      <c r="H11" s="411">
        <v>11103</v>
      </c>
      <c r="I11" s="412">
        <f>3197570.14/1000</f>
        <v>3197.5701400000003</v>
      </c>
      <c r="J11" s="412">
        <f>2996350.66/1000</f>
        <v>2996.35066</v>
      </c>
    </row>
    <row r="12" spans="1:10" ht="16.5" customHeight="1">
      <c r="A12" s="415">
        <v>2</v>
      </c>
      <c r="B12" s="669" t="s">
        <v>9</v>
      </c>
      <c r="C12" s="669"/>
      <c r="D12" s="669"/>
      <c r="E12" s="669"/>
      <c r="F12" s="670"/>
      <c r="G12" s="416">
        <v>708</v>
      </c>
      <c r="H12" s="417">
        <v>11104</v>
      </c>
      <c r="I12" s="412"/>
      <c r="J12" s="412"/>
    </row>
    <row r="13" spans="1:10" ht="16.5" customHeight="1">
      <c r="A13" s="418" t="s">
        <v>1031</v>
      </c>
      <c r="B13" s="671" t="s">
        <v>10</v>
      </c>
      <c r="C13" s="671"/>
      <c r="D13" s="671"/>
      <c r="E13" s="671"/>
      <c r="F13" s="672"/>
      <c r="G13" s="411">
        <v>7081</v>
      </c>
      <c r="H13" s="419">
        <v>111041</v>
      </c>
      <c r="I13" s="412"/>
      <c r="J13" s="412"/>
    </row>
    <row r="14" spans="1:10" ht="16.5" customHeight="1">
      <c r="A14" s="418" t="s">
        <v>11</v>
      </c>
      <c r="B14" s="671" t="s">
        <v>12</v>
      </c>
      <c r="C14" s="671"/>
      <c r="D14" s="671"/>
      <c r="E14" s="671"/>
      <c r="F14" s="672"/>
      <c r="G14" s="411">
        <v>7082</v>
      </c>
      <c r="H14" s="419">
        <v>111042</v>
      </c>
      <c r="I14" s="412"/>
      <c r="J14" s="412"/>
    </row>
    <row r="15" spans="1:10" ht="16.5" customHeight="1">
      <c r="A15" s="418" t="s">
        <v>13</v>
      </c>
      <c r="B15" s="671" t="s">
        <v>14</v>
      </c>
      <c r="C15" s="671"/>
      <c r="D15" s="671"/>
      <c r="E15" s="671"/>
      <c r="F15" s="672"/>
      <c r="G15" s="411">
        <v>7083</v>
      </c>
      <c r="H15" s="419">
        <v>111043</v>
      </c>
      <c r="I15" s="412"/>
      <c r="J15" s="412"/>
    </row>
    <row r="16" spans="1:10" ht="29.25" customHeight="1">
      <c r="A16" s="420">
        <v>3</v>
      </c>
      <c r="B16" s="669" t="s">
        <v>15</v>
      </c>
      <c r="C16" s="669"/>
      <c r="D16" s="669"/>
      <c r="E16" s="669"/>
      <c r="F16" s="670"/>
      <c r="G16" s="416">
        <v>71</v>
      </c>
      <c r="H16" s="417">
        <v>11201</v>
      </c>
      <c r="I16" s="412"/>
      <c r="J16" s="412"/>
    </row>
    <row r="17" spans="1:10" ht="16.5" customHeight="1">
      <c r="A17" s="421"/>
      <c r="B17" s="681" t="s">
        <v>16</v>
      </c>
      <c r="C17" s="681"/>
      <c r="D17" s="681"/>
      <c r="E17" s="681"/>
      <c r="F17" s="682"/>
      <c r="G17" s="422"/>
      <c r="H17" s="411">
        <v>112011</v>
      </c>
      <c r="I17" s="412"/>
      <c r="J17" s="412"/>
    </row>
    <row r="18" spans="1:10" ht="16.5" customHeight="1">
      <c r="A18" s="421"/>
      <c r="B18" s="681" t="s">
        <v>17</v>
      </c>
      <c r="C18" s="681"/>
      <c r="D18" s="681"/>
      <c r="E18" s="681"/>
      <c r="F18" s="682"/>
      <c r="G18" s="422"/>
      <c r="H18" s="411">
        <v>112012</v>
      </c>
      <c r="I18" s="412"/>
      <c r="J18" s="412"/>
    </row>
    <row r="19" spans="1:10" ht="16.5" customHeight="1">
      <c r="A19" s="423">
        <v>4</v>
      </c>
      <c r="B19" s="669" t="s">
        <v>18</v>
      </c>
      <c r="C19" s="669"/>
      <c r="D19" s="669"/>
      <c r="E19" s="669"/>
      <c r="F19" s="670"/>
      <c r="G19" s="424">
        <v>72</v>
      </c>
      <c r="H19" s="425">
        <v>11300</v>
      </c>
      <c r="I19" s="412"/>
      <c r="J19" s="412"/>
    </row>
    <row r="20" spans="1:10" ht="16.5" customHeight="1">
      <c r="A20" s="413"/>
      <c r="B20" s="683" t="s">
        <v>19</v>
      </c>
      <c r="C20" s="684"/>
      <c r="D20" s="684"/>
      <c r="E20" s="684"/>
      <c r="F20" s="684"/>
      <c r="G20" s="385"/>
      <c r="H20" s="426">
        <v>11301</v>
      </c>
      <c r="I20" s="412"/>
      <c r="J20" s="412"/>
    </row>
    <row r="21" spans="1:10" ht="16.5" customHeight="1">
      <c r="A21" s="427">
        <v>5</v>
      </c>
      <c r="B21" s="670" t="s">
        <v>20</v>
      </c>
      <c r="C21" s="685"/>
      <c r="D21" s="685"/>
      <c r="E21" s="685"/>
      <c r="F21" s="685"/>
      <c r="G21" s="428">
        <v>73</v>
      </c>
      <c r="H21" s="428">
        <v>11400</v>
      </c>
      <c r="I21" s="412"/>
      <c r="J21" s="412"/>
    </row>
    <row r="22" spans="1:10" ht="16.5" customHeight="1">
      <c r="A22" s="429">
        <v>6</v>
      </c>
      <c r="B22" s="670" t="s">
        <v>21</v>
      </c>
      <c r="C22" s="685"/>
      <c r="D22" s="685"/>
      <c r="E22" s="685"/>
      <c r="F22" s="685"/>
      <c r="G22" s="428">
        <v>75</v>
      </c>
      <c r="H22" s="430">
        <v>11500</v>
      </c>
      <c r="I22" s="412">
        <f>2280.42/1000</f>
        <v>2.28042</v>
      </c>
      <c r="J22" s="412">
        <f>2156.96/1000</f>
        <v>2.15696</v>
      </c>
    </row>
    <row r="23" spans="1:10" ht="16.5" customHeight="1">
      <c r="A23" s="427">
        <v>7</v>
      </c>
      <c r="B23" s="669" t="s">
        <v>22</v>
      </c>
      <c r="C23" s="669"/>
      <c r="D23" s="669"/>
      <c r="E23" s="669"/>
      <c r="F23" s="670"/>
      <c r="G23" s="416">
        <v>77</v>
      </c>
      <c r="H23" s="416">
        <v>11600</v>
      </c>
      <c r="I23" s="412">
        <f>895896/1000</f>
        <v>895.896</v>
      </c>
      <c r="J23" s="412">
        <f>7584172.02/1000</f>
        <v>7584.17202</v>
      </c>
    </row>
    <row r="24" spans="1:10" ht="16.5" customHeight="1" thickBot="1">
      <c r="A24" s="431" t="s">
        <v>23</v>
      </c>
      <c r="B24" s="680" t="s">
        <v>24</v>
      </c>
      <c r="C24" s="680"/>
      <c r="D24" s="680"/>
      <c r="E24" s="680"/>
      <c r="F24" s="680"/>
      <c r="G24" s="432"/>
      <c r="H24" s="432">
        <v>11800</v>
      </c>
      <c r="I24" s="433">
        <f>I8+I12+I16+I19+I21+I22+I23</f>
        <v>6442.0329600000005</v>
      </c>
      <c r="J24" s="433">
        <f>J8+J12+J16+J19+J21+J22+J23</f>
        <v>14597.6083</v>
      </c>
    </row>
    <row r="25" spans="1:10" ht="16.5" customHeight="1">
      <c r="A25" s="434"/>
      <c r="B25" s="435"/>
      <c r="C25" s="435"/>
      <c r="D25" s="435"/>
      <c r="E25" s="435"/>
      <c r="F25" s="435"/>
      <c r="G25" s="435"/>
      <c r="H25" s="435"/>
      <c r="I25" s="436"/>
      <c r="J25" s="436"/>
    </row>
    <row r="26" spans="1:10" ht="16.5" customHeight="1">
      <c r="A26" s="434"/>
      <c r="B26" s="435"/>
      <c r="C26" s="435"/>
      <c r="D26" s="435"/>
      <c r="E26" s="435"/>
      <c r="F26" s="435"/>
      <c r="G26" s="435"/>
      <c r="H26" s="435"/>
      <c r="I26" s="436"/>
      <c r="J26" s="436"/>
    </row>
    <row r="27" spans="1:10" ht="16.5" customHeight="1">
      <c r="A27" s="434"/>
      <c r="B27" s="435"/>
      <c r="C27" s="435"/>
      <c r="D27" s="435"/>
      <c r="E27" s="435"/>
      <c r="F27" s="435"/>
      <c r="G27" s="435"/>
      <c r="H27" s="435"/>
      <c r="I27" s="436"/>
      <c r="J27" s="436"/>
    </row>
    <row r="28" spans="1:10" ht="16.5" customHeight="1">
      <c r="A28" s="434"/>
      <c r="B28" s="435"/>
      <c r="C28" s="435"/>
      <c r="D28" s="435"/>
      <c r="E28" s="435"/>
      <c r="F28" s="435"/>
      <c r="G28" s="435"/>
      <c r="H28" s="435"/>
      <c r="I28" s="436" t="s">
        <v>1023</v>
      </c>
      <c r="J28" s="436"/>
    </row>
    <row r="29" spans="1:10" ht="16.5" customHeight="1">
      <c r="A29" s="434"/>
      <c r="B29" s="435"/>
      <c r="C29" s="435"/>
      <c r="D29" s="435"/>
      <c r="E29" s="435"/>
      <c r="F29" s="435"/>
      <c r="G29" s="435"/>
      <c r="H29" s="435"/>
      <c r="I29" s="436" t="s">
        <v>125</v>
      </c>
      <c r="J29" s="436"/>
    </row>
    <row r="30" spans="1:10" ht="16.5" customHeight="1">
      <c r="A30" s="434"/>
      <c r="B30" s="435"/>
      <c r="C30" s="435"/>
      <c r="D30" s="435"/>
      <c r="E30" s="435"/>
      <c r="F30" s="435"/>
      <c r="G30" s="435"/>
      <c r="H30" s="435"/>
      <c r="I30" s="436"/>
      <c r="J30" s="436"/>
    </row>
    <row r="31" spans="1:10" ht="16.5" customHeight="1">
      <c r="A31" s="434"/>
      <c r="B31" s="435"/>
      <c r="C31" s="435"/>
      <c r="D31" s="435"/>
      <c r="E31" s="435"/>
      <c r="F31" s="435"/>
      <c r="G31" s="435"/>
      <c r="H31" s="435"/>
      <c r="I31" s="436"/>
      <c r="J31" s="436"/>
    </row>
    <row r="32" spans="1:10" ht="16.5" customHeight="1">
      <c r="A32" s="434"/>
      <c r="B32" s="435"/>
      <c r="C32" s="435"/>
      <c r="D32" s="435"/>
      <c r="E32" s="435"/>
      <c r="F32" s="435"/>
      <c r="G32" s="435"/>
      <c r="H32" s="435"/>
      <c r="I32" s="436"/>
      <c r="J32" s="436"/>
    </row>
    <row r="33" spans="1:10" ht="16.5" customHeight="1">
      <c r="A33" s="434"/>
      <c r="B33" s="435"/>
      <c r="C33" s="435"/>
      <c r="D33" s="435"/>
      <c r="E33" s="435"/>
      <c r="F33" s="435"/>
      <c r="G33" s="435"/>
      <c r="H33" s="435"/>
      <c r="I33" s="436"/>
      <c r="J33" s="436"/>
    </row>
    <row r="34" spans="1:10" ht="12.75">
      <c r="A34" s="99"/>
      <c r="B34" s="99"/>
      <c r="C34" s="99"/>
      <c r="D34" s="99"/>
      <c r="E34" s="99"/>
      <c r="F34" s="99"/>
      <c r="G34" s="99"/>
      <c r="H34" s="99"/>
      <c r="I34" s="99"/>
      <c r="J34" s="99"/>
    </row>
    <row r="35" spans="1:10" ht="12.75">
      <c r="A35" s="99"/>
      <c r="B35" s="99"/>
      <c r="C35" s="99"/>
      <c r="D35" s="99"/>
      <c r="E35" s="99"/>
      <c r="F35" s="99"/>
      <c r="G35" s="99"/>
      <c r="H35" s="99"/>
      <c r="I35" s="99"/>
      <c r="J35" s="99"/>
    </row>
    <row r="36" spans="1:10" ht="12.75">
      <c r="A36" s="99"/>
      <c r="B36" s="99"/>
      <c r="C36" s="99"/>
      <c r="D36" s="99"/>
      <c r="E36" s="99"/>
      <c r="F36" s="99"/>
      <c r="G36" s="99"/>
      <c r="H36" s="99"/>
      <c r="I36" s="99"/>
      <c r="J36" s="99"/>
    </row>
    <row r="37" spans="1:10" ht="12.75">
      <c r="A37" s="99"/>
      <c r="B37" s="99"/>
      <c r="C37" s="99"/>
      <c r="D37" s="99"/>
      <c r="E37" s="99"/>
      <c r="F37" s="99"/>
      <c r="G37" s="99"/>
      <c r="H37" s="99"/>
      <c r="I37" s="99"/>
      <c r="J37" s="99"/>
    </row>
  </sheetData>
  <sheetProtection/>
  <mergeCells count="19">
    <mergeCell ref="B15:F15"/>
    <mergeCell ref="B24:F24"/>
    <mergeCell ref="B18:F18"/>
    <mergeCell ref="B19:F19"/>
    <mergeCell ref="B20:F20"/>
    <mergeCell ref="B21:F21"/>
    <mergeCell ref="B22:F22"/>
    <mergeCell ref="B23:F23"/>
    <mergeCell ref="B16:F16"/>
    <mergeCell ref="B17:F17"/>
    <mergeCell ref="B12:F12"/>
    <mergeCell ref="B13:F13"/>
    <mergeCell ref="B14:F14"/>
    <mergeCell ref="A6:J6"/>
    <mergeCell ref="B7:F7"/>
    <mergeCell ref="B8:F8"/>
    <mergeCell ref="B9:F9"/>
    <mergeCell ref="B10:F10"/>
    <mergeCell ref="B11:F11"/>
  </mergeCells>
  <printOptions/>
  <pageMargins left="0.17" right="0.16" top="0.75" bottom="0.75" header="0.3" footer="0.3"/>
  <pageSetup horizontalDpi="600" verticalDpi="600" orientation="portrait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4.00390625" style="497" customWidth="1"/>
    <col min="2" max="5" width="9.140625" style="497" customWidth="1"/>
    <col min="6" max="6" width="12.57421875" style="497" customWidth="1"/>
    <col min="7" max="7" width="9.140625" style="497" customWidth="1"/>
    <col min="8" max="8" width="10.421875" style="497" customWidth="1"/>
    <col min="9" max="9" width="11.57421875" style="497" customWidth="1"/>
    <col min="10" max="10" width="12.00390625" style="497" customWidth="1"/>
    <col min="11" max="16384" width="9.140625" style="497" customWidth="1"/>
  </cols>
  <sheetData>
    <row r="1" spans="1:10" ht="12">
      <c r="A1" s="494"/>
      <c r="B1" s="495"/>
      <c r="C1" s="495"/>
      <c r="D1" s="495"/>
      <c r="E1" s="495"/>
      <c r="F1" s="495"/>
      <c r="G1" s="495"/>
      <c r="H1" s="495"/>
      <c r="I1" s="496"/>
      <c r="J1" s="496"/>
    </row>
    <row r="2" spans="2:8" ht="12">
      <c r="B2" s="498" t="s">
        <v>109</v>
      </c>
      <c r="C2" s="499"/>
      <c r="D2" s="499"/>
      <c r="H2" s="514"/>
    </row>
    <row r="3" spans="2:4" ht="12">
      <c r="B3" s="498" t="s">
        <v>110</v>
      </c>
      <c r="C3" s="499"/>
      <c r="D3" s="499"/>
    </row>
    <row r="4" spans="2:11" ht="12">
      <c r="B4" s="169"/>
      <c r="I4" s="169" t="s">
        <v>25</v>
      </c>
      <c r="K4" s="577" t="s">
        <v>1063</v>
      </c>
    </row>
    <row r="5" spans="1:10" ht="12">
      <c r="A5" s="500"/>
      <c r="B5" s="500"/>
      <c r="C5" s="500"/>
      <c r="D5" s="500"/>
      <c r="E5" s="500"/>
      <c r="F5" s="500"/>
      <c r="G5" s="500"/>
      <c r="H5" s="500"/>
      <c r="I5" s="501"/>
      <c r="J5" s="502" t="s">
        <v>1025</v>
      </c>
    </row>
    <row r="6" spans="1:10" ht="12">
      <c r="A6" s="695" t="s">
        <v>1026</v>
      </c>
      <c r="B6" s="696"/>
      <c r="C6" s="696"/>
      <c r="D6" s="696"/>
      <c r="E6" s="696"/>
      <c r="F6" s="696"/>
      <c r="G6" s="696"/>
      <c r="H6" s="696"/>
      <c r="I6" s="696"/>
      <c r="J6" s="697"/>
    </row>
    <row r="7" spans="1:10" ht="24.75" thickBot="1">
      <c r="A7" s="503"/>
      <c r="B7" s="698" t="s">
        <v>26</v>
      </c>
      <c r="C7" s="699"/>
      <c r="D7" s="699"/>
      <c r="E7" s="699"/>
      <c r="F7" s="700"/>
      <c r="G7" s="504" t="s">
        <v>1028</v>
      </c>
      <c r="H7" s="504" t="s">
        <v>1029</v>
      </c>
      <c r="I7" s="505" t="s">
        <v>1051</v>
      </c>
      <c r="J7" s="505" t="s">
        <v>4</v>
      </c>
    </row>
    <row r="8" spans="1:10" ht="13.5" customHeight="1">
      <c r="A8" s="437">
        <v>1</v>
      </c>
      <c r="B8" s="701" t="s">
        <v>27</v>
      </c>
      <c r="C8" s="702"/>
      <c r="D8" s="702"/>
      <c r="E8" s="702"/>
      <c r="F8" s="702"/>
      <c r="G8" s="438">
        <v>60</v>
      </c>
      <c r="H8" s="438">
        <v>12100</v>
      </c>
      <c r="I8" s="489">
        <f>I9+I10+I11+I12+I13</f>
        <v>2934.46089</v>
      </c>
      <c r="J8" s="489">
        <f>J9+J10+J11+J12+J13</f>
        <v>3915.8096</v>
      </c>
    </row>
    <row r="9" spans="1:10" ht="14.25" customHeight="1">
      <c r="A9" s="439" t="s">
        <v>28</v>
      </c>
      <c r="B9" s="690" t="s">
        <v>29</v>
      </c>
      <c r="C9" s="690" t="s">
        <v>30</v>
      </c>
      <c r="D9" s="690"/>
      <c r="E9" s="690"/>
      <c r="F9" s="690"/>
      <c r="G9" s="440" t="s">
        <v>31</v>
      </c>
      <c r="H9" s="440">
        <v>12101</v>
      </c>
      <c r="I9" s="490">
        <f>646377.47/1000</f>
        <v>646.37747</v>
      </c>
      <c r="J9" s="490">
        <f>(331592.08+1055741.1)/1000</f>
        <v>1387.33318</v>
      </c>
    </row>
    <row r="10" spans="1:10" ht="13.5" customHeight="1">
      <c r="A10" s="439" t="s">
        <v>1034</v>
      </c>
      <c r="B10" s="690" t="s">
        <v>32</v>
      </c>
      <c r="C10" s="690" t="s">
        <v>30</v>
      </c>
      <c r="D10" s="690"/>
      <c r="E10" s="690"/>
      <c r="F10" s="690"/>
      <c r="G10" s="440"/>
      <c r="H10" s="442">
        <v>12102</v>
      </c>
      <c r="I10" s="490">
        <f>329459.96/1000</f>
        <v>329.45996</v>
      </c>
      <c r="J10" s="490">
        <f>(284253.5+86262.62)/1000</f>
        <v>370.51612</v>
      </c>
    </row>
    <row r="11" spans="1:10" ht="12">
      <c r="A11" s="439" t="s">
        <v>1036</v>
      </c>
      <c r="B11" s="690" t="s">
        <v>33</v>
      </c>
      <c r="C11" s="690" t="s">
        <v>30</v>
      </c>
      <c r="D11" s="690"/>
      <c r="E11" s="690"/>
      <c r="F11" s="690"/>
      <c r="G11" s="440" t="s">
        <v>34</v>
      </c>
      <c r="H11" s="440">
        <v>12103</v>
      </c>
      <c r="I11" s="490">
        <f>1985576.27/1000</f>
        <v>1985.57627</v>
      </c>
      <c r="J11" s="490">
        <f>1604677.91/1000</f>
        <v>1604.6779099999999</v>
      </c>
    </row>
    <row r="12" spans="1:10" ht="13.5" customHeight="1">
      <c r="A12" s="439" t="s">
        <v>35</v>
      </c>
      <c r="B12" s="689" t="s">
        <v>36</v>
      </c>
      <c r="C12" s="690" t="s">
        <v>30</v>
      </c>
      <c r="D12" s="690"/>
      <c r="E12" s="690"/>
      <c r="F12" s="690"/>
      <c r="G12" s="440"/>
      <c r="H12" s="442">
        <v>12104</v>
      </c>
      <c r="I12" s="490">
        <f>-26952.81/1000</f>
        <v>-26.952810000000003</v>
      </c>
      <c r="J12" s="490">
        <f>553282.39/1000</f>
        <v>553.28239</v>
      </c>
    </row>
    <row r="13" spans="1:10" ht="13.5" customHeight="1">
      <c r="A13" s="439" t="s">
        <v>37</v>
      </c>
      <c r="B13" s="690" t="s">
        <v>38</v>
      </c>
      <c r="C13" s="690" t="s">
        <v>30</v>
      </c>
      <c r="D13" s="690"/>
      <c r="E13" s="690"/>
      <c r="F13" s="690"/>
      <c r="G13" s="440" t="s">
        <v>39</v>
      </c>
      <c r="H13" s="442">
        <v>12105</v>
      </c>
      <c r="I13" s="490"/>
      <c r="J13" s="490"/>
    </row>
    <row r="14" spans="1:10" ht="14.25" customHeight="1">
      <c r="A14" s="443">
        <v>2</v>
      </c>
      <c r="B14" s="691" t="s">
        <v>40</v>
      </c>
      <c r="C14" s="691"/>
      <c r="D14" s="691"/>
      <c r="E14" s="691"/>
      <c r="F14" s="691"/>
      <c r="G14" s="444">
        <v>64</v>
      </c>
      <c r="H14" s="444">
        <v>12200</v>
      </c>
      <c r="I14" s="490">
        <f>I15+I16</f>
        <v>2819.922</v>
      </c>
      <c r="J14" s="490">
        <f>J15+J16</f>
        <v>3049.435</v>
      </c>
    </row>
    <row r="15" spans="1:10" ht="12">
      <c r="A15" s="445" t="s">
        <v>41</v>
      </c>
      <c r="B15" s="691" t="s">
        <v>42</v>
      </c>
      <c r="C15" s="694"/>
      <c r="D15" s="694"/>
      <c r="E15" s="694"/>
      <c r="F15" s="694"/>
      <c r="G15" s="442">
        <v>641</v>
      </c>
      <c r="H15" s="442">
        <v>12201</v>
      </c>
      <c r="I15" s="490">
        <f>2295140/1000</f>
        <v>2295.14</v>
      </c>
      <c r="J15" s="490">
        <f>2613054/1000</f>
        <v>2613.054</v>
      </c>
    </row>
    <row r="16" spans="1:10" ht="13.5" customHeight="1">
      <c r="A16" s="445" t="s">
        <v>43</v>
      </c>
      <c r="B16" s="694" t="s">
        <v>44</v>
      </c>
      <c r="C16" s="694"/>
      <c r="D16" s="694"/>
      <c r="E16" s="694"/>
      <c r="F16" s="694"/>
      <c r="G16" s="442">
        <v>644</v>
      </c>
      <c r="H16" s="442">
        <v>12202</v>
      </c>
      <c r="I16" s="490">
        <f>524782/1000</f>
        <v>524.782</v>
      </c>
      <c r="J16" s="490">
        <f>436381/1000</f>
        <v>436.381</v>
      </c>
    </row>
    <row r="17" spans="1:10" ht="14.25" customHeight="1">
      <c r="A17" s="443">
        <v>3</v>
      </c>
      <c r="B17" s="691" t="s">
        <v>45</v>
      </c>
      <c r="C17" s="691"/>
      <c r="D17" s="691"/>
      <c r="E17" s="691"/>
      <c r="F17" s="691"/>
      <c r="G17" s="444">
        <v>68</v>
      </c>
      <c r="H17" s="444">
        <v>12300</v>
      </c>
      <c r="I17" s="507">
        <f>619113/1000</f>
        <v>619.113</v>
      </c>
      <c r="J17" s="507">
        <f>906280/1000</f>
        <v>906.28</v>
      </c>
    </row>
    <row r="18" spans="1:10" ht="13.5" customHeight="1">
      <c r="A18" s="443">
        <v>4</v>
      </c>
      <c r="B18" s="691" t="s">
        <v>46</v>
      </c>
      <c r="C18" s="691"/>
      <c r="D18" s="691"/>
      <c r="E18" s="691"/>
      <c r="F18" s="691"/>
      <c r="G18" s="444">
        <v>61</v>
      </c>
      <c r="H18" s="444">
        <v>12400</v>
      </c>
      <c r="I18" s="490">
        <f>I19+I20+I21+I22+I23+I24+I25+I26+I27+I28+I29+I30+I33</f>
        <v>230.61023999999998</v>
      </c>
      <c r="J18" s="490">
        <f>J19+J20+J21+J22+J23+J24+J25+J26+J27+J28+J29+J30+J33</f>
        <v>759.0192199999999</v>
      </c>
    </row>
    <row r="19" spans="1:10" ht="13.5" customHeight="1">
      <c r="A19" s="445" t="s">
        <v>1031</v>
      </c>
      <c r="B19" s="686" t="s">
        <v>47</v>
      </c>
      <c r="C19" s="686"/>
      <c r="D19" s="686"/>
      <c r="E19" s="686"/>
      <c r="F19" s="686"/>
      <c r="G19" s="440"/>
      <c r="H19" s="440">
        <v>12401</v>
      </c>
      <c r="I19" s="490"/>
      <c r="J19" s="490"/>
    </row>
    <row r="20" spans="1:10" ht="13.5" customHeight="1">
      <c r="A20" s="445" t="s">
        <v>11</v>
      </c>
      <c r="B20" s="686" t="s">
        <v>48</v>
      </c>
      <c r="C20" s="686"/>
      <c r="D20" s="686"/>
      <c r="E20" s="686"/>
      <c r="F20" s="686"/>
      <c r="G20" s="446">
        <v>611</v>
      </c>
      <c r="H20" s="440">
        <v>12402</v>
      </c>
      <c r="I20" s="490"/>
      <c r="J20" s="490"/>
    </row>
    <row r="21" spans="1:10" ht="12.75" customHeight="1">
      <c r="A21" s="445" t="s">
        <v>13</v>
      </c>
      <c r="B21" s="686" t="s">
        <v>517</v>
      </c>
      <c r="C21" s="686"/>
      <c r="D21" s="686"/>
      <c r="E21" s="686"/>
      <c r="F21" s="686"/>
      <c r="G21" s="440">
        <v>613</v>
      </c>
      <c r="H21" s="440">
        <v>12403</v>
      </c>
      <c r="I21" s="490"/>
      <c r="J21" s="490">
        <f>220662/1000</f>
        <v>220.662</v>
      </c>
    </row>
    <row r="22" spans="1:10" ht="13.5" customHeight="1">
      <c r="A22" s="445" t="s">
        <v>49</v>
      </c>
      <c r="B22" s="686" t="s">
        <v>526</v>
      </c>
      <c r="C22" s="686"/>
      <c r="D22" s="686"/>
      <c r="E22" s="686"/>
      <c r="F22" s="686"/>
      <c r="G22" s="446">
        <v>615</v>
      </c>
      <c r="H22" s="440">
        <v>12404</v>
      </c>
      <c r="I22" s="491">
        <f>10100/1000</f>
        <v>10.1</v>
      </c>
      <c r="J22" s="491">
        <f>13984/1000</f>
        <v>13.984</v>
      </c>
    </row>
    <row r="23" spans="1:10" ht="12.75" customHeight="1">
      <c r="A23" s="445" t="s">
        <v>50</v>
      </c>
      <c r="B23" s="686" t="s">
        <v>51</v>
      </c>
      <c r="C23" s="686"/>
      <c r="D23" s="686"/>
      <c r="E23" s="686"/>
      <c r="F23" s="686"/>
      <c r="G23" s="446">
        <v>616</v>
      </c>
      <c r="H23" s="440">
        <v>12405</v>
      </c>
      <c r="I23" s="490">
        <f>19020/1000</f>
        <v>19.02</v>
      </c>
      <c r="J23" s="490">
        <f>46796/1000</f>
        <v>46.796</v>
      </c>
    </row>
    <row r="24" spans="1:10" ht="13.5" customHeight="1">
      <c r="A24" s="445" t="s">
        <v>52</v>
      </c>
      <c r="B24" s="686" t="s">
        <v>53</v>
      </c>
      <c r="C24" s="686"/>
      <c r="D24" s="686"/>
      <c r="E24" s="686"/>
      <c r="F24" s="686"/>
      <c r="G24" s="446">
        <v>617</v>
      </c>
      <c r="H24" s="440">
        <v>12406</v>
      </c>
      <c r="I24" s="490"/>
      <c r="J24" s="490"/>
    </row>
    <row r="25" spans="1:10" ht="12.75" customHeight="1">
      <c r="A25" s="445" t="s">
        <v>54</v>
      </c>
      <c r="B25" s="690" t="s">
        <v>55</v>
      </c>
      <c r="C25" s="690" t="s">
        <v>30</v>
      </c>
      <c r="D25" s="690"/>
      <c r="E25" s="690"/>
      <c r="F25" s="690"/>
      <c r="G25" s="446">
        <v>618</v>
      </c>
      <c r="H25" s="440">
        <v>12407</v>
      </c>
      <c r="I25" s="507">
        <f>21500/1000</f>
        <v>21.5</v>
      </c>
      <c r="J25" s="507">
        <f>(4179.3+6324.93)/1000</f>
        <v>10.50423</v>
      </c>
    </row>
    <row r="26" spans="1:10" ht="12">
      <c r="A26" s="445" t="s">
        <v>56</v>
      </c>
      <c r="B26" s="690" t="s">
        <v>57</v>
      </c>
      <c r="C26" s="690"/>
      <c r="D26" s="690"/>
      <c r="E26" s="690"/>
      <c r="F26" s="690"/>
      <c r="G26" s="446">
        <v>623</v>
      </c>
      <c r="H26" s="440">
        <v>12408</v>
      </c>
      <c r="I26" s="490"/>
      <c r="J26" s="490"/>
    </row>
    <row r="27" spans="1:10" ht="12.75" customHeight="1">
      <c r="A27" s="445" t="s">
        <v>58</v>
      </c>
      <c r="B27" s="690" t="s">
        <v>59</v>
      </c>
      <c r="C27" s="690"/>
      <c r="D27" s="690"/>
      <c r="E27" s="690"/>
      <c r="F27" s="690"/>
      <c r="G27" s="446">
        <v>624</v>
      </c>
      <c r="H27" s="440">
        <v>12409</v>
      </c>
      <c r="I27" s="490"/>
      <c r="J27" s="490">
        <f>18999.5/1000</f>
        <v>18.9995</v>
      </c>
    </row>
    <row r="28" spans="1:10" ht="12">
      <c r="A28" s="445" t="s">
        <v>60</v>
      </c>
      <c r="B28" s="690" t="s">
        <v>61</v>
      </c>
      <c r="C28" s="690"/>
      <c r="D28" s="690"/>
      <c r="E28" s="690"/>
      <c r="F28" s="690"/>
      <c r="G28" s="446">
        <v>625</v>
      </c>
      <c r="H28" s="440">
        <v>12410</v>
      </c>
      <c r="I28" s="490"/>
      <c r="J28" s="490"/>
    </row>
    <row r="29" spans="1:10" ht="12.75" customHeight="1">
      <c r="A29" s="445" t="s">
        <v>62</v>
      </c>
      <c r="B29" s="690" t="s">
        <v>63</v>
      </c>
      <c r="C29" s="690"/>
      <c r="D29" s="690"/>
      <c r="E29" s="690"/>
      <c r="F29" s="690"/>
      <c r="G29" s="446">
        <v>626</v>
      </c>
      <c r="H29" s="440">
        <v>12411</v>
      </c>
      <c r="I29" s="490">
        <f>92935.73/1000</f>
        <v>92.93572999999999</v>
      </c>
      <c r="J29" s="490">
        <f>333792.85/1000</f>
        <v>333.79285</v>
      </c>
    </row>
    <row r="30" spans="1:10" ht="13.5" customHeight="1">
      <c r="A30" s="447" t="s">
        <v>64</v>
      </c>
      <c r="B30" s="690" t="s">
        <v>65</v>
      </c>
      <c r="C30" s="690"/>
      <c r="D30" s="690"/>
      <c r="E30" s="690"/>
      <c r="F30" s="690"/>
      <c r="G30" s="446">
        <v>627</v>
      </c>
      <c r="H30" s="440">
        <v>12412</v>
      </c>
      <c r="I30" s="490">
        <f>I31+I32</f>
        <v>0</v>
      </c>
      <c r="J30" s="490">
        <f>J31+J32</f>
        <v>42</v>
      </c>
    </row>
    <row r="31" spans="1:10" ht="12">
      <c r="A31" s="445"/>
      <c r="B31" s="693" t="s">
        <v>66</v>
      </c>
      <c r="C31" s="693"/>
      <c r="D31" s="693"/>
      <c r="E31" s="693"/>
      <c r="F31" s="693"/>
      <c r="G31" s="446">
        <v>6271</v>
      </c>
      <c r="H31" s="446">
        <v>124121</v>
      </c>
      <c r="I31" s="490"/>
      <c r="J31" s="490">
        <f>42000/1000</f>
        <v>42</v>
      </c>
    </row>
    <row r="32" spans="1:10" ht="12">
      <c r="A32" s="445"/>
      <c r="B32" s="693" t="s">
        <v>67</v>
      </c>
      <c r="C32" s="693"/>
      <c r="D32" s="693"/>
      <c r="E32" s="693"/>
      <c r="F32" s="693"/>
      <c r="G32" s="446">
        <v>6272</v>
      </c>
      <c r="H32" s="446">
        <v>124122</v>
      </c>
      <c r="I32" s="490"/>
      <c r="J32" s="490"/>
    </row>
    <row r="33" spans="1:10" ht="13.5" customHeight="1">
      <c r="A33" s="445" t="s">
        <v>68</v>
      </c>
      <c r="B33" s="690" t="s">
        <v>69</v>
      </c>
      <c r="C33" s="690"/>
      <c r="D33" s="690"/>
      <c r="E33" s="690"/>
      <c r="F33" s="690"/>
      <c r="G33" s="446">
        <v>628</v>
      </c>
      <c r="H33" s="446">
        <v>12413</v>
      </c>
      <c r="I33" s="490">
        <f>87054.51/1000</f>
        <v>87.05451</v>
      </c>
      <c r="J33" s="490">
        <f>72280.64/1000</f>
        <v>72.28064</v>
      </c>
    </row>
    <row r="34" spans="1:10" ht="12">
      <c r="A34" s="443">
        <v>5</v>
      </c>
      <c r="B34" s="689" t="s">
        <v>70</v>
      </c>
      <c r="C34" s="690"/>
      <c r="D34" s="690"/>
      <c r="E34" s="690"/>
      <c r="F34" s="690"/>
      <c r="G34" s="441">
        <v>63</v>
      </c>
      <c r="H34" s="441">
        <v>12500</v>
      </c>
      <c r="I34" s="490">
        <f>I35+I36+I37+I38</f>
        <v>28.8</v>
      </c>
      <c r="J34" s="490">
        <f>J35+J36+J37+J38</f>
        <v>30.72</v>
      </c>
    </row>
    <row r="35" spans="1:10" ht="12" customHeight="1">
      <c r="A35" s="445" t="s">
        <v>1031</v>
      </c>
      <c r="B35" s="690" t="s">
        <v>71</v>
      </c>
      <c r="C35" s="690"/>
      <c r="D35" s="690"/>
      <c r="E35" s="690"/>
      <c r="F35" s="690"/>
      <c r="G35" s="446">
        <v>632</v>
      </c>
      <c r="H35" s="446">
        <v>12501</v>
      </c>
      <c r="I35" s="490"/>
      <c r="J35" s="490"/>
    </row>
    <row r="36" spans="1:10" ht="12.75" customHeight="1">
      <c r="A36" s="445" t="s">
        <v>11</v>
      </c>
      <c r="B36" s="690" t="s">
        <v>461</v>
      </c>
      <c r="C36" s="690"/>
      <c r="D36" s="690"/>
      <c r="E36" s="690"/>
      <c r="F36" s="690"/>
      <c r="G36" s="446">
        <v>633</v>
      </c>
      <c r="H36" s="446">
        <v>12502</v>
      </c>
      <c r="I36" s="490"/>
      <c r="J36" s="490">
        <f>2220/1000</f>
        <v>2.22</v>
      </c>
    </row>
    <row r="37" spans="1:10" ht="13.5" customHeight="1">
      <c r="A37" s="445" t="s">
        <v>13</v>
      </c>
      <c r="B37" s="690" t="s">
        <v>538</v>
      </c>
      <c r="C37" s="690"/>
      <c r="D37" s="690"/>
      <c r="E37" s="690"/>
      <c r="F37" s="690"/>
      <c r="G37" s="446">
        <v>634</v>
      </c>
      <c r="H37" s="446">
        <v>12503</v>
      </c>
      <c r="I37" s="490">
        <f>28800/1000</f>
        <v>28.8</v>
      </c>
      <c r="J37" s="490">
        <f>28500/1000</f>
        <v>28.5</v>
      </c>
    </row>
    <row r="38" spans="1:10" ht="14.25" customHeight="1">
      <c r="A38" s="445" t="s">
        <v>49</v>
      </c>
      <c r="B38" s="690" t="s">
        <v>72</v>
      </c>
      <c r="C38" s="690"/>
      <c r="D38" s="690"/>
      <c r="E38" s="690"/>
      <c r="F38" s="690"/>
      <c r="G38" s="446" t="s">
        <v>73</v>
      </c>
      <c r="H38" s="446">
        <v>12504</v>
      </c>
      <c r="I38" s="490"/>
      <c r="J38" s="490"/>
    </row>
    <row r="39" spans="1:10" ht="12">
      <c r="A39" s="443" t="s">
        <v>74</v>
      </c>
      <c r="B39" s="691" t="s">
        <v>75</v>
      </c>
      <c r="C39" s="691"/>
      <c r="D39" s="691"/>
      <c r="E39" s="691"/>
      <c r="F39" s="691"/>
      <c r="G39" s="446"/>
      <c r="H39" s="446">
        <v>12600</v>
      </c>
      <c r="I39" s="490">
        <f>I8+I14+I17+I18+I34</f>
        <v>6632.90613</v>
      </c>
      <c r="J39" s="490">
        <f>J8+J14+J17+J18+J34</f>
        <v>8661.263819999998</v>
      </c>
    </row>
    <row r="40" spans="1:10" ht="14.25" customHeight="1">
      <c r="A40" s="448"/>
      <c r="B40" s="449" t="s">
        <v>76</v>
      </c>
      <c r="C40" s="87"/>
      <c r="D40" s="87"/>
      <c r="E40" s="87"/>
      <c r="F40" s="87"/>
      <c r="G40" s="87"/>
      <c r="H40" s="87"/>
      <c r="I40" s="492" t="s">
        <v>1051</v>
      </c>
      <c r="J40" s="492" t="s">
        <v>4</v>
      </c>
    </row>
    <row r="41" spans="1:10" ht="13.5" customHeight="1">
      <c r="A41" s="450">
        <v>1</v>
      </c>
      <c r="B41" s="692" t="s">
        <v>77</v>
      </c>
      <c r="C41" s="692"/>
      <c r="D41" s="692"/>
      <c r="E41" s="692"/>
      <c r="F41" s="692"/>
      <c r="G41" s="441"/>
      <c r="H41" s="441">
        <v>14000</v>
      </c>
      <c r="I41" s="490">
        <v>7</v>
      </c>
      <c r="J41" s="490">
        <v>7</v>
      </c>
    </row>
    <row r="42" spans="1:10" ht="13.5" customHeight="1">
      <c r="A42" s="450">
        <v>2</v>
      </c>
      <c r="B42" s="692" t="s">
        <v>78</v>
      </c>
      <c r="C42" s="692"/>
      <c r="D42" s="692"/>
      <c r="E42" s="692"/>
      <c r="F42" s="692"/>
      <c r="G42" s="441"/>
      <c r="H42" s="441">
        <v>15000</v>
      </c>
      <c r="I42" s="490"/>
      <c r="J42" s="490"/>
    </row>
    <row r="43" spans="1:10" ht="13.5" customHeight="1">
      <c r="A43" s="451" t="s">
        <v>1031</v>
      </c>
      <c r="B43" s="686" t="s">
        <v>79</v>
      </c>
      <c r="C43" s="686"/>
      <c r="D43" s="686"/>
      <c r="E43" s="686"/>
      <c r="F43" s="686"/>
      <c r="G43" s="441"/>
      <c r="H43" s="446">
        <v>15001</v>
      </c>
      <c r="I43" s="490"/>
      <c r="J43" s="490"/>
    </row>
    <row r="44" spans="1:10" ht="12">
      <c r="A44" s="451"/>
      <c r="B44" s="687" t="s">
        <v>80</v>
      </c>
      <c r="C44" s="687"/>
      <c r="D44" s="687"/>
      <c r="E44" s="687"/>
      <c r="F44" s="687"/>
      <c r="G44" s="441"/>
      <c r="H44" s="446">
        <v>150011</v>
      </c>
      <c r="I44" s="490">
        <f>788093/1000</f>
        <v>788.093</v>
      </c>
      <c r="J44" s="490">
        <f>3174953.67/1000</f>
        <v>3174.95367</v>
      </c>
    </row>
    <row r="45" spans="1:10" ht="12">
      <c r="A45" s="452" t="s">
        <v>11</v>
      </c>
      <c r="B45" s="686" t="s">
        <v>81</v>
      </c>
      <c r="C45" s="686"/>
      <c r="D45" s="686"/>
      <c r="E45" s="686"/>
      <c r="F45" s="686"/>
      <c r="G45" s="441"/>
      <c r="H45" s="446">
        <v>15002</v>
      </c>
      <c r="I45" s="490">
        <f>788093/1000</f>
        <v>788.093</v>
      </c>
      <c r="J45" s="490"/>
    </row>
    <row r="46" spans="1:10" ht="15" customHeight="1" thickBot="1">
      <c r="A46" s="453"/>
      <c r="B46" s="688" t="s">
        <v>82</v>
      </c>
      <c r="C46" s="688"/>
      <c r="D46" s="688"/>
      <c r="E46" s="688"/>
      <c r="F46" s="688"/>
      <c r="G46" s="454"/>
      <c r="H46" s="455">
        <v>150021</v>
      </c>
      <c r="I46" s="493"/>
      <c r="J46" s="493">
        <f>4877000.94/1000</f>
        <v>4877.000940000001</v>
      </c>
    </row>
    <row r="47" ht="12">
      <c r="J47" s="496"/>
    </row>
    <row r="48" ht="12">
      <c r="I48" s="496" t="s">
        <v>1023</v>
      </c>
    </row>
    <row r="49" spans="9:10" ht="12">
      <c r="I49" s="497" t="s">
        <v>125</v>
      </c>
      <c r="J49" s="496"/>
    </row>
    <row r="50" ht="12">
      <c r="J50" s="496"/>
    </row>
    <row r="51" ht="12">
      <c r="J51" s="496"/>
    </row>
    <row r="52" spans="2:10" ht="12">
      <c r="B52" s="506"/>
      <c r="J52" s="496"/>
    </row>
    <row r="53" ht="12">
      <c r="B53" s="506"/>
    </row>
    <row r="54" ht="12">
      <c r="B54" s="506"/>
    </row>
    <row r="55" ht="12">
      <c r="B55" s="506"/>
    </row>
  </sheetData>
  <sheetProtection/>
  <mergeCells count="40">
    <mergeCell ref="B16:F16"/>
    <mergeCell ref="B17:F17"/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28:F28"/>
    <mergeCell ref="B29:F29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41:F41"/>
    <mergeCell ref="B42:F42"/>
    <mergeCell ref="B30:F30"/>
    <mergeCell ref="B31:F31"/>
    <mergeCell ref="B32:F32"/>
    <mergeCell ref="B33:F33"/>
    <mergeCell ref="B43:F43"/>
    <mergeCell ref="B44:F44"/>
    <mergeCell ref="B45:F45"/>
    <mergeCell ref="B46:F46"/>
    <mergeCell ref="B34:F34"/>
    <mergeCell ref="B35:F35"/>
    <mergeCell ref="B36:F36"/>
    <mergeCell ref="B37:F37"/>
    <mergeCell ref="B38:F38"/>
    <mergeCell ref="B39:F39"/>
  </mergeCells>
  <printOptions/>
  <pageMargins left="0.25" right="0.35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1">
      <selection activeCell="I20" sqref="I20"/>
    </sheetView>
  </sheetViews>
  <sheetFormatPr defaultColWidth="9.140625" defaultRowHeight="12.75"/>
  <cols>
    <col min="2" max="2" width="6.8515625" style="0" customWidth="1"/>
    <col min="3" max="3" width="17.00390625" style="0" customWidth="1"/>
    <col min="4" max="4" width="10.28125" style="0" customWidth="1"/>
    <col min="5" max="5" width="11.00390625" style="0" customWidth="1"/>
    <col min="6" max="6" width="11.8515625" style="0" customWidth="1"/>
    <col min="7" max="7" width="14.7109375" style="0" customWidth="1"/>
    <col min="9" max="9" width="12.8515625" style="0" customWidth="1"/>
  </cols>
  <sheetData>
    <row r="2" spans="2:6" ht="12.75">
      <c r="B2" s="378" t="s">
        <v>83</v>
      </c>
      <c r="F2" s="349"/>
    </row>
    <row r="3" ht="12.75">
      <c r="B3" s="378" t="s">
        <v>84</v>
      </c>
    </row>
    <row r="4" spans="2:8" ht="14.25">
      <c r="B4" s="378"/>
      <c r="D4" s="703" t="s">
        <v>1052</v>
      </c>
      <c r="E4" s="703"/>
      <c r="F4" s="703"/>
      <c r="G4" s="703"/>
      <c r="H4" s="540" t="s">
        <v>1063</v>
      </c>
    </row>
    <row r="5" ht="13.5" thickBot="1"/>
    <row r="6" spans="2:7" ht="15">
      <c r="B6" s="456" t="s">
        <v>1012</v>
      </c>
      <c r="C6" s="457" t="s">
        <v>485</v>
      </c>
      <c r="D6" s="457" t="s">
        <v>85</v>
      </c>
      <c r="E6" s="457" t="s">
        <v>86</v>
      </c>
      <c r="F6" s="457" t="s">
        <v>87</v>
      </c>
      <c r="G6" s="458" t="s">
        <v>88</v>
      </c>
    </row>
    <row r="7" spans="2:7" s="531" customFormat="1" ht="15">
      <c r="B7" s="528">
        <v>1</v>
      </c>
      <c r="C7" s="511" t="s">
        <v>89</v>
      </c>
      <c r="D7" s="511" t="s">
        <v>90</v>
      </c>
      <c r="E7" s="511">
        <f>8.64+6.9+14.99</f>
        <v>30.53</v>
      </c>
      <c r="F7" s="529">
        <f>(700.94+699.94+700)/3</f>
        <v>700.2933333333334</v>
      </c>
      <c r="G7" s="530">
        <f>E7*F7</f>
        <v>21379.95546666667</v>
      </c>
    </row>
    <row r="8" spans="2:7" s="531" customFormat="1" ht="15">
      <c r="B8" s="532">
        <v>2</v>
      </c>
      <c r="C8" s="512" t="s">
        <v>91</v>
      </c>
      <c r="D8" s="512" t="s">
        <v>90</v>
      </c>
      <c r="E8" s="512">
        <f>10.1+7.49+0.5</f>
        <v>18.09</v>
      </c>
      <c r="F8" s="529">
        <f>(108.54+94.33+90.94)/3</f>
        <v>97.93666666666667</v>
      </c>
      <c r="G8" s="530">
        <f aca="true" t="shared" si="0" ref="G8:G30">E8*F8</f>
        <v>1771.6743</v>
      </c>
    </row>
    <row r="9" spans="2:7" s="531" customFormat="1" ht="15">
      <c r="B9" s="532">
        <v>3</v>
      </c>
      <c r="C9" s="512" t="s">
        <v>92</v>
      </c>
      <c r="D9" s="512" t="s">
        <v>90</v>
      </c>
      <c r="E9" s="512">
        <f>9.29+8.63+65.04</f>
        <v>82.96000000000001</v>
      </c>
      <c r="F9" s="529">
        <f>(497.58+448.57+505.79)/3</f>
        <v>483.98</v>
      </c>
      <c r="G9" s="530">
        <f t="shared" si="0"/>
        <v>40150.980800000005</v>
      </c>
    </row>
    <row r="10" spans="2:7" s="531" customFormat="1" ht="15">
      <c r="B10" s="532">
        <v>4</v>
      </c>
      <c r="C10" s="512" t="s">
        <v>93</v>
      </c>
      <c r="D10" s="512" t="s">
        <v>90</v>
      </c>
      <c r="E10" s="512">
        <f>2.47+1.19+6.55</f>
        <v>10.21</v>
      </c>
      <c r="F10" s="529">
        <f>(243.46+249.31+266.45)/3</f>
        <v>253.07333333333335</v>
      </c>
      <c r="G10" s="530">
        <f t="shared" si="0"/>
        <v>2583.878733333334</v>
      </c>
    </row>
    <row r="11" spans="2:7" s="531" customFormat="1" ht="15">
      <c r="B11" s="532">
        <v>5</v>
      </c>
      <c r="C11" s="512" t="s">
        <v>94</v>
      </c>
      <c r="D11" s="512" t="s">
        <v>90</v>
      </c>
      <c r="E11" s="512">
        <f>6.99+7.9+4.83</f>
        <v>19.72</v>
      </c>
      <c r="F11" s="512">
        <f>(360.68+360.5+450.86)/3</f>
        <v>390.68</v>
      </c>
      <c r="G11" s="530">
        <f t="shared" si="0"/>
        <v>7704.2096</v>
      </c>
    </row>
    <row r="12" spans="2:7" s="531" customFormat="1" ht="15">
      <c r="B12" s="532">
        <v>6</v>
      </c>
      <c r="C12" s="512" t="s">
        <v>95</v>
      </c>
      <c r="D12" s="512" t="s">
        <v>96</v>
      </c>
      <c r="E12" s="512">
        <f>2019+1530+200752</f>
        <v>204301</v>
      </c>
      <c r="F12" s="512">
        <f>(1.23+1.23+1.2)/3</f>
        <v>1.22</v>
      </c>
      <c r="G12" s="530">
        <f t="shared" si="0"/>
        <v>249247.22</v>
      </c>
    </row>
    <row r="13" spans="2:7" s="531" customFormat="1" ht="15">
      <c r="B13" s="532">
        <v>7</v>
      </c>
      <c r="C13" s="512" t="s">
        <v>97</v>
      </c>
      <c r="D13" s="512" t="s">
        <v>96</v>
      </c>
      <c r="E13" s="512">
        <f>2019+1530+204260</f>
        <v>207809</v>
      </c>
      <c r="F13" s="512">
        <f>(0.35+0.4)/2</f>
        <v>0.375</v>
      </c>
      <c r="G13" s="530">
        <f t="shared" si="0"/>
        <v>77928.375</v>
      </c>
    </row>
    <row r="14" spans="2:7" s="531" customFormat="1" ht="15">
      <c r="B14" s="532">
        <v>8</v>
      </c>
      <c r="C14" s="512" t="s">
        <v>1037</v>
      </c>
      <c r="D14" s="512" t="s">
        <v>96</v>
      </c>
      <c r="E14" s="512">
        <v>18</v>
      </c>
      <c r="F14" s="512">
        <v>666.67</v>
      </c>
      <c r="G14" s="530">
        <f>E14*F14</f>
        <v>12000.06</v>
      </c>
    </row>
    <row r="15" spans="2:7" s="531" customFormat="1" ht="15">
      <c r="B15" s="533">
        <v>9</v>
      </c>
      <c r="C15" s="512" t="s">
        <v>1053</v>
      </c>
      <c r="D15" s="512" t="s">
        <v>96</v>
      </c>
      <c r="E15" s="512">
        <f>90+76+76</f>
        <v>242</v>
      </c>
      <c r="F15" s="534">
        <f>(34.94+42.5+42.49)/3</f>
        <v>39.97666666666667</v>
      </c>
      <c r="G15" s="530">
        <f>E15*F15</f>
        <v>9674.353333333333</v>
      </c>
    </row>
    <row r="16" spans="2:7" s="531" customFormat="1" ht="15">
      <c r="B16" s="533">
        <v>10</v>
      </c>
      <c r="C16" s="512" t="s">
        <v>1054</v>
      </c>
      <c r="D16" s="512" t="s">
        <v>96</v>
      </c>
      <c r="E16" s="512">
        <f>83+72+4</f>
        <v>159</v>
      </c>
      <c r="F16" s="534">
        <f>(40+39.21+40)/3</f>
        <v>39.73666666666667</v>
      </c>
      <c r="G16" s="530">
        <f>E16*F16</f>
        <v>6318.130000000001</v>
      </c>
    </row>
    <row r="17" spans="2:7" s="111" customFormat="1" ht="15">
      <c r="B17" s="533">
        <v>11</v>
      </c>
      <c r="C17" s="513" t="s">
        <v>98</v>
      </c>
      <c r="D17" s="513" t="s">
        <v>96</v>
      </c>
      <c r="E17" s="513">
        <f>67+69</f>
        <v>136</v>
      </c>
      <c r="F17" s="535">
        <f>(35+35)/2</f>
        <v>35</v>
      </c>
      <c r="G17" s="530">
        <f t="shared" si="0"/>
        <v>4760</v>
      </c>
    </row>
    <row r="18" spans="2:7" s="111" customFormat="1" ht="15">
      <c r="B18" s="533">
        <v>12</v>
      </c>
      <c r="C18" s="513" t="s">
        <v>1056</v>
      </c>
      <c r="D18" s="513" t="s">
        <v>96</v>
      </c>
      <c r="E18" s="513">
        <f>45+46+90</f>
        <v>181</v>
      </c>
      <c r="F18" s="535">
        <v>33.5</v>
      </c>
      <c r="G18" s="530">
        <f t="shared" si="0"/>
        <v>6063.5</v>
      </c>
    </row>
    <row r="19" spans="2:7" s="111" customFormat="1" ht="15">
      <c r="B19" s="533">
        <v>13</v>
      </c>
      <c r="C19" s="513" t="s">
        <v>1055</v>
      </c>
      <c r="D19" s="513" t="s">
        <v>96</v>
      </c>
      <c r="E19" s="513">
        <f>66+50+90</f>
        <v>206</v>
      </c>
      <c r="F19" s="535">
        <v>33.5</v>
      </c>
      <c r="G19" s="530">
        <f t="shared" si="0"/>
        <v>6901</v>
      </c>
    </row>
    <row r="20" spans="2:7" s="111" customFormat="1" ht="15">
      <c r="B20" s="533">
        <v>14</v>
      </c>
      <c r="C20" s="513" t="s">
        <v>99</v>
      </c>
      <c r="D20" s="513" t="s">
        <v>96</v>
      </c>
      <c r="E20" s="513">
        <f>64+76+8</f>
        <v>148</v>
      </c>
      <c r="F20" s="535">
        <f>40</f>
        <v>40</v>
      </c>
      <c r="G20" s="530">
        <f t="shared" si="0"/>
        <v>5920</v>
      </c>
    </row>
    <row r="21" spans="2:7" s="111" customFormat="1" ht="15">
      <c r="B21" s="533">
        <v>15</v>
      </c>
      <c r="C21" s="513" t="s">
        <v>100</v>
      </c>
      <c r="D21" s="513" t="s">
        <v>96</v>
      </c>
      <c r="E21" s="513">
        <f>75+72+10</f>
        <v>157</v>
      </c>
      <c r="F21" s="535">
        <f>40</f>
        <v>40</v>
      </c>
      <c r="G21" s="530">
        <f t="shared" si="0"/>
        <v>6280</v>
      </c>
    </row>
    <row r="22" spans="2:7" s="111" customFormat="1" ht="15">
      <c r="B22" s="533">
        <v>17</v>
      </c>
      <c r="C22" s="513" t="s">
        <v>101</v>
      </c>
      <c r="D22" s="513" t="s">
        <v>96</v>
      </c>
      <c r="E22" s="513">
        <f>66+69+2</f>
        <v>137</v>
      </c>
      <c r="F22" s="535">
        <f>40</f>
        <v>40</v>
      </c>
      <c r="G22" s="530">
        <f t="shared" si="0"/>
        <v>5480</v>
      </c>
    </row>
    <row r="23" spans="2:7" s="111" customFormat="1" ht="15">
      <c r="B23" s="533">
        <v>18</v>
      </c>
      <c r="C23" s="513" t="s">
        <v>1058</v>
      </c>
      <c r="D23" s="513" t="s">
        <v>96</v>
      </c>
      <c r="E23" s="513">
        <f>73+60+80</f>
        <v>213</v>
      </c>
      <c r="F23" s="535">
        <f>(42.08+42.11)/2</f>
        <v>42.095</v>
      </c>
      <c r="G23" s="530">
        <f t="shared" si="0"/>
        <v>8966.235</v>
      </c>
    </row>
    <row r="24" spans="2:7" s="111" customFormat="1" ht="15">
      <c r="B24" s="536">
        <v>19</v>
      </c>
      <c r="C24" s="513" t="s">
        <v>102</v>
      </c>
      <c r="D24" s="513" t="s">
        <v>96</v>
      </c>
      <c r="E24" s="513">
        <v>100</v>
      </c>
      <c r="F24" s="535">
        <v>39.33</v>
      </c>
      <c r="G24" s="530">
        <f t="shared" si="0"/>
        <v>3933</v>
      </c>
    </row>
    <row r="25" spans="2:7" s="111" customFormat="1" ht="15">
      <c r="B25" s="536">
        <v>20</v>
      </c>
      <c r="C25" s="513" t="s">
        <v>1060</v>
      </c>
      <c r="D25" s="513" t="s">
        <v>96</v>
      </c>
      <c r="E25" s="513">
        <f>76+85+299</f>
        <v>460</v>
      </c>
      <c r="F25" s="535">
        <v>39.33</v>
      </c>
      <c r="G25" s="530">
        <f t="shared" si="0"/>
        <v>18091.8</v>
      </c>
    </row>
    <row r="26" spans="2:7" s="111" customFormat="1" ht="15">
      <c r="B26" s="533">
        <v>21</v>
      </c>
      <c r="C26" s="513" t="s">
        <v>1061</v>
      </c>
      <c r="D26" s="513" t="s">
        <v>96</v>
      </c>
      <c r="E26" s="513">
        <f>24+11+80</f>
        <v>115</v>
      </c>
      <c r="F26" s="535">
        <v>39.33</v>
      </c>
      <c r="G26" s="530">
        <f t="shared" si="0"/>
        <v>4522.95</v>
      </c>
    </row>
    <row r="27" spans="2:7" s="111" customFormat="1" ht="15">
      <c r="B27" s="536">
        <v>22</v>
      </c>
      <c r="C27" s="513" t="s">
        <v>1057</v>
      </c>
      <c r="D27" s="513" t="s">
        <v>96</v>
      </c>
      <c r="E27" s="513">
        <f>83+80+146</f>
        <v>309</v>
      </c>
      <c r="F27" s="535">
        <f>(35.87+35.83+36.11)/3</f>
        <v>35.93666666666666</v>
      </c>
      <c r="G27" s="530">
        <f t="shared" si="0"/>
        <v>11104.429999999998</v>
      </c>
    </row>
    <row r="28" spans="2:7" s="111" customFormat="1" ht="15">
      <c r="B28" s="536">
        <v>23</v>
      </c>
      <c r="C28" s="513" t="s">
        <v>1038</v>
      </c>
      <c r="D28" s="537" t="s">
        <v>96</v>
      </c>
      <c r="E28" s="513">
        <f>90+86+62</f>
        <v>238</v>
      </c>
      <c r="F28" s="535">
        <f>(14.62+14.17+14.58)/3</f>
        <v>14.456666666666665</v>
      </c>
      <c r="G28" s="530">
        <f t="shared" si="0"/>
        <v>3440.6866666666665</v>
      </c>
    </row>
    <row r="29" spans="2:7" s="111" customFormat="1" ht="15">
      <c r="B29" s="533">
        <v>24</v>
      </c>
      <c r="C29" s="513" t="s">
        <v>1039</v>
      </c>
      <c r="D29" s="538" t="s">
        <v>96</v>
      </c>
      <c r="E29" s="513">
        <f>90+88+115</f>
        <v>293</v>
      </c>
      <c r="F29" s="535">
        <f>(14.58+14.62+15)/3</f>
        <v>14.733333333333334</v>
      </c>
      <c r="G29" s="530">
        <f t="shared" si="0"/>
        <v>4316.866666666667</v>
      </c>
    </row>
    <row r="30" spans="2:7" s="111" customFormat="1" ht="15">
      <c r="B30" s="533">
        <v>25</v>
      </c>
      <c r="C30" s="513" t="s">
        <v>1059</v>
      </c>
      <c r="D30" s="538" t="s">
        <v>96</v>
      </c>
      <c r="E30" s="513">
        <f>73+70+97</f>
        <v>240</v>
      </c>
      <c r="F30" s="539">
        <f>(9.18+9.19+9.17)/3</f>
        <v>9.18</v>
      </c>
      <c r="G30" s="530">
        <f t="shared" si="0"/>
        <v>2203.2</v>
      </c>
    </row>
    <row r="31" spans="2:7" ht="15">
      <c r="B31" s="459"/>
      <c r="C31" s="460"/>
      <c r="D31" s="509"/>
      <c r="E31" s="460"/>
      <c r="F31" s="460"/>
      <c r="G31" s="510"/>
    </row>
    <row r="32" spans="2:7" ht="13.5" thickBot="1">
      <c r="B32" s="461"/>
      <c r="C32" s="462"/>
      <c r="D32" s="462"/>
      <c r="E32" s="462"/>
      <c r="F32" s="462"/>
      <c r="G32" s="477">
        <f>SUM(G7:G30)</f>
        <v>520742.5055666666</v>
      </c>
    </row>
    <row r="33" ht="12.75">
      <c r="I33" s="170"/>
    </row>
    <row r="35" spans="5:7" ht="12.75">
      <c r="E35" s="668"/>
      <c r="F35" s="668"/>
      <c r="G35" t="s">
        <v>1023</v>
      </c>
    </row>
    <row r="36" ht="12.75">
      <c r="G36" s="170" t="s">
        <v>125</v>
      </c>
    </row>
  </sheetData>
  <sheetProtection/>
  <mergeCells count="2">
    <mergeCell ref="E35:F35"/>
    <mergeCell ref="D4:G4"/>
  </mergeCells>
  <printOptions/>
  <pageMargins left="0.7" right="0.7" top="0.4" bottom="0.42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22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5.140625" style="0" customWidth="1"/>
    <col min="2" max="2" width="4.140625" style="0" customWidth="1"/>
    <col min="3" max="3" width="18.140625" style="0" customWidth="1"/>
    <col min="4" max="4" width="19.8515625" style="0" customWidth="1"/>
    <col min="5" max="5" width="16.7109375" style="0" customWidth="1"/>
    <col min="6" max="6" width="15.28125" style="0" customWidth="1"/>
  </cols>
  <sheetData>
    <row r="2" spans="3:6" ht="12.75">
      <c r="C2" s="478" t="s">
        <v>979</v>
      </c>
      <c r="D2" s="132" t="s">
        <v>980</v>
      </c>
      <c r="E2" s="132"/>
      <c r="F2" s="349"/>
    </row>
    <row r="3" spans="3:6" ht="12.75">
      <c r="C3" s="478" t="s">
        <v>570</v>
      </c>
      <c r="D3" s="132" t="s">
        <v>927</v>
      </c>
      <c r="E3" s="132"/>
      <c r="F3" s="99"/>
    </row>
    <row r="4" spans="3:5" ht="12.75">
      <c r="C4" s="134"/>
      <c r="D4" s="132"/>
      <c r="E4" s="132"/>
    </row>
    <row r="5" spans="3:6" ht="15">
      <c r="C5" s="704" t="s">
        <v>1062</v>
      </c>
      <c r="D5" s="704"/>
      <c r="E5" s="704"/>
      <c r="F5" s="704"/>
    </row>
    <row r="6" ht="13.5" thickBot="1"/>
    <row r="7" spans="2:6" ht="12.75">
      <c r="B7" s="463"/>
      <c r="C7" s="464"/>
      <c r="D7" s="464"/>
      <c r="E7" s="464"/>
      <c r="F7" s="465"/>
    </row>
    <row r="8" spans="2:6" ht="12.75">
      <c r="B8" s="473" t="s">
        <v>1012</v>
      </c>
      <c r="C8" s="474" t="s">
        <v>103</v>
      </c>
      <c r="D8" s="475" t="s">
        <v>104</v>
      </c>
      <c r="E8" s="475" t="s">
        <v>111</v>
      </c>
      <c r="F8" s="476" t="s">
        <v>105</v>
      </c>
    </row>
    <row r="9" spans="2:6" ht="12.75">
      <c r="B9" s="466"/>
      <c r="C9" s="401"/>
      <c r="D9" s="401"/>
      <c r="E9" s="401"/>
      <c r="F9" s="467"/>
    </row>
    <row r="10" spans="2:6" s="398" customFormat="1" ht="12.75">
      <c r="B10" s="468">
        <v>1</v>
      </c>
      <c r="C10" s="167" t="s">
        <v>106</v>
      </c>
      <c r="D10" s="167" t="s">
        <v>107</v>
      </c>
      <c r="E10" s="479" t="s">
        <v>112</v>
      </c>
      <c r="F10" s="469" t="s">
        <v>108</v>
      </c>
    </row>
    <row r="11" spans="2:6" ht="13.5" thickBot="1">
      <c r="B11" s="470"/>
      <c r="C11" s="471"/>
      <c r="D11" s="471"/>
      <c r="E11" s="471"/>
      <c r="F11" s="472"/>
    </row>
    <row r="21" ht="14.25">
      <c r="F21" s="480" t="s">
        <v>1023</v>
      </c>
    </row>
    <row r="22" ht="12.75">
      <c r="F22" t="s">
        <v>125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9.8515625" style="0" customWidth="1"/>
    <col min="2" max="2" width="14.140625" style="0" customWidth="1"/>
    <col min="3" max="3" width="12.57421875" style="0" customWidth="1"/>
    <col min="5" max="5" width="10.421875" style="0" customWidth="1"/>
  </cols>
  <sheetData>
    <row r="1" spans="1:8" ht="12.75">
      <c r="A1" s="541"/>
      <c r="B1" s="541"/>
      <c r="C1" s="541"/>
      <c r="D1" s="541"/>
      <c r="E1" s="545"/>
      <c r="F1" s="541"/>
      <c r="G1" s="541"/>
      <c r="H1" s="541"/>
    </row>
    <row r="2" spans="1:8" ht="12.75">
      <c r="A2" s="478" t="s">
        <v>979</v>
      </c>
      <c r="B2" s="132" t="s">
        <v>980</v>
      </c>
      <c r="C2" s="132"/>
      <c r="D2" s="544"/>
      <c r="E2" s="544"/>
      <c r="F2" s="541"/>
      <c r="G2" s="541"/>
      <c r="H2" s="541"/>
    </row>
    <row r="3" spans="1:8" ht="12.75">
      <c r="A3" s="478" t="s">
        <v>570</v>
      </c>
      <c r="B3" s="132" t="s">
        <v>927</v>
      </c>
      <c r="C3" s="132"/>
      <c r="D3" s="544"/>
      <c r="E3" s="544"/>
      <c r="F3" s="541"/>
      <c r="G3" s="541"/>
      <c r="H3" s="541"/>
    </row>
    <row r="5" spans="1:8" ht="15.75">
      <c r="A5" s="706" t="s">
        <v>1077</v>
      </c>
      <c r="B5" s="706"/>
      <c r="C5" s="706"/>
      <c r="D5" s="706"/>
      <c r="E5" s="706"/>
      <c r="F5" s="706"/>
      <c r="G5" s="706"/>
      <c r="H5" s="541"/>
    </row>
    <row r="7" spans="1:8" ht="12.75">
      <c r="A7" s="541"/>
      <c r="B7" s="541"/>
      <c r="C7" s="541"/>
      <c r="D7" s="541"/>
      <c r="E7" s="541"/>
      <c r="F7" s="541"/>
      <c r="G7" s="547"/>
      <c r="H7" s="541"/>
    </row>
    <row r="8" spans="1:8" ht="13.5" thickBot="1">
      <c r="A8" s="541"/>
      <c r="B8" s="541"/>
      <c r="C8" s="541"/>
      <c r="D8" s="541"/>
      <c r="E8" s="541"/>
      <c r="F8" s="541"/>
      <c r="G8" s="541"/>
      <c r="H8" s="541"/>
    </row>
    <row r="9" spans="1:8" ht="26.25" thickBot="1">
      <c r="A9" s="553" t="s">
        <v>1064</v>
      </c>
      <c r="B9" s="553" t="s">
        <v>1065</v>
      </c>
      <c r="C9" s="553" t="s">
        <v>1066</v>
      </c>
      <c r="D9" s="554" t="s">
        <v>1067</v>
      </c>
      <c r="E9" s="553" t="s">
        <v>1068</v>
      </c>
      <c r="F9" s="541"/>
      <c r="G9" s="541"/>
      <c r="H9" s="541"/>
    </row>
    <row r="10" spans="1:8" ht="12.75">
      <c r="A10" s="556">
        <v>1</v>
      </c>
      <c r="B10" s="557" t="s">
        <v>1069</v>
      </c>
      <c r="C10" s="558" t="s">
        <v>1071</v>
      </c>
      <c r="D10" s="564" t="s">
        <v>1070</v>
      </c>
      <c r="E10" s="560">
        <v>26.35</v>
      </c>
      <c r="F10" s="552"/>
      <c r="G10" s="546"/>
      <c r="H10" s="546"/>
    </row>
    <row r="11" spans="1:8" ht="12.75">
      <c r="A11" s="561">
        <v>2</v>
      </c>
      <c r="B11" s="559" t="s">
        <v>1069</v>
      </c>
      <c r="C11" s="558" t="s">
        <v>1072</v>
      </c>
      <c r="D11" s="564" t="s">
        <v>918</v>
      </c>
      <c r="E11" s="562">
        <v>-1999727.11</v>
      </c>
      <c r="F11" s="552"/>
      <c r="G11" s="546"/>
      <c r="H11" s="546"/>
    </row>
    <row r="12" spans="1:8" ht="12.75">
      <c r="A12" s="556">
        <v>3</v>
      </c>
      <c r="B12" s="563" t="s">
        <v>1073</v>
      </c>
      <c r="C12" s="558" t="s">
        <v>1074</v>
      </c>
      <c r="D12" s="565" t="s">
        <v>1070</v>
      </c>
      <c r="E12" s="562">
        <v>-11.49</v>
      </c>
      <c r="F12" s="552"/>
      <c r="G12" s="546"/>
      <c r="H12" s="546"/>
    </row>
    <row r="13" spans="1:8" ht="12.75">
      <c r="A13" s="556">
        <v>4</v>
      </c>
      <c r="B13" s="563" t="s">
        <v>1073</v>
      </c>
      <c r="C13" s="558" t="s">
        <v>1075</v>
      </c>
      <c r="D13" s="565" t="s">
        <v>918</v>
      </c>
      <c r="E13" s="562">
        <v>-3096798.48</v>
      </c>
      <c r="F13" s="552"/>
      <c r="G13" s="546"/>
      <c r="H13" s="546"/>
    </row>
    <row r="14" spans="1:8" ht="12.75">
      <c r="A14" s="543">
        <v>5</v>
      </c>
      <c r="B14" s="550" t="s">
        <v>1078</v>
      </c>
      <c r="C14" s="549" t="s">
        <v>1080</v>
      </c>
      <c r="D14" s="566" t="s">
        <v>918</v>
      </c>
      <c r="E14" s="551">
        <v>65</v>
      </c>
      <c r="F14" s="552"/>
      <c r="G14" s="546"/>
      <c r="H14" s="546"/>
    </row>
    <row r="15" spans="1:8" ht="12.75">
      <c r="A15" s="555">
        <v>6</v>
      </c>
      <c r="B15" s="550" t="s">
        <v>1079</v>
      </c>
      <c r="C15" s="549">
        <v>329449</v>
      </c>
      <c r="D15" s="566" t="s">
        <v>1070</v>
      </c>
      <c r="E15" s="551">
        <v>33.87</v>
      </c>
      <c r="F15" s="552"/>
      <c r="G15" s="546"/>
      <c r="H15" s="546"/>
    </row>
    <row r="16" spans="1:8" ht="12.75">
      <c r="A16" s="555"/>
      <c r="B16" s="550"/>
      <c r="C16" s="549"/>
      <c r="D16" s="550"/>
      <c r="E16" s="551"/>
      <c r="F16" s="552"/>
      <c r="G16" s="546"/>
      <c r="H16" s="546"/>
    </row>
    <row r="17" spans="1:7" ht="12.75">
      <c r="A17" s="541"/>
      <c r="B17" s="541"/>
      <c r="C17" s="541"/>
      <c r="D17" s="541"/>
      <c r="E17" s="541"/>
      <c r="F17" s="541"/>
      <c r="G17" s="541"/>
    </row>
    <row r="18" spans="1:7" ht="12.75">
      <c r="A18" s="541"/>
      <c r="B18" s="541"/>
      <c r="C18" s="541"/>
      <c r="D18" s="541"/>
      <c r="E18" s="548"/>
      <c r="F18" s="541"/>
      <c r="G18" s="541"/>
    </row>
    <row r="19" spans="1:7" ht="15.75">
      <c r="A19" s="541"/>
      <c r="B19" s="705" t="s">
        <v>1076</v>
      </c>
      <c r="C19" s="705"/>
      <c r="D19" s="705"/>
      <c r="E19" s="548"/>
      <c r="F19" s="541"/>
      <c r="G19" s="541"/>
    </row>
    <row r="20" spans="1:7" ht="15.75">
      <c r="A20" s="541"/>
      <c r="B20" s="705"/>
      <c r="C20" s="705"/>
      <c r="D20" s="542"/>
      <c r="E20" s="541"/>
      <c r="F20" s="541"/>
      <c r="G20" s="541"/>
    </row>
  </sheetData>
  <sheetProtection/>
  <mergeCells count="3">
    <mergeCell ref="B19:D19"/>
    <mergeCell ref="B20:C20"/>
    <mergeCell ref="A5:G5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H23"/>
  <sheetViews>
    <sheetView zoomScalePageLayoutView="0" workbookViewId="0" topLeftCell="A1">
      <selection activeCell="H23" sqref="H23"/>
    </sheetView>
  </sheetViews>
  <sheetFormatPr defaultColWidth="9.140625" defaultRowHeight="12.75"/>
  <cols>
    <col min="5" max="5" width="11.140625" style="0" customWidth="1"/>
  </cols>
  <sheetData>
    <row r="2" ht="13.5" thickBot="1"/>
    <row r="3" spans="2:8" ht="20.25">
      <c r="B3" s="463"/>
      <c r="C3" s="516" t="s">
        <v>1117</v>
      </c>
      <c r="D3" s="516"/>
      <c r="E3" s="516"/>
      <c r="F3" s="516"/>
      <c r="G3" s="464"/>
      <c r="H3" s="465"/>
    </row>
    <row r="4" spans="2:8" ht="12.75">
      <c r="B4" s="517"/>
      <c r="C4" s="32"/>
      <c r="D4" s="32"/>
      <c r="E4" s="32"/>
      <c r="F4" s="32"/>
      <c r="G4" s="32"/>
      <c r="H4" s="518"/>
    </row>
    <row r="5" spans="2:8" ht="12.75">
      <c r="B5" s="519" t="s">
        <v>540</v>
      </c>
      <c r="C5" s="32"/>
      <c r="D5" s="32"/>
      <c r="E5" s="520">
        <v>69969.11</v>
      </c>
      <c r="F5" s="32"/>
      <c r="G5" s="32"/>
      <c r="H5" s="518"/>
    </row>
    <row r="6" spans="2:8" ht="12.75">
      <c r="B6" s="521" t="s">
        <v>1118</v>
      </c>
      <c r="C6" s="522"/>
      <c r="D6" s="522"/>
      <c r="E6" s="522"/>
      <c r="F6" s="522"/>
      <c r="G6" s="522"/>
      <c r="H6" s="518"/>
    </row>
    <row r="7" spans="2:8" ht="12.75">
      <c r="B7" s="521" t="s">
        <v>1119</v>
      </c>
      <c r="C7" s="522"/>
      <c r="D7" s="522"/>
      <c r="E7" s="522"/>
      <c r="F7" s="522"/>
      <c r="G7" s="522"/>
      <c r="H7" s="518"/>
    </row>
    <row r="8" spans="2:8" ht="12.75">
      <c r="B8" s="521" t="s">
        <v>1120</v>
      </c>
      <c r="C8" s="522"/>
      <c r="D8" s="522"/>
      <c r="E8" s="522"/>
      <c r="F8" s="522"/>
      <c r="G8" s="522"/>
      <c r="H8" s="518"/>
    </row>
    <row r="9" spans="2:8" ht="12.75">
      <c r="B9" s="521" t="s">
        <v>1121</v>
      </c>
      <c r="C9" s="522"/>
      <c r="D9" s="522"/>
      <c r="E9" s="522"/>
      <c r="F9" s="522"/>
      <c r="G9" s="522"/>
      <c r="H9" s="518"/>
    </row>
    <row r="10" spans="2:8" ht="12.75">
      <c r="B10" s="521"/>
      <c r="C10" s="522"/>
      <c r="D10" s="586">
        <v>0.1812</v>
      </c>
      <c r="E10" s="522"/>
      <c r="F10" s="522"/>
      <c r="G10" s="522"/>
      <c r="H10" s="518"/>
    </row>
    <row r="11" spans="2:8" ht="12.75">
      <c r="B11" s="521" t="s">
        <v>1122</v>
      </c>
      <c r="C11" s="522"/>
      <c r="D11" s="522">
        <v>609680.65</v>
      </c>
      <c r="E11" s="522"/>
      <c r="F11" s="522"/>
      <c r="G11" s="522"/>
      <c r="H11" s="518"/>
    </row>
    <row r="12" spans="2:8" ht="12.75">
      <c r="B12" s="521" t="s">
        <v>1123</v>
      </c>
      <c r="C12" s="522"/>
      <c r="D12" s="522"/>
      <c r="E12" s="522"/>
      <c r="F12" s="522"/>
      <c r="G12" s="522"/>
      <c r="H12" s="518"/>
    </row>
    <row r="13" spans="2:8" ht="12.75">
      <c r="B13" s="521" t="s">
        <v>1124</v>
      </c>
      <c r="C13" s="522"/>
      <c r="D13" s="522"/>
      <c r="E13" s="522"/>
      <c r="F13" s="522"/>
      <c r="G13" s="522"/>
      <c r="H13" s="518"/>
    </row>
    <row r="14" spans="2:8" ht="12.75">
      <c r="B14" s="523" t="s">
        <v>1125</v>
      </c>
      <c r="C14" s="524"/>
      <c r="D14" s="524"/>
      <c r="E14" s="524"/>
      <c r="F14" s="522"/>
      <c r="G14" s="522"/>
      <c r="H14" s="518"/>
    </row>
    <row r="15" spans="2:8" ht="12.75">
      <c r="B15" s="521"/>
      <c r="C15" s="522"/>
      <c r="D15" s="522"/>
      <c r="E15" s="522"/>
      <c r="F15" s="522"/>
      <c r="G15" s="522"/>
      <c r="H15" s="518"/>
    </row>
    <row r="16" spans="2:8" ht="13.5" thickBot="1">
      <c r="B16" s="470"/>
      <c r="C16" s="471"/>
      <c r="D16" s="471"/>
      <c r="E16" s="471"/>
      <c r="F16" s="471"/>
      <c r="G16" s="471"/>
      <c r="H16" s="472"/>
    </row>
    <row r="19" ht="12.75">
      <c r="B19" t="s">
        <v>1127</v>
      </c>
    </row>
    <row r="20" ht="12.75">
      <c r="B20" t="s">
        <v>1128</v>
      </c>
    </row>
    <row r="21" ht="12.75">
      <c r="B21" t="s">
        <v>1130</v>
      </c>
    </row>
    <row r="22" ht="12.75">
      <c r="B22" t="s">
        <v>1129</v>
      </c>
    </row>
    <row r="23" spans="3:4" ht="12.75">
      <c r="C23" s="668" t="s">
        <v>1131</v>
      </c>
      <c r="D23" s="668"/>
    </row>
  </sheetData>
  <sheetProtection/>
  <mergeCells count="1">
    <mergeCell ref="C23:D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0.00390625" style="109" customWidth="1"/>
    <col min="2" max="2" width="48.57421875" style="110" customWidth="1"/>
    <col min="3" max="3" width="15.57421875" style="287" customWidth="1"/>
    <col min="4" max="4" width="15.00390625" style="287" customWidth="1"/>
    <col min="5" max="5" width="25.421875" style="0" customWidth="1"/>
    <col min="6" max="6" width="15.8515625" style="111" customWidth="1"/>
    <col min="7" max="16384" width="9.140625" style="111" customWidth="1"/>
  </cols>
  <sheetData>
    <row r="1" spans="1:4" s="107" customFormat="1" ht="15.75">
      <c r="A1" s="105"/>
      <c r="B1" s="106" t="s">
        <v>929</v>
      </c>
      <c r="C1" s="283"/>
      <c r="D1" s="283"/>
    </row>
    <row r="2" spans="1:4" s="107" customFormat="1" ht="15.75">
      <c r="A2" s="105"/>
      <c r="B2" s="106"/>
      <c r="C2" s="283"/>
      <c r="D2" s="283"/>
    </row>
    <row r="3" spans="1:4" s="107" customFormat="1" ht="15.75">
      <c r="A3" s="108" t="s">
        <v>599</v>
      </c>
      <c r="B3" s="276" t="s">
        <v>330</v>
      </c>
      <c r="C3" s="284" t="s">
        <v>331</v>
      </c>
      <c r="D3" s="284" t="s">
        <v>332</v>
      </c>
    </row>
    <row r="4" spans="1:4" ht="12.75">
      <c r="A4" s="277" t="s">
        <v>203</v>
      </c>
      <c r="B4" s="278" t="s">
        <v>600</v>
      </c>
      <c r="C4" s="329"/>
      <c r="D4" s="481"/>
    </row>
    <row r="5" spans="1:4" ht="12.75">
      <c r="A5" s="277" t="s">
        <v>204</v>
      </c>
      <c r="B5" s="278" t="s">
        <v>601</v>
      </c>
      <c r="C5" s="329"/>
      <c r="D5" s="326"/>
    </row>
    <row r="6" spans="1:4" ht="12.75">
      <c r="A6" s="277" t="s">
        <v>205</v>
      </c>
      <c r="B6" s="278" t="s">
        <v>602</v>
      </c>
      <c r="C6" s="329"/>
      <c r="D6" s="326"/>
    </row>
    <row r="7" spans="1:4" ht="12.75">
      <c r="A7" s="277" t="s">
        <v>206</v>
      </c>
      <c r="B7" s="278" t="s">
        <v>603</v>
      </c>
      <c r="C7" s="329"/>
      <c r="D7" s="326"/>
    </row>
    <row r="8" spans="1:4" ht="12.75">
      <c r="A8" s="277" t="s">
        <v>207</v>
      </c>
      <c r="B8" s="278" t="s">
        <v>604</v>
      </c>
      <c r="C8" s="329"/>
      <c r="D8" s="326"/>
    </row>
    <row r="9" spans="1:4" ht="12.75">
      <c r="A9" s="277" t="s">
        <v>208</v>
      </c>
      <c r="B9" s="278" t="s">
        <v>605</v>
      </c>
      <c r="C9" s="329"/>
      <c r="D9" s="326"/>
    </row>
    <row r="10" spans="1:4" ht="12.75">
      <c r="A10" s="277" t="s">
        <v>209</v>
      </c>
      <c r="B10" s="278" t="s">
        <v>405</v>
      </c>
      <c r="C10" s="329"/>
      <c r="D10" s="326"/>
    </row>
    <row r="11" spans="1:4" ht="12.75">
      <c r="A11" s="277" t="s">
        <v>211</v>
      </c>
      <c r="B11" s="278" t="s">
        <v>606</v>
      </c>
      <c r="C11" s="329"/>
      <c r="D11" s="326"/>
    </row>
    <row r="12" spans="1:4" ht="12.75">
      <c r="A12" s="277" t="s">
        <v>210</v>
      </c>
      <c r="B12" s="278" t="s">
        <v>607</v>
      </c>
      <c r="C12" s="329"/>
      <c r="D12" s="326"/>
    </row>
    <row r="13" spans="1:4" ht="12.75">
      <c r="A13" s="277" t="s">
        <v>212</v>
      </c>
      <c r="B13" s="278" t="s">
        <v>608</v>
      </c>
      <c r="C13" s="329"/>
      <c r="D13" s="481"/>
    </row>
    <row r="14" spans="1:4" ht="12.75">
      <c r="A14" s="277" t="s">
        <v>213</v>
      </c>
      <c r="B14" s="278" t="s">
        <v>609</v>
      </c>
      <c r="C14" s="329"/>
      <c r="D14" s="326"/>
    </row>
    <row r="15" spans="1:4" ht="12.75">
      <c r="A15" s="277" t="s">
        <v>214</v>
      </c>
      <c r="B15" s="278" t="s">
        <v>610</v>
      </c>
      <c r="C15" s="329"/>
      <c r="D15" s="326"/>
    </row>
    <row r="16" spans="1:4" ht="12.75">
      <c r="A16" s="277" t="s">
        <v>215</v>
      </c>
      <c r="B16" s="278" t="s">
        <v>611</v>
      </c>
      <c r="C16" s="329"/>
      <c r="D16" s="326"/>
    </row>
    <row r="17" spans="1:4" ht="12.75">
      <c r="A17" s="277" t="s">
        <v>216</v>
      </c>
      <c r="B17" s="278" t="s">
        <v>612</v>
      </c>
      <c r="C17" s="329"/>
      <c r="D17" s="326"/>
    </row>
    <row r="18" spans="1:4" ht="12.75">
      <c r="A18" s="277" t="s">
        <v>217</v>
      </c>
      <c r="B18" s="278" t="s">
        <v>613</v>
      </c>
      <c r="C18" s="329"/>
      <c r="D18" s="326"/>
    </row>
    <row r="19" spans="1:4" ht="12.75">
      <c r="A19" s="277" t="s">
        <v>218</v>
      </c>
      <c r="B19" s="278" t="s">
        <v>614</v>
      </c>
      <c r="C19" s="329"/>
      <c r="D19" s="326"/>
    </row>
    <row r="20" spans="1:4" ht="12.75">
      <c r="A20" s="277" t="s">
        <v>219</v>
      </c>
      <c r="B20" s="278" t="s">
        <v>615</v>
      </c>
      <c r="C20" s="329"/>
      <c r="D20" s="326"/>
    </row>
    <row r="21" spans="1:5" ht="12.75">
      <c r="A21" s="277" t="s">
        <v>220</v>
      </c>
      <c r="B21" s="278" t="s">
        <v>616</v>
      </c>
      <c r="C21" s="481"/>
      <c r="D21" s="326"/>
      <c r="E21" s="170"/>
    </row>
    <row r="22" spans="1:5" ht="12.75">
      <c r="A22" s="277" t="s">
        <v>221</v>
      </c>
      <c r="B22" s="278" t="s">
        <v>617</v>
      </c>
      <c r="C22" s="481"/>
      <c r="D22" s="326"/>
      <c r="E22" s="170"/>
    </row>
    <row r="23" spans="1:5" ht="12.75">
      <c r="A23" s="277" t="s">
        <v>223</v>
      </c>
      <c r="B23" s="278" t="s">
        <v>618</v>
      </c>
      <c r="C23" s="481"/>
      <c r="D23" s="326"/>
      <c r="E23" s="170"/>
    </row>
    <row r="24" spans="1:4" ht="12.75">
      <c r="A24" s="277" t="s">
        <v>224</v>
      </c>
      <c r="B24" s="278" t="s">
        <v>619</v>
      </c>
      <c r="D24" s="326"/>
    </row>
    <row r="25" spans="1:4" ht="12.75">
      <c r="A25" s="277" t="s">
        <v>222</v>
      </c>
      <c r="B25" s="278" t="s">
        <v>620</v>
      </c>
      <c r="C25" s="329"/>
      <c r="D25" s="326"/>
    </row>
    <row r="26" spans="1:4" ht="12.75">
      <c r="A26" s="277" t="s">
        <v>225</v>
      </c>
      <c r="B26" s="278" t="s">
        <v>621</v>
      </c>
      <c r="C26" s="329"/>
      <c r="D26" s="326"/>
    </row>
    <row r="27" spans="1:5" ht="12.75">
      <c r="A27" s="277" t="s">
        <v>225</v>
      </c>
      <c r="B27" s="278" t="s">
        <v>622</v>
      </c>
      <c r="C27" s="329"/>
      <c r="D27" s="326"/>
      <c r="E27" s="170"/>
    </row>
    <row r="28" spans="1:5" ht="12.75">
      <c r="A28" s="277" t="s">
        <v>226</v>
      </c>
      <c r="B28" s="278" t="s">
        <v>623</v>
      </c>
      <c r="C28" s="329"/>
      <c r="D28" s="326"/>
      <c r="E28" s="170"/>
    </row>
    <row r="29" spans="1:4" ht="12.75">
      <c r="A29" s="277" t="s">
        <v>227</v>
      </c>
      <c r="B29" s="278" t="s">
        <v>624</v>
      </c>
      <c r="C29" s="329"/>
      <c r="D29" s="326"/>
    </row>
    <row r="30" spans="1:4" ht="12.75">
      <c r="A30" s="277" t="s">
        <v>228</v>
      </c>
      <c r="B30" s="278" t="s">
        <v>625</v>
      </c>
      <c r="C30" s="329"/>
      <c r="D30" s="326"/>
    </row>
    <row r="31" spans="1:4" ht="12.75">
      <c r="A31" s="277" t="s">
        <v>229</v>
      </c>
      <c r="B31" s="278" t="s">
        <v>626</v>
      </c>
      <c r="C31" s="329"/>
      <c r="D31" s="326"/>
    </row>
    <row r="32" spans="1:5" ht="12.75">
      <c r="A32" s="277" t="s">
        <v>230</v>
      </c>
      <c r="B32" s="278" t="s">
        <v>627</v>
      </c>
      <c r="C32" s="329"/>
      <c r="D32" s="326"/>
      <c r="E32" s="170"/>
    </row>
    <row r="33" spans="1:5" ht="12.75">
      <c r="A33" s="277" t="s">
        <v>231</v>
      </c>
      <c r="B33" s="278" t="s">
        <v>628</v>
      </c>
      <c r="C33" s="329"/>
      <c r="D33" s="326"/>
      <c r="E33" s="344"/>
    </row>
    <row r="34" spans="1:5" ht="12.75">
      <c r="A34" s="277" t="s">
        <v>232</v>
      </c>
      <c r="B34" s="278" t="s">
        <v>629</v>
      </c>
      <c r="C34" s="329"/>
      <c r="D34" s="326"/>
      <c r="E34" s="344"/>
    </row>
    <row r="35" spans="1:5" ht="12.75">
      <c r="A35" s="277" t="s">
        <v>233</v>
      </c>
      <c r="B35" s="278" t="s">
        <v>630</v>
      </c>
      <c r="C35" s="329"/>
      <c r="D35" s="326"/>
      <c r="E35" s="170"/>
    </row>
    <row r="36" spans="1:4" ht="12.75">
      <c r="A36" s="277" t="s">
        <v>234</v>
      </c>
      <c r="B36" s="278" t="s">
        <v>631</v>
      </c>
      <c r="C36" s="329"/>
      <c r="D36" s="326"/>
    </row>
    <row r="37" spans="1:4" ht="12.75">
      <c r="A37" s="277" t="s">
        <v>235</v>
      </c>
      <c r="B37" s="278" t="s">
        <v>632</v>
      </c>
      <c r="C37" s="329"/>
      <c r="D37" s="326"/>
    </row>
    <row r="38" spans="1:4" ht="12.75">
      <c r="A38" s="277" t="s">
        <v>236</v>
      </c>
      <c r="B38" s="278" t="s">
        <v>633</v>
      </c>
      <c r="C38" s="329"/>
      <c r="D38" s="326"/>
    </row>
    <row r="39" spans="1:5" ht="12.75">
      <c r="A39" s="277" t="s">
        <v>237</v>
      </c>
      <c r="B39" s="278" t="s">
        <v>634</v>
      </c>
      <c r="C39" s="329"/>
      <c r="D39" s="481"/>
      <c r="E39" s="170"/>
    </row>
    <row r="40" spans="1:4" ht="12.75">
      <c r="A40" s="277" t="s">
        <v>238</v>
      </c>
      <c r="B40" s="278" t="s">
        <v>635</v>
      </c>
      <c r="C40" s="329"/>
      <c r="D40" s="481"/>
    </row>
    <row r="41" spans="1:5" ht="12.75">
      <c r="A41" s="277" t="s">
        <v>239</v>
      </c>
      <c r="B41" s="278" t="s">
        <v>636</v>
      </c>
      <c r="C41" s="329"/>
      <c r="D41" s="481"/>
      <c r="E41" s="170"/>
    </row>
    <row r="42" spans="1:4" ht="12.75">
      <c r="A42" s="277" t="s">
        <v>239</v>
      </c>
      <c r="B42" s="278" t="s">
        <v>637</v>
      </c>
      <c r="C42" s="329"/>
      <c r="D42" s="326"/>
    </row>
    <row r="43" spans="1:4" ht="12.75">
      <c r="A43" s="277" t="s">
        <v>239</v>
      </c>
      <c r="B43" s="278" t="s">
        <v>638</v>
      </c>
      <c r="C43" s="329"/>
      <c r="D43" s="326"/>
    </row>
    <row r="44" spans="1:4" ht="12.75">
      <c r="A44" s="277" t="s">
        <v>240</v>
      </c>
      <c r="B44" s="278" t="s">
        <v>639</v>
      </c>
      <c r="C44" s="329"/>
      <c r="D44" s="326"/>
    </row>
    <row r="45" spans="1:4" ht="12.75">
      <c r="A45" s="277" t="s">
        <v>241</v>
      </c>
      <c r="B45" s="278" t="s">
        <v>640</v>
      </c>
      <c r="C45" s="329"/>
      <c r="D45" s="326"/>
    </row>
    <row r="46" spans="1:4" ht="15" customHeight="1">
      <c r="A46" s="277" t="s">
        <v>242</v>
      </c>
      <c r="B46" s="278" t="s">
        <v>641</v>
      </c>
      <c r="C46" s="329"/>
      <c r="D46" s="326"/>
    </row>
    <row r="47" spans="1:4" ht="12.75">
      <c r="A47" s="277" t="s">
        <v>242</v>
      </c>
      <c r="B47" s="278" t="s">
        <v>642</v>
      </c>
      <c r="C47" s="329"/>
      <c r="D47" s="326"/>
    </row>
    <row r="48" spans="1:4" ht="12.75">
      <c r="A48" s="277" t="s">
        <v>245</v>
      </c>
      <c r="B48" s="278" t="s">
        <v>643</v>
      </c>
      <c r="C48" s="329"/>
      <c r="D48" s="326"/>
    </row>
    <row r="49" spans="1:4" ht="12.75">
      <c r="A49" s="277" t="s">
        <v>243</v>
      </c>
      <c r="B49" s="278" t="s">
        <v>644</v>
      </c>
      <c r="C49" s="329"/>
      <c r="D49" s="326"/>
    </row>
    <row r="50" spans="1:4" ht="12.75">
      <c r="A50" s="277" t="s">
        <v>244</v>
      </c>
      <c r="B50" s="278" t="s">
        <v>645</v>
      </c>
      <c r="C50" s="329"/>
      <c r="D50" s="326"/>
    </row>
    <row r="51" spans="1:4" ht="12.75">
      <c r="A51" s="277" t="s">
        <v>246</v>
      </c>
      <c r="B51" s="278" t="s">
        <v>646</v>
      </c>
      <c r="C51" s="329"/>
      <c r="D51" s="326"/>
    </row>
    <row r="52" spans="1:4" ht="12.75">
      <c r="A52" s="277" t="s">
        <v>247</v>
      </c>
      <c r="B52" s="278" t="s">
        <v>647</v>
      </c>
      <c r="C52" s="329"/>
      <c r="D52" s="326"/>
    </row>
    <row r="53" spans="1:4" ht="12.75">
      <c r="A53" s="277" t="s">
        <v>247</v>
      </c>
      <c r="B53" s="278" t="s">
        <v>648</v>
      </c>
      <c r="C53" s="329"/>
      <c r="D53" s="326"/>
    </row>
    <row r="54" spans="1:4" ht="12.75">
      <c r="A54" s="277" t="s">
        <v>247</v>
      </c>
      <c r="B54" s="278" t="s">
        <v>649</v>
      </c>
      <c r="C54" s="329"/>
      <c r="D54" s="326"/>
    </row>
    <row r="55" spans="1:4" ht="12.75">
      <c r="A55" s="277" t="s">
        <v>248</v>
      </c>
      <c r="B55" s="278" t="s">
        <v>650</v>
      </c>
      <c r="C55" s="329"/>
      <c r="D55" s="326"/>
    </row>
    <row r="56" spans="1:4" ht="12.75">
      <c r="A56" s="277" t="s">
        <v>249</v>
      </c>
      <c r="B56" s="278" t="s">
        <v>651</v>
      </c>
      <c r="C56" s="329"/>
      <c r="D56" s="326"/>
    </row>
    <row r="57" spans="1:4" ht="12.75">
      <c r="A57" s="277" t="s">
        <v>250</v>
      </c>
      <c r="B57" s="278" t="s">
        <v>652</v>
      </c>
      <c r="C57" s="329"/>
      <c r="D57" s="326"/>
    </row>
    <row r="58" spans="1:4" ht="12.75">
      <c r="A58" s="277" t="s">
        <v>251</v>
      </c>
      <c r="B58" s="278" t="s">
        <v>653</v>
      </c>
      <c r="C58" s="329"/>
      <c r="D58" s="326"/>
    </row>
    <row r="59" spans="1:4" ht="12.75">
      <c r="A59" s="277" t="s">
        <v>252</v>
      </c>
      <c r="B59" s="278" t="s">
        <v>654</v>
      </c>
      <c r="C59" s="481"/>
      <c r="D59" s="326"/>
    </row>
    <row r="60" spans="1:4" ht="12.75">
      <c r="A60" s="277" t="s">
        <v>253</v>
      </c>
      <c r="B60" s="278" t="s">
        <v>655</v>
      </c>
      <c r="C60" s="329"/>
      <c r="D60" s="326"/>
    </row>
    <row r="61" spans="1:4" ht="12.75">
      <c r="A61" s="277" t="s">
        <v>254</v>
      </c>
      <c r="B61" s="278" t="s">
        <v>656</v>
      </c>
      <c r="C61" s="329"/>
      <c r="D61" s="326"/>
    </row>
    <row r="62" spans="1:4" ht="12.75">
      <c r="A62" s="277" t="s">
        <v>255</v>
      </c>
      <c r="B62" s="278" t="s">
        <v>657</v>
      </c>
      <c r="C62" s="481"/>
      <c r="D62" s="326"/>
    </row>
    <row r="63" spans="1:4" ht="12.75">
      <c r="A63" s="277" t="s">
        <v>256</v>
      </c>
      <c r="B63" s="278" t="s">
        <v>658</v>
      </c>
      <c r="C63" s="329"/>
      <c r="D63" s="326"/>
    </row>
    <row r="64" spans="1:4" ht="12.75">
      <c r="A64" s="277" t="s">
        <v>257</v>
      </c>
      <c r="B64" s="278" t="s">
        <v>659</v>
      </c>
      <c r="C64" s="329"/>
      <c r="D64" s="326"/>
    </row>
    <row r="65" spans="1:4" ht="12.75">
      <c r="A65" s="277" t="s">
        <v>258</v>
      </c>
      <c r="B65" s="278" t="s">
        <v>660</v>
      </c>
      <c r="C65" s="329"/>
      <c r="D65" s="326"/>
    </row>
    <row r="66" spans="1:4" ht="12.75">
      <c r="A66" s="277" t="s">
        <v>259</v>
      </c>
      <c r="B66" s="278" t="s">
        <v>661</v>
      </c>
      <c r="C66" s="329"/>
      <c r="D66" s="326"/>
    </row>
    <row r="67" spans="1:4" ht="12.75">
      <c r="A67" s="277" t="s">
        <v>260</v>
      </c>
      <c r="B67" s="278" t="s">
        <v>662</v>
      </c>
      <c r="C67" s="329"/>
      <c r="D67" s="326"/>
    </row>
    <row r="68" spans="1:4" ht="12.75">
      <c r="A68" s="277" t="s">
        <v>261</v>
      </c>
      <c r="B68" s="278" t="s">
        <v>663</v>
      </c>
      <c r="C68" s="329"/>
      <c r="D68" s="326"/>
    </row>
    <row r="69" spans="1:4" ht="12.75">
      <c r="A69" s="277" t="s">
        <v>262</v>
      </c>
      <c r="B69" s="278" t="s">
        <v>664</v>
      </c>
      <c r="C69" s="329"/>
      <c r="D69" s="326"/>
    </row>
    <row r="70" spans="1:4" ht="12.75">
      <c r="A70" s="277" t="s">
        <v>263</v>
      </c>
      <c r="B70" s="278" t="s">
        <v>665</v>
      </c>
      <c r="C70" s="329"/>
      <c r="D70" s="326"/>
    </row>
    <row r="71" spans="1:4" ht="12.75">
      <c r="A71" s="277" t="s">
        <v>264</v>
      </c>
      <c r="B71" s="278" t="s">
        <v>666</v>
      </c>
      <c r="C71" s="481"/>
      <c r="D71" s="326"/>
    </row>
    <row r="72" spans="1:4" ht="12.75">
      <c r="A72" s="277" t="s">
        <v>265</v>
      </c>
      <c r="B72" s="278" t="s">
        <v>667</v>
      </c>
      <c r="C72" s="329"/>
      <c r="D72" s="326"/>
    </row>
    <row r="73" spans="1:4" ht="12.75">
      <c r="A73" s="277" t="s">
        <v>266</v>
      </c>
      <c r="B73" s="278" t="s">
        <v>668</v>
      </c>
      <c r="C73" s="329"/>
      <c r="D73" s="326"/>
    </row>
    <row r="74" spans="1:4" ht="12.75">
      <c r="A74" s="277" t="s">
        <v>267</v>
      </c>
      <c r="B74" s="278" t="s">
        <v>669</v>
      </c>
      <c r="C74" s="329"/>
      <c r="D74" s="481"/>
    </row>
    <row r="75" spans="1:4" ht="12.75">
      <c r="A75" s="277" t="s">
        <v>268</v>
      </c>
      <c r="B75" s="278" t="s">
        <v>670</v>
      </c>
      <c r="C75" s="329"/>
      <c r="D75" s="326"/>
    </row>
    <row r="76" spans="1:4" ht="12.75">
      <c r="A76" s="277" t="s">
        <v>269</v>
      </c>
      <c r="B76" s="279" t="s">
        <v>671</v>
      </c>
      <c r="C76" s="329"/>
      <c r="D76" s="326"/>
    </row>
    <row r="77" spans="1:4" ht="12.75">
      <c r="A77" s="277" t="s">
        <v>270</v>
      </c>
      <c r="B77" s="278" t="s">
        <v>672</v>
      </c>
      <c r="C77" s="329"/>
      <c r="D77" s="326"/>
    </row>
    <row r="78" spans="1:4" ht="12.75">
      <c r="A78" s="277" t="s">
        <v>271</v>
      </c>
      <c r="B78" s="278" t="s">
        <v>673</v>
      </c>
      <c r="C78" s="329"/>
      <c r="D78" s="326"/>
    </row>
    <row r="79" spans="1:4" ht="12.75">
      <c r="A79" s="277" t="s">
        <v>115</v>
      </c>
      <c r="B79" s="278" t="s">
        <v>116</v>
      </c>
      <c r="C79" s="329"/>
      <c r="D79" s="326"/>
    </row>
    <row r="80" spans="1:4" ht="12.75">
      <c r="A80" s="277" t="s">
        <v>272</v>
      </c>
      <c r="B80" s="278" t="s">
        <v>674</v>
      </c>
      <c r="C80" s="481"/>
      <c r="D80" s="326"/>
    </row>
    <row r="81" spans="1:4" ht="12.75">
      <c r="A81" s="277" t="s">
        <v>273</v>
      </c>
      <c r="B81" s="279" t="s">
        <v>675</v>
      </c>
      <c r="C81" s="329"/>
      <c r="D81" s="326"/>
    </row>
    <row r="82" spans="1:4" ht="12.75">
      <c r="A82" s="277" t="s">
        <v>274</v>
      </c>
      <c r="B82" s="279" t="s">
        <v>676</v>
      </c>
      <c r="C82" s="329"/>
      <c r="D82" s="326"/>
    </row>
    <row r="83" spans="1:4" ht="12.75">
      <c r="A83" s="277" t="s">
        <v>275</v>
      </c>
      <c r="B83" s="278" t="s">
        <v>677</v>
      </c>
      <c r="C83" s="326"/>
      <c r="D83" s="326"/>
    </row>
    <row r="84" spans="1:4" ht="12.75">
      <c r="A84" s="277" t="s">
        <v>276</v>
      </c>
      <c r="B84" s="278" t="s">
        <v>678</v>
      </c>
      <c r="C84" s="326"/>
      <c r="D84" s="326"/>
    </row>
    <row r="85" spans="1:4" ht="12.75">
      <c r="A85" s="277" t="s">
        <v>277</v>
      </c>
      <c r="B85" s="278" t="s">
        <v>679</v>
      </c>
      <c r="C85" s="326"/>
      <c r="D85" s="326"/>
    </row>
    <row r="86" spans="1:4" ht="12.75">
      <c r="A86" s="277" t="s">
        <v>278</v>
      </c>
      <c r="B86" s="278" t="s">
        <v>676</v>
      </c>
      <c r="C86" s="326"/>
      <c r="D86" s="326"/>
    </row>
    <row r="87" spans="1:4" ht="12.75">
      <c r="A87" s="277" t="s">
        <v>279</v>
      </c>
      <c r="B87" s="278" t="s">
        <v>680</v>
      </c>
      <c r="C87" s="326"/>
      <c r="D87" s="481"/>
    </row>
    <row r="88" spans="1:4" ht="12.75">
      <c r="A88" s="277" t="s">
        <v>280</v>
      </c>
      <c r="B88" s="278" t="s">
        <v>123</v>
      </c>
      <c r="C88" s="326"/>
      <c r="D88" s="285"/>
    </row>
    <row r="89" spans="1:4" ht="12.75">
      <c r="A89" s="277" t="s">
        <v>281</v>
      </c>
      <c r="B89" s="278" t="s">
        <v>681</v>
      </c>
      <c r="C89" s="326"/>
      <c r="D89" s="481"/>
    </row>
    <row r="90" spans="1:4" ht="12.75">
      <c r="A90" s="277" t="s">
        <v>282</v>
      </c>
      <c r="B90" s="278" t="s">
        <v>682</v>
      </c>
      <c r="C90" s="326"/>
      <c r="D90" s="285"/>
    </row>
    <row r="91" spans="1:4" ht="12.75">
      <c r="A91" s="277" t="s">
        <v>283</v>
      </c>
      <c r="B91" s="278" t="s">
        <v>683</v>
      </c>
      <c r="C91" s="326"/>
      <c r="D91" s="285"/>
    </row>
    <row r="92" spans="1:4" ht="12.75">
      <c r="A92" s="277" t="s">
        <v>284</v>
      </c>
      <c r="B92" s="278" t="s">
        <v>684</v>
      </c>
      <c r="C92" s="326"/>
      <c r="D92" s="481"/>
    </row>
    <row r="93" spans="1:4" ht="12.75">
      <c r="A93" s="277" t="s">
        <v>285</v>
      </c>
      <c r="B93" s="278" t="s">
        <v>685</v>
      </c>
      <c r="C93" s="326"/>
      <c r="D93" s="326"/>
    </row>
    <row r="94" spans="1:4" ht="12.75">
      <c r="A94" s="277" t="s">
        <v>286</v>
      </c>
      <c r="B94" s="278" t="s">
        <v>686</v>
      </c>
      <c r="C94" s="481"/>
      <c r="D94" s="326"/>
    </row>
    <row r="95" spans="1:4" ht="12.75">
      <c r="A95" s="277" t="s">
        <v>287</v>
      </c>
      <c r="B95" s="278" t="s">
        <v>687</v>
      </c>
      <c r="C95" s="285"/>
      <c r="D95" s="326"/>
    </row>
    <row r="96" spans="1:4" ht="12.75">
      <c r="A96" s="277" t="s">
        <v>288</v>
      </c>
      <c r="B96" s="278" t="s">
        <v>688</v>
      </c>
      <c r="C96" s="481"/>
      <c r="D96" s="326"/>
    </row>
    <row r="97" spans="1:4" ht="12.75">
      <c r="A97" s="277" t="s">
        <v>289</v>
      </c>
      <c r="B97" s="278" t="s">
        <v>689</v>
      </c>
      <c r="C97" s="285"/>
      <c r="D97" s="326"/>
    </row>
    <row r="98" spans="1:4" ht="12.75">
      <c r="A98" s="277" t="s">
        <v>290</v>
      </c>
      <c r="B98" s="278" t="s">
        <v>690</v>
      </c>
      <c r="C98" s="326"/>
      <c r="D98" s="326"/>
    </row>
    <row r="99" spans="1:4" ht="12.75">
      <c r="A99" s="277" t="s">
        <v>291</v>
      </c>
      <c r="B99" s="278" t="s">
        <v>691</v>
      </c>
      <c r="C99" s="326"/>
      <c r="D99" s="326"/>
    </row>
    <row r="100" spans="1:4" ht="12.75">
      <c r="A100" s="277" t="s">
        <v>292</v>
      </c>
      <c r="B100" s="278" t="s">
        <v>692</v>
      </c>
      <c r="C100" s="326"/>
      <c r="D100" s="326"/>
    </row>
    <row r="101" spans="1:4" ht="12.75">
      <c r="A101" s="277" t="s">
        <v>293</v>
      </c>
      <c r="B101" s="278" t="s">
        <v>693</v>
      </c>
      <c r="C101" s="326"/>
      <c r="D101" s="326"/>
    </row>
    <row r="102" spans="1:4" ht="12.75">
      <c r="A102" s="277">
        <v>449102</v>
      </c>
      <c r="B102" s="278" t="s">
        <v>694</v>
      </c>
      <c r="C102" s="326"/>
      <c r="D102" s="326"/>
    </row>
    <row r="103" spans="1:4" ht="12.75">
      <c r="A103" s="277">
        <v>449103</v>
      </c>
      <c r="B103" s="278" t="s">
        <v>695</v>
      </c>
      <c r="C103" s="326"/>
      <c r="D103" s="326"/>
    </row>
    <row r="104" spans="1:4" ht="12.75">
      <c r="A104" s="277" t="s">
        <v>294</v>
      </c>
      <c r="B104" s="278" t="s">
        <v>696</v>
      </c>
      <c r="C104" s="326"/>
      <c r="D104" s="326"/>
    </row>
    <row r="105" spans="1:4" ht="12.75">
      <c r="A105" s="277" t="s">
        <v>295</v>
      </c>
      <c r="B105" s="278" t="s">
        <v>697</v>
      </c>
      <c r="C105" s="326"/>
      <c r="D105" s="481"/>
    </row>
    <row r="106" spans="1:4" ht="12.75">
      <c r="A106" s="277" t="s">
        <v>296</v>
      </c>
      <c r="B106" s="278" t="s">
        <v>698</v>
      </c>
      <c r="C106" s="326"/>
      <c r="D106" s="326"/>
    </row>
    <row r="107" spans="1:4" ht="12.75">
      <c r="A107" s="277" t="s">
        <v>297</v>
      </c>
      <c r="B107" s="278" t="s">
        <v>699</v>
      </c>
      <c r="C107" s="329"/>
      <c r="D107" s="326"/>
    </row>
    <row r="108" spans="1:4" ht="12.75">
      <c r="A108" s="277" t="s">
        <v>298</v>
      </c>
      <c r="B108" s="278" t="s">
        <v>700</v>
      </c>
      <c r="C108" s="329"/>
      <c r="D108" s="481"/>
    </row>
    <row r="109" spans="1:4" ht="12.75">
      <c r="A109" s="277" t="s">
        <v>299</v>
      </c>
      <c r="B109" s="278" t="s">
        <v>701</v>
      </c>
      <c r="C109" s="329"/>
      <c r="D109" s="326"/>
    </row>
    <row r="110" spans="1:4" ht="12.75">
      <c r="A110" s="277" t="s">
        <v>300</v>
      </c>
      <c r="B110" s="278" t="s">
        <v>702</v>
      </c>
      <c r="C110" s="329"/>
      <c r="D110" s="326"/>
    </row>
    <row r="111" spans="1:4" ht="12.75">
      <c r="A111" s="277" t="s">
        <v>301</v>
      </c>
      <c r="B111" s="278" t="s">
        <v>703</v>
      </c>
      <c r="C111" s="329"/>
      <c r="D111" s="326"/>
    </row>
    <row r="112" spans="1:4" ht="12.75">
      <c r="A112" s="277" t="s">
        <v>302</v>
      </c>
      <c r="B112" s="278" t="s">
        <v>704</v>
      </c>
      <c r="C112" s="329"/>
      <c r="D112" s="326"/>
    </row>
    <row r="113" spans="1:4" ht="12.75">
      <c r="A113" s="277" t="s">
        <v>303</v>
      </c>
      <c r="B113" s="278" t="s">
        <v>705</v>
      </c>
      <c r="C113" s="329"/>
      <c r="D113" s="326"/>
    </row>
    <row r="114" spans="1:4" ht="12.75">
      <c r="A114" s="277" t="s">
        <v>304</v>
      </c>
      <c r="B114" s="278" t="s">
        <v>706</v>
      </c>
      <c r="C114" s="329"/>
      <c r="D114" s="326"/>
    </row>
    <row r="115" spans="1:4" ht="12.75">
      <c r="A115" s="277" t="s">
        <v>305</v>
      </c>
      <c r="B115" s="278" t="s">
        <v>707</v>
      </c>
      <c r="C115" s="329"/>
      <c r="D115" s="326"/>
    </row>
    <row r="116" spans="1:4" ht="12.75">
      <c r="A116" s="277" t="s">
        <v>306</v>
      </c>
      <c r="B116" s="278" t="s">
        <v>708</v>
      </c>
      <c r="C116" s="329"/>
      <c r="D116" s="326"/>
    </row>
    <row r="117" spans="1:4" ht="12.75">
      <c r="A117" s="277" t="s">
        <v>307</v>
      </c>
      <c r="B117" s="278" t="s">
        <v>709</v>
      </c>
      <c r="C117" s="329"/>
      <c r="D117" s="326"/>
    </row>
    <row r="118" spans="1:4" ht="12.75">
      <c r="A118" s="277" t="s">
        <v>308</v>
      </c>
      <c r="B118" s="278" t="s">
        <v>710</v>
      </c>
      <c r="C118" s="326"/>
      <c r="D118" s="326"/>
    </row>
    <row r="119" spans="1:4" ht="12.75">
      <c r="A119" s="277" t="s">
        <v>309</v>
      </c>
      <c r="B119" s="278" t="s">
        <v>711</v>
      </c>
      <c r="C119" s="326"/>
      <c r="D119" s="326"/>
    </row>
    <row r="120" spans="1:4" ht="12.75">
      <c r="A120" s="277" t="s">
        <v>310</v>
      </c>
      <c r="B120" s="278" t="s">
        <v>712</v>
      </c>
      <c r="C120" s="326"/>
      <c r="D120" s="326"/>
    </row>
    <row r="121" spans="1:4" ht="12.75">
      <c r="A121" s="277" t="s">
        <v>311</v>
      </c>
      <c r="B121" s="278" t="s">
        <v>713</v>
      </c>
      <c r="C121" s="326"/>
      <c r="D121" s="329"/>
    </row>
    <row r="122" spans="1:4" ht="12.75">
      <c r="A122" s="277" t="s">
        <v>113</v>
      </c>
      <c r="B122" s="278" t="s">
        <v>114</v>
      </c>
      <c r="C122" s="481"/>
      <c r="D122" s="329"/>
    </row>
    <row r="123" spans="1:4" ht="12.75">
      <c r="A123" s="277" t="s">
        <v>312</v>
      </c>
      <c r="B123" s="278" t="s">
        <v>714</v>
      </c>
      <c r="C123" s="481"/>
      <c r="D123" s="329"/>
    </row>
    <row r="124" spans="1:4" ht="12.75">
      <c r="A124" s="277" t="s">
        <v>313</v>
      </c>
      <c r="B124" s="278" t="s">
        <v>715</v>
      </c>
      <c r="C124" s="329"/>
      <c r="D124" s="329"/>
    </row>
    <row r="125" spans="1:4" ht="12.75">
      <c r="A125" s="277" t="s">
        <v>314</v>
      </c>
      <c r="B125" s="278" t="s">
        <v>716</v>
      </c>
      <c r="C125" s="329"/>
      <c r="D125" s="329"/>
    </row>
    <row r="126" spans="1:4" ht="12.75">
      <c r="A126" s="277" t="s">
        <v>315</v>
      </c>
      <c r="B126" s="278" t="s">
        <v>717</v>
      </c>
      <c r="C126" s="329"/>
      <c r="D126" s="329"/>
    </row>
    <row r="127" spans="1:4" ht="12.75">
      <c r="A127" s="277" t="s">
        <v>316</v>
      </c>
      <c r="B127" s="278" t="s">
        <v>718</v>
      </c>
      <c r="C127" s="329"/>
      <c r="D127" s="329"/>
    </row>
    <row r="128" spans="1:4" ht="12.75">
      <c r="A128" s="277" t="s">
        <v>317</v>
      </c>
      <c r="B128" s="278" t="s">
        <v>719</v>
      </c>
      <c r="C128" s="329"/>
      <c r="D128" s="329"/>
    </row>
    <row r="129" spans="1:4" ht="12.75">
      <c r="A129" s="277" t="s">
        <v>318</v>
      </c>
      <c r="B129" s="278" t="s">
        <v>720</v>
      </c>
      <c r="C129" s="329"/>
      <c r="D129" s="329"/>
    </row>
    <row r="130" spans="1:4" ht="12.75">
      <c r="A130" s="277" t="s">
        <v>319</v>
      </c>
      <c r="B130" s="278" t="s">
        <v>320</v>
      </c>
      <c r="C130" s="329"/>
      <c r="D130" s="329"/>
    </row>
    <row r="131" spans="1:4" ht="12.75">
      <c r="A131" s="277" t="s">
        <v>920</v>
      </c>
      <c r="B131" s="280" t="s">
        <v>919</v>
      </c>
      <c r="C131" s="326"/>
      <c r="D131" s="329"/>
    </row>
    <row r="132" spans="1:4" ht="12.75">
      <c r="A132" s="277" t="s">
        <v>321</v>
      </c>
      <c r="B132" s="278" t="s">
        <v>721</v>
      </c>
      <c r="C132" s="481"/>
      <c r="D132" s="329"/>
    </row>
    <row r="133" spans="1:4" ht="12.75">
      <c r="A133" s="277" t="s">
        <v>322</v>
      </c>
      <c r="B133" s="278" t="s">
        <v>722</v>
      </c>
      <c r="C133" s="330"/>
      <c r="D133" s="329"/>
    </row>
    <row r="134" spans="1:4" s="195" customFormat="1" ht="12.75">
      <c r="A134" s="281" t="s">
        <v>323</v>
      </c>
      <c r="B134" s="282" t="s">
        <v>723</v>
      </c>
      <c r="C134" s="332"/>
      <c r="D134" s="331"/>
    </row>
    <row r="135" spans="1:4" ht="12.75">
      <c r="A135" s="277" t="s">
        <v>324</v>
      </c>
      <c r="B135" s="278" t="s">
        <v>724</v>
      </c>
      <c r="C135" s="330"/>
      <c r="D135" s="329"/>
    </row>
    <row r="136" spans="1:4" ht="12.75">
      <c r="A136" s="277" t="s">
        <v>325</v>
      </c>
      <c r="B136" s="278" t="s">
        <v>725</v>
      </c>
      <c r="C136" s="330"/>
      <c r="D136" s="481"/>
    </row>
    <row r="137" spans="1:4" ht="12.75">
      <c r="A137" s="277" t="s">
        <v>326</v>
      </c>
      <c r="B137" s="278" t="s">
        <v>726</v>
      </c>
      <c r="C137" s="330"/>
      <c r="D137" s="329"/>
    </row>
    <row r="138" spans="1:4" ht="12.75">
      <c r="A138" s="277" t="s">
        <v>327</v>
      </c>
      <c r="B138" s="278" t="s">
        <v>727</v>
      </c>
      <c r="C138" s="330"/>
      <c r="D138" s="329"/>
    </row>
    <row r="139" spans="1:4" ht="12.75">
      <c r="A139" s="277"/>
      <c r="B139" s="280" t="s">
        <v>921</v>
      </c>
      <c r="C139" s="326"/>
      <c r="D139" s="329"/>
    </row>
    <row r="140" spans="1:4" ht="12.75">
      <c r="A140" s="277" t="s">
        <v>328</v>
      </c>
      <c r="B140" s="278" t="s">
        <v>728</v>
      </c>
      <c r="C140" s="481"/>
      <c r="D140" s="329"/>
    </row>
    <row r="141" spans="1:4" ht="12.75">
      <c r="A141" s="277" t="s">
        <v>329</v>
      </c>
      <c r="B141" s="278" t="s">
        <v>729</v>
      </c>
      <c r="C141" s="329"/>
      <c r="D141" s="329"/>
    </row>
    <row r="142" spans="1:4" ht="12.75">
      <c r="A142" s="277" t="s">
        <v>329</v>
      </c>
      <c r="B142" s="278" t="s">
        <v>730</v>
      </c>
      <c r="C142" s="329"/>
      <c r="D142" s="329"/>
    </row>
    <row r="143" spans="1:4" ht="12.75">
      <c r="A143" s="277" t="s">
        <v>329</v>
      </c>
      <c r="B143" s="278" t="s">
        <v>731</v>
      </c>
      <c r="C143" s="329"/>
      <c r="D143" s="329"/>
    </row>
    <row r="144" spans="1:6" ht="12.75">
      <c r="A144" s="277"/>
      <c r="B144" s="278"/>
      <c r="C144" s="286">
        <f>SUM(C4:C143)</f>
        <v>0</v>
      </c>
      <c r="D144" s="286">
        <f>SUM(D4:D143)</f>
        <v>0</v>
      </c>
      <c r="F144" s="311">
        <f>C144-D144</f>
        <v>0</v>
      </c>
    </row>
    <row r="145" spans="1:6" ht="12.75">
      <c r="A145" s="483"/>
      <c r="B145" s="484"/>
      <c r="C145" s="485"/>
      <c r="D145" s="485"/>
      <c r="F145" s="311"/>
    </row>
    <row r="146" spans="1:4" ht="15" customHeight="1">
      <c r="A146" s="109" t="s">
        <v>732</v>
      </c>
      <c r="B146" s="110" t="s">
        <v>733</v>
      </c>
      <c r="C146" s="486">
        <v>2752940.58</v>
      </c>
      <c r="D146" s="486"/>
    </row>
    <row r="147" spans="1:4" ht="12.75">
      <c r="A147" s="109" t="s">
        <v>734</v>
      </c>
      <c r="B147" s="110" t="s">
        <v>735</v>
      </c>
      <c r="C147" s="486"/>
      <c r="D147" s="486"/>
    </row>
    <row r="148" spans="1:4" ht="12.75">
      <c r="A148" s="109" t="s">
        <v>736</v>
      </c>
      <c r="B148" s="110" t="s">
        <v>737</v>
      </c>
      <c r="C148" s="486"/>
      <c r="D148" s="486"/>
    </row>
    <row r="149" spans="1:4" ht="12.75">
      <c r="A149" s="109" t="s">
        <v>738</v>
      </c>
      <c r="B149" s="110" t="s">
        <v>739</v>
      </c>
      <c r="C149" s="486"/>
      <c r="D149" s="486"/>
    </row>
    <row r="150" spans="1:4" ht="12.75">
      <c r="A150" s="109" t="s">
        <v>740</v>
      </c>
      <c r="B150" s="110" t="s">
        <v>741</v>
      </c>
      <c r="C150" s="486"/>
      <c r="D150" s="486"/>
    </row>
    <row r="151" spans="1:4" ht="12.75">
      <c r="A151" s="109" t="s">
        <v>742</v>
      </c>
      <c r="B151" s="110" t="s">
        <v>743</v>
      </c>
      <c r="C151" s="486"/>
      <c r="D151" s="486"/>
    </row>
    <row r="152" spans="1:4" ht="12.75">
      <c r="A152" s="109" t="s">
        <v>496</v>
      </c>
      <c r="B152" s="110" t="s">
        <v>119</v>
      </c>
      <c r="C152" s="486">
        <v>-1274604.65</v>
      </c>
      <c r="D152" s="486"/>
    </row>
    <row r="153" spans="1:4" ht="12.75">
      <c r="A153" s="109" t="s">
        <v>502</v>
      </c>
      <c r="B153" s="110" t="s">
        <v>120</v>
      </c>
      <c r="C153" s="486">
        <v>628664.8</v>
      </c>
      <c r="D153" s="486"/>
    </row>
    <row r="154" spans="1:4" ht="12.75">
      <c r="A154" s="109" t="s">
        <v>744</v>
      </c>
      <c r="B154" s="110" t="s">
        <v>745</v>
      </c>
      <c r="C154" s="486">
        <v>5045879.64</v>
      </c>
      <c r="D154" s="486"/>
    </row>
    <row r="155" spans="1:4" ht="12.75">
      <c r="A155" s="109" t="s">
        <v>746</v>
      </c>
      <c r="B155" s="110" t="s">
        <v>747</v>
      </c>
      <c r="C155" s="486"/>
      <c r="D155" s="486"/>
    </row>
    <row r="156" spans="1:4" ht="12.75">
      <c r="A156" s="109" t="s">
        <v>748</v>
      </c>
      <c r="B156" s="110" t="s">
        <v>749</v>
      </c>
      <c r="C156" s="486"/>
      <c r="D156" s="486"/>
    </row>
    <row r="157" spans="1:4" ht="12.75">
      <c r="A157" s="109" t="s">
        <v>750</v>
      </c>
      <c r="B157" s="110" t="s">
        <v>751</v>
      </c>
      <c r="C157" s="486"/>
      <c r="D157" s="486"/>
    </row>
    <row r="158" spans="1:4" ht="12.75">
      <c r="A158" s="109" t="s">
        <v>752</v>
      </c>
      <c r="B158" s="110" t="s">
        <v>753</v>
      </c>
      <c r="C158" s="486"/>
      <c r="D158" s="486"/>
    </row>
    <row r="159" spans="1:4" ht="12.75">
      <c r="A159" s="109" t="s">
        <v>754</v>
      </c>
      <c r="B159" s="110" t="s">
        <v>755</v>
      </c>
      <c r="C159" s="487">
        <v>44222</v>
      </c>
      <c r="D159" s="486"/>
    </row>
    <row r="160" spans="1:4" ht="12.75">
      <c r="A160" s="109" t="s">
        <v>756</v>
      </c>
      <c r="B160" s="110" t="s">
        <v>757</v>
      </c>
      <c r="D160" s="486"/>
    </row>
    <row r="161" spans="1:4" ht="12.75">
      <c r="A161" s="109" t="s">
        <v>758</v>
      </c>
      <c r="B161" s="110" t="s">
        <v>759</v>
      </c>
      <c r="C161" s="486"/>
      <c r="D161" s="486"/>
    </row>
    <row r="162" spans="1:4" ht="12.75">
      <c r="A162" s="109" t="s">
        <v>760</v>
      </c>
      <c r="B162" s="110" t="s">
        <v>761</v>
      </c>
      <c r="C162" s="486"/>
      <c r="D162" s="486"/>
    </row>
    <row r="163" spans="1:4" ht="12.75">
      <c r="A163" s="109" t="s">
        <v>762</v>
      </c>
      <c r="B163" s="110" t="s">
        <v>763</v>
      </c>
      <c r="C163" s="486"/>
      <c r="D163" s="486"/>
    </row>
    <row r="164" spans="1:4" ht="12.75">
      <c r="A164" s="109" t="s">
        <v>764</v>
      </c>
      <c r="B164" s="110" t="s">
        <v>765</v>
      </c>
      <c r="C164" s="486"/>
      <c r="D164" s="486"/>
    </row>
    <row r="165" spans="1:4" ht="12.75">
      <c r="A165" s="109" t="s">
        <v>766</v>
      </c>
      <c r="B165" s="110" t="s">
        <v>767</v>
      </c>
      <c r="C165" s="487">
        <v>17635</v>
      </c>
      <c r="D165" s="486"/>
    </row>
    <row r="166" spans="1:4" ht="12.75">
      <c r="A166" s="109" t="s">
        <v>768</v>
      </c>
      <c r="B166" s="110" t="s">
        <v>769</v>
      </c>
      <c r="C166" s="486"/>
      <c r="D166" s="486"/>
    </row>
    <row r="167" spans="1:4" ht="12.75">
      <c r="A167" s="109" t="s">
        <v>770</v>
      </c>
      <c r="B167" s="110" t="s">
        <v>771</v>
      </c>
      <c r="C167" s="486"/>
      <c r="D167" s="486"/>
    </row>
    <row r="168" spans="1:4" ht="12.75">
      <c r="A168" s="109" t="s">
        <v>772</v>
      </c>
      <c r="B168" s="110" t="s">
        <v>773</v>
      </c>
      <c r="C168" s="486"/>
      <c r="D168" s="486"/>
    </row>
    <row r="169" spans="1:4" ht="12.75">
      <c r="A169" s="109" t="s">
        <v>774</v>
      </c>
      <c r="B169" s="110" t="s">
        <v>775</v>
      </c>
      <c r="C169" s="487">
        <v>59157</v>
      </c>
      <c r="D169" s="486"/>
    </row>
    <row r="170" spans="1:4" ht="12.75">
      <c r="A170" s="109" t="s">
        <v>776</v>
      </c>
      <c r="B170" s="110" t="s">
        <v>777</v>
      </c>
      <c r="C170" s="486"/>
      <c r="D170" s="486"/>
    </row>
    <row r="171" spans="1:4" ht="12.75">
      <c r="A171" s="109" t="s">
        <v>778</v>
      </c>
      <c r="B171" s="110" t="s">
        <v>779</v>
      </c>
      <c r="C171" s="486"/>
      <c r="D171" s="486"/>
    </row>
    <row r="172" spans="1:4" ht="12.75">
      <c r="A172" s="109" t="s">
        <v>780</v>
      </c>
      <c r="B172" s="110" t="s">
        <v>781</v>
      </c>
      <c r="C172" s="486"/>
      <c r="D172" s="486"/>
    </row>
    <row r="173" spans="1:4" ht="12.75">
      <c r="A173" s="109" t="s">
        <v>782</v>
      </c>
      <c r="B173" s="110" t="s">
        <v>783</v>
      </c>
      <c r="C173" s="486"/>
      <c r="D173" s="486"/>
    </row>
    <row r="174" spans="1:4" ht="12.75">
      <c r="A174" s="109" t="s">
        <v>784</v>
      </c>
      <c r="B174" s="110" t="s">
        <v>785</v>
      </c>
      <c r="C174" s="486"/>
      <c r="D174" s="486"/>
    </row>
    <row r="175" spans="1:4" ht="12.75">
      <c r="A175" s="109" t="s">
        <v>786</v>
      </c>
      <c r="B175" s="110" t="s">
        <v>787</v>
      </c>
      <c r="C175" s="486"/>
      <c r="D175" s="486"/>
    </row>
    <row r="176" spans="1:4" ht="12.75">
      <c r="A176" s="109" t="s">
        <v>788</v>
      </c>
      <c r="B176" s="110" t="s">
        <v>789</v>
      </c>
      <c r="C176" s="486"/>
      <c r="D176" s="486"/>
    </row>
    <row r="177" spans="1:4" ht="12.75">
      <c r="A177" s="109" t="s">
        <v>790</v>
      </c>
      <c r="B177" s="110" t="s">
        <v>791</v>
      </c>
      <c r="C177" s="487">
        <v>6220</v>
      </c>
      <c r="D177" s="486"/>
    </row>
    <row r="178" spans="1:4" ht="12.75">
      <c r="A178" s="109" t="s">
        <v>792</v>
      </c>
      <c r="B178" s="110" t="s">
        <v>793</v>
      </c>
      <c r="C178" s="486"/>
      <c r="D178" s="486"/>
    </row>
    <row r="179" spans="1:4" ht="12.75">
      <c r="A179" s="109" t="s">
        <v>794</v>
      </c>
      <c r="B179" s="110" t="s">
        <v>795</v>
      </c>
      <c r="C179" s="486"/>
      <c r="D179" s="486"/>
    </row>
    <row r="180" spans="1:4" ht="12.75">
      <c r="A180" s="109" t="s">
        <v>796</v>
      </c>
      <c r="B180" s="110" t="s">
        <v>118</v>
      </c>
      <c r="C180" s="487">
        <v>20129.7</v>
      </c>
      <c r="D180" s="486"/>
    </row>
    <row r="181" spans="1:4" ht="12.75">
      <c r="A181" s="109" t="s">
        <v>797</v>
      </c>
      <c r="B181" s="110" t="s">
        <v>798</v>
      </c>
      <c r="C181" s="486"/>
      <c r="D181" s="486"/>
    </row>
    <row r="182" spans="1:4" ht="12.75">
      <c r="A182" s="109" t="s">
        <v>117</v>
      </c>
      <c r="B182" s="110" t="s">
        <v>137</v>
      </c>
      <c r="C182" s="487">
        <v>1500000</v>
      </c>
      <c r="D182" s="486"/>
    </row>
    <row r="183" spans="1:4" ht="12.75">
      <c r="A183" s="109" t="s">
        <v>799</v>
      </c>
      <c r="B183" s="110" t="s">
        <v>800</v>
      </c>
      <c r="C183" s="486"/>
      <c r="D183" s="486"/>
    </row>
    <row r="184" spans="1:4" ht="12.75">
      <c r="A184" s="109" t="s">
        <v>801</v>
      </c>
      <c r="B184" s="110" t="s">
        <v>802</v>
      </c>
      <c r="C184" s="486"/>
      <c r="D184" s="486"/>
    </row>
    <row r="185" spans="1:4" ht="12.75">
      <c r="A185" s="109" t="s">
        <v>803</v>
      </c>
      <c r="B185" s="110" t="s">
        <v>804</v>
      </c>
      <c r="C185" s="486"/>
      <c r="D185" s="486"/>
    </row>
    <row r="186" spans="1:4" ht="12.75">
      <c r="A186" s="109" t="s">
        <v>805</v>
      </c>
      <c r="B186" s="110" t="s">
        <v>806</v>
      </c>
      <c r="C186" s="486"/>
      <c r="D186" s="486"/>
    </row>
    <row r="187" spans="1:4" ht="12.75">
      <c r="A187" s="109" t="s">
        <v>807</v>
      </c>
      <c r="B187" s="110" t="s">
        <v>808</v>
      </c>
      <c r="C187" s="486"/>
      <c r="D187" s="486"/>
    </row>
    <row r="188" spans="1:4" ht="12.75">
      <c r="A188" s="109" t="s">
        <v>809</v>
      </c>
      <c r="B188" s="110" t="s">
        <v>810</v>
      </c>
      <c r="C188" s="486"/>
      <c r="D188" s="486"/>
    </row>
    <row r="189" spans="1:4" ht="12.75">
      <c r="A189" s="109" t="s">
        <v>811</v>
      </c>
      <c r="B189" s="110" t="s">
        <v>812</v>
      </c>
      <c r="C189" s="486"/>
      <c r="D189" s="486"/>
    </row>
    <row r="190" spans="1:4" ht="12.75">
      <c r="A190" s="109" t="s">
        <v>813</v>
      </c>
      <c r="B190" s="110" t="s">
        <v>814</v>
      </c>
      <c r="C190" s="486"/>
      <c r="D190" s="486"/>
    </row>
    <row r="191" spans="1:4" ht="12.75">
      <c r="A191" s="109" t="s">
        <v>815</v>
      </c>
      <c r="B191" s="110" t="s">
        <v>816</v>
      </c>
      <c r="C191" s="486"/>
      <c r="D191" s="486"/>
    </row>
    <row r="192" spans="1:4" ht="12.75">
      <c r="A192" s="109" t="s">
        <v>817</v>
      </c>
      <c r="B192" s="110" t="s">
        <v>818</v>
      </c>
      <c r="C192" s="486"/>
      <c r="D192" s="486"/>
    </row>
    <row r="193" spans="1:4" ht="12.75">
      <c r="A193" s="109" t="s">
        <v>819</v>
      </c>
      <c r="B193" s="110" t="s">
        <v>820</v>
      </c>
      <c r="C193" s="487">
        <v>549454.59</v>
      </c>
      <c r="D193" s="486"/>
    </row>
    <row r="194" spans="1:4" ht="12.75">
      <c r="A194" s="109" t="s">
        <v>821</v>
      </c>
      <c r="B194" s="110" t="s">
        <v>822</v>
      </c>
      <c r="C194" s="486"/>
      <c r="D194" s="486"/>
    </row>
    <row r="195" spans="1:4" ht="12.75">
      <c r="A195" s="109" t="s">
        <v>823</v>
      </c>
      <c r="B195" s="110" t="s">
        <v>824</v>
      </c>
      <c r="C195" s="486"/>
      <c r="D195" s="486"/>
    </row>
    <row r="196" spans="1:4" ht="12.75">
      <c r="A196" s="109" t="s">
        <v>825</v>
      </c>
      <c r="B196" s="110" t="s">
        <v>826</v>
      </c>
      <c r="C196" s="486"/>
      <c r="D196" s="486"/>
    </row>
    <row r="197" spans="1:4" ht="12.75">
      <c r="A197" s="109" t="s">
        <v>827</v>
      </c>
      <c r="B197" s="110" t="s">
        <v>828</v>
      </c>
      <c r="C197" s="486"/>
      <c r="D197" s="486"/>
    </row>
    <row r="198" spans="1:4" ht="12.75">
      <c r="A198" s="109" t="s">
        <v>829</v>
      </c>
      <c r="B198" s="110" t="s">
        <v>830</v>
      </c>
      <c r="C198" s="486"/>
      <c r="D198" s="486"/>
    </row>
    <row r="199" spans="1:4" ht="12.75">
      <c r="A199" s="109" t="s">
        <v>831</v>
      </c>
      <c r="B199" s="110" t="s">
        <v>832</v>
      </c>
      <c r="C199" s="486"/>
      <c r="D199" s="486"/>
    </row>
    <row r="200" spans="1:4" ht="12.75">
      <c r="A200" s="109" t="s">
        <v>833</v>
      </c>
      <c r="B200" s="110" t="s">
        <v>834</v>
      </c>
      <c r="C200" s="487">
        <v>111464.98</v>
      </c>
      <c r="D200" s="486"/>
    </row>
    <row r="201" spans="1:4" ht="12.75">
      <c r="A201" s="109" t="s">
        <v>835</v>
      </c>
      <c r="B201" s="110" t="s">
        <v>836</v>
      </c>
      <c r="C201" s="486"/>
      <c r="D201" s="486"/>
    </row>
    <row r="202" spans="1:4" ht="12.75">
      <c r="A202" s="109" t="s">
        <v>837</v>
      </c>
      <c r="B202" s="110" t="s">
        <v>838</v>
      </c>
      <c r="C202" s="486"/>
      <c r="D202" s="486"/>
    </row>
    <row r="203" spans="1:4" ht="12.75">
      <c r="A203" s="109" t="s">
        <v>839</v>
      </c>
      <c r="B203" s="110" t="s">
        <v>840</v>
      </c>
      <c r="C203" s="486"/>
      <c r="D203" s="486"/>
    </row>
    <row r="204" spans="1:4" ht="12.75">
      <c r="A204" s="109" t="s">
        <v>841</v>
      </c>
      <c r="B204" s="110" t="s">
        <v>842</v>
      </c>
      <c r="C204" s="487">
        <v>2077</v>
      </c>
      <c r="D204" s="486"/>
    </row>
    <row r="205" spans="1:4" ht="12.75">
      <c r="A205" s="109" t="s">
        <v>843</v>
      </c>
      <c r="B205" s="110" t="s">
        <v>844</v>
      </c>
      <c r="C205" s="486"/>
      <c r="D205" s="486"/>
    </row>
    <row r="206" spans="1:4" ht="12.75">
      <c r="A206" s="109" t="s">
        <v>845</v>
      </c>
      <c r="B206" s="110" t="s">
        <v>846</v>
      </c>
      <c r="C206" s="486"/>
      <c r="D206" s="486"/>
    </row>
    <row r="207" spans="1:4" ht="12.75">
      <c r="A207" s="109" t="s">
        <v>847</v>
      </c>
      <c r="B207" s="110" t="s">
        <v>848</v>
      </c>
      <c r="C207" s="486"/>
      <c r="D207" s="486"/>
    </row>
    <row r="208" spans="1:4" ht="12.75">
      <c r="A208" s="109" t="s">
        <v>849</v>
      </c>
      <c r="B208" s="110" t="s">
        <v>850</v>
      </c>
      <c r="C208" s="486"/>
      <c r="D208" s="486"/>
    </row>
    <row r="209" spans="1:4" ht="12.75">
      <c r="A209" s="109" t="s">
        <v>851</v>
      </c>
      <c r="B209" s="110" t="s">
        <v>852</v>
      </c>
      <c r="C209" s="487">
        <v>5400</v>
      </c>
      <c r="D209" s="486"/>
    </row>
    <row r="210" spans="1:4" ht="12.75">
      <c r="A210" s="109" t="s">
        <v>853</v>
      </c>
      <c r="B210" s="110" t="s">
        <v>854</v>
      </c>
      <c r="C210" s="487">
        <v>2882464</v>
      </c>
      <c r="D210" s="486"/>
    </row>
    <row r="211" spans="1:4" ht="12.75">
      <c r="A211" s="109" t="s">
        <v>855</v>
      </c>
      <c r="B211" s="110" t="s">
        <v>856</v>
      </c>
      <c r="C211" s="487">
        <v>481372.5</v>
      </c>
      <c r="D211" s="486"/>
    </row>
    <row r="212" spans="1:4" ht="12.75">
      <c r="A212" s="109" t="s">
        <v>857</v>
      </c>
      <c r="B212" s="110" t="s">
        <v>858</v>
      </c>
      <c r="C212" s="486"/>
      <c r="D212" s="486"/>
    </row>
    <row r="213" spans="1:4" ht="12.75">
      <c r="A213" s="109" t="s">
        <v>859</v>
      </c>
      <c r="B213" s="110" t="s">
        <v>860</v>
      </c>
      <c r="C213" s="486"/>
      <c r="D213" s="486"/>
    </row>
    <row r="214" spans="1:4" ht="12.75">
      <c r="A214" s="109" t="s">
        <v>861</v>
      </c>
      <c r="B214" s="110" t="s">
        <v>862</v>
      </c>
      <c r="C214" s="486"/>
      <c r="D214" s="486"/>
    </row>
    <row r="215" spans="1:4" ht="12.75">
      <c r="A215" s="109" t="s">
        <v>863</v>
      </c>
      <c r="B215" s="110" t="s">
        <v>864</v>
      </c>
      <c r="C215" s="486"/>
      <c r="D215" s="486"/>
    </row>
    <row r="216" spans="1:4" ht="12.75">
      <c r="A216" s="109" t="s">
        <v>865</v>
      </c>
      <c r="B216" s="110" t="s">
        <v>866</v>
      </c>
      <c r="C216" s="486"/>
      <c r="D216" s="486"/>
    </row>
    <row r="217" spans="1:4" ht="12.75">
      <c r="A217" s="109" t="s">
        <v>867</v>
      </c>
      <c r="B217" s="110" t="s">
        <v>868</v>
      </c>
      <c r="C217" s="486"/>
      <c r="D217" s="486"/>
    </row>
    <row r="218" spans="1:4" ht="12.75">
      <c r="A218" s="109" t="s">
        <v>869</v>
      </c>
      <c r="B218" s="110" t="s">
        <v>870</v>
      </c>
      <c r="C218" s="487">
        <v>1250000</v>
      </c>
      <c r="D218" s="486"/>
    </row>
    <row r="219" spans="1:4" ht="12.75">
      <c r="A219" s="109" t="s">
        <v>871</v>
      </c>
      <c r="B219" s="110" t="s">
        <v>872</v>
      </c>
      <c r="C219" s="486"/>
      <c r="D219" s="486"/>
    </row>
    <row r="220" spans="1:4" ht="12.75">
      <c r="A220" s="109" t="s">
        <v>873</v>
      </c>
      <c r="B220" s="110" t="s">
        <v>874</v>
      </c>
      <c r="C220" s="486"/>
      <c r="D220" s="486"/>
    </row>
    <row r="221" spans="1:4" ht="12.75">
      <c r="A221" s="109" t="s">
        <v>875</v>
      </c>
      <c r="B221" s="110" t="s">
        <v>876</v>
      </c>
      <c r="C221" s="486"/>
      <c r="D221" s="486"/>
    </row>
    <row r="222" spans="1:4" ht="12.75">
      <c r="A222" s="109" t="s">
        <v>877</v>
      </c>
      <c r="B222" s="110" t="s">
        <v>878</v>
      </c>
      <c r="C222" s="487">
        <v>40274</v>
      </c>
      <c r="D222" s="486"/>
    </row>
    <row r="223" spans="1:4" ht="12.75">
      <c r="A223" s="109" t="s">
        <v>879</v>
      </c>
      <c r="B223" s="110" t="s">
        <v>571</v>
      </c>
      <c r="C223" s="486"/>
      <c r="D223" s="486"/>
    </row>
    <row r="224" spans="1:4" ht="12.75">
      <c r="A224" s="109" t="s">
        <v>880</v>
      </c>
      <c r="B224" s="110" t="s">
        <v>881</v>
      </c>
      <c r="C224" s="486"/>
      <c r="D224" s="486"/>
    </row>
    <row r="225" spans="1:4" ht="12.75">
      <c r="A225" s="109" t="s">
        <v>882</v>
      </c>
      <c r="B225" s="110" t="s">
        <v>883</v>
      </c>
      <c r="C225" s="486"/>
      <c r="D225" s="486"/>
    </row>
    <row r="226" spans="1:4" ht="12.75">
      <c r="A226" s="109" t="s">
        <v>884</v>
      </c>
      <c r="B226" s="110" t="s">
        <v>885</v>
      </c>
      <c r="C226" s="486"/>
      <c r="D226" s="486"/>
    </row>
    <row r="227" spans="1:4" ht="12.75">
      <c r="A227" s="109" t="s">
        <v>886</v>
      </c>
      <c r="B227" s="110" t="s">
        <v>887</v>
      </c>
      <c r="C227" s="486"/>
      <c r="D227" s="486"/>
    </row>
    <row r="228" spans="1:4" ht="12.75">
      <c r="A228" s="109" t="s">
        <v>888</v>
      </c>
      <c r="B228" s="110" t="s">
        <v>889</v>
      </c>
      <c r="C228" s="487">
        <f>49475.15</f>
        <v>49475.15</v>
      </c>
      <c r="D228" s="486"/>
    </row>
    <row r="229" spans="1:4" ht="12.75">
      <c r="A229" s="109" t="s">
        <v>890</v>
      </c>
      <c r="B229" s="110" t="s">
        <v>891</v>
      </c>
      <c r="C229" s="487">
        <v>924710.04</v>
      </c>
      <c r="D229" s="486"/>
    </row>
    <row r="230" spans="1:4" ht="12.75">
      <c r="A230" s="109" t="s">
        <v>892</v>
      </c>
      <c r="B230" s="110" t="s">
        <v>893</v>
      </c>
      <c r="C230" s="487">
        <v>227.25</v>
      </c>
      <c r="D230" s="486"/>
    </row>
    <row r="231" spans="1:4" ht="12.75">
      <c r="A231" s="109" t="s">
        <v>894</v>
      </c>
      <c r="B231" s="110" t="s">
        <v>895</v>
      </c>
      <c r="C231" s="486"/>
      <c r="D231" s="486"/>
    </row>
    <row r="232" spans="1:4" ht="12.75">
      <c r="A232" s="109">
        <v>681110</v>
      </c>
      <c r="B232" s="110" t="s">
        <v>896</v>
      </c>
      <c r="C232" s="486"/>
      <c r="D232" s="486"/>
    </row>
    <row r="233" spans="1:4" ht="12.75">
      <c r="A233" s="109">
        <v>681120</v>
      </c>
      <c r="B233" s="110" t="s">
        <v>897</v>
      </c>
      <c r="C233" s="486"/>
      <c r="D233" s="486"/>
    </row>
    <row r="234" spans="1:4" ht="25.5">
      <c r="A234" s="109">
        <v>681130</v>
      </c>
      <c r="B234" s="110" t="s">
        <v>898</v>
      </c>
      <c r="C234" s="486"/>
      <c r="D234" s="486"/>
    </row>
    <row r="235" spans="1:4" ht="12.75">
      <c r="A235" s="109">
        <v>681140</v>
      </c>
      <c r="B235" s="110" t="s">
        <v>899</v>
      </c>
      <c r="C235" s="486"/>
      <c r="D235" s="486"/>
    </row>
    <row r="236" spans="1:4" ht="12.75">
      <c r="A236" s="109" t="s">
        <v>900</v>
      </c>
      <c r="B236" s="110" t="s">
        <v>901</v>
      </c>
      <c r="C236" s="486"/>
      <c r="D236" s="486"/>
    </row>
    <row r="237" spans="1:4" ht="12.75">
      <c r="A237" s="109" t="s">
        <v>902</v>
      </c>
      <c r="B237" s="110" t="s">
        <v>903</v>
      </c>
      <c r="C237" s="487">
        <v>1227818</v>
      </c>
      <c r="D237" s="486"/>
    </row>
    <row r="238" spans="1:4" ht="12.75">
      <c r="A238" s="109" t="s">
        <v>904</v>
      </c>
      <c r="B238" s="110" t="s">
        <v>905</v>
      </c>
      <c r="C238" s="486"/>
      <c r="D238" s="486"/>
    </row>
    <row r="239" spans="1:4" ht="12.75">
      <c r="A239" s="109" t="s">
        <v>906</v>
      </c>
      <c r="B239" s="110" t="s">
        <v>907</v>
      </c>
      <c r="C239" s="486"/>
      <c r="D239" s="486"/>
    </row>
    <row r="240" spans="1:4" ht="12.75">
      <c r="A240" s="109" t="s">
        <v>143</v>
      </c>
      <c r="B240" s="110" t="s">
        <v>144</v>
      </c>
      <c r="C240" s="486"/>
      <c r="D240" s="486"/>
    </row>
    <row r="241" spans="1:4" ht="12.75">
      <c r="A241" s="109">
        <v>681880</v>
      </c>
      <c r="B241" s="110" t="s">
        <v>145</v>
      </c>
      <c r="C241" s="486"/>
      <c r="D241" s="486"/>
    </row>
    <row r="242" spans="1:4" ht="12.75">
      <c r="A242" s="109" t="s">
        <v>146</v>
      </c>
      <c r="B242" s="110" t="s">
        <v>147</v>
      </c>
      <c r="C242" s="486"/>
      <c r="D242" s="486"/>
    </row>
    <row r="243" spans="1:4" ht="12.75">
      <c r="A243" s="109" t="s">
        <v>148</v>
      </c>
      <c r="B243" s="110" t="s">
        <v>149</v>
      </c>
      <c r="C243" s="486"/>
      <c r="D243" s="486"/>
    </row>
    <row r="244" spans="1:4" ht="12.75">
      <c r="A244" s="109" t="s">
        <v>150</v>
      </c>
      <c r="B244" s="110" t="s">
        <v>151</v>
      </c>
      <c r="C244" s="486"/>
      <c r="D244" s="486"/>
    </row>
    <row r="245" spans="1:4" ht="12.75">
      <c r="A245" s="109" t="s">
        <v>152</v>
      </c>
      <c r="B245" s="112" t="s">
        <v>153</v>
      </c>
      <c r="C245" s="486"/>
      <c r="D245" s="487">
        <v>2479566.31</v>
      </c>
    </row>
    <row r="246" spans="1:4" ht="12.75">
      <c r="A246" s="109" t="s">
        <v>154</v>
      </c>
      <c r="B246" s="110" t="s">
        <v>155</v>
      </c>
      <c r="C246" s="486"/>
      <c r="D246" s="486"/>
    </row>
    <row r="247" spans="1:4" ht="12.75">
      <c r="A247" s="109" t="s">
        <v>156</v>
      </c>
      <c r="B247" s="110" t="s">
        <v>157</v>
      </c>
      <c r="C247" s="486"/>
      <c r="D247" s="486"/>
    </row>
    <row r="248" spans="1:4" ht="12.75">
      <c r="A248" s="109" t="s">
        <v>158</v>
      </c>
      <c r="B248" s="110" t="s">
        <v>159</v>
      </c>
      <c r="C248" s="486"/>
      <c r="D248" s="487">
        <v>204550.01</v>
      </c>
    </row>
    <row r="249" spans="1:4" ht="12.75">
      <c r="A249" s="109" t="s">
        <v>160</v>
      </c>
      <c r="B249" s="110" t="s">
        <v>489</v>
      </c>
      <c r="C249" s="486"/>
      <c r="D249" s="487">
        <v>7926813</v>
      </c>
    </row>
    <row r="250" spans="1:4" ht="12.75">
      <c r="A250" s="109" t="s">
        <v>161</v>
      </c>
      <c r="B250" s="110" t="s">
        <v>162</v>
      </c>
      <c r="C250" s="486"/>
      <c r="D250" s="486"/>
    </row>
    <row r="251" spans="1:4" ht="12.75">
      <c r="A251" s="109" t="s">
        <v>163</v>
      </c>
      <c r="B251" s="110" t="s">
        <v>164</v>
      </c>
      <c r="C251" s="486"/>
      <c r="D251" s="486"/>
    </row>
    <row r="252" spans="1:4" ht="12.75">
      <c r="A252" s="109" t="s">
        <v>165</v>
      </c>
      <c r="B252" s="110" t="s">
        <v>166</v>
      </c>
      <c r="C252" s="486"/>
      <c r="D252" s="486"/>
    </row>
    <row r="253" spans="1:4" ht="12.75">
      <c r="A253" s="109" t="s">
        <v>167</v>
      </c>
      <c r="B253" s="110" t="s">
        <v>168</v>
      </c>
      <c r="C253" s="486"/>
      <c r="D253" s="486"/>
    </row>
    <row r="254" spans="1:4" ht="12.75">
      <c r="A254" s="109" t="s">
        <v>169</v>
      </c>
      <c r="B254" s="110" t="s">
        <v>170</v>
      </c>
      <c r="C254" s="486"/>
      <c r="D254" s="486"/>
    </row>
    <row r="255" spans="1:4" ht="12.75">
      <c r="A255" s="109" t="s">
        <v>171</v>
      </c>
      <c r="B255" s="110" t="s">
        <v>172</v>
      </c>
      <c r="C255" s="486"/>
      <c r="D255" s="486"/>
    </row>
    <row r="256" spans="1:4" ht="12.75">
      <c r="A256" s="109" t="s">
        <v>173</v>
      </c>
      <c r="B256" s="110" t="s">
        <v>174</v>
      </c>
      <c r="C256" s="486"/>
      <c r="D256" s="486"/>
    </row>
    <row r="257" spans="1:4" ht="12.75">
      <c r="A257" s="109" t="s">
        <v>175</v>
      </c>
      <c r="B257" s="110" t="s">
        <v>176</v>
      </c>
      <c r="C257" s="486"/>
      <c r="D257" s="486"/>
    </row>
    <row r="258" spans="1:4" ht="12.75">
      <c r="A258" s="109" t="s">
        <v>177</v>
      </c>
      <c r="B258" s="110" t="s">
        <v>178</v>
      </c>
      <c r="C258" s="486"/>
      <c r="D258" s="486"/>
    </row>
    <row r="259" spans="1:4" ht="12.75">
      <c r="A259" s="109" t="s">
        <v>179</v>
      </c>
      <c r="B259" s="110" t="s">
        <v>180</v>
      </c>
      <c r="C259" s="486"/>
      <c r="D259" s="487">
        <v>5416.67</v>
      </c>
    </row>
    <row r="260" spans="1:4" ht="12.75">
      <c r="A260" s="109" t="s">
        <v>181</v>
      </c>
      <c r="B260" s="110" t="s">
        <v>182</v>
      </c>
      <c r="C260" s="486"/>
      <c r="D260" s="486"/>
    </row>
    <row r="261" spans="1:4" ht="12.75">
      <c r="A261" s="109" t="s">
        <v>183</v>
      </c>
      <c r="B261" s="110" t="s">
        <v>184</v>
      </c>
      <c r="C261" s="486"/>
      <c r="D261" s="486"/>
    </row>
    <row r="262" spans="1:4" ht="12.75">
      <c r="A262" s="109" t="s">
        <v>185</v>
      </c>
      <c r="B262" s="110" t="s">
        <v>186</v>
      </c>
      <c r="C262" s="486"/>
      <c r="D262" s="486"/>
    </row>
    <row r="263" spans="1:4" ht="12.75">
      <c r="A263" s="109" t="s">
        <v>187</v>
      </c>
      <c r="B263" s="110" t="s">
        <v>188</v>
      </c>
      <c r="C263" s="486"/>
      <c r="D263" s="486"/>
    </row>
    <row r="264" spans="1:4" ht="12.75">
      <c r="A264" s="109" t="s">
        <v>189</v>
      </c>
      <c r="B264" s="110" t="s">
        <v>190</v>
      </c>
      <c r="C264" s="486"/>
      <c r="D264" s="486"/>
    </row>
    <row r="265" spans="1:4" ht="12.75">
      <c r="A265" s="109" t="s">
        <v>191</v>
      </c>
      <c r="B265" s="110" t="s">
        <v>192</v>
      </c>
      <c r="C265" s="486"/>
      <c r="D265" s="487">
        <v>478.74</v>
      </c>
    </row>
    <row r="266" spans="1:4" ht="12.75">
      <c r="A266" s="109" t="s">
        <v>193</v>
      </c>
      <c r="B266" s="110" t="s">
        <v>194</v>
      </c>
      <c r="C266" s="486"/>
      <c r="D266" s="487"/>
    </row>
    <row r="267" spans="1:4" ht="12.75">
      <c r="A267" s="109" t="s">
        <v>195</v>
      </c>
      <c r="B267" s="110" t="s">
        <v>196</v>
      </c>
      <c r="C267" s="486"/>
      <c r="D267" s="487">
        <v>38719.02</v>
      </c>
    </row>
    <row r="268" spans="1:4" ht="12.75">
      <c r="A268" s="109" t="s">
        <v>197</v>
      </c>
      <c r="B268" s="110" t="s">
        <v>198</v>
      </c>
      <c r="C268" s="486"/>
      <c r="D268" s="486"/>
    </row>
    <row r="269" spans="1:4" ht="12.75">
      <c r="A269" s="109" t="s">
        <v>199</v>
      </c>
      <c r="B269" s="110" t="s">
        <v>200</v>
      </c>
      <c r="C269" s="486"/>
      <c r="D269" s="487">
        <v>1250000</v>
      </c>
    </row>
    <row r="270" spans="1:4" ht="12.75">
      <c r="A270" s="109" t="s">
        <v>201</v>
      </c>
      <c r="B270" s="110" t="s">
        <v>202</v>
      </c>
      <c r="C270" s="486"/>
      <c r="D270" s="487">
        <v>610701</v>
      </c>
    </row>
  </sheetData>
  <sheetProtection/>
  <printOptions/>
  <pageMargins left="0.17" right="0.16" top="0.73" bottom="0.984251968503937" header="0.24" footer="0.5118110236220472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B64">
      <selection activeCell="F27" sqref="F27"/>
    </sheetView>
  </sheetViews>
  <sheetFormatPr defaultColWidth="9.140625" defaultRowHeight="12.75" outlineLevelRow="1"/>
  <cols>
    <col min="1" max="1" width="9.140625" style="99" customWidth="1"/>
    <col min="2" max="2" width="8.57421875" style="99" customWidth="1"/>
    <col min="3" max="3" width="5.57421875" style="99" customWidth="1"/>
    <col min="4" max="4" width="51.140625" style="99" customWidth="1"/>
    <col min="5" max="5" width="8.140625" style="197" customWidth="1"/>
    <col min="6" max="6" width="13.7109375" style="99" customWidth="1"/>
    <col min="7" max="7" width="13.57421875" style="99" customWidth="1"/>
    <col min="8" max="8" width="10.28125" style="99" bestFit="1" customWidth="1"/>
    <col min="9" max="9" width="16.00390625" style="99" bestFit="1" customWidth="1"/>
    <col min="10" max="16384" width="9.140625" style="99" customWidth="1"/>
  </cols>
  <sheetData>
    <row r="1" spans="1:7" ht="12.75">
      <c r="A1" s="132"/>
      <c r="B1" s="132"/>
      <c r="C1" s="132"/>
      <c r="D1" s="132"/>
      <c r="E1" s="133"/>
      <c r="F1" s="132"/>
      <c r="G1" s="132"/>
    </row>
    <row r="2" spans="1:7" ht="12.75">
      <c r="A2" s="132"/>
      <c r="B2" s="134" t="s">
        <v>979</v>
      </c>
      <c r="C2" s="132" t="s">
        <v>980</v>
      </c>
      <c r="D2" s="132"/>
      <c r="E2" s="1"/>
      <c r="F2" s="132"/>
      <c r="G2" s="135"/>
    </row>
    <row r="3" spans="1:7" ht="12.75">
      <c r="A3" s="132"/>
      <c r="B3" s="134" t="s">
        <v>570</v>
      </c>
      <c r="C3" s="132" t="s">
        <v>927</v>
      </c>
      <c r="D3" s="132"/>
      <c r="E3" s="1"/>
      <c r="F3" s="132"/>
      <c r="G3" s="135"/>
    </row>
    <row r="4" spans="1:7" ht="12.75">
      <c r="A4" s="132"/>
      <c r="D4" s="132"/>
      <c r="E4" s="1"/>
      <c r="F4" s="132"/>
      <c r="G4" s="134"/>
    </row>
    <row r="5" spans="1:7" ht="18">
      <c r="A5" s="132"/>
      <c r="B5" s="613" t="s">
        <v>333</v>
      </c>
      <c r="C5" s="613"/>
      <c r="D5" s="613"/>
      <c r="E5" s="613"/>
      <c r="F5" s="613"/>
      <c r="G5" s="613"/>
    </row>
    <row r="6" spans="1:7" ht="15" customHeight="1">
      <c r="A6" s="132"/>
      <c r="B6" s="624" t="s">
        <v>1043</v>
      </c>
      <c r="C6" s="624"/>
      <c r="D6" s="624"/>
      <c r="E6" s="624"/>
      <c r="F6" s="624"/>
      <c r="G6" s="624"/>
    </row>
    <row r="7" spans="1:7" ht="13.5" thickBot="1">
      <c r="A7" s="132"/>
      <c r="B7" s="132"/>
      <c r="C7" s="132"/>
      <c r="D7" s="132"/>
      <c r="E7" s="1"/>
      <c r="F7" s="132"/>
      <c r="G7" s="135"/>
    </row>
    <row r="8" spans="1:7" ht="12.75">
      <c r="A8" s="132"/>
      <c r="B8" s="136" t="s">
        <v>334</v>
      </c>
      <c r="C8" s="620" t="s">
        <v>337</v>
      </c>
      <c r="D8" s="621"/>
      <c r="E8" s="616" t="s">
        <v>336</v>
      </c>
      <c r="F8" s="618" t="s">
        <v>1044</v>
      </c>
      <c r="G8" s="614" t="s">
        <v>1045</v>
      </c>
    </row>
    <row r="9" spans="1:7" ht="13.5" thickBot="1">
      <c r="A9" s="132"/>
      <c r="B9" s="137" t="s">
        <v>335</v>
      </c>
      <c r="C9" s="622"/>
      <c r="D9" s="623"/>
      <c r="E9" s="617"/>
      <c r="F9" s="619"/>
      <c r="G9" s="615"/>
    </row>
    <row r="10" spans="1:7" ht="20.25" customHeight="1">
      <c r="A10" s="132"/>
      <c r="B10" s="115" t="s">
        <v>338</v>
      </c>
      <c r="C10" s="610" t="s">
        <v>434</v>
      </c>
      <c r="D10" s="610"/>
      <c r="E10" s="116"/>
      <c r="F10" s="117"/>
      <c r="G10" s="527"/>
    </row>
    <row r="11" spans="1:7" ht="16.5" customHeight="1">
      <c r="A11" s="132"/>
      <c r="B11" s="118">
        <v>1</v>
      </c>
      <c r="C11" s="2" t="s">
        <v>339</v>
      </c>
      <c r="D11" s="2"/>
      <c r="E11" s="3"/>
      <c r="F11" s="4"/>
      <c r="G11" s="119"/>
    </row>
    <row r="12" spans="1:7" s="349" customFormat="1" ht="15.75" outlineLevel="1">
      <c r="A12" s="132"/>
      <c r="B12" s="368"/>
      <c r="C12" s="24">
        <v>512</v>
      </c>
      <c r="D12" s="360" t="s">
        <v>432</v>
      </c>
      <c r="E12" s="6"/>
      <c r="F12" s="174">
        <f>65+4727.91+3678.19+15.97+2599.17</f>
        <v>11086.24</v>
      </c>
      <c r="G12" s="120">
        <f>65+4705.56+134.83+422.34+187.55+4.58+2586.89</f>
        <v>8106.75</v>
      </c>
    </row>
    <row r="13" spans="1:7" s="349" customFormat="1" ht="15" outlineLevel="1">
      <c r="A13" s="132"/>
      <c r="B13" s="369"/>
      <c r="C13" s="24">
        <v>531</v>
      </c>
      <c r="D13" s="360" t="s">
        <v>433</v>
      </c>
      <c r="E13" s="6"/>
      <c r="F13" s="174">
        <v>117035.93</v>
      </c>
      <c r="G13" s="120">
        <v>106775.81</v>
      </c>
    </row>
    <row r="14" spans="1:8" s="349" customFormat="1" ht="15.75">
      <c r="A14" s="132"/>
      <c r="B14" s="368"/>
      <c r="C14" s="611" t="s">
        <v>428</v>
      </c>
      <c r="D14" s="612"/>
      <c r="E14" s="7"/>
      <c r="F14" s="334">
        <f>+SUM(F12:F13)</f>
        <v>128122.17</v>
      </c>
      <c r="G14" s="320">
        <f>+SUM(G12:G13)</f>
        <v>114882.56</v>
      </c>
      <c r="H14" s="364"/>
    </row>
    <row r="15" spans="1:7" s="349" customFormat="1" ht="16.5" customHeight="1">
      <c r="A15" s="132"/>
      <c r="B15" s="346">
        <v>2</v>
      </c>
      <c r="C15" s="352" t="s">
        <v>340</v>
      </c>
      <c r="D15" s="352"/>
      <c r="E15" s="3"/>
      <c r="F15" s="335"/>
      <c r="G15" s="313"/>
    </row>
    <row r="16" spans="1:7" s="349" customFormat="1" ht="12.75">
      <c r="A16" s="132"/>
      <c r="B16" s="354" t="s">
        <v>341</v>
      </c>
      <c r="C16" s="355" t="s">
        <v>342</v>
      </c>
      <c r="D16" s="355"/>
      <c r="E16" s="3"/>
      <c r="F16" s="335"/>
      <c r="G16" s="313"/>
    </row>
    <row r="17" spans="1:7" s="349" customFormat="1" ht="12.75">
      <c r="A17" s="132"/>
      <c r="B17" s="354" t="s">
        <v>343</v>
      </c>
      <c r="C17" s="355" t="s">
        <v>344</v>
      </c>
      <c r="D17" s="355"/>
      <c r="E17" s="3"/>
      <c r="F17" s="335"/>
      <c r="G17" s="313"/>
    </row>
    <row r="18" spans="1:7" s="349" customFormat="1" ht="12.75">
      <c r="A18" s="132"/>
      <c r="B18" s="356"/>
      <c r="C18" s="357" t="s">
        <v>411</v>
      </c>
      <c r="D18" s="357"/>
      <c r="E18" s="3"/>
      <c r="F18" s="335">
        <v>0</v>
      </c>
      <c r="G18" s="313">
        <v>0</v>
      </c>
    </row>
    <row r="19" spans="1:7" s="349" customFormat="1" ht="21.75" customHeight="1">
      <c r="A19" s="132"/>
      <c r="B19" s="346">
        <v>3</v>
      </c>
      <c r="C19" s="352" t="s">
        <v>345</v>
      </c>
      <c r="D19" s="352"/>
      <c r="E19" s="3"/>
      <c r="F19" s="335"/>
      <c r="G19" s="313"/>
    </row>
    <row r="20" spans="1:7" s="349" customFormat="1" ht="12.75">
      <c r="A20" s="132"/>
      <c r="B20" s="354" t="s">
        <v>341</v>
      </c>
      <c r="C20" s="355" t="s">
        <v>346</v>
      </c>
      <c r="D20" s="355"/>
      <c r="E20" s="3"/>
      <c r="F20" s="295">
        <f>+F21</f>
        <v>2863451.62</v>
      </c>
      <c r="G20" s="314">
        <f>+G21</f>
        <v>5038366.05</v>
      </c>
    </row>
    <row r="21" spans="1:7" s="349" customFormat="1" ht="12.75" outlineLevel="1">
      <c r="A21" s="132"/>
      <c r="B21" s="354"/>
      <c r="C21" s="13">
        <v>411</v>
      </c>
      <c r="D21" s="360" t="s">
        <v>435</v>
      </c>
      <c r="E21" s="3"/>
      <c r="F21" s="303">
        <v>2863451.62</v>
      </c>
      <c r="G21" s="315">
        <v>5038366.05</v>
      </c>
    </row>
    <row r="22" spans="1:7" s="349" customFormat="1" ht="12.75">
      <c r="A22" s="132"/>
      <c r="B22" s="354" t="s">
        <v>343</v>
      </c>
      <c r="C22" s="355" t="s">
        <v>347</v>
      </c>
      <c r="D22" s="355"/>
      <c r="E22" s="3"/>
      <c r="F22" s="295">
        <f>+SUM(F23:F32)</f>
        <v>2525453.774</v>
      </c>
      <c r="G22" s="314">
        <f>+SUM(G23:G32)</f>
        <v>2491247.7800000003</v>
      </c>
    </row>
    <row r="23" spans="1:7" s="349" customFormat="1" ht="12.75" outlineLevel="1">
      <c r="A23" s="132"/>
      <c r="B23" s="354"/>
      <c r="C23" s="23">
        <v>418</v>
      </c>
      <c r="D23" s="360" t="s">
        <v>436</v>
      </c>
      <c r="E23" s="3"/>
      <c r="F23" s="297"/>
      <c r="G23" s="316"/>
    </row>
    <row r="24" spans="1:7" s="349" customFormat="1" ht="12.75" outlineLevel="1">
      <c r="A24" s="132"/>
      <c r="B24" s="354"/>
      <c r="C24" s="24">
        <v>467</v>
      </c>
      <c r="D24" s="360" t="s">
        <v>437</v>
      </c>
      <c r="E24" s="3"/>
      <c r="F24" s="336">
        <v>600038.67</v>
      </c>
      <c r="G24" s="186">
        <v>600038.67</v>
      </c>
    </row>
    <row r="25" spans="1:7" s="349" customFormat="1" ht="12.75" outlineLevel="1">
      <c r="A25" s="132"/>
      <c r="B25" s="354"/>
      <c r="C25" s="24">
        <v>444</v>
      </c>
      <c r="D25" s="360" t="s">
        <v>435</v>
      </c>
      <c r="E25" s="3"/>
      <c r="F25" s="297"/>
      <c r="G25" s="316"/>
    </row>
    <row r="26" spans="1:7" s="349" customFormat="1" ht="12.75" outlineLevel="1">
      <c r="A26" s="132"/>
      <c r="B26" s="354"/>
      <c r="C26" s="25">
        <v>444</v>
      </c>
      <c r="D26" s="360" t="s">
        <v>438</v>
      </c>
      <c r="E26" s="6"/>
      <c r="F26" s="336">
        <f>330684.11-'ARDHURA&amp;SHPENZIME (FORMATI 2)'!D74</f>
        <v>284890.10399999993</v>
      </c>
      <c r="G26" s="186">
        <f>272362-21677.89</f>
        <v>250684.11</v>
      </c>
    </row>
    <row r="27" spans="1:7" ht="12.75" outlineLevel="1">
      <c r="A27" s="132"/>
      <c r="B27" s="122"/>
      <c r="C27" s="25">
        <v>442</v>
      </c>
      <c r="D27" s="14" t="s">
        <v>439</v>
      </c>
      <c r="E27" s="6"/>
      <c r="F27" s="336"/>
      <c r="G27" s="186"/>
    </row>
    <row r="28" spans="1:7" ht="12.75" outlineLevel="1">
      <c r="A28" s="132"/>
      <c r="B28" s="122"/>
      <c r="C28" s="25">
        <v>449</v>
      </c>
      <c r="D28" s="14" t="s">
        <v>440</v>
      </c>
      <c r="E28" s="6"/>
      <c r="F28" s="336"/>
      <c r="G28" s="186"/>
    </row>
    <row r="29" spans="1:7" s="349" customFormat="1" ht="12.75" outlineLevel="1">
      <c r="A29" s="132"/>
      <c r="B29" s="354"/>
      <c r="C29" s="25">
        <v>4453</v>
      </c>
      <c r="D29" s="351" t="s">
        <v>441</v>
      </c>
      <c r="E29" s="6"/>
      <c r="F29" s="336"/>
      <c r="G29" s="186"/>
    </row>
    <row r="30" spans="1:7" s="349" customFormat="1" ht="12.75" outlineLevel="1">
      <c r="A30" s="132"/>
      <c r="B30" s="354"/>
      <c r="C30" s="25">
        <v>447</v>
      </c>
      <c r="D30" s="351" t="s">
        <v>442</v>
      </c>
      <c r="E30" s="6"/>
      <c r="F30" s="336"/>
      <c r="G30" s="186"/>
    </row>
    <row r="31" spans="1:7" s="349" customFormat="1" ht="12.75" outlineLevel="1">
      <c r="A31" s="132"/>
      <c r="B31" s="354"/>
      <c r="C31" s="25">
        <v>455</v>
      </c>
      <c r="D31" s="351" t="s">
        <v>443</v>
      </c>
      <c r="E31" s="6"/>
      <c r="F31" s="336"/>
      <c r="G31" s="186"/>
    </row>
    <row r="32" spans="1:7" s="349" customFormat="1" ht="12.75" outlineLevel="1">
      <c r="A32" s="132"/>
      <c r="B32" s="354"/>
      <c r="C32" s="25">
        <v>471</v>
      </c>
      <c r="D32" s="351" t="s">
        <v>121</v>
      </c>
      <c r="E32" s="6"/>
      <c r="F32" s="336">
        <v>1640525</v>
      </c>
      <c r="G32" s="186">
        <v>1640525</v>
      </c>
    </row>
    <row r="33" spans="1:7" s="349" customFormat="1" ht="12.75">
      <c r="A33" s="132"/>
      <c r="B33" s="354" t="s">
        <v>348</v>
      </c>
      <c r="C33" s="355" t="s">
        <v>349</v>
      </c>
      <c r="D33" s="366"/>
      <c r="E33" s="3"/>
      <c r="F33" s="335"/>
      <c r="G33" s="313"/>
    </row>
    <row r="34" spans="1:7" s="349" customFormat="1" ht="12.75">
      <c r="A34" s="132"/>
      <c r="B34" s="354" t="s">
        <v>350</v>
      </c>
      <c r="C34" s="355" t="s">
        <v>351</v>
      </c>
      <c r="D34" s="366"/>
      <c r="E34" s="3"/>
      <c r="F34" s="337">
        <v>0</v>
      </c>
      <c r="G34" s="317">
        <v>0</v>
      </c>
    </row>
    <row r="35" spans="1:7" s="349" customFormat="1" ht="12.75" outlineLevel="1">
      <c r="A35" s="132"/>
      <c r="B35" s="354"/>
      <c r="C35" s="371">
        <v>460</v>
      </c>
      <c r="D35" s="351" t="s">
        <v>444</v>
      </c>
      <c r="E35" s="3"/>
      <c r="F35" s="337"/>
      <c r="G35" s="317"/>
    </row>
    <row r="36" spans="1:8" s="349" customFormat="1" ht="15">
      <c r="A36" s="132"/>
      <c r="B36" s="372"/>
      <c r="C36" s="357" t="s">
        <v>412</v>
      </c>
      <c r="D36" s="370"/>
      <c r="E36" s="3"/>
      <c r="F36" s="335">
        <f>+F34+F33+F22+F20</f>
        <v>5388905.394</v>
      </c>
      <c r="G36" s="313">
        <f>+G34+G33+G22+G20</f>
        <v>7529613.83</v>
      </c>
      <c r="H36" s="364"/>
    </row>
    <row r="37" spans="1:7" s="349" customFormat="1" ht="19.5" customHeight="1">
      <c r="A37" s="132"/>
      <c r="B37" s="346">
        <v>4</v>
      </c>
      <c r="C37" s="352" t="s">
        <v>352</v>
      </c>
      <c r="D37" s="352"/>
      <c r="E37" s="3"/>
      <c r="F37" s="335"/>
      <c r="G37" s="313"/>
    </row>
    <row r="38" spans="1:10" s="349" customFormat="1" ht="12" customHeight="1">
      <c r="A38" s="132"/>
      <c r="B38" s="354" t="s">
        <v>341</v>
      </c>
      <c r="C38" s="373" t="s">
        <v>353</v>
      </c>
      <c r="D38" s="373"/>
      <c r="E38" s="3"/>
      <c r="F38" s="298">
        <v>402026.54</v>
      </c>
      <c r="G38" s="312">
        <v>731466.83</v>
      </c>
      <c r="I38" s="568"/>
      <c r="J38" s="232"/>
    </row>
    <row r="39" spans="1:10" s="349" customFormat="1" ht="12.75">
      <c r="A39" s="132"/>
      <c r="B39" s="354" t="s">
        <v>343</v>
      </c>
      <c r="C39" s="375" t="s">
        <v>458</v>
      </c>
      <c r="D39" s="351"/>
      <c r="E39" s="3"/>
      <c r="F39" s="298">
        <v>305203.66</v>
      </c>
      <c r="G39" s="482"/>
      <c r="J39" s="232"/>
    </row>
    <row r="40" spans="1:10" s="349" customFormat="1" ht="12.75">
      <c r="A40" s="132"/>
      <c r="B40" s="354"/>
      <c r="C40" s="25">
        <v>3125</v>
      </c>
      <c r="D40" s="351" t="s">
        <v>657</v>
      </c>
      <c r="E40" s="3"/>
      <c r="F40" s="298">
        <v>1269678.24</v>
      </c>
      <c r="G40" s="312">
        <v>1559433.57</v>
      </c>
      <c r="I40" s="568"/>
      <c r="J40" s="232"/>
    </row>
    <row r="41" spans="1:10" s="349" customFormat="1" ht="12.75">
      <c r="A41" s="132"/>
      <c r="B41" s="354" t="s">
        <v>348</v>
      </c>
      <c r="C41" s="628" t="s">
        <v>354</v>
      </c>
      <c r="D41" s="629"/>
      <c r="E41" s="3"/>
      <c r="F41" s="300"/>
      <c r="G41" s="482">
        <v>0</v>
      </c>
      <c r="I41" s="374"/>
      <c r="J41" s="232"/>
    </row>
    <row r="42" spans="1:7" s="349" customFormat="1" ht="12.75">
      <c r="A42" s="132"/>
      <c r="B42" s="354" t="s">
        <v>350</v>
      </c>
      <c r="C42" s="628" t="s">
        <v>355</v>
      </c>
      <c r="D42" s="629"/>
      <c r="E42" s="3"/>
      <c r="F42" s="300"/>
      <c r="G42" s="482">
        <v>0</v>
      </c>
    </row>
    <row r="43" spans="1:7" s="349" customFormat="1" ht="13.5" customHeight="1">
      <c r="A43" s="132"/>
      <c r="B43" s="354" t="s">
        <v>357</v>
      </c>
      <c r="C43" s="628" t="s">
        <v>356</v>
      </c>
      <c r="D43" s="629"/>
      <c r="E43" s="3"/>
      <c r="F43" s="298">
        <v>118843.87</v>
      </c>
      <c r="G43" s="312">
        <v>92108.68</v>
      </c>
    </row>
    <row r="44" spans="1:7" s="349" customFormat="1" ht="12.75">
      <c r="A44" s="132"/>
      <c r="B44" s="354" t="s">
        <v>459</v>
      </c>
      <c r="C44" s="628" t="s">
        <v>358</v>
      </c>
      <c r="D44" s="629"/>
      <c r="E44" s="3"/>
      <c r="F44" s="335"/>
      <c r="G44" s="313"/>
    </row>
    <row r="45" spans="1:9" s="349" customFormat="1" ht="12.75">
      <c r="A45" s="132"/>
      <c r="B45" s="356"/>
      <c r="C45" s="357" t="s">
        <v>423</v>
      </c>
      <c r="D45" s="376"/>
      <c r="E45" s="3"/>
      <c r="F45" s="334">
        <f>+F44+F43+F42+F41+F39+F38+F40</f>
        <v>2095752.31</v>
      </c>
      <c r="G45" s="320">
        <f>+G44+G43+G42+G41+G39+G38+G40</f>
        <v>2383009.08</v>
      </c>
      <c r="I45" s="364"/>
    </row>
    <row r="46" spans="1:9" s="349" customFormat="1" ht="18.75" customHeight="1">
      <c r="A46" s="132"/>
      <c r="B46" s="346">
        <v>5</v>
      </c>
      <c r="C46" s="352" t="s">
        <v>359</v>
      </c>
      <c r="D46" s="352"/>
      <c r="E46" s="3"/>
      <c r="F46" s="335"/>
      <c r="G46" s="313"/>
      <c r="I46" s="377"/>
    </row>
    <row r="47" spans="1:7" s="349" customFormat="1" ht="19.5" customHeight="1">
      <c r="A47" s="132"/>
      <c r="B47" s="346">
        <v>6</v>
      </c>
      <c r="C47" s="352" t="s">
        <v>360</v>
      </c>
      <c r="D47" s="352"/>
      <c r="E47" s="3"/>
      <c r="F47" s="335"/>
      <c r="G47" s="313"/>
    </row>
    <row r="48" spans="1:8" s="349" customFormat="1" ht="16.5" customHeight="1">
      <c r="A48" s="132"/>
      <c r="B48" s="346">
        <v>7</v>
      </c>
      <c r="C48" s="352" t="s">
        <v>361</v>
      </c>
      <c r="D48" s="352"/>
      <c r="E48" s="3"/>
      <c r="F48" s="296">
        <f>+SUM(F49:F50)</f>
        <v>0</v>
      </c>
      <c r="G48" s="318">
        <f>+SUM(G49:G50)</f>
        <v>0</v>
      </c>
      <c r="H48" s="364"/>
    </row>
    <row r="49" spans="1:7" s="349" customFormat="1" ht="12.75" outlineLevel="1">
      <c r="A49" s="132"/>
      <c r="B49" s="346"/>
      <c r="C49" s="13">
        <v>486</v>
      </c>
      <c r="D49" s="360" t="s">
        <v>445</v>
      </c>
      <c r="E49" s="3"/>
      <c r="F49" s="298"/>
      <c r="G49" s="312"/>
    </row>
    <row r="50" spans="1:7" ht="12.75" outlineLevel="1">
      <c r="A50" s="132"/>
      <c r="B50" s="118"/>
      <c r="C50" s="13">
        <v>481</v>
      </c>
      <c r="D50" s="22" t="s">
        <v>446</v>
      </c>
      <c r="E50" s="3"/>
      <c r="F50" s="296"/>
      <c r="G50" s="318"/>
    </row>
    <row r="51" spans="1:9" ht="15">
      <c r="A51" s="132"/>
      <c r="B51" s="127"/>
      <c r="C51" s="630" t="s">
        <v>429</v>
      </c>
      <c r="D51" s="631"/>
      <c r="E51" s="12"/>
      <c r="F51" s="338">
        <f>+F48+F47+F46+F45+F36+F18+F14</f>
        <v>7612779.874</v>
      </c>
      <c r="G51" s="323">
        <f>+G48+G47+G46+G45+G36+G18+G14</f>
        <v>10027505.47</v>
      </c>
      <c r="I51" s="343"/>
    </row>
    <row r="52" spans="1:7" ht="15">
      <c r="A52" s="132"/>
      <c r="B52" s="128" t="s">
        <v>362</v>
      </c>
      <c r="C52" s="607" t="s">
        <v>447</v>
      </c>
      <c r="D52" s="607"/>
      <c r="E52" s="3"/>
      <c r="F52" s="335"/>
      <c r="G52" s="313"/>
    </row>
    <row r="53" spans="1:7" ht="16.5" customHeight="1">
      <c r="A53" s="132"/>
      <c r="B53" s="118">
        <v>1</v>
      </c>
      <c r="C53" s="2" t="s">
        <v>363</v>
      </c>
      <c r="D53" s="2"/>
      <c r="E53" s="3"/>
      <c r="F53" s="335"/>
      <c r="G53" s="313"/>
    </row>
    <row r="54" spans="1:7" ht="12.75">
      <c r="A54" s="132"/>
      <c r="B54" s="122" t="s">
        <v>341</v>
      </c>
      <c r="C54" s="608" t="s">
        <v>364</v>
      </c>
      <c r="D54" s="609"/>
      <c r="E54" s="3"/>
      <c r="F54" s="335"/>
      <c r="G54" s="313"/>
    </row>
    <row r="55" spans="1:7" ht="12.75">
      <c r="A55" s="132"/>
      <c r="B55" s="122" t="s">
        <v>343</v>
      </c>
      <c r="C55" s="628" t="s">
        <v>365</v>
      </c>
      <c r="D55" s="629"/>
      <c r="E55" s="3"/>
      <c r="F55" s="298">
        <v>30000</v>
      </c>
      <c r="G55" s="312">
        <v>30000</v>
      </c>
    </row>
    <row r="56" spans="1:7" ht="12.75">
      <c r="A56" s="132"/>
      <c r="B56" s="122" t="s">
        <v>348</v>
      </c>
      <c r="C56" s="27" t="s">
        <v>366</v>
      </c>
      <c r="D56" s="28"/>
      <c r="E56" s="3"/>
      <c r="F56" s="335"/>
      <c r="G56" s="313"/>
    </row>
    <row r="57" spans="1:7" ht="12.75">
      <c r="A57" s="132"/>
      <c r="B57" s="122" t="s">
        <v>350</v>
      </c>
      <c r="C57" s="608" t="s">
        <v>367</v>
      </c>
      <c r="D57" s="609"/>
      <c r="E57" s="3"/>
      <c r="F57" s="339">
        <f>+SUM(F58:F61)</f>
        <v>0</v>
      </c>
      <c r="G57" s="181">
        <f>+SUM(G58:G61)</f>
        <v>0</v>
      </c>
    </row>
    <row r="58" spans="1:7" ht="12.75" outlineLevel="1">
      <c r="A58" s="132"/>
      <c r="B58" s="122"/>
      <c r="C58" s="13">
        <v>418</v>
      </c>
      <c r="D58" s="14" t="s">
        <v>436</v>
      </c>
      <c r="E58" s="3"/>
      <c r="F58" s="339"/>
      <c r="G58" s="181"/>
    </row>
    <row r="59" spans="1:7" ht="12.75" outlineLevel="1">
      <c r="A59" s="132"/>
      <c r="B59" s="122"/>
      <c r="C59" s="13">
        <v>467</v>
      </c>
      <c r="D59" s="14" t="s">
        <v>437</v>
      </c>
      <c r="E59" s="3"/>
      <c r="F59" s="339"/>
      <c r="G59" s="181"/>
    </row>
    <row r="60" spans="1:7" ht="12.75" outlineLevel="1">
      <c r="A60" s="132"/>
      <c r="B60" s="122"/>
      <c r="C60" s="13">
        <v>444</v>
      </c>
      <c r="D60" s="14" t="s">
        <v>435</v>
      </c>
      <c r="E60" s="3"/>
      <c r="F60" s="339"/>
      <c r="G60" s="181"/>
    </row>
    <row r="61" spans="1:7" ht="12.75" outlineLevel="1">
      <c r="A61" s="132"/>
      <c r="B61" s="122"/>
      <c r="C61" s="15">
        <v>444</v>
      </c>
      <c r="D61" s="14" t="s">
        <v>438</v>
      </c>
      <c r="E61" s="3"/>
      <c r="F61" s="339"/>
      <c r="G61" s="181"/>
    </row>
    <row r="62" spans="1:7" ht="12.75">
      <c r="A62" s="132"/>
      <c r="B62" s="123"/>
      <c r="C62" s="16" t="s">
        <v>415</v>
      </c>
      <c r="D62" s="17"/>
      <c r="E62" s="3"/>
      <c r="F62" s="334">
        <f>+F57+F56+F55+F54</f>
        <v>30000</v>
      </c>
      <c r="G62" s="320">
        <f>+G57+G56+G55+G54</f>
        <v>30000</v>
      </c>
    </row>
    <row r="63" spans="1:7" ht="20.25" customHeight="1">
      <c r="A63" s="132"/>
      <c r="B63" s="118">
        <v>2</v>
      </c>
      <c r="C63" s="2" t="s">
        <v>368</v>
      </c>
      <c r="D63" s="18"/>
      <c r="E63" s="3"/>
      <c r="F63" s="335"/>
      <c r="G63" s="313"/>
    </row>
    <row r="64" spans="1:7" ht="12.75">
      <c r="A64" s="132"/>
      <c r="B64" s="122" t="s">
        <v>341</v>
      </c>
      <c r="C64" s="608" t="s">
        <v>369</v>
      </c>
      <c r="D64" s="609"/>
      <c r="E64" s="3"/>
      <c r="F64" s="337"/>
      <c r="G64" s="317"/>
    </row>
    <row r="65" spans="1:7" ht="12.75">
      <c r="A65" s="132"/>
      <c r="B65" s="122" t="s">
        <v>343</v>
      </c>
      <c r="C65" s="608" t="s">
        <v>370</v>
      </c>
      <c r="D65" s="609"/>
      <c r="E65" s="3"/>
      <c r="F65" s="337"/>
      <c r="G65" s="317"/>
    </row>
    <row r="66" spans="1:8" ht="12.75">
      <c r="A66" s="132"/>
      <c r="B66" s="122" t="s">
        <v>348</v>
      </c>
      <c r="C66" s="608" t="s">
        <v>371</v>
      </c>
      <c r="D66" s="609"/>
      <c r="E66" s="3"/>
      <c r="F66" s="297">
        <f>+SUM(F67:F69)</f>
        <v>30182967.450000003</v>
      </c>
      <c r="G66" s="316">
        <f>+SUM(G67:G69)</f>
        <v>30801529.849999998</v>
      </c>
      <c r="H66" s="343"/>
    </row>
    <row r="67" spans="1:7" ht="12.75" outlineLevel="1">
      <c r="A67" s="132"/>
      <c r="B67" s="122"/>
      <c r="C67" s="177">
        <v>213</v>
      </c>
      <c r="D67" s="14" t="s">
        <v>923</v>
      </c>
      <c r="E67" s="30"/>
      <c r="F67" s="298">
        <f>39228043.95-9809759</f>
        <v>29418284.950000003</v>
      </c>
      <c r="G67" s="312">
        <f>39228012.76-9360131</f>
        <v>29867881.759999998</v>
      </c>
    </row>
    <row r="68" spans="1:7" ht="12.75" outlineLevel="1">
      <c r="A68" s="132"/>
      <c r="B68" s="122"/>
      <c r="C68" s="177">
        <v>218</v>
      </c>
      <c r="D68" s="14" t="s">
        <v>139</v>
      </c>
      <c r="E68" s="30"/>
      <c r="F68" s="298">
        <f>313080.09-94941+519.41</f>
        <v>218658.50000000003</v>
      </c>
      <c r="G68" s="312">
        <f>313080.09-67649</f>
        <v>245431.09000000003</v>
      </c>
    </row>
    <row r="69" spans="1:7" ht="12.75" outlineLevel="1">
      <c r="A69" s="132"/>
      <c r="B69" s="122"/>
      <c r="C69" s="177">
        <v>2158</v>
      </c>
      <c r="D69" s="14" t="s">
        <v>924</v>
      </c>
      <c r="E69" s="30"/>
      <c r="F69" s="298">
        <f>1365000-818976</f>
        <v>546024</v>
      </c>
      <c r="G69" s="312">
        <f>1365000-676783</f>
        <v>688217</v>
      </c>
    </row>
    <row r="70" spans="1:7" ht="12.75">
      <c r="A70" s="132"/>
      <c r="B70" s="122" t="s">
        <v>350</v>
      </c>
      <c r="C70" s="608" t="s">
        <v>427</v>
      </c>
      <c r="D70" s="609"/>
      <c r="E70" s="3"/>
      <c r="F70" s="337"/>
      <c r="G70" s="317"/>
    </row>
    <row r="71" spans="1:7" ht="12.75">
      <c r="A71" s="132"/>
      <c r="B71" s="123"/>
      <c r="C71" s="9" t="s">
        <v>414</v>
      </c>
      <c r="D71" s="9"/>
      <c r="E71" s="3"/>
      <c r="F71" s="334">
        <f>+F70+F66+F65+F64</f>
        <v>30182967.450000003</v>
      </c>
      <c r="G71" s="320">
        <f>+G70+G66+G65+G64</f>
        <v>30801529.849999998</v>
      </c>
    </row>
    <row r="72" spans="1:7" ht="17.25" customHeight="1">
      <c r="A72" s="132"/>
      <c r="B72" s="118">
        <v>3</v>
      </c>
      <c r="C72" s="2" t="s">
        <v>372</v>
      </c>
      <c r="D72" s="2"/>
      <c r="E72" s="3"/>
      <c r="F72" s="335"/>
      <c r="G72" s="313"/>
    </row>
    <row r="73" spans="1:7" ht="18.75" customHeight="1">
      <c r="A73" s="132"/>
      <c r="B73" s="118">
        <v>4</v>
      </c>
      <c r="C73" s="2" t="s">
        <v>373</v>
      </c>
      <c r="D73" s="2"/>
      <c r="E73" s="3"/>
      <c r="F73" s="335"/>
      <c r="G73" s="313"/>
    </row>
    <row r="74" spans="1:7" ht="12.75">
      <c r="A74" s="132"/>
      <c r="B74" s="122" t="s">
        <v>341</v>
      </c>
      <c r="C74" s="608" t="s">
        <v>374</v>
      </c>
      <c r="D74" s="609"/>
      <c r="E74" s="3"/>
      <c r="F74" s="337"/>
      <c r="G74" s="317"/>
    </row>
    <row r="75" spans="1:7" ht="12.75">
      <c r="A75" s="132"/>
      <c r="B75" s="122" t="s">
        <v>343</v>
      </c>
      <c r="C75" s="608" t="s">
        <v>375</v>
      </c>
      <c r="D75" s="609"/>
      <c r="E75" s="3"/>
      <c r="F75" s="337"/>
      <c r="G75" s="317"/>
    </row>
    <row r="76" spans="1:7" ht="12.75">
      <c r="A76" s="132"/>
      <c r="B76" s="122" t="s">
        <v>348</v>
      </c>
      <c r="C76" s="608" t="s">
        <v>376</v>
      </c>
      <c r="D76" s="609"/>
      <c r="E76" s="3"/>
      <c r="F76" s="337">
        <v>0</v>
      </c>
      <c r="G76" s="317">
        <v>0</v>
      </c>
    </row>
    <row r="77" spans="1:7" ht="12.75">
      <c r="A77" s="132"/>
      <c r="B77" s="123"/>
      <c r="C77" s="9" t="s">
        <v>413</v>
      </c>
      <c r="D77" s="9"/>
      <c r="E77" s="3"/>
      <c r="F77" s="340">
        <v>0</v>
      </c>
      <c r="G77" s="319">
        <v>0</v>
      </c>
    </row>
    <row r="78" spans="1:7" ht="18.75" customHeight="1">
      <c r="A78" s="132"/>
      <c r="B78" s="118">
        <v>5</v>
      </c>
      <c r="C78" s="2" t="s">
        <v>377</v>
      </c>
      <c r="D78" s="2"/>
      <c r="E78" s="3"/>
      <c r="F78" s="297">
        <v>0</v>
      </c>
      <c r="G78" s="316">
        <v>0</v>
      </c>
    </row>
    <row r="79" spans="1:7" ht="12.75" outlineLevel="1">
      <c r="A79" s="132"/>
      <c r="B79" s="118"/>
      <c r="C79" s="13">
        <v>456</v>
      </c>
      <c r="D79" s="14" t="s">
        <v>448</v>
      </c>
      <c r="E79" s="3"/>
      <c r="F79" s="297"/>
      <c r="G79" s="316"/>
    </row>
    <row r="80" spans="1:7" ht="20.25" customHeight="1">
      <c r="A80" s="132"/>
      <c r="B80" s="118">
        <v>6</v>
      </c>
      <c r="C80" s="19" t="s">
        <v>378</v>
      </c>
      <c r="D80" s="19"/>
      <c r="E80" s="3"/>
      <c r="F80" s="297">
        <v>0</v>
      </c>
      <c r="G80" s="316">
        <v>0</v>
      </c>
    </row>
    <row r="81" spans="1:7" ht="12.75" outlineLevel="1">
      <c r="A81" s="132"/>
      <c r="B81" s="129"/>
      <c r="C81" s="20">
        <v>23</v>
      </c>
      <c r="D81" s="21" t="s">
        <v>449</v>
      </c>
      <c r="E81" s="6"/>
      <c r="F81" s="336"/>
      <c r="G81" s="186"/>
    </row>
    <row r="82" spans="1:7" ht="17.25" customHeight="1" thickBot="1">
      <c r="A82" s="132"/>
      <c r="B82" s="130"/>
      <c r="C82" s="632" t="s">
        <v>430</v>
      </c>
      <c r="D82" s="633"/>
      <c r="E82" s="131"/>
      <c r="F82" s="341">
        <f>+F80+F78+F77+F72+F71+F62</f>
        <v>30212967.450000003</v>
      </c>
      <c r="G82" s="324">
        <f>+G80+G78+G77+G72+G71+G62</f>
        <v>30831529.849999998</v>
      </c>
    </row>
    <row r="83" spans="1:7" ht="23.25" customHeight="1" thickBot="1">
      <c r="A83" s="132"/>
      <c r="B83" s="625" t="s">
        <v>379</v>
      </c>
      <c r="C83" s="626"/>
      <c r="D83" s="627"/>
      <c r="E83" s="179"/>
      <c r="F83" s="333">
        <f>+F82+F51</f>
        <v>37825747.324</v>
      </c>
      <c r="G83" s="325">
        <f>+G82+G51</f>
        <v>40859035.32</v>
      </c>
    </row>
    <row r="84" spans="1:7" ht="15">
      <c r="A84" s="132"/>
      <c r="B84" s="196"/>
      <c r="C84" s="196"/>
      <c r="D84" s="196"/>
      <c r="E84" s="1"/>
      <c r="F84" s="342"/>
      <c r="G84" s="135"/>
    </row>
    <row r="85" spans="1:7" ht="15">
      <c r="A85" s="132"/>
      <c r="B85" s="196"/>
      <c r="C85" s="196"/>
      <c r="D85" s="196"/>
      <c r="E85" s="1"/>
      <c r="F85" s="342"/>
      <c r="G85" s="135"/>
    </row>
    <row r="86" spans="1:7" ht="15">
      <c r="A86" s="132"/>
      <c r="B86" s="196"/>
      <c r="C86" s="196"/>
      <c r="D86" s="196"/>
      <c r="E86" s="1"/>
      <c r="F86" s="342"/>
      <c r="G86" s="135"/>
    </row>
    <row r="87" spans="1:7" ht="15">
      <c r="A87" s="132"/>
      <c r="B87" s="196"/>
      <c r="C87" s="196"/>
      <c r="D87" s="196"/>
      <c r="E87" s="1"/>
      <c r="F87" s="342"/>
      <c r="G87" s="135"/>
    </row>
    <row r="88" ht="12.75">
      <c r="F88" s="343"/>
    </row>
    <row r="89" ht="12.75">
      <c r="F89" s="343"/>
    </row>
    <row r="90" ht="12.75">
      <c r="F90" s="343"/>
    </row>
    <row r="91" ht="12.75">
      <c r="F91" s="343"/>
    </row>
    <row r="92" ht="12.75">
      <c r="F92" s="343"/>
    </row>
  </sheetData>
  <sheetProtection/>
  <mergeCells count="26">
    <mergeCell ref="B83:D83"/>
    <mergeCell ref="C41:D41"/>
    <mergeCell ref="C42:D42"/>
    <mergeCell ref="C43:D43"/>
    <mergeCell ref="C44:D44"/>
    <mergeCell ref="C51:D51"/>
    <mergeCell ref="C82:D82"/>
    <mergeCell ref="C54:D54"/>
    <mergeCell ref="C55:D55"/>
    <mergeCell ref="C57:D57"/>
    <mergeCell ref="C10:D10"/>
    <mergeCell ref="C14:D14"/>
    <mergeCell ref="B5:G5"/>
    <mergeCell ref="G8:G9"/>
    <mergeCell ref="E8:E9"/>
    <mergeCell ref="F8:F9"/>
    <mergeCell ref="C8:D9"/>
    <mergeCell ref="B6:G6"/>
    <mergeCell ref="C52:D52"/>
    <mergeCell ref="C74:D74"/>
    <mergeCell ref="C75:D75"/>
    <mergeCell ref="C76:D76"/>
    <mergeCell ref="C64:D64"/>
    <mergeCell ref="C65:D65"/>
    <mergeCell ref="C66:D66"/>
    <mergeCell ref="C70:D70"/>
  </mergeCells>
  <printOptions horizontalCentered="1"/>
  <pageMargins left="0.17" right="0.16" top="0.15748031496063" bottom="0.15748031496063" header="0.17" footer="0.236220472440945"/>
  <pageSetup horizontalDpi="600" verticalDpi="600" orientation="portrait" paperSize="12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8"/>
  <sheetViews>
    <sheetView zoomScalePageLayoutView="0" workbookViewId="0" topLeftCell="A64">
      <selection activeCell="F83" sqref="F83"/>
    </sheetView>
  </sheetViews>
  <sheetFormatPr defaultColWidth="9.140625" defaultRowHeight="12.75" outlineLevelRow="1"/>
  <cols>
    <col min="1" max="1" width="5.28125" style="99" customWidth="1"/>
    <col min="2" max="2" width="8.57421875" style="99" customWidth="1"/>
    <col min="3" max="3" width="6.8515625" style="99" customWidth="1"/>
    <col min="4" max="4" width="45.7109375" style="99" customWidth="1"/>
    <col min="5" max="5" width="8.57421875" style="99" customWidth="1"/>
    <col min="6" max="6" width="15.00390625" style="306" customWidth="1"/>
    <col min="7" max="7" width="14.00390625" style="99" customWidth="1"/>
    <col min="8" max="8" width="11.28125" style="99" bestFit="1" customWidth="1"/>
    <col min="9" max="16384" width="9.140625" style="99" customWidth="1"/>
  </cols>
  <sheetData>
    <row r="2" spans="2:7" ht="12.75">
      <c r="B2" s="134" t="s">
        <v>979</v>
      </c>
      <c r="C2" s="132" t="s">
        <v>980</v>
      </c>
      <c r="D2" s="134"/>
      <c r="E2" s="132"/>
      <c r="F2" s="291"/>
      <c r="G2" s="132"/>
    </row>
    <row r="3" spans="2:7" ht="12.75">
      <c r="B3" s="134" t="s">
        <v>570</v>
      </c>
      <c r="C3" s="132" t="s">
        <v>927</v>
      </c>
      <c r="D3" s="134"/>
      <c r="E3" s="132"/>
      <c r="F3" s="291"/>
      <c r="G3" s="132"/>
    </row>
    <row r="4" spans="2:7" ht="15" customHeight="1">
      <c r="B4" s="613" t="s">
        <v>333</v>
      </c>
      <c r="C4" s="613"/>
      <c r="D4" s="613"/>
      <c r="E4" s="613"/>
      <c r="F4" s="613"/>
      <c r="G4" s="613"/>
    </row>
    <row r="5" spans="2:7" ht="15">
      <c r="B5" s="132"/>
      <c r="C5" s="196"/>
      <c r="F5" s="292"/>
      <c r="G5" s="132"/>
    </row>
    <row r="6" spans="2:7" ht="13.5" customHeight="1">
      <c r="B6" s="624" t="s">
        <v>1043</v>
      </c>
      <c r="C6" s="624"/>
      <c r="D6" s="624"/>
      <c r="E6" s="624"/>
      <c r="F6" s="624"/>
      <c r="G6" s="624"/>
    </row>
    <row r="7" spans="2:7" ht="19.5" customHeight="1" thickBot="1">
      <c r="B7" s="132"/>
      <c r="C7" s="132"/>
      <c r="D7" s="132"/>
      <c r="E7" s="1"/>
      <c r="F7" s="293"/>
      <c r="G7" s="135"/>
    </row>
    <row r="8" spans="2:7" ht="18.75" customHeight="1">
      <c r="B8" s="136" t="s">
        <v>334</v>
      </c>
      <c r="C8" s="620" t="s">
        <v>425</v>
      </c>
      <c r="D8" s="621"/>
      <c r="E8" s="637" t="s">
        <v>336</v>
      </c>
      <c r="F8" s="635" t="s">
        <v>1046</v>
      </c>
      <c r="G8" s="635" t="s">
        <v>1047</v>
      </c>
    </row>
    <row r="9" spans="2:7" ht="19.5" customHeight="1" thickBot="1">
      <c r="B9" s="137" t="s">
        <v>335</v>
      </c>
      <c r="C9" s="622"/>
      <c r="D9" s="623"/>
      <c r="E9" s="638"/>
      <c r="F9" s="636"/>
      <c r="G9" s="636"/>
    </row>
    <row r="10" spans="2:7" ht="18" customHeight="1">
      <c r="B10" s="115" t="s">
        <v>338</v>
      </c>
      <c r="C10" s="634" t="s">
        <v>481</v>
      </c>
      <c r="D10" s="634"/>
      <c r="E10" s="116"/>
      <c r="F10" s="294"/>
      <c r="G10" s="525"/>
    </row>
    <row r="11" spans="2:7" ht="12.75">
      <c r="B11" s="118">
        <v>1</v>
      </c>
      <c r="C11" s="2" t="s">
        <v>380</v>
      </c>
      <c r="D11" s="2"/>
      <c r="E11" s="3"/>
      <c r="F11" s="295"/>
      <c r="G11" s="314"/>
    </row>
    <row r="12" spans="2:7" ht="12.75" outlineLevel="1">
      <c r="B12" s="118">
        <v>2</v>
      </c>
      <c r="C12" s="2" t="s">
        <v>381</v>
      </c>
      <c r="D12" s="2"/>
      <c r="E12" s="3"/>
      <c r="F12" s="295"/>
      <c r="G12" s="314"/>
    </row>
    <row r="13" spans="2:7" ht="12.75" outlineLevel="1">
      <c r="B13" s="122" t="s">
        <v>341</v>
      </c>
      <c r="C13" s="8" t="s">
        <v>382</v>
      </c>
      <c r="D13" s="8"/>
      <c r="E13" s="3"/>
      <c r="F13" s="296">
        <f>F14+F15</f>
        <v>5868833.800000001</v>
      </c>
      <c r="G13" s="318">
        <f>G14+G15</f>
        <v>3534141.01</v>
      </c>
    </row>
    <row r="14" spans="2:7" ht="12.75">
      <c r="B14" s="122"/>
      <c r="C14" s="31">
        <v>519</v>
      </c>
      <c r="D14" s="22" t="s">
        <v>450</v>
      </c>
      <c r="E14" s="3"/>
      <c r="F14" s="298">
        <f>3096798.48+1603.9+1999727.11+770704.31</f>
        <v>5868833.800000001</v>
      </c>
      <c r="G14" s="312">
        <f>801643.36+2024497.65+708000</f>
        <v>3534141.01</v>
      </c>
    </row>
    <row r="15" spans="2:7" ht="12.75">
      <c r="B15" s="122"/>
      <c r="C15" s="31">
        <v>542</v>
      </c>
      <c r="D15" s="22" t="s">
        <v>450</v>
      </c>
      <c r="E15" s="3"/>
      <c r="F15" s="296"/>
      <c r="G15" s="318"/>
    </row>
    <row r="16" spans="2:7" ht="12.75">
      <c r="B16" s="122" t="s">
        <v>343</v>
      </c>
      <c r="C16" s="8" t="s">
        <v>383</v>
      </c>
      <c r="D16" s="8"/>
      <c r="E16" s="3"/>
      <c r="F16" s="295"/>
      <c r="G16" s="314"/>
    </row>
    <row r="17" spans="2:7" ht="18" customHeight="1">
      <c r="B17" s="122" t="s">
        <v>348</v>
      </c>
      <c r="C17" s="8" t="s">
        <v>384</v>
      </c>
      <c r="D17" s="8"/>
      <c r="E17" s="3"/>
      <c r="F17" s="295"/>
      <c r="G17" s="314"/>
    </row>
    <row r="18" spans="2:7" ht="12.75">
      <c r="B18" s="123"/>
      <c r="C18" s="9" t="s">
        <v>416</v>
      </c>
      <c r="D18" s="9"/>
      <c r="E18" s="3"/>
      <c r="F18" s="295">
        <f>F13+F16+F17</f>
        <v>5868833.800000001</v>
      </c>
      <c r="G18" s="314">
        <f>G13+G16+G17</f>
        <v>3534141.01</v>
      </c>
    </row>
    <row r="19" spans="2:7" ht="12.75" outlineLevel="1">
      <c r="B19" s="118">
        <v>3</v>
      </c>
      <c r="C19" s="2" t="s">
        <v>385</v>
      </c>
      <c r="D19" s="2"/>
      <c r="E19" s="3"/>
      <c r="F19" s="295"/>
      <c r="G19" s="314"/>
    </row>
    <row r="20" spans="2:7" ht="12.75" outlineLevel="1">
      <c r="B20" s="122" t="s">
        <v>341</v>
      </c>
      <c r="C20" s="8" t="s">
        <v>386</v>
      </c>
      <c r="D20" s="8"/>
      <c r="E20" s="3"/>
      <c r="F20" s="296">
        <f>+SUM(F21:F24)</f>
        <v>27072559.03</v>
      </c>
      <c r="G20" s="318">
        <f>+SUM(G21:G24)</f>
        <v>27854134.53</v>
      </c>
    </row>
    <row r="21" spans="2:7" s="349" customFormat="1" ht="12.75" outlineLevel="1">
      <c r="B21" s="354"/>
      <c r="C21" s="24">
        <v>401</v>
      </c>
      <c r="D21" s="360" t="s">
        <v>451</v>
      </c>
      <c r="E21" s="30"/>
      <c r="F21" s="298">
        <f>27772559.03-700000</f>
        <v>27072559.03</v>
      </c>
      <c r="G21" s="312">
        <v>27854134.53</v>
      </c>
    </row>
    <row r="22" spans="2:7" s="349" customFormat="1" ht="12.75">
      <c r="B22" s="354"/>
      <c r="C22" s="24">
        <v>403</v>
      </c>
      <c r="D22" s="360" t="s">
        <v>453</v>
      </c>
      <c r="E22" s="30"/>
      <c r="F22" s="299"/>
      <c r="G22" s="526"/>
    </row>
    <row r="23" spans="2:7" s="349" customFormat="1" ht="12.75" outlineLevel="1">
      <c r="B23" s="354"/>
      <c r="C23" s="24">
        <v>404</v>
      </c>
      <c r="D23" s="348" t="s">
        <v>452</v>
      </c>
      <c r="E23" s="30"/>
      <c r="F23" s="299"/>
      <c r="G23" s="526"/>
    </row>
    <row r="24" spans="2:7" s="349" customFormat="1" ht="12.75" outlineLevel="1">
      <c r="B24" s="354"/>
      <c r="C24" s="24">
        <v>408</v>
      </c>
      <c r="D24" s="348" t="s">
        <v>124</v>
      </c>
      <c r="E24" s="30"/>
      <c r="F24" s="298"/>
      <c r="G24" s="312"/>
    </row>
    <row r="25" spans="2:7" s="349" customFormat="1" ht="12.75" outlineLevel="1">
      <c r="B25" s="361" t="s">
        <v>343</v>
      </c>
      <c r="C25" s="355" t="s">
        <v>387</v>
      </c>
      <c r="D25" s="362"/>
      <c r="E25" s="3"/>
      <c r="F25" s="297">
        <f>+SUM(F26:F27)</f>
        <v>631432.5</v>
      </c>
      <c r="G25" s="316">
        <f>+SUM(G26:G27)</f>
        <v>607686.5</v>
      </c>
    </row>
    <row r="26" spans="2:7" s="349" customFormat="1" ht="12.75">
      <c r="B26" s="361"/>
      <c r="C26" s="24">
        <v>421</v>
      </c>
      <c r="D26" s="360" t="s">
        <v>454</v>
      </c>
      <c r="E26" s="3"/>
      <c r="F26" s="298">
        <v>631432.5</v>
      </c>
      <c r="G26" s="312">
        <v>607686.5</v>
      </c>
    </row>
    <row r="27" spans="2:7" s="349" customFormat="1" ht="12.75">
      <c r="B27" s="361"/>
      <c r="C27" s="24">
        <v>423</v>
      </c>
      <c r="D27" s="360" t="s">
        <v>455</v>
      </c>
      <c r="E27" s="3"/>
      <c r="F27" s="300"/>
      <c r="G27" s="482"/>
    </row>
    <row r="28" spans="2:7" s="349" customFormat="1" ht="13.5" customHeight="1" outlineLevel="1">
      <c r="B28" s="361" t="s">
        <v>348</v>
      </c>
      <c r="C28" s="355" t="s">
        <v>388</v>
      </c>
      <c r="D28" s="355"/>
      <c r="E28" s="3"/>
      <c r="F28" s="297">
        <f>+SUM(F29:F39)</f>
        <v>199874</v>
      </c>
      <c r="G28" s="316">
        <f>+SUM(G29:G39)</f>
        <v>618964</v>
      </c>
    </row>
    <row r="29" spans="2:7" s="349" customFormat="1" ht="12.75" outlineLevel="1">
      <c r="B29" s="361"/>
      <c r="C29" s="363" t="s">
        <v>467</v>
      </c>
      <c r="D29" s="363"/>
      <c r="E29" s="3"/>
      <c r="F29" s="296"/>
      <c r="G29" s="318"/>
    </row>
    <row r="30" spans="2:7" s="349" customFormat="1" ht="12.75">
      <c r="B30" s="361"/>
      <c r="C30" s="24">
        <v>431</v>
      </c>
      <c r="D30" s="360" t="s">
        <v>456</v>
      </c>
      <c r="E30" s="30"/>
      <c r="F30" s="298">
        <v>72010</v>
      </c>
      <c r="G30" s="312">
        <v>75972</v>
      </c>
    </row>
    <row r="31" spans="2:7" s="349" customFormat="1" ht="12.75" outlineLevel="1">
      <c r="B31" s="361"/>
      <c r="C31" s="24">
        <v>423</v>
      </c>
      <c r="D31" s="360" t="s">
        <v>457</v>
      </c>
      <c r="E31" s="30"/>
      <c r="F31" s="299"/>
      <c r="G31" s="526"/>
    </row>
    <row r="32" spans="2:7" s="349" customFormat="1" ht="12.75" outlineLevel="1">
      <c r="B32" s="361"/>
      <c r="C32" s="363" t="s">
        <v>468</v>
      </c>
      <c r="D32" s="363"/>
      <c r="E32" s="29"/>
      <c r="F32" s="296"/>
      <c r="G32" s="318"/>
    </row>
    <row r="33" spans="2:7" s="349" customFormat="1" ht="12.75" outlineLevel="1">
      <c r="B33" s="361"/>
      <c r="C33" s="35">
        <v>441</v>
      </c>
      <c r="D33" s="351" t="s">
        <v>461</v>
      </c>
      <c r="E33" s="29"/>
      <c r="F33" s="299"/>
      <c r="G33" s="526"/>
    </row>
    <row r="34" spans="2:7" s="349" customFormat="1" ht="12.75" outlineLevel="1">
      <c r="B34" s="361"/>
      <c r="C34" s="35">
        <v>442</v>
      </c>
      <c r="D34" s="351" t="s">
        <v>460</v>
      </c>
      <c r="E34" s="29"/>
      <c r="F34" s="298">
        <v>23810</v>
      </c>
      <c r="G34" s="312">
        <v>24230</v>
      </c>
    </row>
    <row r="35" spans="2:8" s="349" customFormat="1" ht="12.75" outlineLevel="1">
      <c r="B35" s="361"/>
      <c r="C35" s="35">
        <v>443</v>
      </c>
      <c r="D35" s="351" t="s">
        <v>462</v>
      </c>
      <c r="E35" s="29"/>
      <c r="F35" s="299"/>
      <c r="G35" s="526"/>
      <c r="H35" s="364"/>
    </row>
    <row r="36" spans="2:7" s="349" customFormat="1" ht="12.75" outlineLevel="1">
      <c r="B36" s="361"/>
      <c r="C36" s="35">
        <v>444</v>
      </c>
      <c r="D36" s="351" t="s">
        <v>463</v>
      </c>
      <c r="E36" s="29"/>
      <c r="F36" s="299"/>
      <c r="G36" s="526"/>
    </row>
    <row r="37" spans="2:7" s="349" customFormat="1" ht="12.75" outlineLevel="1">
      <c r="B37" s="361"/>
      <c r="C37" s="35">
        <v>4453</v>
      </c>
      <c r="D37" s="351" t="s">
        <v>464</v>
      </c>
      <c r="E37" s="29"/>
      <c r="F37" s="298">
        <v>104054</v>
      </c>
      <c r="G37" s="312">
        <v>518762</v>
      </c>
    </row>
    <row r="38" spans="2:8" s="349" customFormat="1" ht="12.75">
      <c r="B38" s="361"/>
      <c r="C38" s="35">
        <v>447</v>
      </c>
      <c r="D38" s="351" t="s">
        <v>465</v>
      </c>
      <c r="E38" s="29"/>
      <c r="F38" s="299"/>
      <c r="G38" s="526"/>
      <c r="H38" s="364"/>
    </row>
    <row r="39" spans="2:7" s="349" customFormat="1" ht="12.75" outlineLevel="1">
      <c r="B39" s="361"/>
      <c r="C39" s="35">
        <v>449</v>
      </c>
      <c r="D39" s="351" t="s">
        <v>466</v>
      </c>
      <c r="E39" s="29"/>
      <c r="F39" s="299"/>
      <c r="G39" s="526"/>
    </row>
    <row r="40" spans="2:7" s="349" customFormat="1" ht="12.75" outlineLevel="1">
      <c r="B40" s="365" t="s">
        <v>350</v>
      </c>
      <c r="C40" s="355" t="s">
        <v>431</v>
      </c>
      <c r="D40" s="366"/>
      <c r="E40" s="30"/>
      <c r="F40" s="300">
        <f>+SUM(F41:F46)</f>
        <v>15177946.36</v>
      </c>
      <c r="G40" s="482">
        <f>+SUM(G41:G46)</f>
        <v>19447033.55</v>
      </c>
    </row>
    <row r="41" spans="2:7" s="349" customFormat="1" ht="12.75" outlineLevel="1">
      <c r="B41" s="365"/>
      <c r="C41" s="35">
        <v>451</v>
      </c>
      <c r="D41" s="351" t="s">
        <v>472</v>
      </c>
      <c r="E41" s="367"/>
      <c r="F41" s="298">
        <v>12141452.36</v>
      </c>
      <c r="G41" s="312">
        <v>15529330.22</v>
      </c>
    </row>
    <row r="42" spans="2:7" s="349" customFormat="1" ht="12.75" outlineLevel="1">
      <c r="B42" s="365"/>
      <c r="C42" s="35">
        <v>455</v>
      </c>
      <c r="D42" s="351" t="s">
        <v>473</v>
      </c>
      <c r="E42" s="367"/>
      <c r="F42" s="300"/>
      <c r="G42" s="482"/>
    </row>
    <row r="43" spans="2:7" s="349" customFormat="1" ht="12.75" outlineLevel="1">
      <c r="B43" s="365"/>
      <c r="C43" s="35">
        <v>456</v>
      </c>
      <c r="D43" s="351" t="s">
        <v>469</v>
      </c>
      <c r="E43" s="367"/>
      <c r="F43" s="300"/>
      <c r="G43" s="482"/>
    </row>
    <row r="44" spans="2:7" s="349" customFormat="1" ht="12.75" outlineLevel="1">
      <c r="B44" s="365"/>
      <c r="C44" s="35">
        <v>457</v>
      </c>
      <c r="D44" s="351" t="s">
        <v>925</v>
      </c>
      <c r="E44" s="367"/>
      <c r="F44" s="300"/>
      <c r="G44" s="482"/>
    </row>
    <row r="45" spans="2:7" s="349" customFormat="1" ht="12.75">
      <c r="B45" s="365"/>
      <c r="C45" s="35">
        <v>460</v>
      </c>
      <c r="D45" s="351" t="s">
        <v>470</v>
      </c>
      <c r="E45" s="367"/>
      <c r="F45" s="298"/>
      <c r="G45" s="312">
        <v>3917703.33</v>
      </c>
    </row>
    <row r="46" spans="2:7" ht="12.75" outlineLevel="1">
      <c r="B46" s="184"/>
      <c r="C46" s="35">
        <v>467</v>
      </c>
      <c r="D46" s="14" t="s">
        <v>471</v>
      </c>
      <c r="E46" s="5"/>
      <c r="F46" s="298">
        <v>3036494</v>
      </c>
      <c r="G46" s="482"/>
    </row>
    <row r="47" spans="2:7" ht="12.75">
      <c r="B47" s="183" t="s">
        <v>357</v>
      </c>
      <c r="C47" s="8" t="s">
        <v>389</v>
      </c>
      <c r="D47" s="185"/>
      <c r="E47" s="3"/>
      <c r="F47" s="296">
        <f>+F48</f>
        <v>0</v>
      </c>
      <c r="G47" s="318">
        <f>+G48</f>
        <v>0</v>
      </c>
    </row>
    <row r="48" spans="2:7" ht="16.5" customHeight="1">
      <c r="B48" s="183"/>
      <c r="C48" s="36">
        <v>409</v>
      </c>
      <c r="D48" s="33" t="s">
        <v>474</v>
      </c>
      <c r="E48" s="3"/>
      <c r="F48" s="296"/>
      <c r="G48" s="318"/>
    </row>
    <row r="49" spans="2:7" ht="15.75" customHeight="1">
      <c r="B49" s="123"/>
      <c r="C49" s="9" t="s">
        <v>417</v>
      </c>
      <c r="D49" s="26"/>
      <c r="E49" s="3"/>
      <c r="F49" s="295">
        <f>+F47+F40+F28+F25+F20</f>
        <v>43081811.89</v>
      </c>
      <c r="G49" s="314">
        <f>+G47+G40+G28+G25+G20</f>
        <v>48527818.58</v>
      </c>
    </row>
    <row r="50" spans="2:7" ht="15.75" customHeight="1">
      <c r="B50" s="118">
        <v>4</v>
      </c>
      <c r="C50" s="2" t="s">
        <v>390</v>
      </c>
      <c r="D50" s="18"/>
      <c r="E50" s="3"/>
      <c r="F50" s="295"/>
      <c r="G50" s="314"/>
    </row>
    <row r="51" spans="2:7" ht="20.25" customHeight="1">
      <c r="B51" s="118">
        <v>5</v>
      </c>
      <c r="C51" s="2" t="s">
        <v>391</v>
      </c>
      <c r="D51" s="18"/>
      <c r="E51" s="3"/>
      <c r="F51" s="295"/>
      <c r="G51" s="314"/>
    </row>
    <row r="52" spans="2:7" ht="16.5" customHeight="1">
      <c r="B52" s="187"/>
      <c r="C52" s="188" t="s">
        <v>419</v>
      </c>
      <c r="D52" s="188"/>
      <c r="E52" s="3"/>
      <c r="F52" s="295">
        <f>+F51+F50+F49+F18</f>
        <v>48950645.69</v>
      </c>
      <c r="G52" s="314">
        <f>+G51+G50+G49+G18</f>
        <v>52061959.589999996</v>
      </c>
    </row>
    <row r="53" spans="2:7" ht="15">
      <c r="B53" s="128" t="s">
        <v>362</v>
      </c>
      <c r="C53" s="607" t="s">
        <v>482</v>
      </c>
      <c r="D53" s="607"/>
      <c r="E53" s="3"/>
      <c r="F53" s="295">
        <f>SUM(F54:F63)</f>
        <v>0</v>
      </c>
      <c r="G53" s="121">
        <v>0</v>
      </c>
    </row>
    <row r="54" spans="2:7" ht="12.75">
      <c r="B54" s="118">
        <v>1</v>
      </c>
      <c r="C54" s="2" t="s">
        <v>392</v>
      </c>
      <c r="D54" s="2"/>
      <c r="E54" s="3"/>
      <c r="F54" s="295">
        <f>F55</f>
        <v>0</v>
      </c>
      <c r="G54" s="121">
        <v>0</v>
      </c>
    </row>
    <row r="55" spans="2:7" ht="12.75">
      <c r="B55" s="122" t="s">
        <v>341</v>
      </c>
      <c r="C55" s="8" t="s">
        <v>393</v>
      </c>
      <c r="D55" s="8"/>
      <c r="E55" s="3"/>
      <c r="F55" s="295"/>
      <c r="G55" s="124"/>
    </row>
    <row r="56" spans="2:7" ht="17.25" customHeight="1">
      <c r="B56" s="122" t="s">
        <v>343</v>
      </c>
      <c r="C56" s="8" t="s">
        <v>394</v>
      </c>
      <c r="D56" s="8"/>
      <c r="E56" s="3"/>
      <c r="F56" s="295"/>
      <c r="G56" s="124"/>
    </row>
    <row r="57" spans="2:7" ht="13.5" customHeight="1" outlineLevel="1">
      <c r="B57" s="123"/>
      <c r="C57" s="9" t="s">
        <v>420</v>
      </c>
      <c r="D57" s="9"/>
      <c r="E57" s="3"/>
      <c r="F57" s="295"/>
      <c r="G57" s="189"/>
    </row>
    <row r="58" spans="2:7" ht="16.5" customHeight="1">
      <c r="B58" s="118">
        <v>2</v>
      </c>
      <c r="C58" s="2" t="s">
        <v>395</v>
      </c>
      <c r="D58" s="2"/>
      <c r="E58" s="3"/>
      <c r="F58" s="295">
        <f>+SUM(F59)</f>
        <v>0</v>
      </c>
      <c r="G58" s="186">
        <v>0</v>
      </c>
    </row>
    <row r="59" spans="2:7" ht="12.75" outlineLevel="1">
      <c r="B59" s="118"/>
      <c r="C59" s="35">
        <v>4684</v>
      </c>
      <c r="D59" s="180" t="s">
        <v>928</v>
      </c>
      <c r="E59" s="3"/>
      <c r="F59" s="295"/>
      <c r="G59" s="186"/>
    </row>
    <row r="60" spans="2:7" ht="15.75" customHeight="1">
      <c r="B60" s="118">
        <v>3</v>
      </c>
      <c r="C60" s="2" t="s">
        <v>396</v>
      </c>
      <c r="D60" s="2"/>
      <c r="E60" s="3"/>
      <c r="F60" s="301">
        <v>0</v>
      </c>
      <c r="G60" s="149">
        <v>0</v>
      </c>
    </row>
    <row r="61" spans="2:7" ht="17.25" customHeight="1">
      <c r="B61" s="118"/>
      <c r="C61" s="35">
        <v>4631</v>
      </c>
      <c r="D61" s="182" t="s">
        <v>475</v>
      </c>
      <c r="E61" s="34"/>
      <c r="F61" s="301"/>
      <c r="G61" s="149"/>
    </row>
    <row r="62" spans="2:7" ht="16.5" customHeight="1">
      <c r="B62" s="118">
        <v>4</v>
      </c>
      <c r="C62" s="2" t="s">
        <v>397</v>
      </c>
      <c r="D62" s="19"/>
      <c r="E62" s="3"/>
      <c r="F62" s="295"/>
      <c r="G62" s="186"/>
    </row>
    <row r="63" spans="2:7" ht="15.75" customHeight="1">
      <c r="B63" s="187"/>
      <c r="C63" s="188" t="s">
        <v>418</v>
      </c>
      <c r="D63" s="188"/>
      <c r="E63" s="3"/>
      <c r="F63" s="295">
        <f>+F62+F60+F58+F57+F56+F55</f>
        <v>0</v>
      </c>
      <c r="G63" s="314">
        <v>0</v>
      </c>
    </row>
    <row r="64" spans="2:7" ht="14.25" customHeight="1">
      <c r="B64" s="190"/>
      <c r="C64" s="191" t="s">
        <v>426</v>
      </c>
      <c r="D64" s="191"/>
      <c r="E64" s="12"/>
      <c r="F64" s="302">
        <f>+F63+F52</f>
        <v>48950645.69</v>
      </c>
      <c r="G64" s="192">
        <v>50774344.88</v>
      </c>
    </row>
    <row r="65" spans="2:7" ht="16.5" customHeight="1">
      <c r="B65" s="190"/>
      <c r="C65" s="607" t="s">
        <v>908</v>
      </c>
      <c r="D65" s="607"/>
      <c r="E65" s="3"/>
      <c r="F65" s="295"/>
      <c r="G65" s="126"/>
    </row>
    <row r="66" spans="2:7" ht="14.25" customHeight="1">
      <c r="B66" s="128" t="s">
        <v>338</v>
      </c>
      <c r="C66" s="2" t="s">
        <v>398</v>
      </c>
      <c r="D66" s="2"/>
      <c r="E66" s="3"/>
      <c r="F66" s="295"/>
      <c r="G66" s="126"/>
    </row>
    <row r="67" spans="2:7" ht="15" customHeight="1">
      <c r="B67" s="118">
        <v>1</v>
      </c>
      <c r="C67" s="2" t="s">
        <v>399</v>
      </c>
      <c r="D67" s="2"/>
      <c r="E67" s="3"/>
      <c r="F67" s="295"/>
      <c r="G67" s="126"/>
    </row>
    <row r="68" spans="2:7" ht="12.75" outlineLevel="1">
      <c r="B68" s="118">
        <v>2</v>
      </c>
      <c r="C68" s="2" t="s">
        <v>400</v>
      </c>
      <c r="D68" s="2"/>
      <c r="E68" s="3"/>
      <c r="F68" s="295"/>
      <c r="G68" s="126"/>
    </row>
    <row r="69" spans="2:7" ht="12.75" outlineLevel="1">
      <c r="B69" s="118">
        <v>3</v>
      </c>
      <c r="C69" s="2" t="s">
        <v>401</v>
      </c>
      <c r="D69" s="2"/>
      <c r="E69" s="3"/>
      <c r="F69" s="295">
        <f>+F70+F71</f>
        <v>100000</v>
      </c>
      <c r="G69" s="314">
        <v>100000</v>
      </c>
    </row>
    <row r="70" spans="2:7" s="349" customFormat="1" ht="14.25" customHeight="1">
      <c r="B70" s="346"/>
      <c r="C70" s="347">
        <v>101</v>
      </c>
      <c r="D70" s="348" t="s">
        <v>476</v>
      </c>
      <c r="E70" s="113"/>
      <c r="F70" s="303">
        <v>100000</v>
      </c>
      <c r="G70" s="186">
        <v>100000</v>
      </c>
    </row>
    <row r="71" spans="2:7" s="349" customFormat="1" ht="14.25" customHeight="1">
      <c r="B71" s="350"/>
      <c r="C71" s="15">
        <v>102</v>
      </c>
      <c r="D71" s="351" t="s">
        <v>477</v>
      </c>
      <c r="E71" s="29"/>
      <c r="F71" s="298"/>
      <c r="G71" s="186"/>
    </row>
    <row r="72" spans="2:7" s="349" customFormat="1" ht="12.75" outlineLevel="1">
      <c r="B72" s="346">
        <v>4</v>
      </c>
      <c r="C72" s="352" t="s">
        <v>402</v>
      </c>
      <c r="D72" s="353"/>
      <c r="E72" s="3"/>
      <c r="F72" s="295"/>
      <c r="G72" s="124"/>
    </row>
    <row r="73" spans="2:7" s="349" customFormat="1" ht="17.25" customHeight="1">
      <c r="B73" s="346">
        <v>5</v>
      </c>
      <c r="C73" s="352" t="s">
        <v>403</v>
      </c>
      <c r="D73" s="352"/>
      <c r="E73" s="3"/>
      <c r="F73" s="295">
        <f>+F74</f>
        <v>0</v>
      </c>
      <c r="G73" s="124">
        <v>0</v>
      </c>
    </row>
    <row r="74" spans="2:7" s="349" customFormat="1" ht="12.75">
      <c r="B74" s="350"/>
      <c r="C74" s="15">
        <v>103</v>
      </c>
      <c r="D74" s="351" t="s">
        <v>478</v>
      </c>
      <c r="E74" s="29"/>
      <c r="F74" s="298"/>
      <c r="G74" s="125"/>
    </row>
    <row r="75" spans="2:7" s="349" customFormat="1" ht="12.75">
      <c r="B75" s="346">
        <v>6</v>
      </c>
      <c r="C75" s="352" t="s">
        <v>404</v>
      </c>
      <c r="D75" s="353"/>
      <c r="E75" s="3"/>
      <c r="F75" s="295"/>
      <c r="G75" s="126"/>
    </row>
    <row r="76" spans="2:7" s="349" customFormat="1" ht="12.75">
      <c r="B76" s="354" t="s">
        <v>341</v>
      </c>
      <c r="C76" s="355" t="s">
        <v>405</v>
      </c>
      <c r="D76" s="355"/>
      <c r="E76" s="3"/>
      <c r="F76" s="303"/>
      <c r="G76" s="126"/>
    </row>
    <row r="77" spans="2:7" s="349" customFormat="1" ht="13.5" customHeight="1">
      <c r="B77" s="354" t="s">
        <v>343</v>
      </c>
      <c r="C77" s="355" t="s">
        <v>406</v>
      </c>
      <c r="D77" s="355"/>
      <c r="E77" s="3"/>
      <c r="F77" s="303"/>
      <c r="G77" s="126"/>
    </row>
    <row r="78" spans="2:7" s="349" customFormat="1" ht="15.75" customHeight="1">
      <c r="B78" s="354" t="s">
        <v>348</v>
      </c>
      <c r="C78" s="355" t="s">
        <v>407</v>
      </c>
      <c r="D78" s="355"/>
      <c r="E78" s="3"/>
      <c r="F78" s="303"/>
      <c r="G78" s="126"/>
    </row>
    <row r="79" spans="2:7" s="349" customFormat="1" ht="12.75" outlineLevel="1">
      <c r="B79" s="356" t="s">
        <v>421</v>
      </c>
      <c r="C79" s="357" t="s">
        <v>422</v>
      </c>
      <c r="D79" s="357"/>
      <c r="E79" s="3"/>
      <c r="F79" s="295">
        <f>+F78+F77+F76</f>
        <v>0</v>
      </c>
      <c r="G79" s="124">
        <v>0</v>
      </c>
    </row>
    <row r="80" spans="2:7" s="349" customFormat="1" ht="16.5" customHeight="1">
      <c r="B80" s="346">
        <v>7</v>
      </c>
      <c r="C80" s="352" t="s">
        <v>408</v>
      </c>
      <c r="D80" s="352"/>
      <c r="E80" s="3"/>
      <c r="F80" s="295">
        <f>+SUM(F81)</f>
        <v>-11302924.268</v>
      </c>
      <c r="G80" s="314">
        <v>-11346899.83</v>
      </c>
    </row>
    <row r="81" spans="2:7" s="349" customFormat="1" ht="12.75" outlineLevel="1">
      <c r="B81" s="346"/>
      <c r="C81" s="358">
        <v>108</v>
      </c>
      <c r="D81" s="359" t="s">
        <v>479</v>
      </c>
      <c r="E81" s="178"/>
      <c r="F81" s="303">
        <f>G81+G83</f>
        <v>-11302924.268</v>
      </c>
      <c r="G81" s="315">
        <v>-11346899.83</v>
      </c>
    </row>
    <row r="82" spans="2:7" s="349" customFormat="1" ht="12.75">
      <c r="B82" s="346">
        <v>8</v>
      </c>
      <c r="C82" s="352" t="s">
        <v>409</v>
      </c>
      <c r="D82" s="352"/>
      <c r="E82" s="3"/>
      <c r="F82" s="295">
        <f>+SUM(F83)</f>
        <v>78025.45400000029</v>
      </c>
      <c r="G82" s="314">
        <v>43975.562000000704</v>
      </c>
    </row>
    <row r="83" spans="2:7" s="349" customFormat="1" ht="21.75" customHeight="1">
      <c r="B83" s="346"/>
      <c r="C83" s="358">
        <v>109</v>
      </c>
      <c r="D83" s="359" t="s">
        <v>480</v>
      </c>
      <c r="E83" s="178"/>
      <c r="F83" s="304">
        <f>'ARDHURA&amp;SHPENZIME (FORMATI 2)'!D75</f>
        <v>78025.45400000029</v>
      </c>
      <c r="G83" s="321">
        <v>43975.562000000704</v>
      </c>
    </row>
    <row r="84" spans="2:7" ht="13.5" thickBot="1">
      <c r="B84" s="193"/>
      <c r="C84" s="194" t="s">
        <v>424</v>
      </c>
      <c r="D84" s="194"/>
      <c r="E84" s="131"/>
      <c r="F84" s="305">
        <f>+F82+F80+F79+F73+F72+F69</f>
        <v>-11124898.814</v>
      </c>
      <c r="G84" s="322">
        <v>-11202924.268</v>
      </c>
    </row>
    <row r="85" spans="2:7" ht="19.5" customHeight="1" thickBot="1">
      <c r="B85" s="625" t="s">
        <v>410</v>
      </c>
      <c r="C85" s="626"/>
      <c r="D85" s="627"/>
      <c r="E85" s="179"/>
      <c r="F85" s="333">
        <f>+F84+F64</f>
        <v>37825746.876</v>
      </c>
      <c r="G85" s="325">
        <v>40859035</v>
      </c>
    </row>
    <row r="86" spans="2:7" ht="12.75">
      <c r="B86" s="132"/>
      <c r="C86" s="132"/>
      <c r="D86" s="132"/>
      <c r="E86" s="1"/>
      <c r="F86" s="293"/>
      <c r="G86" s="135"/>
    </row>
    <row r="87" spans="2:7" ht="15">
      <c r="B87" s="198"/>
      <c r="C87" s="132"/>
      <c r="D87" s="132"/>
      <c r="E87" s="1"/>
      <c r="F87" s="293"/>
      <c r="G87" s="293"/>
    </row>
    <row r="88" spans="2:7" ht="12.75">
      <c r="B88" s="132"/>
      <c r="C88" s="132"/>
      <c r="D88" s="132"/>
      <c r="E88" s="1"/>
      <c r="F88" s="293"/>
      <c r="G88" s="135"/>
    </row>
  </sheetData>
  <sheetProtection/>
  <mergeCells count="10">
    <mergeCell ref="B85:D85"/>
    <mergeCell ref="C65:D65"/>
    <mergeCell ref="C53:D53"/>
    <mergeCell ref="C10:D10"/>
    <mergeCell ref="B6:G6"/>
    <mergeCell ref="B4:G4"/>
    <mergeCell ref="G8:G9"/>
    <mergeCell ref="E8:E9"/>
    <mergeCell ref="F8:F9"/>
    <mergeCell ref="C8:D9"/>
  </mergeCells>
  <printOptions/>
  <pageMargins left="0.2755905511811024" right="0.1968503937007874" top="0.54" bottom="0.15748031496062992" header="0.17" footer="0.15748031496062992"/>
  <pageSetup horizontalDpi="600" verticalDpi="6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1">
      <selection activeCell="E6" sqref="E6"/>
    </sheetView>
  </sheetViews>
  <sheetFormatPr defaultColWidth="6.57421875" defaultRowHeight="12.75" outlineLevelRow="1"/>
  <cols>
    <col min="1" max="1" width="7.8515625" style="45" customWidth="1"/>
    <col min="2" max="2" width="8.7109375" style="43" customWidth="1"/>
    <col min="3" max="3" width="63.7109375" style="37" customWidth="1"/>
    <col min="4" max="4" width="15.8515625" style="37" customWidth="1"/>
    <col min="5" max="5" width="16.00390625" style="37" customWidth="1"/>
    <col min="6" max="7" width="6.57421875" style="37" customWidth="1"/>
    <col min="8" max="8" width="17.00390625" style="37" bestFit="1" customWidth="1"/>
    <col min="9" max="16384" width="6.57421875" style="37" customWidth="1"/>
  </cols>
  <sheetData>
    <row r="1" ht="12.75">
      <c r="B1" s="38"/>
    </row>
    <row r="2" spans="4:5" ht="12.75">
      <c r="D2" s="138"/>
      <c r="E2" s="138"/>
    </row>
    <row r="3" spans="2:5" ht="12.75">
      <c r="B3" s="134" t="s">
        <v>979</v>
      </c>
      <c r="C3" s="132" t="s">
        <v>980</v>
      </c>
      <c r="D3" s="138"/>
      <c r="E3" s="138"/>
    </row>
    <row r="4" spans="2:5" ht="12.75">
      <c r="B4" s="134" t="s">
        <v>570</v>
      </c>
      <c r="C4" s="132" t="s">
        <v>927</v>
      </c>
      <c r="D4" s="138"/>
      <c r="E4" s="138"/>
    </row>
    <row r="5" spans="2:8" ht="18.75">
      <c r="B5" s="151"/>
      <c r="C5" s="645" t="s">
        <v>483</v>
      </c>
      <c r="D5" s="645"/>
      <c r="E5" s="139"/>
      <c r="F5" s="39"/>
      <c r="G5" s="39"/>
      <c r="H5" s="39"/>
    </row>
    <row r="6" spans="2:5" ht="12.75">
      <c r="B6" s="151"/>
      <c r="C6" s="646" t="s">
        <v>484</v>
      </c>
      <c r="D6" s="646"/>
      <c r="E6" s="138"/>
    </row>
    <row r="7" spans="2:5" ht="12.75">
      <c r="B7" s="151"/>
      <c r="C7" s="138"/>
      <c r="D7" s="138"/>
      <c r="E7" s="138"/>
    </row>
    <row r="8" spans="2:5" ht="12.75" customHeight="1">
      <c r="B8" s="647" t="s">
        <v>1048</v>
      </c>
      <c r="C8" s="647"/>
      <c r="D8" s="647"/>
      <c r="E8" s="647"/>
    </row>
    <row r="9" spans="2:5" ht="13.5" thickBot="1">
      <c r="B9" s="152"/>
      <c r="C9" s="138"/>
      <c r="D9" s="138"/>
      <c r="E9" s="138"/>
    </row>
    <row r="10" spans="2:5" ht="12.75" customHeight="1">
      <c r="B10" s="154" t="s">
        <v>334</v>
      </c>
      <c r="C10" s="639" t="s">
        <v>485</v>
      </c>
      <c r="D10" s="641" t="s">
        <v>1082</v>
      </c>
      <c r="E10" s="643" t="s">
        <v>0</v>
      </c>
    </row>
    <row r="11" spans="2:11" ht="12.75" customHeight="1" thickBot="1">
      <c r="B11" s="155" t="s">
        <v>335</v>
      </c>
      <c r="C11" s="640"/>
      <c r="D11" s="642"/>
      <c r="E11" s="644"/>
      <c r="J11" s="40"/>
      <c r="K11" s="40"/>
    </row>
    <row r="12" spans="1:11" ht="23.25" customHeight="1">
      <c r="A12" s="45" t="s">
        <v>487</v>
      </c>
      <c r="B12" s="154">
        <v>1</v>
      </c>
      <c r="C12" s="145" t="s">
        <v>486</v>
      </c>
      <c r="D12" s="171">
        <f>+SUM(D13:D18)</f>
        <v>6866553.58</v>
      </c>
      <c r="E12" s="171">
        <f>+SUM(E13:E18)</f>
        <v>14597608.3</v>
      </c>
      <c r="I12" s="41"/>
      <c r="K12" s="41"/>
    </row>
    <row r="13" spans="2:11" ht="12.75" outlineLevel="1">
      <c r="B13" s="328">
        <v>701</v>
      </c>
      <c r="C13" s="327" t="s">
        <v>127</v>
      </c>
      <c r="D13" s="174">
        <f>2797874.73-453255</f>
        <v>2344619.73</v>
      </c>
      <c r="E13" s="174">
        <v>4006535.32</v>
      </c>
      <c r="H13" s="515"/>
      <c r="I13" s="41"/>
      <c r="K13" s="41"/>
    </row>
    <row r="14" spans="2:11" ht="12.75" outlineLevel="1">
      <c r="B14" s="328">
        <v>703</v>
      </c>
      <c r="C14" s="327" t="s">
        <v>1083</v>
      </c>
      <c r="D14" s="174">
        <v>424520.62</v>
      </c>
      <c r="E14" s="174"/>
      <c r="H14" s="515"/>
      <c r="I14" s="41"/>
      <c r="K14" s="41"/>
    </row>
    <row r="15" spans="2:11" ht="12.75" outlineLevel="1">
      <c r="B15" s="328">
        <v>704</v>
      </c>
      <c r="C15" s="327" t="s">
        <v>569</v>
      </c>
      <c r="D15" s="174">
        <v>1666.67</v>
      </c>
      <c r="E15" s="174">
        <v>8393.34</v>
      </c>
      <c r="I15" s="41"/>
      <c r="K15" s="41"/>
    </row>
    <row r="16" spans="2:11" ht="12.75" outlineLevel="1">
      <c r="B16" s="146" t="s">
        <v>488</v>
      </c>
      <c r="C16" s="141" t="s">
        <v>489</v>
      </c>
      <c r="D16" s="174">
        <f>2744315.14+453255</f>
        <v>3197570.14</v>
      </c>
      <c r="E16" s="174">
        <v>2996350.66</v>
      </c>
      <c r="H16" s="345"/>
      <c r="I16" s="41"/>
      <c r="K16" s="41"/>
    </row>
    <row r="17" spans="2:11" ht="12.75" outlineLevel="1">
      <c r="B17" s="148">
        <v>7521</v>
      </c>
      <c r="C17" s="141" t="s">
        <v>128</v>
      </c>
      <c r="D17" s="174">
        <v>895896</v>
      </c>
      <c r="E17" s="174">
        <v>7584172.02</v>
      </c>
      <c r="I17" s="41"/>
      <c r="K17" s="41"/>
    </row>
    <row r="18" spans="2:11" ht="12.75" outlineLevel="1">
      <c r="B18" s="148">
        <v>7581</v>
      </c>
      <c r="C18" s="141" t="s">
        <v>129</v>
      </c>
      <c r="D18" s="174">
        <v>2280.42</v>
      </c>
      <c r="E18" s="174">
        <v>2156.96</v>
      </c>
      <c r="H18" s="47"/>
      <c r="I18" s="41"/>
      <c r="K18" s="41"/>
    </row>
    <row r="19" spans="1:11" ht="27.75" customHeight="1">
      <c r="A19" s="45" t="s">
        <v>491</v>
      </c>
      <c r="B19" s="156">
        <v>2</v>
      </c>
      <c r="C19" s="140" t="s">
        <v>490</v>
      </c>
      <c r="D19" s="10">
        <f>+SUM(D20:D27)</f>
        <v>3224216.1999999997</v>
      </c>
      <c r="E19" s="10">
        <f>+SUM(E20:E27)</f>
        <v>3915809.6</v>
      </c>
      <c r="I19" s="41"/>
      <c r="K19" s="41"/>
    </row>
    <row r="20" spans="2:11" ht="12.75" outlineLevel="1">
      <c r="B20" s="176" t="s">
        <v>492</v>
      </c>
      <c r="C20" s="141" t="s">
        <v>1</v>
      </c>
      <c r="D20" s="174">
        <v>646377.47</v>
      </c>
      <c r="E20" s="174">
        <v>1055741.1</v>
      </c>
      <c r="I20" s="41"/>
      <c r="K20" s="41"/>
    </row>
    <row r="21" spans="2:11" ht="12.75" outlineLevel="1">
      <c r="B21" s="176" t="s">
        <v>493</v>
      </c>
      <c r="C21" s="141" t="s">
        <v>2</v>
      </c>
      <c r="D21" s="174"/>
      <c r="E21" s="174">
        <v>331592.08</v>
      </c>
      <c r="I21" s="41"/>
      <c r="K21" s="41"/>
    </row>
    <row r="22" spans="2:11" ht="12.75" outlineLevel="1">
      <c r="B22" s="176" t="s">
        <v>494</v>
      </c>
      <c r="C22" s="141" t="s">
        <v>495</v>
      </c>
      <c r="D22" s="174"/>
      <c r="E22" s="174"/>
      <c r="I22" s="41"/>
      <c r="K22" s="41"/>
    </row>
    <row r="23" spans="2:11" ht="12.75" outlineLevel="1">
      <c r="B23" s="176" t="s">
        <v>496</v>
      </c>
      <c r="C23" s="141" t="s">
        <v>497</v>
      </c>
      <c r="D23" s="174">
        <v>329459.96</v>
      </c>
      <c r="E23" s="174">
        <v>86262.62</v>
      </c>
      <c r="H23" s="345"/>
      <c r="I23" s="41"/>
      <c r="K23" s="41"/>
    </row>
    <row r="24" spans="2:11" ht="12.75" outlineLevel="1">
      <c r="B24" s="176" t="s">
        <v>498</v>
      </c>
      <c r="C24" s="141" t="s">
        <v>499</v>
      </c>
      <c r="D24" s="174"/>
      <c r="E24" s="174">
        <v>284253.5</v>
      </c>
      <c r="I24" s="41"/>
      <c r="K24" s="41"/>
    </row>
    <row r="25" spans="2:11" ht="12.75" outlineLevel="1">
      <c r="B25" s="567">
        <v>6033</v>
      </c>
      <c r="C25" s="141" t="s">
        <v>1084</v>
      </c>
      <c r="D25" s="174">
        <v>289755.31</v>
      </c>
      <c r="E25" s="174"/>
      <c r="I25" s="41"/>
      <c r="K25" s="41"/>
    </row>
    <row r="26" spans="2:11" ht="12.75" outlineLevel="1">
      <c r="B26" s="176" t="s">
        <v>500</v>
      </c>
      <c r="C26" s="141" t="s">
        <v>501</v>
      </c>
      <c r="D26" s="174">
        <v>1985576.27</v>
      </c>
      <c r="E26" s="174">
        <v>1604677.91</v>
      </c>
      <c r="I26" s="41"/>
      <c r="K26" s="41"/>
    </row>
    <row r="27" spans="2:11" ht="12.75" outlineLevel="1">
      <c r="B27" s="176" t="s">
        <v>502</v>
      </c>
      <c r="C27" s="141" t="s">
        <v>503</v>
      </c>
      <c r="D27" s="174">
        <v>-26952.81</v>
      </c>
      <c r="E27" s="174">
        <v>553282.39</v>
      </c>
      <c r="I27" s="41"/>
      <c r="K27" s="41"/>
    </row>
    <row r="28" spans="2:11" ht="19.5" customHeight="1">
      <c r="B28" s="156">
        <v>3</v>
      </c>
      <c r="C28" s="164" t="s">
        <v>504</v>
      </c>
      <c r="D28" s="10">
        <f>+D12-D19</f>
        <v>3642337.3800000004</v>
      </c>
      <c r="E28" s="10">
        <f>+E12-E19</f>
        <v>10681798.700000001</v>
      </c>
      <c r="H28" s="47"/>
      <c r="I28" s="41"/>
      <c r="K28" s="41"/>
    </row>
    <row r="29" spans="2:11" ht="30.75" customHeight="1">
      <c r="B29" s="156">
        <v>4</v>
      </c>
      <c r="C29" s="140" t="s">
        <v>505</v>
      </c>
      <c r="D29" s="10"/>
      <c r="E29" s="10"/>
      <c r="I29" s="41"/>
      <c r="K29" s="41"/>
    </row>
    <row r="30" spans="2:11" ht="12.75" outlineLevel="1">
      <c r="B30" s="157">
        <v>654</v>
      </c>
      <c r="C30" s="142" t="s">
        <v>506</v>
      </c>
      <c r="D30" s="10"/>
      <c r="E30" s="10"/>
      <c r="I30" s="41"/>
      <c r="K30" s="41"/>
    </row>
    <row r="31" spans="2:11" ht="25.5" customHeight="1">
      <c r="B31" s="156">
        <v>5</v>
      </c>
      <c r="C31" s="140" t="s">
        <v>507</v>
      </c>
      <c r="D31" s="10">
        <f>+SUM(D32:D34)</f>
        <v>2819922</v>
      </c>
      <c r="E31" s="10">
        <f>+SUM(E32:E34)</f>
        <v>3049435</v>
      </c>
      <c r="I31" s="41"/>
      <c r="K31" s="41"/>
    </row>
    <row r="32" spans="2:11" ht="12.75" outlineLevel="1">
      <c r="B32" s="158" t="s">
        <v>508</v>
      </c>
      <c r="C32" s="141" t="s">
        <v>509</v>
      </c>
      <c r="D32" s="174">
        <v>2295140</v>
      </c>
      <c r="E32" s="174">
        <v>2613054</v>
      </c>
      <c r="I32" s="41"/>
      <c r="K32" s="41"/>
    </row>
    <row r="33" spans="2:11" ht="12.75" outlineLevel="1">
      <c r="B33" s="158" t="s">
        <v>510</v>
      </c>
      <c r="C33" s="141" t="s">
        <v>511</v>
      </c>
      <c r="D33" s="174">
        <v>524782</v>
      </c>
      <c r="E33" s="174">
        <v>436381</v>
      </c>
      <c r="I33" s="41"/>
      <c r="K33" s="41"/>
    </row>
    <row r="34" spans="2:11" ht="12.75" outlineLevel="1">
      <c r="B34" s="158" t="s">
        <v>512</v>
      </c>
      <c r="C34" s="141" t="s">
        <v>513</v>
      </c>
      <c r="D34" s="174"/>
      <c r="E34" s="174"/>
      <c r="I34" s="41"/>
      <c r="K34" s="41"/>
    </row>
    <row r="35" spans="1:11" ht="28.5" customHeight="1">
      <c r="A35" s="49" t="s">
        <v>515</v>
      </c>
      <c r="B35" s="156">
        <v>6</v>
      </c>
      <c r="C35" s="140" t="s">
        <v>514</v>
      </c>
      <c r="D35" s="10"/>
      <c r="E35" s="10"/>
      <c r="I35" s="41"/>
      <c r="K35" s="41"/>
    </row>
    <row r="36" spans="1:11" ht="12.75" outlineLevel="1">
      <c r="A36" s="48"/>
      <c r="B36" s="146" t="s">
        <v>516</v>
      </c>
      <c r="C36" s="142" t="s">
        <v>517</v>
      </c>
      <c r="D36" s="10"/>
      <c r="E36" s="10"/>
      <c r="I36" s="41"/>
      <c r="K36" s="41"/>
    </row>
    <row r="37" spans="2:11" ht="30.75" customHeight="1">
      <c r="B37" s="156">
        <v>7</v>
      </c>
      <c r="C37" s="140" t="s">
        <v>518</v>
      </c>
      <c r="D37" s="10">
        <f>+SUM(D38:D58)</f>
        <v>1451015.81</v>
      </c>
      <c r="E37" s="10">
        <f>+SUM(E38:E58)</f>
        <v>7529086.11</v>
      </c>
      <c r="I37" s="41"/>
      <c r="K37" s="41"/>
    </row>
    <row r="38" spans="2:11" ht="12.75" outlineLevel="1">
      <c r="B38" s="146" t="s">
        <v>519</v>
      </c>
      <c r="C38" s="173" t="s">
        <v>520</v>
      </c>
      <c r="D38" s="114"/>
      <c r="E38" s="114"/>
      <c r="I38" s="41"/>
      <c r="K38" s="41"/>
    </row>
    <row r="39" spans="2:11" ht="12.75" outlineLevel="1">
      <c r="B39" s="147" t="s">
        <v>521</v>
      </c>
      <c r="C39" s="143" t="s">
        <v>522</v>
      </c>
      <c r="D39" s="114"/>
      <c r="E39" s="114"/>
      <c r="I39" s="41"/>
      <c r="K39" s="41"/>
    </row>
    <row r="40" spans="2:11" ht="12.75" outlineLevel="1">
      <c r="B40" s="146" t="s">
        <v>523</v>
      </c>
      <c r="C40" s="173" t="s">
        <v>524</v>
      </c>
      <c r="D40" s="174"/>
      <c r="E40" s="174">
        <v>220662</v>
      </c>
      <c r="I40" s="41"/>
      <c r="K40" s="41"/>
    </row>
    <row r="41" spans="2:11" ht="12.75" outlineLevel="1">
      <c r="B41" s="146" t="s">
        <v>525</v>
      </c>
      <c r="C41" s="173" t="s">
        <v>526</v>
      </c>
      <c r="D41" s="174">
        <v>10100</v>
      </c>
      <c r="E41" s="174">
        <v>13984</v>
      </c>
      <c r="I41" s="41"/>
      <c r="K41" s="41"/>
    </row>
    <row r="42" spans="2:11" ht="12.75" outlineLevel="1">
      <c r="B42" s="146" t="s">
        <v>527</v>
      </c>
      <c r="C42" s="173" t="s">
        <v>528</v>
      </c>
      <c r="D42" s="174">
        <v>19020</v>
      </c>
      <c r="E42" s="174">
        <v>46796</v>
      </c>
      <c r="I42" s="41"/>
      <c r="K42" s="41"/>
    </row>
    <row r="43" spans="2:11" ht="12.75" outlineLevel="1">
      <c r="B43" s="148">
        <v>618</v>
      </c>
      <c r="C43" s="173" t="s">
        <v>131</v>
      </c>
      <c r="D43" s="174">
        <v>21500</v>
      </c>
      <c r="E43" s="174"/>
      <c r="I43" s="41"/>
      <c r="K43" s="41"/>
    </row>
    <row r="44" spans="2:11" ht="12.75" outlineLevel="1">
      <c r="B44" s="148">
        <v>6181</v>
      </c>
      <c r="C44" s="173" t="s">
        <v>132</v>
      </c>
      <c r="D44" s="174">
        <v>11395.21</v>
      </c>
      <c r="E44" s="174">
        <v>4179.3</v>
      </c>
      <c r="I44" s="41"/>
      <c r="K44" s="41"/>
    </row>
    <row r="45" spans="2:11" ht="12.75" outlineLevel="1">
      <c r="B45" s="146" t="s">
        <v>529</v>
      </c>
      <c r="C45" s="173" t="s">
        <v>530</v>
      </c>
      <c r="D45" s="174">
        <v>4666.67</v>
      </c>
      <c r="E45" s="174">
        <v>6324.93</v>
      </c>
      <c r="I45" s="41"/>
      <c r="K45" s="41"/>
    </row>
    <row r="46" spans="2:11" ht="12.75" outlineLevel="1">
      <c r="B46" s="148">
        <v>6185</v>
      </c>
      <c r="C46" s="173" t="s">
        <v>137</v>
      </c>
      <c r="D46" s="174"/>
      <c r="E46" s="174"/>
      <c r="I46" s="41"/>
      <c r="K46" s="41"/>
    </row>
    <row r="47" spans="2:11" ht="12.75" outlineLevel="1">
      <c r="B47" s="148">
        <v>624</v>
      </c>
      <c r="C47" s="173" t="s">
        <v>136</v>
      </c>
      <c r="D47" s="174"/>
      <c r="E47" s="174">
        <v>18999.5</v>
      </c>
      <c r="I47" s="41"/>
      <c r="K47" s="41"/>
    </row>
    <row r="48" spans="2:11" ht="12.75" outlineLevel="1">
      <c r="B48" s="146" t="s">
        <v>531</v>
      </c>
      <c r="C48" s="173" t="s">
        <v>532</v>
      </c>
      <c r="D48" s="174">
        <v>92935.73</v>
      </c>
      <c r="E48" s="174">
        <v>333792.85</v>
      </c>
      <c r="I48" s="41"/>
      <c r="K48" s="41"/>
    </row>
    <row r="49" spans="2:11" ht="12.75" outlineLevel="1">
      <c r="B49" s="146" t="s">
        <v>533</v>
      </c>
      <c r="C49" s="173" t="s">
        <v>534</v>
      </c>
      <c r="D49" s="174"/>
      <c r="E49" s="174">
        <v>42000</v>
      </c>
      <c r="I49" s="41"/>
      <c r="K49" s="41"/>
    </row>
    <row r="50" spans="2:11" ht="12.75" outlineLevel="1">
      <c r="B50" s="146" t="s">
        <v>535</v>
      </c>
      <c r="C50" s="173" t="s">
        <v>536</v>
      </c>
      <c r="D50" s="174">
        <v>87054.51</v>
      </c>
      <c r="E50" s="174">
        <v>72280.64</v>
      </c>
      <c r="I50" s="41"/>
      <c r="K50" s="41"/>
    </row>
    <row r="51" spans="2:11" ht="12.75" outlineLevel="1">
      <c r="B51" s="146" t="s">
        <v>537</v>
      </c>
      <c r="C51" s="173" t="s">
        <v>538</v>
      </c>
      <c r="D51" s="174">
        <v>28800</v>
      </c>
      <c r="E51" s="174">
        <v>28500</v>
      </c>
      <c r="I51" s="41"/>
      <c r="K51" s="41"/>
    </row>
    <row r="52" spans="2:11" ht="12.75" outlineLevel="1">
      <c r="B52" s="148">
        <v>6383</v>
      </c>
      <c r="C52" s="173" t="s">
        <v>3</v>
      </c>
      <c r="D52" s="174"/>
      <c r="E52" s="174">
        <v>2220</v>
      </c>
      <c r="I52" s="41"/>
      <c r="K52" s="41"/>
    </row>
    <row r="53" spans="2:11" ht="12.75" outlineLevel="1">
      <c r="B53" s="148">
        <v>6384</v>
      </c>
      <c r="C53" s="173" t="s">
        <v>135</v>
      </c>
      <c r="D53" s="174"/>
      <c r="E53" s="174"/>
      <c r="I53" s="41"/>
      <c r="K53" s="41"/>
    </row>
    <row r="54" spans="2:11" ht="12.75" outlineLevel="1">
      <c r="B54" s="148">
        <v>652</v>
      </c>
      <c r="C54" s="173" t="s">
        <v>134</v>
      </c>
      <c r="D54" s="174">
        <v>788062.08</v>
      </c>
      <c r="E54" s="174">
        <v>4877000.95</v>
      </c>
      <c r="I54" s="41"/>
      <c r="K54" s="41"/>
    </row>
    <row r="55" spans="2:11" ht="12.75" outlineLevel="1">
      <c r="B55" s="148">
        <v>654</v>
      </c>
      <c r="C55" s="173" t="s">
        <v>133</v>
      </c>
      <c r="D55" s="174"/>
      <c r="E55" s="174"/>
      <c r="H55" s="47"/>
      <c r="I55" s="41"/>
      <c r="K55" s="41"/>
    </row>
    <row r="56" spans="2:11" ht="12.75" outlineLevel="1">
      <c r="B56" s="146" t="s">
        <v>539</v>
      </c>
      <c r="C56" s="173" t="s">
        <v>540</v>
      </c>
      <c r="D56" s="174">
        <v>22971.3</v>
      </c>
      <c r="E56" s="174">
        <v>69969.11</v>
      </c>
      <c r="I56" s="41"/>
      <c r="K56" s="41"/>
    </row>
    <row r="57" spans="2:11" ht="12.75" outlineLevel="1">
      <c r="B57" s="148">
        <v>668</v>
      </c>
      <c r="C57" s="173" t="s">
        <v>138</v>
      </c>
      <c r="D57" s="174">
        <v>-254602.69</v>
      </c>
      <c r="E57" s="174">
        <v>886096.83</v>
      </c>
      <c r="I57" s="41"/>
      <c r="K57" s="41"/>
    </row>
    <row r="58" spans="2:11" ht="12.75" outlineLevel="1">
      <c r="B58" s="148">
        <v>681</v>
      </c>
      <c r="C58" s="174" t="s">
        <v>922</v>
      </c>
      <c r="D58" s="174">
        <v>619113</v>
      </c>
      <c r="E58" s="174">
        <v>906280</v>
      </c>
      <c r="I58" s="41"/>
      <c r="K58" s="41"/>
    </row>
    <row r="59" spans="2:11" ht="18" customHeight="1">
      <c r="B59" s="156">
        <v>8</v>
      </c>
      <c r="C59" s="164" t="s">
        <v>541</v>
      </c>
      <c r="D59" s="11">
        <f>+D28-D29-D31+D35-D37</f>
        <v>-628600.4299999997</v>
      </c>
      <c r="E59" s="11">
        <f>+E28-E29-E31+E35-E37</f>
        <v>103277.59000000078</v>
      </c>
      <c r="I59" s="41"/>
      <c r="K59" s="41"/>
    </row>
    <row r="60" spans="1:11" ht="18" customHeight="1">
      <c r="A60" s="44" t="s">
        <v>543</v>
      </c>
      <c r="B60" s="156">
        <v>9</v>
      </c>
      <c r="C60" s="140" t="s">
        <v>542</v>
      </c>
      <c r="D60" s="10"/>
      <c r="E60" s="10"/>
      <c r="I60" s="41"/>
      <c r="K60" s="41"/>
    </row>
    <row r="61" spans="1:11" ht="18.75" customHeight="1">
      <c r="A61" s="44" t="s">
        <v>545</v>
      </c>
      <c r="B61" s="156">
        <v>10</v>
      </c>
      <c r="C61" s="140" t="s">
        <v>544</v>
      </c>
      <c r="D61" s="10"/>
      <c r="E61" s="10"/>
      <c r="I61" s="41"/>
      <c r="K61" s="41"/>
    </row>
    <row r="62" spans="1:5" ht="20.25" customHeight="1">
      <c r="A62" s="44" t="s">
        <v>549</v>
      </c>
      <c r="B62" s="156">
        <v>11</v>
      </c>
      <c r="C62" s="140" t="s">
        <v>546</v>
      </c>
      <c r="D62" s="10"/>
      <c r="E62" s="10"/>
    </row>
    <row r="63" spans="1:11" ht="24" customHeight="1">
      <c r="A63" s="44" t="s">
        <v>552</v>
      </c>
      <c r="B63" s="156" t="s">
        <v>547</v>
      </c>
      <c r="C63" s="140" t="s">
        <v>548</v>
      </c>
      <c r="D63" s="10"/>
      <c r="E63" s="10"/>
      <c r="I63" s="41"/>
      <c r="K63" s="41"/>
    </row>
    <row r="64" spans="1:11" ht="21" customHeight="1">
      <c r="A64" s="44" t="s">
        <v>552</v>
      </c>
      <c r="B64" s="156" t="s">
        <v>550</v>
      </c>
      <c r="C64" s="140" t="s">
        <v>551</v>
      </c>
      <c r="D64" s="10">
        <f>+D65-D66</f>
        <v>-36.57000000000001</v>
      </c>
      <c r="E64" s="10">
        <f>+E65-E66</f>
        <v>-2.1800000000000006</v>
      </c>
      <c r="I64" s="41"/>
      <c r="K64" s="41"/>
    </row>
    <row r="65" spans="2:11" ht="12.75" outlineLevel="1">
      <c r="B65" s="146" t="s">
        <v>553</v>
      </c>
      <c r="C65" s="173" t="s">
        <v>554</v>
      </c>
      <c r="D65" s="174">
        <v>10.95</v>
      </c>
      <c r="E65" s="174">
        <v>7.89</v>
      </c>
      <c r="I65" s="41"/>
      <c r="K65" s="41"/>
    </row>
    <row r="66" spans="2:11" ht="12.75" outlineLevel="1">
      <c r="B66" s="148">
        <v>667</v>
      </c>
      <c r="C66" s="175" t="s">
        <v>555</v>
      </c>
      <c r="D66" s="174">
        <v>47.52</v>
      </c>
      <c r="E66" s="174">
        <v>10.07</v>
      </c>
      <c r="H66" s="47"/>
      <c r="I66" s="41"/>
      <c r="K66" s="41"/>
    </row>
    <row r="67" spans="1:11" ht="22.5" customHeight="1">
      <c r="A67" s="46" t="s">
        <v>558</v>
      </c>
      <c r="B67" s="156" t="s">
        <v>556</v>
      </c>
      <c r="C67" s="140" t="s">
        <v>557</v>
      </c>
      <c r="D67" s="10">
        <f>D68-D69</f>
        <v>52456.46</v>
      </c>
      <c r="E67" s="10">
        <f>E68-E69</f>
        <v>-37621.96</v>
      </c>
      <c r="I67" s="41"/>
      <c r="K67" s="41"/>
    </row>
    <row r="68" spans="2:11" ht="12.75" outlineLevel="1">
      <c r="B68" s="146" t="s">
        <v>559</v>
      </c>
      <c r="C68" s="173" t="s">
        <v>560</v>
      </c>
      <c r="D68" s="174">
        <v>60676.09</v>
      </c>
      <c r="E68" s="174">
        <v>1215.87</v>
      </c>
      <c r="I68" s="41"/>
      <c r="K68" s="41"/>
    </row>
    <row r="69" spans="2:11" ht="12.75" outlineLevel="1">
      <c r="B69" s="148">
        <v>669</v>
      </c>
      <c r="C69" s="173" t="s">
        <v>130</v>
      </c>
      <c r="D69" s="174">
        <v>8219.63</v>
      </c>
      <c r="E69" s="174">
        <v>38837.83</v>
      </c>
      <c r="I69" s="41"/>
      <c r="K69" s="41"/>
    </row>
    <row r="70" spans="1:11" ht="22.5" customHeight="1">
      <c r="A70" s="44" t="s">
        <v>563</v>
      </c>
      <c r="B70" s="159" t="s">
        <v>561</v>
      </c>
      <c r="C70" s="140" t="s">
        <v>562</v>
      </c>
      <c r="D70" s="10">
        <v>700000</v>
      </c>
      <c r="E70" s="10"/>
      <c r="I70" s="41"/>
      <c r="K70" s="41"/>
    </row>
    <row r="71" spans="2:11" ht="25.5" customHeight="1">
      <c r="B71" s="160"/>
      <c r="C71" s="144" t="s">
        <v>564</v>
      </c>
      <c r="D71" s="10">
        <f>+D70+D67+D64+D63</f>
        <v>752419.89</v>
      </c>
      <c r="E71" s="10">
        <f>+E70+E67+E64+E63</f>
        <v>-37624.14</v>
      </c>
      <c r="I71" s="41"/>
      <c r="K71" s="41"/>
    </row>
    <row r="72" spans="2:11" ht="30.75" customHeight="1">
      <c r="B72" s="156">
        <v>12</v>
      </c>
      <c r="C72" s="162" t="s">
        <v>565</v>
      </c>
      <c r="D72" s="10">
        <f>+D71+D62+D61+D60</f>
        <v>752419.89</v>
      </c>
      <c r="E72" s="10">
        <f>+E71+E62+E61+E60</f>
        <v>-37624.14</v>
      </c>
      <c r="I72" s="41"/>
      <c r="K72" s="41"/>
    </row>
    <row r="73" spans="2:11" ht="19.5" customHeight="1">
      <c r="B73" s="156">
        <v>13</v>
      </c>
      <c r="C73" s="163" t="s">
        <v>566</v>
      </c>
      <c r="D73" s="11">
        <f>+D59+D72</f>
        <v>123819.46000000031</v>
      </c>
      <c r="E73" s="11">
        <f>+E59+E72</f>
        <v>65653.45000000078</v>
      </c>
      <c r="I73" s="42"/>
      <c r="K73" s="42"/>
    </row>
    <row r="74" spans="1:11" ht="28.5" customHeight="1">
      <c r="A74" s="45">
        <v>69</v>
      </c>
      <c r="B74" s="156">
        <v>14</v>
      </c>
      <c r="C74" s="140" t="s">
        <v>567</v>
      </c>
      <c r="D74" s="10">
        <f>(D73+D56+311149.3)*10%</f>
        <v>45794.00600000003</v>
      </c>
      <c r="E74" s="10">
        <f>(E73+E56+81156.32)*10%</f>
        <v>21677.88800000008</v>
      </c>
      <c r="I74" s="42"/>
      <c r="K74" s="42"/>
    </row>
    <row r="75" spans="2:11" ht="22.5" customHeight="1" thickBot="1">
      <c r="B75" s="161">
        <v>15</v>
      </c>
      <c r="C75" s="150" t="s">
        <v>568</v>
      </c>
      <c r="D75" s="172">
        <f>+D73-D74</f>
        <v>78025.45400000029</v>
      </c>
      <c r="E75" s="172">
        <f>+E73-E74</f>
        <v>43975.562000000704</v>
      </c>
      <c r="I75" s="42"/>
      <c r="K75" s="42"/>
    </row>
    <row r="76" spans="2:5" ht="12.75">
      <c r="B76" s="153"/>
      <c r="C76" s="138"/>
      <c r="D76" s="138"/>
      <c r="E76" s="138"/>
    </row>
    <row r="77" spans="2:5" ht="12.75">
      <c r="B77" s="153"/>
      <c r="C77" s="138"/>
      <c r="D77" s="138"/>
      <c r="E77" s="138"/>
    </row>
    <row r="78" spans="2:5" ht="12.75">
      <c r="B78" s="153"/>
      <c r="C78" s="138"/>
      <c r="D78" s="488"/>
      <c r="E78" s="138"/>
    </row>
    <row r="79" spans="2:5" ht="12.75">
      <c r="B79" s="153"/>
      <c r="C79" s="138"/>
      <c r="D79" s="138"/>
      <c r="E79" s="138"/>
    </row>
    <row r="80" spans="2:5" ht="12.75">
      <c r="B80" s="153"/>
      <c r="C80" s="138"/>
      <c r="D80" s="138"/>
      <c r="E80" s="138"/>
    </row>
    <row r="81" spans="2:5" ht="12.75">
      <c r="B81" s="153"/>
      <c r="C81" s="138"/>
      <c r="D81" s="138"/>
      <c r="E81" s="138"/>
    </row>
    <row r="82" spans="2:5" ht="12.75">
      <c r="B82" s="153"/>
      <c r="C82" s="138"/>
      <c r="D82" s="138"/>
      <c r="E82" s="138"/>
    </row>
    <row r="83" spans="2:5" ht="12.75">
      <c r="B83" s="153"/>
      <c r="C83" s="138"/>
      <c r="D83" s="138"/>
      <c r="E83" s="138"/>
    </row>
    <row r="84" spans="2:5" ht="12.75">
      <c r="B84" s="153"/>
      <c r="C84" s="138"/>
      <c r="D84" s="138"/>
      <c r="E84" s="138"/>
    </row>
    <row r="85" spans="2:5" ht="12.75">
      <c r="B85" s="153"/>
      <c r="C85" s="138"/>
      <c r="D85" s="138"/>
      <c r="E85" s="138"/>
    </row>
    <row r="86" spans="2:5" ht="12.75">
      <c r="B86" s="153"/>
      <c r="C86" s="138"/>
      <c r="D86" s="138"/>
      <c r="E86" s="138"/>
    </row>
    <row r="87" spans="2:5" ht="12.75">
      <c r="B87" s="153"/>
      <c r="C87" s="138"/>
      <c r="D87" s="138"/>
      <c r="E87" s="138"/>
    </row>
  </sheetData>
  <sheetProtection/>
  <mergeCells count="6">
    <mergeCell ref="C10:C11"/>
    <mergeCell ref="D10:D11"/>
    <mergeCell ref="E10:E11"/>
    <mergeCell ref="C5:D5"/>
    <mergeCell ref="C6:D6"/>
    <mergeCell ref="B8:E8"/>
  </mergeCells>
  <printOptions/>
  <pageMargins left="0.69" right="0.15748031496062992" top="0.25" bottom="0.984251968503937" header="0.32" footer="0.5118110236220472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41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.7109375" style="37" customWidth="1"/>
    <col min="2" max="2" width="58.28125" style="37" customWidth="1"/>
    <col min="3" max="3" width="13.57421875" style="37" customWidth="1"/>
    <col min="4" max="4" width="9.140625" style="37" customWidth="1"/>
    <col min="5" max="5" width="14.28125" style="37" bestFit="1" customWidth="1"/>
    <col min="6" max="16384" width="9.140625" style="37" customWidth="1"/>
  </cols>
  <sheetData>
    <row r="1" spans="2:3" ht="12.75">
      <c r="B1" s="648"/>
      <c r="C1" s="648"/>
    </row>
    <row r="2" spans="2:3" ht="12.75">
      <c r="B2" s="578"/>
      <c r="C2" s="578"/>
    </row>
    <row r="3" spans="2:3" ht="13.5" thickBot="1">
      <c r="B3" s="649"/>
      <c r="C3" s="649"/>
    </row>
    <row r="4" spans="2:3" ht="12.75" customHeight="1">
      <c r="B4" s="650" t="s">
        <v>1097</v>
      </c>
      <c r="C4" s="652">
        <v>2012</v>
      </c>
    </row>
    <row r="5" spans="2:3" ht="12.75">
      <c r="B5" s="651"/>
      <c r="C5" s="653"/>
    </row>
    <row r="6" spans="2:3" ht="12.75">
      <c r="B6" s="579" t="s">
        <v>909</v>
      </c>
      <c r="C6" s="587"/>
    </row>
    <row r="7" spans="2:3" ht="12.75">
      <c r="B7" s="580" t="s">
        <v>1098</v>
      </c>
      <c r="C7" s="588">
        <f>'ARDHURA&amp;SHPENZIME (FORMATI 2)'!D73</f>
        <v>123819.46000000031</v>
      </c>
    </row>
    <row r="8" spans="2:3" ht="12.75">
      <c r="B8" s="580" t="s">
        <v>1099</v>
      </c>
      <c r="C8" s="588"/>
    </row>
    <row r="9" spans="2:3" ht="12.75">
      <c r="B9" s="580" t="s">
        <v>1100</v>
      </c>
      <c r="C9" s="588">
        <f>'ARDHURA&amp;SHPENZIME (FORMATI 2)'!D58</f>
        <v>619113</v>
      </c>
    </row>
    <row r="10" spans="2:3" ht="12.75">
      <c r="B10" s="580" t="s">
        <v>1101</v>
      </c>
      <c r="C10" s="588">
        <f>'ARDHURA&amp;SHPENZIME (FORMATI 2)'!D69-'ARDHURA&amp;SHPENZIME (FORMATI 2)'!D68</f>
        <v>-52456.46</v>
      </c>
    </row>
    <row r="11" spans="2:3" ht="12.75">
      <c r="B11" s="580" t="s">
        <v>1102</v>
      </c>
      <c r="C11" s="588"/>
    </row>
    <row r="12" spans="2:3" ht="12.75">
      <c r="B12" s="580" t="s">
        <v>1103</v>
      </c>
      <c r="C12" s="588"/>
    </row>
    <row r="13" spans="2:5" ht="27" customHeight="1">
      <c r="B13" s="581" t="s">
        <v>1104</v>
      </c>
      <c r="C13" s="589">
        <f>'AKTIV '!G36-'AKTIV '!F36</f>
        <v>2140708.4359999998</v>
      </c>
      <c r="E13" s="345"/>
    </row>
    <row r="14" spans="2:3" ht="12.75">
      <c r="B14" s="580" t="s">
        <v>1105</v>
      </c>
      <c r="C14" s="588">
        <f>'AKTIV '!G45-'AKTIV '!F45</f>
        <v>287256.77</v>
      </c>
    </row>
    <row r="15" spans="2:3" ht="12.75">
      <c r="B15" s="581" t="s">
        <v>1106</v>
      </c>
      <c r="C15" s="589">
        <f>'PASIV '!F49-'PASIV '!G49</f>
        <v>-5446006.689999998</v>
      </c>
    </row>
    <row r="16" spans="2:3" ht="12.75">
      <c r="B16" s="582" t="s">
        <v>1107</v>
      </c>
      <c r="C16" s="590"/>
    </row>
    <row r="17" spans="2:3" ht="12.75">
      <c r="B17" s="580" t="s">
        <v>572</v>
      </c>
      <c r="C17" s="588"/>
    </row>
    <row r="18" spans="2:3" ht="12.75">
      <c r="B18" s="580" t="s">
        <v>1108</v>
      </c>
      <c r="C18" s="588"/>
    </row>
    <row r="19" spans="2:3" ht="12.75">
      <c r="B19" s="582" t="s">
        <v>1109</v>
      </c>
      <c r="C19" s="591">
        <f>SUM(C6:C18)</f>
        <v>-2327565.4839999974</v>
      </c>
    </row>
    <row r="20" spans="2:3" ht="12.75">
      <c r="B20" s="579"/>
      <c r="C20" s="587"/>
    </row>
    <row r="21" spans="2:3" ht="12.75">
      <c r="B21" s="579" t="s">
        <v>910</v>
      </c>
      <c r="C21" s="587"/>
    </row>
    <row r="22" spans="2:3" ht="12.75">
      <c r="B22" s="580" t="s">
        <v>1110</v>
      </c>
      <c r="C22" s="588"/>
    </row>
    <row r="23" spans="2:3" ht="12.75">
      <c r="B23" s="580" t="s">
        <v>573</v>
      </c>
      <c r="C23" s="588">
        <v>0</v>
      </c>
    </row>
    <row r="24" spans="2:3" ht="12.75">
      <c r="B24" s="580" t="s">
        <v>1111</v>
      </c>
      <c r="C24" s="588"/>
    </row>
    <row r="25" spans="2:3" ht="12.75">
      <c r="B25" s="580" t="s">
        <v>911</v>
      </c>
      <c r="C25" s="588"/>
    </row>
    <row r="26" spans="2:3" ht="12.75">
      <c r="B26" s="580" t="s">
        <v>912</v>
      </c>
      <c r="C26" s="588"/>
    </row>
    <row r="27" spans="2:3" ht="12.75">
      <c r="B27" s="582" t="s">
        <v>1112</v>
      </c>
      <c r="C27" s="590"/>
    </row>
    <row r="28" spans="2:3" ht="12.75">
      <c r="B28" s="583"/>
      <c r="C28" s="592"/>
    </row>
    <row r="29" spans="2:3" ht="12.75">
      <c r="B29" s="579" t="s">
        <v>1113</v>
      </c>
      <c r="C29" s="587"/>
    </row>
    <row r="30" spans="2:3" ht="12.75">
      <c r="B30" s="580" t="s">
        <v>1114</v>
      </c>
      <c r="C30" s="588"/>
    </row>
    <row r="31" spans="2:3" ht="12.75">
      <c r="B31" s="580" t="s">
        <v>913</v>
      </c>
      <c r="C31" s="588">
        <f>'PASIV '!F14-'PASIV '!G14+6112</f>
        <v>2340804.790000001</v>
      </c>
    </row>
    <row r="32" spans="2:5" ht="12.75">
      <c r="B32" s="580" t="s">
        <v>914</v>
      </c>
      <c r="C32" s="588"/>
      <c r="E32" s="585">
        <f>C19+C27+C34</f>
        <v>13239.306000003591</v>
      </c>
    </row>
    <row r="33" spans="2:3" ht="12.75">
      <c r="B33" s="580" t="s">
        <v>1115</v>
      </c>
      <c r="C33" s="588"/>
    </row>
    <row r="34" spans="2:3" ht="12.75">
      <c r="B34" s="582" t="s">
        <v>1116</v>
      </c>
      <c r="C34" s="590">
        <f>SUM(C30:C33)</f>
        <v>2340804.790000001</v>
      </c>
    </row>
    <row r="35" spans="2:5" ht="12.75">
      <c r="B35" s="583"/>
      <c r="C35" s="592"/>
      <c r="E35" s="585">
        <f>E32-C36</f>
        <v>-0.30399999640940223</v>
      </c>
    </row>
    <row r="36" spans="2:3" ht="12.75">
      <c r="B36" s="579" t="s">
        <v>915</v>
      </c>
      <c r="C36" s="587">
        <f>C38-C37</f>
        <v>13239.61</v>
      </c>
    </row>
    <row r="37" spans="2:3" ht="12.75">
      <c r="B37" s="579" t="s">
        <v>916</v>
      </c>
      <c r="C37" s="587">
        <f>'AKTIV '!G14</f>
        <v>114882.56</v>
      </c>
    </row>
    <row r="38" spans="2:3" ht="13.5" thickBot="1">
      <c r="B38" s="584" t="s">
        <v>917</v>
      </c>
      <c r="C38" s="593">
        <f>'AKTIV '!F14</f>
        <v>128122.17</v>
      </c>
    </row>
    <row r="41" ht="12.75">
      <c r="C41" s="585"/>
    </row>
  </sheetData>
  <sheetProtection/>
  <mergeCells count="4">
    <mergeCell ref="B1:C1"/>
    <mergeCell ref="B3:C3"/>
    <mergeCell ref="B4:B5"/>
    <mergeCell ref="C4:C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0"/>
  <sheetViews>
    <sheetView zoomScalePageLayoutView="0" workbookViewId="0" topLeftCell="A4">
      <selection activeCell="H2" sqref="H2"/>
    </sheetView>
  </sheetViews>
  <sheetFormatPr defaultColWidth="17.7109375" defaultRowHeight="12.75"/>
  <cols>
    <col min="1" max="1" width="5.8515625" style="0" customWidth="1"/>
    <col min="2" max="2" width="3.7109375" style="0" customWidth="1"/>
    <col min="3" max="3" width="31.28125" style="0" customWidth="1"/>
    <col min="4" max="4" width="14.8515625" style="0" bestFit="1" customWidth="1"/>
    <col min="5" max="5" width="13.00390625" style="0" customWidth="1"/>
    <col min="6" max="6" width="14.00390625" style="0" bestFit="1" customWidth="1"/>
    <col min="7" max="7" width="17.140625" style="0" customWidth="1"/>
    <col min="8" max="8" width="18.140625" style="0" bestFit="1" customWidth="1"/>
    <col min="9" max="9" width="12.140625" style="0" customWidth="1"/>
    <col min="10" max="10" width="11.421875" style="0" customWidth="1"/>
  </cols>
  <sheetData>
    <row r="2" ht="15">
      <c r="C2" s="50"/>
    </row>
    <row r="3" ht="6.75" customHeight="1"/>
    <row r="4" spans="2:9" ht="25.5" customHeight="1">
      <c r="B4" s="654" t="s">
        <v>1050</v>
      </c>
      <c r="C4" s="654"/>
      <c r="D4" s="654"/>
      <c r="E4" s="654"/>
      <c r="F4" s="654"/>
      <c r="G4" s="654"/>
      <c r="H4" s="654"/>
      <c r="I4" s="654"/>
    </row>
    <row r="5" spans="3:8" ht="12.75" customHeight="1">
      <c r="C5" s="51" t="s">
        <v>583</v>
      </c>
      <c r="H5" s="514"/>
    </row>
    <row r="6" spans="3:8" ht="21" customHeight="1" thickBot="1">
      <c r="C6" s="51"/>
      <c r="H6" s="52"/>
    </row>
    <row r="7" spans="2:9" s="53" customFormat="1" ht="24.75" customHeight="1" thickTop="1">
      <c r="B7" s="69"/>
      <c r="C7" s="70"/>
      <c r="D7" s="70" t="s">
        <v>401</v>
      </c>
      <c r="E7" s="70" t="s">
        <v>584</v>
      </c>
      <c r="F7" s="71" t="s">
        <v>585</v>
      </c>
      <c r="G7" s="71" t="s">
        <v>586</v>
      </c>
      <c r="H7" s="70" t="s">
        <v>587</v>
      </c>
      <c r="I7" s="72" t="s">
        <v>574</v>
      </c>
    </row>
    <row r="8" spans="2:9" s="58" customFormat="1" ht="30" customHeight="1">
      <c r="B8" s="54" t="s">
        <v>338</v>
      </c>
      <c r="C8" s="55" t="s">
        <v>1010</v>
      </c>
      <c r="D8" s="56">
        <v>100000</v>
      </c>
      <c r="E8" s="56">
        <v>0</v>
      </c>
      <c r="F8" s="56">
        <v>0</v>
      </c>
      <c r="G8" s="56">
        <v>0</v>
      </c>
      <c r="H8" s="56">
        <f>'PASIV '!G81</f>
        <v>-11346899.83</v>
      </c>
      <c r="I8" s="57">
        <f>SUM(D8:H8)</f>
        <v>-11246899.83</v>
      </c>
    </row>
    <row r="9" spans="2:9" s="58" customFormat="1" ht="19.5" customHeight="1">
      <c r="B9" s="59" t="s">
        <v>575</v>
      </c>
      <c r="C9" s="60" t="s">
        <v>576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7">
        <v>0</v>
      </c>
    </row>
    <row r="10" spans="2:9" s="58" customFormat="1" ht="19.5" customHeight="1">
      <c r="B10" s="54" t="s">
        <v>577</v>
      </c>
      <c r="C10" s="55" t="s">
        <v>578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7">
        <v>0</v>
      </c>
    </row>
    <row r="11" spans="2:9" s="58" customFormat="1" ht="19.5" customHeight="1">
      <c r="B11" s="61">
        <v>1</v>
      </c>
      <c r="C11" s="62" t="s">
        <v>580</v>
      </c>
      <c r="D11" s="56">
        <v>0</v>
      </c>
      <c r="E11" s="56">
        <v>0</v>
      </c>
      <c r="F11" s="56">
        <v>0</v>
      </c>
      <c r="G11" s="56">
        <v>0</v>
      </c>
      <c r="H11" s="304">
        <f>'PASIV '!G83</f>
        <v>43975.562000000704</v>
      </c>
      <c r="I11" s="57">
        <v>0</v>
      </c>
    </row>
    <row r="12" spans="2:9" s="58" customFormat="1" ht="19.5" customHeight="1">
      <c r="B12" s="61">
        <v>2</v>
      </c>
      <c r="C12" s="62" t="s">
        <v>579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7">
        <v>0</v>
      </c>
    </row>
    <row r="13" spans="2:9" s="58" customFormat="1" ht="19.5" customHeight="1">
      <c r="B13" s="61">
        <v>3</v>
      </c>
      <c r="C13" s="62" t="s">
        <v>588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7">
        <v>0</v>
      </c>
    </row>
    <row r="14" spans="2:9" s="58" customFormat="1" ht="19.5" customHeight="1">
      <c r="B14" s="61">
        <v>4</v>
      </c>
      <c r="C14" s="62" t="s">
        <v>589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7">
        <v>0</v>
      </c>
    </row>
    <row r="15" spans="2:9" s="58" customFormat="1" ht="30" customHeight="1">
      <c r="B15" s="54" t="s">
        <v>362</v>
      </c>
      <c r="C15" s="55" t="s">
        <v>6</v>
      </c>
      <c r="D15" s="56">
        <v>100000</v>
      </c>
      <c r="E15" s="56">
        <v>0</v>
      </c>
      <c r="F15" s="56">
        <v>0</v>
      </c>
      <c r="G15" s="56">
        <v>0</v>
      </c>
      <c r="H15" s="56">
        <f>SUM(H8:H14)</f>
        <v>-11302924.268</v>
      </c>
      <c r="I15" s="64">
        <f aca="true" t="shared" si="0" ref="I15:I20">SUM(D15:H15)</f>
        <v>-11202924.268</v>
      </c>
    </row>
    <row r="16" spans="2:9" s="58" customFormat="1" ht="19.5" customHeight="1">
      <c r="B16" s="59">
        <v>1</v>
      </c>
      <c r="C16" s="62" t="s">
        <v>580</v>
      </c>
      <c r="D16" s="63"/>
      <c r="E16" s="63">
        <v>0</v>
      </c>
      <c r="F16" s="63">
        <v>0</v>
      </c>
      <c r="G16" s="63">
        <v>0</v>
      </c>
      <c r="H16" s="63">
        <f>'PASIV '!F83</f>
        <v>78025.45400000029</v>
      </c>
      <c r="I16" s="64">
        <f t="shared" si="0"/>
        <v>78025.45400000029</v>
      </c>
    </row>
    <row r="17" spans="2:9" s="58" customFormat="1" ht="19.5" customHeight="1">
      <c r="B17" s="59">
        <v>2</v>
      </c>
      <c r="C17" s="62" t="s">
        <v>579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4">
        <f t="shared" si="0"/>
        <v>0</v>
      </c>
    </row>
    <row r="18" spans="2:9" s="58" customFormat="1" ht="19.5" customHeight="1">
      <c r="B18" s="59">
        <v>3</v>
      </c>
      <c r="C18" s="62" t="s">
        <v>590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4">
        <f t="shared" si="0"/>
        <v>0</v>
      </c>
    </row>
    <row r="19" spans="2:9" s="58" customFormat="1" ht="19.5" customHeight="1">
      <c r="B19" s="59">
        <v>4</v>
      </c>
      <c r="C19" s="62" t="s">
        <v>581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4">
        <f t="shared" si="0"/>
        <v>0</v>
      </c>
    </row>
    <row r="20" spans="2:9" s="58" customFormat="1" ht="30" customHeight="1" thickBot="1">
      <c r="B20" s="65" t="s">
        <v>582</v>
      </c>
      <c r="C20" s="66" t="s">
        <v>1049</v>
      </c>
      <c r="D20" s="67">
        <f>SUM(D15:D19)</f>
        <v>100000</v>
      </c>
      <c r="E20" s="67">
        <f>SUM(E15:E19)</f>
        <v>0</v>
      </c>
      <c r="F20" s="67">
        <f>SUM(F15:F19)</f>
        <v>0</v>
      </c>
      <c r="G20" s="67">
        <f>SUM(G15:G19)</f>
        <v>0</v>
      </c>
      <c r="H20" s="67">
        <f>SUM(H15:H19)</f>
        <v>-11224898.814</v>
      </c>
      <c r="I20" s="68">
        <f t="shared" si="0"/>
        <v>-11124898.814</v>
      </c>
    </row>
    <row r="21" ht="13.5" customHeight="1" thickTop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1">
    <mergeCell ref="B4:I4"/>
  </mergeCells>
  <printOptions horizontalCentered="1"/>
  <pageMargins left="0" right="0.17" top="0.3937007874015748" bottom="0.3937007874015748" header="0.5118110236220472" footer="0.5118110236220472"/>
  <pageSetup horizontalDpi="600" verticalDpi="600" orientation="landscape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59"/>
  <sheetViews>
    <sheetView zoomScalePageLayoutView="0" workbookViewId="0" topLeftCell="B1">
      <selection activeCell="B3" sqref="B3:E3"/>
    </sheetView>
  </sheetViews>
  <sheetFormatPr defaultColWidth="4.7109375" defaultRowHeight="12.75"/>
  <cols>
    <col min="1" max="1" width="9.140625" style="202" hidden="1" customWidth="1"/>
    <col min="2" max="2" width="4.57421875" style="202" customWidth="1"/>
    <col min="3" max="3" width="7.421875" style="202" customWidth="1"/>
    <col min="4" max="4" width="78.28125" style="202" customWidth="1"/>
    <col min="5" max="5" width="4.8515625" style="202" customWidth="1"/>
    <col min="6" max="6" width="1.57421875" style="202" customWidth="1"/>
    <col min="7" max="16384" width="4.7109375" style="202" customWidth="1"/>
  </cols>
  <sheetData>
    <row r="2" spans="2:5" ht="12.75">
      <c r="B2" s="199"/>
      <c r="C2" s="200"/>
      <c r="D2" s="200"/>
      <c r="E2" s="201"/>
    </row>
    <row r="3" spans="2:5" s="203" customFormat="1" ht="33" customHeight="1">
      <c r="B3" s="655" t="s">
        <v>1081</v>
      </c>
      <c r="C3" s="656"/>
      <c r="D3" s="656"/>
      <c r="E3" s="657"/>
    </row>
    <row r="4" spans="2:5" s="208" customFormat="1" ht="12.75">
      <c r="B4" s="204"/>
      <c r="C4" s="205" t="s">
        <v>591</v>
      </c>
      <c r="D4" s="206"/>
      <c r="E4" s="207"/>
    </row>
    <row r="5" spans="2:5" s="208" customFormat="1" ht="11.25">
      <c r="B5" s="204"/>
      <c r="C5" s="209"/>
      <c r="D5" s="210" t="s">
        <v>930</v>
      </c>
      <c r="E5" s="207"/>
    </row>
    <row r="6" spans="2:5" s="208" customFormat="1" ht="11.25">
      <c r="B6" s="204"/>
      <c r="C6" s="209"/>
      <c r="D6" s="210" t="s">
        <v>931</v>
      </c>
      <c r="E6" s="207"/>
    </row>
    <row r="7" spans="2:5" s="208" customFormat="1" ht="11.25">
      <c r="B7" s="204"/>
      <c r="C7" s="209" t="s">
        <v>594</v>
      </c>
      <c r="D7" s="211"/>
      <c r="E7" s="207"/>
    </row>
    <row r="8" spans="2:5" s="208" customFormat="1" ht="11.25">
      <c r="B8" s="204"/>
      <c r="C8" s="209"/>
      <c r="D8" s="210" t="s">
        <v>932</v>
      </c>
      <c r="E8" s="207"/>
    </row>
    <row r="9" spans="2:5" s="208" customFormat="1" ht="11.25">
      <c r="B9" s="204"/>
      <c r="C9" s="212"/>
      <c r="D9" s="210" t="s">
        <v>933</v>
      </c>
      <c r="E9" s="207"/>
    </row>
    <row r="10" spans="2:5" s="208" customFormat="1" ht="11.25">
      <c r="B10" s="204"/>
      <c r="C10" s="213"/>
      <c r="D10" s="214" t="s">
        <v>934</v>
      </c>
      <c r="E10" s="207"/>
    </row>
    <row r="11" spans="2:5" ht="5.25" customHeight="1">
      <c r="B11" s="215"/>
      <c r="C11" s="216"/>
      <c r="D11" s="216"/>
      <c r="E11" s="217"/>
    </row>
    <row r="12" spans="2:5" ht="15.75">
      <c r="B12" s="215"/>
      <c r="C12" s="218" t="s">
        <v>935</v>
      </c>
      <c r="D12" s="219" t="s">
        <v>936</v>
      </c>
      <c r="E12" s="217"/>
    </row>
    <row r="13" spans="2:5" ht="6" customHeight="1">
      <c r="B13" s="215"/>
      <c r="C13" s="220"/>
      <c r="E13" s="217"/>
    </row>
    <row r="14" spans="2:5" ht="12.75">
      <c r="B14" s="215"/>
      <c r="C14" s="221">
        <v>1</v>
      </c>
      <c r="D14" s="222" t="s">
        <v>937</v>
      </c>
      <c r="E14" s="217"/>
    </row>
    <row r="15" spans="2:5" ht="12.75">
      <c r="B15" s="215"/>
      <c r="C15" s="221">
        <v>2</v>
      </c>
      <c r="D15" s="223" t="s">
        <v>985</v>
      </c>
      <c r="E15" s="217"/>
    </row>
    <row r="16" spans="2:5" ht="12.75">
      <c r="B16" s="215"/>
      <c r="C16" s="224">
        <v>3</v>
      </c>
      <c r="D16" s="223" t="s">
        <v>938</v>
      </c>
      <c r="E16" s="217"/>
    </row>
    <row r="17" spans="2:5" s="223" customFormat="1" ht="12.75">
      <c r="B17" s="225"/>
      <c r="C17" s="224">
        <v>4</v>
      </c>
      <c r="D17" s="224" t="s">
        <v>939</v>
      </c>
      <c r="E17" s="226"/>
    </row>
    <row r="18" spans="2:5" s="223" customFormat="1" ht="12.75">
      <c r="B18" s="225"/>
      <c r="C18" s="224"/>
      <c r="D18" s="222" t="s">
        <v>940</v>
      </c>
      <c r="E18" s="226"/>
    </row>
    <row r="19" spans="2:5" s="223" customFormat="1" ht="12.75">
      <c r="B19" s="225"/>
      <c r="C19" s="224" t="s">
        <v>941</v>
      </c>
      <c r="D19" s="224"/>
      <c r="E19" s="226"/>
    </row>
    <row r="20" spans="2:5" s="223" customFormat="1" ht="12.75">
      <c r="B20" s="225"/>
      <c r="C20" s="224"/>
      <c r="D20" s="222" t="s">
        <v>942</v>
      </c>
      <c r="E20" s="226"/>
    </row>
    <row r="21" spans="2:5" s="223" customFormat="1" ht="12.75">
      <c r="B21" s="225"/>
      <c r="C21" s="224" t="s">
        <v>943</v>
      </c>
      <c r="D21" s="224"/>
      <c r="E21" s="226"/>
    </row>
    <row r="22" spans="2:5" s="223" customFormat="1" ht="12.75">
      <c r="B22" s="225"/>
      <c r="C22" s="224"/>
      <c r="D22" s="222" t="s">
        <v>944</v>
      </c>
      <c r="E22" s="226"/>
    </row>
    <row r="23" spans="2:5" s="223" customFormat="1" ht="12.75">
      <c r="B23" s="225"/>
      <c r="C23" s="224" t="s">
        <v>945</v>
      </c>
      <c r="D23" s="224"/>
      <c r="E23" s="226"/>
    </row>
    <row r="24" spans="2:5" s="223" customFormat="1" ht="12.75">
      <c r="B24" s="225"/>
      <c r="C24" s="224"/>
      <c r="D24" s="224" t="s">
        <v>946</v>
      </c>
      <c r="E24" s="226"/>
    </row>
    <row r="25" spans="2:5" s="223" customFormat="1" ht="12.75">
      <c r="B25" s="225"/>
      <c r="C25" s="224" t="s">
        <v>947</v>
      </c>
      <c r="D25" s="224"/>
      <c r="E25" s="226"/>
    </row>
    <row r="26" spans="2:5" s="223" customFormat="1" ht="12.75">
      <c r="B26" s="225"/>
      <c r="C26" s="222" t="s">
        <v>948</v>
      </c>
      <c r="D26" s="224"/>
      <c r="E26" s="226"/>
    </row>
    <row r="27" spans="2:5" s="223" customFormat="1" ht="12.75">
      <c r="B27" s="225"/>
      <c r="C27" s="224"/>
      <c r="D27" s="224" t="s">
        <v>949</v>
      </c>
      <c r="E27" s="226"/>
    </row>
    <row r="28" spans="2:5" s="223" customFormat="1" ht="12.75">
      <c r="B28" s="225"/>
      <c r="C28" s="222" t="s">
        <v>950</v>
      </c>
      <c r="D28" s="224"/>
      <c r="E28" s="226"/>
    </row>
    <row r="29" spans="2:5" s="223" customFormat="1" ht="12.75">
      <c r="B29" s="225"/>
      <c r="C29" s="224"/>
      <c r="D29" s="224" t="s">
        <v>951</v>
      </c>
      <c r="E29" s="226"/>
    </row>
    <row r="30" spans="2:5" s="223" customFormat="1" ht="12.75">
      <c r="B30" s="225"/>
      <c r="C30" s="222" t="s">
        <v>952</v>
      </c>
      <c r="D30" s="224"/>
      <c r="E30" s="226"/>
    </row>
    <row r="31" spans="2:5" s="223" customFormat="1" ht="12.75">
      <c r="B31" s="225"/>
      <c r="C31" s="224" t="s">
        <v>953</v>
      </c>
      <c r="D31" s="224" t="s">
        <v>954</v>
      </c>
      <c r="E31" s="226"/>
    </row>
    <row r="32" spans="2:5" s="223" customFormat="1" ht="12.75">
      <c r="B32" s="225"/>
      <c r="C32" s="224"/>
      <c r="D32" s="222" t="s">
        <v>955</v>
      </c>
      <c r="E32" s="226"/>
    </row>
    <row r="33" spans="2:5" s="223" customFormat="1" ht="12.75">
      <c r="B33" s="225"/>
      <c r="C33" s="224"/>
      <c r="D33" s="222" t="s">
        <v>956</v>
      </c>
      <c r="E33" s="226"/>
    </row>
    <row r="34" spans="2:5" s="223" customFormat="1" ht="12.75">
      <c r="B34" s="225"/>
      <c r="C34" s="224"/>
      <c r="D34" s="222" t="s">
        <v>957</v>
      </c>
      <c r="E34" s="226"/>
    </row>
    <row r="35" spans="2:5" s="223" customFormat="1" ht="12.75">
      <c r="B35" s="225"/>
      <c r="C35" s="224"/>
      <c r="D35" s="222" t="s">
        <v>958</v>
      </c>
      <c r="E35" s="226"/>
    </row>
    <row r="36" spans="2:5" s="223" customFormat="1" ht="12.75">
      <c r="B36" s="225"/>
      <c r="C36" s="224"/>
      <c r="D36" s="222" t="s">
        <v>959</v>
      </c>
      <c r="E36" s="226"/>
    </row>
    <row r="37" spans="2:5" s="223" customFormat="1" ht="12.75">
      <c r="B37" s="225"/>
      <c r="C37" s="224"/>
      <c r="D37" s="222" t="s">
        <v>960</v>
      </c>
      <c r="E37" s="226"/>
    </row>
    <row r="38" spans="2:5" s="223" customFormat="1" ht="11.25" customHeight="1">
      <c r="B38" s="225"/>
      <c r="C38" s="224"/>
      <c r="D38" s="224"/>
      <c r="E38" s="226"/>
    </row>
    <row r="39" spans="2:5" s="223" customFormat="1" ht="15.75">
      <c r="B39" s="225"/>
      <c r="C39" s="218" t="s">
        <v>961</v>
      </c>
      <c r="D39" s="219" t="s">
        <v>962</v>
      </c>
      <c r="E39" s="226"/>
    </row>
    <row r="40" spans="2:5" s="223" customFormat="1" ht="12" customHeight="1">
      <c r="B40" s="225"/>
      <c r="C40" s="224"/>
      <c r="D40" s="224"/>
      <c r="E40" s="226"/>
    </row>
    <row r="41" spans="2:5" s="223" customFormat="1" ht="12.75">
      <c r="B41" s="225"/>
      <c r="C41" s="224"/>
      <c r="D41" s="222" t="s">
        <v>976</v>
      </c>
      <c r="E41" s="226"/>
    </row>
    <row r="42" spans="2:5" s="223" customFormat="1" ht="12.75">
      <c r="B42" s="225"/>
      <c r="C42" s="224"/>
      <c r="D42" s="224" t="s">
        <v>963</v>
      </c>
      <c r="E42" s="226"/>
    </row>
    <row r="43" spans="2:5" s="223" customFormat="1" ht="12.75">
      <c r="B43" s="225"/>
      <c r="C43" s="224" t="s">
        <v>964</v>
      </c>
      <c r="D43" s="224"/>
      <c r="E43" s="226"/>
    </row>
    <row r="44" spans="2:5" s="223" customFormat="1" ht="12.75">
      <c r="B44" s="225"/>
      <c r="C44" s="224"/>
      <c r="D44" s="224" t="s">
        <v>965</v>
      </c>
      <c r="E44" s="226"/>
    </row>
    <row r="45" spans="2:5" s="223" customFormat="1" ht="12.75">
      <c r="B45" s="225"/>
      <c r="C45" s="224" t="s">
        <v>966</v>
      </c>
      <c r="D45" s="224"/>
      <c r="E45" s="226"/>
    </row>
    <row r="46" spans="2:5" s="223" customFormat="1" ht="12.75">
      <c r="B46" s="225"/>
      <c r="C46" s="224"/>
      <c r="D46" s="224" t="s">
        <v>967</v>
      </c>
      <c r="E46" s="226"/>
    </row>
    <row r="47" spans="2:5" s="223" customFormat="1" ht="12.75">
      <c r="B47" s="225"/>
      <c r="C47" s="224" t="s">
        <v>968</v>
      </c>
      <c r="D47" s="224"/>
      <c r="E47" s="226"/>
    </row>
    <row r="48" spans="2:5" s="223" customFormat="1" ht="12.75">
      <c r="B48" s="225"/>
      <c r="D48" s="223" t="s">
        <v>969</v>
      </c>
      <c r="E48" s="226"/>
    </row>
    <row r="49" spans="2:5" s="223" customFormat="1" ht="12.75">
      <c r="B49" s="225"/>
      <c r="C49" s="223" t="s">
        <v>970</v>
      </c>
      <c r="E49" s="226"/>
    </row>
    <row r="50" spans="2:5" s="223" customFormat="1" ht="12.75">
      <c r="B50" s="225"/>
      <c r="C50" s="223" t="s">
        <v>971</v>
      </c>
      <c r="E50" s="226"/>
    </row>
    <row r="51" spans="2:5" s="223" customFormat="1" ht="12.75">
      <c r="B51" s="225"/>
      <c r="C51" s="223" t="s">
        <v>972</v>
      </c>
      <c r="D51" s="224"/>
      <c r="E51" s="226"/>
    </row>
    <row r="52" spans="2:5" s="223" customFormat="1" ht="12.75">
      <c r="B52" s="225"/>
      <c r="C52" s="224"/>
      <c r="D52" s="223" t="s">
        <v>973</v>
      </c>
      <c r="E52" s="226"/>
    </row>
    <row r="53" spans="2:5" s="223" customFormat="1" ht="12.75">
      <c r="B53" s="225"/>
      <c r="C53" s="224"/>
      <c r="D53" s="224" t="s">
        <v>974</v>
      </c>
      <c r="E53" s="226"/>
    </row>
    <row r="54" spans="2:5" s="223" customFormat="1" ht="12.75">
      <c r="B54" s="225"/>
      <c r="C54" s="224"/>
      <c r="D54" s="224" t="s">
        <v>975</v>
      </c>
      <c r="E54" s="226"/>
    </row>
    <row r="55" spans="2:5" ht="12.75">
      <c r="B55" s="215"/>
      <c r="C55" s="223"/>
      <c r="D55" s="223"/>
      <c r="E55" s="217"/>
    </row>
    <row r="56" spans="2:5" ht="12.75">
      <c r="B56" s="215"/>
      <c r="C56" s="223"/>
      <c r="D56" s="223"/>
      <c r="E56" s="217"/>
    </row>
    <row r="57" spans="2:5" ht="12.75">
      <c r="B57" s="215"/>
      <c r="C57" s="223"/>
      <c r="D57" s="223"/>
      <c r="E57" s="217"/>
    </row>
    <row r="58" spans="2:5" ht="12.75">
      <c r="B58" s="215"/>
      <c r="C58" s="223"/>
      <c r="D58" s="223"/>
      <c r="E58" s="227">
        <v>1</v>
      </c>
    </row>
    <row r="59" spans="2:5" ht="12.75">
      <c r="B59" s="228"/>
      <c r="C59" s="229"/>
      <c r="D59" s="229"/>
      <c r="E59" s="230"/>
    </row>
  </sheetData>
  <sheetProtection/>
  <mergeCells count="1">
    <mergeCell ref="B3:E3"/>
  </mergeCells>
  <printOptions horizontalCentered="1" verticalCentered="1"/>
  <pageMargins left="0" right="0" top="0" bottom="0" header="0.18" footer="0.18"/>
  <pageSetup horizontalDpi="300" verticalDpi="3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7">
      <selection activeCell="P4" sqref="P4"/>
    </sheetView>
  </sheetViews>
  <sheetFormatPr defaultColWidth="4.7109375" defaultRowHeight="12.75"/>
  <cols>
    <col min="1" max="1" width="7.57421875" style="0" customWidth="1"/>
    <col min="2" max="2" width="4.57421875" style="0" customWidth="1"/>
    <col min="3" max="3" width="5.2812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10.28125" style="0" customWidth="1"/>
    <col min="12" max="12" width="2.140625" style="0" customWidth="1"/>
  </cols>
  <sheetData>
    <row r="2" spans="2:11" ht="12.75">
      <c r="B2" s="73"/>
      <c r="C2" s="74"/>
      <c r="D2" s="74"/>
      <c r="E2" s="74"/>
      <c r="F2" s="74"/>
      <c r="G2" s="74"/>
      <c r="H2" s="74"/>
      <c r="I2" s="74"/>
      <c r="J2" s="74"/>
      <c r="K2" s="75"/>
    </row>
    <row r="3" spans="2:11" ht="12.75">
      <c r="B3" s="76"/>
      <c r="C3" s="32"/>
      <c r="D3" s="32"/>
      <c r="E3" s="32"/>
      <c r="F3" s="32"/>
      <c r="G3" s="32"/>
      <c r="H3" s="32"/>
      <c r="I3" s="569" t="s">
        <v>1063</v>
      </c>
      <c r="J3" s="32"/>
      <c r="K3" s="77"/>
    </row>
    <row r="4" spans="2:11" s="78" customFormat="1" ht="33" customHeight="1">
      <c r="B4" s="659" t="s">
        <v>1081</v>
      </c>
      <c r="C4" s="660"/>
      <c r="D4" s="660"/>
      <c r="E4" s="660"/>
      <c r="F4" s="660"/>
      <c r="G4" s="660"/>
      <c r="H4" s="660"/>
      <c r="I4" s="660"/>
      <c r="J4" s="660"/>
      <c r="K4" s="661"/>
    </row>
    <row r="5" spans="2:11" s="85" customFormat="1" ht="12.75">
      <c r="B5" s="79"/>
      <c r="C5" s="80" t="s">
        <v>591</v>
      </c>
      <c r="D5" s="81"/>
      <c r="E5" s="81"/>
      <c r="F5" s="81"/>
      <c r="G5" s="82"/>
      <c r="H5" s="82"/>
      <c r="I5" s="83"/>
      <c r="J5" s="87"/>
      <c r="K5" s="84"/>
    </row>
    <row r="6" spans="2:11" s="85" customFormat="1" ht="11.25">
      <c r="B6" s="79"/>
      <c r="C6" s="86"/>
      <c r="D6" s="87" t="s">
        <v>592</v>
      </c>
      <c r="E6" s="87"/>
      <c r="F6" s="87"/>
      <c r="G6" s="87"/>
      <c r="H6" s="87"/>
      <c r="I6" s="88"/>
      <c r="J6" s="87"/>
      <c r="K6" s="84"/>
    </row>
    <row r="7" spans="2:11" s="85" customFormat="1" ht="11.25">
      <c r="B7" s="79"/>
      <c r="C7" s="86"/>
      <c r="D7" s="87" t="s">
        <v>593</v>
      </c>
      <c r="E7" s="87"/>
      <c r="F7" s="87"/>
      <c r="G7" s="87"/>
      <c r="H7" s="87"/>
      <c r="I7" s="88"/>
      <c r="J7" s="87"/>
      <c r="K7" s="84"/>
    </row>
    <row r="8" spans="2:11" s="85" customFormat="1" ht="11.25">
      <c r="B8" s="79"/>
      <c r="C8" s="86" t="s">
        <v>594</v>
      </c>
      <c r="D8" s="89"/>
      <c r="E8" s="89"/>
      <c r="F8" s="89"/>
      <c r="G8" s="89"/>
      <c r="H8" s="89"/>
      <c r="I8" s="88"/>
      <c r="J8" s="87"/>
      <c r="K8" s="84"/>
    </row>
    <row r="9" spans="2:11" s="85" customFormat="1" ht="11.25">
      <c r="B9" s="79"/>
      <c r="C9" s="86"/>
      <c r="D9" s="87"/>
      <c r="E9" s="87" t="s">
        <v>595</v>
      </c>
      <c r="F9" s="87"/>
      <c r="G9" s="89"/>
      <c r="H9" s="89"/>
      <c r="I9" s="88"/>
      <c r="J9" s="87"/>
      <c r="K9" s="84"/>
    </row>
    <row r="10" spans="2:11" s="85" customFormat="1" ht="11.25">
      <c r="B10" s="79"/>
      <c r="C10" s="90"/>
      <c r="D10" s="91"/>
      <c r="E10" s="87" t="s">
        <v>596</v>
      </c>
      <c r="F10" s="87"/>
      <c r="G10" s="89"/>
      <c r="H10" s="89"/>
      <c r="I10" s="88"/>
      <c r="J10" s="87"/>
      <c r="K10" s="84"/>
    </row>
    <row r="11" spans="2:11" s="85" customFormat="1" ht="11.25">
      <c r="B11" s="79"/>
      <c r="C11" s="92"/>
      <c r="D11" s="93"/>
      <c r="E11" s="93" t="s">
        <v>597</v>
      </c>
      <c r="F11" s="93"/>
      <c r="G11" s="93"/>
      <c r="H11" s="93"/>
      <c r="I11" s="94"/>
      <c r="J11" s="87"/>
      <c r="K11" s="84"/>
    </row>
    <row r="12" spans="2:11" ht="12.75">
      <c r="B12" s="76"/>
      <c r="C12" s="32"/>
      <c r="D12" s="32"/>
      <c r="E12" s="32"/>
      <c r="F12" s="32"/>
      <c r="G12" s="32"/>
      <c r="H12" s="32"/>
      <c r="I12" s="32"/>
      <c r="J12" s="32"/>
      <c r="K12" s="77"/>
    </row>
    <row r="13" spans="2:11" ht="15.75">
      <c r="B13" s="76"/>
      <c r="C13" s="218" t="s">
        <v>977</v>
      </c>
      <c r="D13" s="219" t="s">
        <v>978</v>
      </c>
      <c r="E13" s="32"/>
      <c r="F13" s="32"/>
      <c r="G13" s="32"/>
      <c r="H13" s="32"/>
      <c r="I13" s="32"/>
      <c r="J13" s="32"/>
      <c r="K13" s="77"/>
    </row>
    <row r="14" spans="2:11" ht="12.75">
      <c r="B14" s="76"/>
      <c r="C14" s="220"/>
      <c r="D14" s="202"/>
      <c r="E14" s="231"/>
      <c r="F14" s="95"/>
      <c r="G14" s="662"/>
      <c r="H14" s="662"/>
      <c r="I14" s="662"/>
      <c r="J14" s="95"/>
      <c r="K14" s="77"/>
    </row>
    <row r="15" spans="2:11" s="349" customFormat="1" ht="12.75">
      <c r="B15" s="571"/>
      <c r="C15" s="572">
        <v>1</v>
      </c>
      <c r="D15" s="573" t="s">
        <v>1087</v>
      </c>
      <c r="E15" s="573"/>
      <c r="F15" s="574"/>
      <c r="G15" s="574"/>
      <c r="H15" s="574"/>
      <c r="I15" s="574"/>
      <c r="J15" s="574"/>
      <c r="K15" s="575"/>
    </row>
    <row r="16" spans="2:11" s="349" customFormat="1" ht="12.75">
      <c r="B16" s="571"/>
      <c r="C16" s="572"/>
      <c r="D16" s="573" t="s">
        <v>1086</v>
      </c>
      <c r="E16" s="573"/>
      <c r="F16" s="574"/>
      <c r="G16" s="574"/>
      <c r="H16" s="574"/>
      <c r="I16" s="574"/>
      <c r="J16" s="574"/>
      <c r="K16" s="575"/>
    </row>
    <row r="17" spans="2:11" s="349" customFormat="1" ht="12.75">
      <c r="B17" s="571"/>
      <c r="C17" s="572"/>
      <c r="D17" s="573"/>
      <c r="E17" s="573"/>
      <c r="F17" s="574"/>
      <c r="G17" s="574"/>
      <c r="H17" s="574"/>
      <c r="I17" s="574"/>
      <c r="J17" s="574"/>
      <c r="K17" s="575"/>
    </row>
    <row r="18" spans="2:11" s="349" customFormat="1" ht="12.75">
      <c r="B18" s="571"/>
      <c r="C18" s="572">
        <v>2</v>
      </c>
      <c r="D18" s="232" t="s">
        <v>981</v>
      </c>
      <c r="E18" s="232"/>
      <c r="F18" s="91"/>
      <c r="G18" s="91"/>
      <c r="H18" s="91"/>
      <c r="I18" s="91"/>
      <c r="J18" s="91"/>
      <c r="K18" s="575"/>
    </row>
    <row r="19" spans="2:11" s="349" customFormat="1" ht="12.75">
      <c r="B19" s="571"/>
      <c r="C19" s="222"/>
      <c r="D19" s="232" t="s">
        <v>1085</v>
      </c>
      <c r="E19" s="232"/>
      <c r="F19" s="91"/>
      <c r="G19" s="91"/>
      <c r="H19" s="91"/>
      <c r="I19" s="91"/>
      <c r="J19" s="91"/>
      <c r="K19" s="575"/>
    </row>
    <row r="20" spans="2:11" s="349" customFormat="1" ht="12.75">
      <c r="B20" s="571"/>
      <c r="C20" s="222"/>
      <c r="D20" s="232"/>
      <c r="E20" s="232"/>
      <c r="F20" s="91"/>
      <c r="G20" s="91"/>
      <c r="H20" s="91"/>
      <c r="I20" s="91"/>
      <c r="J20" s="91"/>
      <c r="K20" s="575"/>
    </row>
    <row r="21" spans="2:11" s="349" customFormat="1" ht="12.75">
      <c r="B21" s="571"/>
      <c r="C21" s="222">
        <v>3</v>
      </c>
      <c r="D21" s="222" t="s">
        <v>1089</v>
      </c>
      <c r="E21" s="232"/>
      <c r="F21" s="91"/>
      <c r="G21" s="91"/>
      <c r="H21" s="91"/>
      <c r="I21" s="91"/>
      <c r="J21" s="91"/>
      <c r="K21" s="575"/>
    </row>
    <row r="22" spans="2:11" s="349" customFormat="1" ht="12.75">
      <c r="B22" s="571"/>
      <c r="C22" s="222"/>
      <c r="D22" s="222" t="s">
        <v>1088</v>
      </c>
      <c r="E22" s="232"/>
      <c r="F22" s="232"/>
      <c r="G22" s="232"/>
      <c r="H22" s="232"/>
      <c r="I22" s="232"/>
      <c r="J22" s="232"/>
      <c r="K22" s="575"/>
    </row>
    <row r="23" spans="2:11" s="349" customFormat="1" ht="12.75">
      <c r="B23" s="571"/>
      <c r="C23" s="222"/>
      <c r="D23" s="222" t="s">
        <v>5</v>
      </c>
      <c r="E23" s="232"/>
      <c r="F23" s="232"/>
      <c r="G23" s="232"/>
      <c r="H23" s="232"/>
      <c r="I23" s="232"/>
      <c r="J23" s="232"/>
      <c r="K23" s="575"/>
    </row>
    <row r="24" spans="2:11" s="349" customFormat="1" ht="12.75">
      <c r="B24" s="571"/>
      <c r="C24" s="222"/>
      <c r="D24" s="222" t="s">
        <v>7</v>
      </c>
      <c r="E24" s="232"/>
      <c r="F24" s="232"/>
      <c r="G24" s="232"/>
      <c r="H24" s="232"/>
      <c r="I24" s="232"/>
      <c r="J24" s="232"/>
      <c r="K24" s="575"/>
    </row>
    <row r="25" spans="2:11" s="349" customFormat="1" ht="12.75">
      <c r="B25" s="571"/>
      <c r="C25" s="222"/>
      <c r="D25" s="222"/>
      <c r="E25" s="232"/>
      <c r="F25" s="232"/>
      <c r="G25" s="232"/>
      <c r="H25" s="232"/>
      <c r="I25" s="232"/>
      <c r="J25" s="232"/>
      <c r="K25" s="575"/>
    </row>
    <row r="26" spans="2:11" s="349" customFormat="1" ht="12.75">
      <c r="B26" s="571"/>
      <c r="C26" s="222">
        <v>4</v>
      </c>
      <c r="D26" s="222" t="s">
        <v>1090</v>
      </c>
      <c r="E26" s="232"/>
      <c r="F26" s="232"/>
      <c r="G26" s="232"/>
      <c r="H26" s="232"/>
      <c r="I26" s="232"/>
      <c r="J26" s="232"/>
      <c r="K26" s="575"/>
    </row>
    <row r="27" spans="2:11" s="349" customFormat="1" ht="12.75">
      <c r="B27" s="571"/>
      <c r="C27" s="222"/>
      <c r="D27" s="222" t="s">
        <v>1091</v>
      </c>
      <c r="E27" s="232"/>
      <c r="F27" s="232"/>
      <c r="G27" s="232"/>
      <c r="H27" s="232"/>
      <c r="I27" s="232"/>
      <c r="J27" s="232"/>
      <c r="K27" s="575"/>
    </row>
    <row r="28" spans="2:11" s="349" customFormat="1" ht="12.75">
      <c r="B28" s="571"/>
      <c r="C28" s="222"/>
      <c r="D28" s="222" t="s">
        <v>1092</v>
      </c>
      <c r="E28" s="232"/>
      <c r="F28" s="232"/>
      <c r="G28" s="232"/>
      <c r="H28" s="232"/>
      <c r="I28" s="232"/>
      <c r="J28" s="232"/>
      <c r="K28" s="575"/>
    </row>
    <row r="29" spans="2:11" s="349" customFormat="1" ht="12.75">
      <c r="B29" s="571"/>
      <c r="C29" s="222"/>
      <c r="D29" s="222"/>
      <c r="E29" s="232"/>
      <c r="F29" s="232"/>
      <c r="G29" s="232"/>
      <c r="H29" s="232"/>
      <c r="I29" s="232"/>
      <c r="J29" s="232"/>
      <c r="K29" s="575"/>
    </row>
    <row r="30" spans="2:11" s="99" customFormat="1" ht="12.75">
      <c r="B30" s="96"/>
      <c r="C30" s="224">
        <v>5</v>
      </c>
      <c r="D30" s="224" t="s">
        <v>1096</v>
      </c>
      <c r="E30" s="97"/>
      <c r="F30" s="97"/>
      <c r="G30" s="97"/>
      <c r="H30" s="97"/>
      <c r="I30" s="97"/>
      <c r="J30" s="97"/>
      <c r="K30" s="98"/>
    </row>
    <row r="31" spans="2:11" ht="12.75">
      <c r="B31" s="76"/>
      <c r="C31" s="224"/>
      <c r="D31" s="224"/>
      <c r="E31" s="32"/>
      <c r="F31" s="32"/>
      <c r="G31" s="32"/>
      <c r="H31" s="32"/>
      <c r="I31" s="32"/>
      <c r="J31" s="32"/>
      <c r="K31" s="77"/>
    </row>
    <row r="32" spans="2:11" ht="12.75">
      <c r="B32" s="76"/>
      <c r="C32" s="224"/>
      <c r="D32" s="232"/>
      <c r="E32" s="97" t="s">
        <v>982</v>
      </c>
      <c r="F32" s="32"/>
      <c r="G32" s="32"/>
      <c r="H32" s="32"/>
      <c r="I32" s="32"/>
      <c r="J32" s="32"/>
      <c r="K32" s="77"/>
    </row>
    <row r="33" spans="2:11" ht="12.75">
      <c r="B33" s="76"/>
      <c r="C33" s="222"/>
      <c r="D33" s="97" t="s">
        <v>984</v>
      </c>
      <c r="E33" s="97"/>
      <c r="F33" s="32"/>
      <c r="G33" s="32"/>
      <c r="H33" s="32"/>
      <c r="I33" s="32"/>
      <c r="J33" s="32"/>
      <c r="K33" s="77"/>
    </row>
    <row r="34" spans="2:11" ht="12.75">
      <c r="B34" s="76"/>
      <c r="C34" s="224"/>
      <c r="D34" s="97"/>
      <c r="E34" s="97" t="s">
        <v>983</v>
      </c>
      <c r="F34" s="32"/>
      <c r="G34" s="32"/>
      <c r="H34" s="32"/>
      <c r="I34" s="32"/>
      <c r="J34" s="32"/>
      <c r="K34" s="77"/>
    </row>
    <row r="35" spans="2:11" ht="12.75">
      <c r="B35" s="76"/>
      <c r="C35" s="222"/>
      <c r="D35" s="97" t="s">
        <v>122</v>
      </c>
      <c r="E35" s="97"/>
      <c r="F35" s="32"/>
      <c r="G35" s="32"/>
      <c r="H35" s="32"/>
      <c r="I35" s="32"/>
      <c r="J35" s="32"/>
      <c r="K35" s="77"/>
    </row>
    <row r="36" spans="2:11" ht="12.75">
      <c r="B36" s="76"/>
      <c r="C36" s="224"/>
      <c r="D36" s="224"/>
      <c r="E36" s="32"/>
      <c r="F36" s="32"/>
      <c r="G36" s="32"/>
      <c r="H36" s="32"/>
      <c r="I36" s="32"/>
      <c r="J36" s="32"/>
      <c r="K36" s="77"/>
    </row>
    <row r="37" spans="2:11" ht="12.75">
      <c r="B37" s="76"/>
      <c r="C37" s="222"/>
      <c r="D37" s="224"/>
      <c r="E37" s="32"/>
      <c r="F37" s="32"/>
      <c r="G37" s="32"/>
      <c r="H37" s="32"/>
      <c r="I37" s="32"/>
      <c r="J37" s="32"/>
      <c r="K37" s="77"/>
    </row>
    <row r="38" spans="2:11" ht="12.75">
      <c r="B38" s="76"/>
      <c r="C38" s="224"/>
      <c r="D38" s="222"/>
      <c r="E38" s="32"/>
      <c r="F38" s="32"/>
      <c r="G38" s="32"/>
      <c r="H38" s="32"/>
      <c r="I38" s="32"/>
      <c r="J38" s="32"/>
      <c r="K38" s="77"/>
    </row>
    <row r="39" spans="2:11" ht="12.75">
      <c r="B39" s="76"/>
      <c r="C39" s="224"/>
      <c r="D39" s="222"/>
      <c r="E39" s="32"/>
      <c r="F39" s="32"/>
      <c r="G39" s="32"/>
      <c r="H39" s="32"/>
      <c r="I39" s="32"/>
      <c r="J39" s="32"/>
      <c r="K39" s="77"/>
    </row>
    <row r="40" spans="2:11" ht="12.75">
      <c r="B40" s="76"/>
      <c r="C40" s="224"/>
      <c r="D40" s="222"/>
      <c r="E40" s="32"/>
      <c r="F40" s="32"/>
      <c r="G40" s="32"/>
      <c r="H40" s="32"/>
      <c r="I40" s="32"/>
      <c r="J40" s="32"/>
      <c r="K40" s="77"/>
    </row>
    <row r="41" spans="2:11" s="99" customFormat="1" ht="15">
      <c r="B41" s="96"/>
      <c r="C41" s="223"/>
      <c r="D41" s="224"/>
      <c r="E41" s="100"/>
      <c r="F41" s="100"/>
      <c r="G41" s="100"/>
      <c r="H41" s="100"/>
      <c r="I41" s="100"/>
      <c r="J41" s="100"/>
      <c r="K41" s="98"/>
    </row>
    <row r="42" spans="2:11" s="99" customFormat="1" ht="15">
      <c r="B42" s="96"/>
      <c r="C42" s="224"/>
      <c r="D42" s="223"/>
      <c r="E42" s="100"/>
      <c r="F42" s="100"/>
      <c r="G42" s="100"/>
      <c r="H42" s="100"/>
      <c r="I42" s="100"/>
      <c r="J42" s="100"/>
      <c r="K42" s="98"/>
    </row>
    <row r="43" spans="2:11" s="99" customFormat="1" ht="15">
      <c r="B43" s="96"/>
      <c r="C43" s="224"/>
      <c r="D43" s="224"/>
      <c r="E43" s="100"/>
      <c r="F43" s="100"/>
      <c r="G43" s="658"/>
      <c r="H43" s="658"/>
      <c r="I43" s="658"/>
      <c r="J43" s="310"/>
      <c r="K43" s="98"/>
    </row>
    <row r="44" spans="2:11" s="99" customFormat="1" ht="15.75">
      <c r="B44" s="96"/>
      <c r="C44" s="224"/>
      <c r="D44" s="224"/>
      <c r="E44" s="101"/>
      <c r="F44" s="234" t="s">
        <v>598</v>
      </c>
      <c r="G44" s="233"/>
      <c r="H44" s="233"/>
      <c r="I44" s="233"/>
      <c r="J44" s="233"/>
      <c r="K44" s="236"/>
    </row>
    <row r="45" spans="2:12" s="99" customFormat="1" ht="15">
      <c r="B45" s="96"/>
      <c r="C45" s="32"/>
      <c r="D45" s="32"/>
      <c r="E45" s="32"/>
      <c r="F45" s="32"/>
      <c r="G45" s="307"/>
      <c r="H45" s="235"/>
      <c r="I45" s="235"/>
      <c r="J45" s="235"/>
      <c r="K45" s="237"/>
      <c r="L45" s="235"/>
    </row>
    <row r="46" spans="2:11" s="99" customFormat="1" ht="12.75">
      <c r="B46" s="96"/>
      <c r="C46" s="32"/>
      <c r="D46" s="32"/>
      <c r="E46" s="32"/>
      <c r="F46" s="32"/>
      <c r="G46" s="308" t="s">
        <v>140</v>
      </c>
      <c r="H46" s="32"/>
      <c r="I46" s="32"/>
      <c r="J46" s="32"/>
      <c r="K46" s="98"/>
    </row>
    <row r="47" spans="2:11" ht="12.75">
      <c r="B47" s="76"/>
      <c r="C47" s="32"/>
      <c r="D47" s="32"/>
      <c r="E47" s="32"/>
      <c r="F47" s="32"/>
      <c r="G47" s="32"/>
      <c r="H47" s="32"/>
      <c r="I47" s="32"/>
      <c r="J47" s="32"/>
      <c r="K47" s="77"/>
    </row>
    <row r="48" spans="2:11" ht="12.75">
      <c r="B48" s="76"/>
      <c r="C48" s="32"/>
      <c r="D48" s="32"/>
      <c r="E48" s="32"/>
      <c r="F48" s="32"/>
      <c r="G48" s="32"/>
      <c r="H48" s="32"/>
      <c r="I48" s="32"/>
      <c r="J48" s="32"/>
      <c r="K48" s="77"/>
    </row>
    <row r="49" spans="2:11" ht="12.75">
      <c r="B49" s="76"/>
      <c r="C49" s="32"/>
      <c r="D49" s="32"/>
      <c r="E49" s="32"/>
      <c r="F49" s="32"/>
      <c r="G49" s="32"/>
      <c r="H49" s="32"/>
      <c r="I49" s="32"/>
      <c r="J49" s="32"/>
      <c r="K49" s="309"/>
    </row>
    <row r="50" spans="2:11" ht="12.75">
      <c r="B50" s="102"/>
      <c r="C50" s="103"/>
      <c r="D50" s="103"/>
      <c r="E50" s="103"/>
      <c r="F50" s="103"/>
      <c r="G50" s="103"/>
      <c r="H50" s="103"/>
      <c r="I50" s="103"/>
      <c r="J50" s="103"/>
      <c r="K50" s="104"/>
    </row>
  </sheetData>
  <sheetProtection/>
  <mergeCells count="3">
    <mergeCell ref="G43:I43"/>
    <mergeCell ref="B4:K4"/>
    <mergeCell ref="G14:I14"/>
  </mergeCells>
  <printOptions horizontalCentered="1" verticalCentered="1"/>
  <pageMargins left="0" right="0" top="0.393700787401575" bottom="0.393700787401575" header="0.511811023622047" footer="0.511811023622047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2012-04-24T03:49:22Z</cp:lastPrinted>
  <dcterms:created xsi:type="dcterms:W3CDTF">2008-02-26T13:09:03Z</dcterms:created>
  <dcterms:modified xsi:type="dcterms:W3CDTF">2013-07-11T09:06:39Z</dcterms:modified>
  <cp:category/>
  <cp:version/>
  <cp:contentType/>
  <cp:contentStatus/>
</cp:coreProperties>
</file>