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tabRatio="869" activeTab="0"/>
  </bookViews>
  <sheets>
    <sheet name="KAPAK " sheetId="1" r:id="rId1"/>
    <sheet name="AKTIV " sheetId="2" r:id="rId2"/>
    <sheet name="PASIV " sheetId="3" r:id="rId3"/>
    <sheet name="ARDHURA&amp;SHPENZIME (FORMATI 2)" sheetId="4" r:id="rId4"/>
    <sheet name="KAP2" sheetId="5" r:id="rId5"/>
    <sheet name="Shen.Spjeg.faqa 1" sheetId="6" r:id="rId6"/>
    <sheet name="SHENIMET " sheetId="7" r:id="rId7"/>
    <sheet name="PASQYRAT FLUKSIT 1,2  (2)" sheetId="8" r:id="rId8"/>
    <sheet name="aktivet" sheetId="9" r:id="rId9"/>
    <sheet name="pasq 1 " sheetId="10" r:id="rId10"/>
    <sheet name="pasq 2" sheetId="11" r:id="rId11"/>
    <sheet name="gjendje mag" sheetId="12" r:id="rId12"/>
    <sheet name="mjete trans" sheetId="13" r:id="rId13"/>
  </sheets>
  <definedNames>
    <definedName name="_xlnm.Print_Area" localSheetId="1">'AKTIV '!$B$2:$G$86</definedName>
    <definedName name="_xlnm.Print_Area" localSheetId="3">'ARDHURA&amp;SHPENZIME (FORMATI 2)'!$B$2:$E$79</definedName>
    <definedName name="_xlnm.Print_Area" localSheetId="2">'PASIV '!$B$2:$G$88</definedName>
    <definedName name="_xlnm.Print_Area" localSheetId="6">'SHENIMET '!$B$2:$K$50</definedName>
  </definedNames>
  <calcPr fullCalcOnLoad="1"/>
</workbook>
</file>

<file path=xl/sharedStrings.xml><?xml version="1.0" encoding="utf-8"?>
<sst xmlns="http://schemas.openxmlformats.org/spreadsheetml/2006/main" count="750" uniqueCount="583">
  <si>
    <t>Periudha :01/01/2011-31/12/2011</t>
  </si>
  <si>
    <t>Periudha :01/01/2011  -    31/12/2011</t>
  </si>
  <si>
    <t>Viti raportues  2011</t>
  </si>
  <si>
    <t>Viti paraardhes  2010</t>
  </si>
  <si>
    <t>Viti raportues 2011</t>
  </si>
  <si>
    <t>Viti paraardhes 2010</t>
  </si>
  <si>
    <t>Viti  2011</t>
  </si>
  <si>
    <t xml:space="preserve">Blerje /shpenzime te materialeve te para </t>
  </si>
  <si>
    <t>Blerje /shpenzime materiale  tjera</t>
  </si>
  <si>
    <t>Shpenzime akcize</t>
  </si>
  <si>
    <t>Viti 2011</t>
  </si>
  <si>
    <t>Aktivet Afatgjata Materiale  me vlere fillestare   2011</t>
  </si>
  <si>
    <t>Amortizimi A.A.Materiale   2011</t>
  </si>
  <si>
    <t>Vlera Kontabel Neto e A.A.Materiale  2011</t>
  </si>
  <si>
    <t>Pasqyra   e   Fluksit   Monetar  -  Metoda  direkte   2011</t>
  </si>
  <si>
    <t>Gjendja e inventarit te mallrave  ne bilanc eshte ne shumen  2383296.03 leke dhe</t>
  </si>
  <si>
    <t>paraqitet me koston e marrjes ku kemi materiale te para,mallra dhe pjese kembimi</t>
  </si>
  <si>
    <t xml:space="preserve"> te vitit pra me 31.12.2011,dhe perputhen me ekstraktet e bankes dhe gjendjen e arkes </t>
  </si>
  <si>
    <t>Shteti tatim taksa perbehet nga Tatim mbi te ardhurat nga punesimi llogaritur ne Dhjetor 2011</t>
  </si>
  <si>
    <t xml:space="preserve">dhe paguar ne Janar 2012 per shumen 24 230 dhe sigurime shoq&amp;shend per shumen 75 972 leke </t>
  </si>
  <si>
    <t xml:space="preserve">Personeli persona perbehet nga Pagat e llogaritura gjate vitit 2011  </t>
  </si>
  <si>
    <t>shoqeria ka kerkuar per rimbursim dhe qe kontrolli tatimor e zbriti si vlere)</t>
  </si>
  <si>
    <t>dhe TVSH per tu paguar ne shumen 518 762 leke</t>
  </si>
  <si>
    <t>Pasqyra  e  Ndryshimeve  ne  Kapital  2011</t>
  </si>
  <si>
    <t>Pozicioni me 31 dhjetor 2011</t>
  </si>
  <si>
    <t>dhe 600 038.67 debitore&amp;kreditore te ndryshem.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</si>
  <si>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</si>
  <si>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</si>
  <si>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</si>
  <si>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</si>
  <si>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</si>
  <si>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</si>
  <si>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</si>
  <si>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</si>
  <si>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</si>
  <si>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</si>
  <si>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</si>
  <si>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</si>
  <si>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</si>
  <si>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</si>
  <si>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</si>
  <si>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</si>
  <si>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</si>
  <si>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</si>
  <si>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</si>
  <si>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</si>
  <si>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</si>
  <si>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</si>
  <si>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</si>
  <si>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</si>
  <si>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</si>
  <si>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</si>
  <si>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</si>
  <si>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</si>
  <si>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</si>
  <si>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</si>
  <si>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</si>
  <si>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</si>
  <si>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</si>
  <si>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</si>
  <si>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</si>
  <si>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</si>
  <si>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</si>
  <si>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</si>
  <si>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</si>
  <si>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</si>
  <si>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</si>
  <si>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d)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</si>
  <si>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</si>
  <si>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</si>
  <si>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</si>
  <si>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</si>
  <si>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</si>
  <si>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</si>
  <si>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</si>
  <si>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</si>
  <si>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</si>
  <si>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</si>
  <si>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</si>
  <si>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</si>
  <si>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</si>
  <si>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</si>
  <si>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</si>
  <si>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</si>
  <si>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</si>
  <si>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</si>
  <si>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</si>
  <si>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</si>
  <si>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</si>
  <si>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</si>
  <si>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</si>
  <si>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</si>
  <si>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</si>
  <si>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</si>
  <si>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</si>
  <si>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</si>
  <si>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</si>
  <si>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</si>
  <si>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</si>
  <si>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</si>
  <si>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</si>
  <si>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SHOQERIA     URBAN DISTRIBUTION SHPK</t>
  </si>
  <si>
    <t>NIPTI   K81318001M</t>
  </si>
  <si>
    <t>Njesi</t>
  </si>
  <si>
    <t>Sasi</t>
  </si>
  <si>
    <t>Cmim</t>
  </si>
  <si>
    <t>Vlere</t>
  </si>
  <si>
    <t>Kafe kokerr</t>
  </si>
  <si>
    <t>Kg</t>
  </si>
  <si>
    <t>Sheqer</t>
  </si>
  <si>
    <t>Qumesht</t>
  </si>
  <si>
    <t>Caj limoni pluhur</t>
  </si>
  <si>
    <t>Kakao</t>
  </si>
  <si>
    <t xml:space="preserve">Gota plastike </t>
  </si>
  <si>
    <t>Cope</t>
  </si>
  <si>
    <t>Luge te vogla</t>
  </si>
  <si>
    <t>Snikers</t>
  </si>
  <si>
    <t>Kruasan cacao</t>
  </si>
  <si>
    <t>Orbit</t>
  </si>
  <si>
    <t>Pepsi</t>
  </si>
  <si>
    <t>Ivi rico</t>
  </si>
  <si>
    <t>Ivi limon</t>
  </si>
  <si>
    <t>Ivi portokall pa gaz</t>
  </si>
  <si>
    <t>Ivi pjeshke</t>
  </si>
  <si>
    <t>Bake rolls pizza</t>
  </si>
  <si>
    <t>Bake rolls spinach</t>
  </si>
  <si>
    <t>Bake rolls cheese</t>
  </si>
  <si>
    <t>Lloji i automjetit</t>
  </si>
  <si>
    <t>Shasia</t>
  </si>
  <si>
    <t>Vlera</t>
  </si>
  <si>
    <t xml:space="preserve">Fiat Doblo Cargo </t>
  </si>
  <si>
    <t>ZFA22300005506245</t>
  </si>
  <si>
    <t>1,365,000 leke</t>
  </si>
  <si>
    <t>SHOQERIA  URBAN DISTRIBUTION SHPK</t>
  </si>
  <si>
    <t>NIPT  K81318001M</t>
  </si>
  <si>
    <t>Targa</t>
  </si>
  <si>
    <t>TR 3071 N</t>
  </si>
  <si>
    <t xml:space="preserve">Llogari ne pritje </t>
  </si>
  <si>
    <t>periudhes raportuese dhe qe korigjim nuk ka.</t>
  </si>
  <si>
    <t xml:space="preserve"> Furnitore per fatura te pamberitura</t>
  </si>
  <si>
    <t>Andri Ibrahimaj</t>
  </si>
  <si>
    <t>automatikë</t>
  </si>
  <si>
    <t>Pozicioni me 31 dhjetor 2009</t>
  </si>
  <si>
    <t>Shitje produkt i gatshem</t>
  </si>
  <si>
    <t>Te ardhura nga shitja makineri,pajisje</t>
  </si>
  <si>
    <t xml:space="preserve">Te ardhura te tjera </t>
  </si>
  <si>
    <t>Humbje nga konvertimi</t>
  </si>
  <si>
    <t>Shpenzime te ndryshme</t>
  </si>
  <si>
    <t>Shpenzime doganore</t>
  </si>
  <si>
    <t>Shp per pritje e dhurata</t>
  </si>
  <si>
    <t>Vlera kont. e AQ te shitura</t>
  </si>
  <si>
    <t>Takse ambalazhi</t>
  </si>
  <si>
    <t>Reklame , publicitet</t>
  </si>
  <si>
    <t>Shpenzime te panjohura</t>
  </si>
  <si>
    <t>Interesa kredi bankare</t>
  </si>
  <si>
    <t>Të ardhura nga emetimi i kapitalit aksionar (ortaku)</t>
  </si>
  <si>
    <t>pajisje zyre</t>
  </si>
  <si>
    <t>Nr.37312</t>
  </si>
  <si>
    <t>Financiare" të ndryshuar,dhe në Standartet Kombëtare të Kontabilitetit-SKK2  )</t>
  </si>
  <si>
    <t>BILANCI KONTABEL</t>
  </si>
  <si>
    <t>Monedha:</t>
  </si>
  <si>
    <t>LEK</t>
  </si>
  <si>
    <t>Shenime</t>
  </si>
  <si>
    <t>AKTIVET</t>
  </si>
  <si>
    <t>I</t>
  </si>
  <si>
    <t>Mjete monetare</t>
  </si>
  <si>
    <t>Derivative dhe aktive financiare te mbajtura per tregtim</t>
  </si>
  <si>
    <t>i</t>
  </si>
  <si>
    <t>Derivativet</t>
  </si>
  <si>
    <t>ii</t>
  </si>
  <si>
    <t>Aktivet e mbajtura per tregtim</t>
  </si>
  <si>
    <t>Aktive te tjera afatshkurtra financiare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</si>
  <si>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</si>
  <si>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</si>
  <si>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</si>
  <si>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</si>
  <si>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</si>
  <si>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</si>
  <si>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Inventari</t>
  </si>
  <si>
    <t>Lendet e para</t>
  </si>
  <si>
    <t>Prodhim ne proces</t>
  </si>
  <si>
    <t>Produkte te gatshme</t>
  </si>
  <si>
    <t>Mallra per rishitje</t>
  </si>
  <si>
    <t>v</t>
  </si>
  <si>
    <t>Parapagesat per furnizime</t>
  </si>
  <si>
    <t>Aktivet biologjike afatshkurtra</t>
  </si>
  <si>
    <t>Aktivet afatshkurtra te mbajtura per shitje</t>
  </si>
  <si>
    <t>Parapagimet dhe shpenzimet e shtyra</t>
  </si>
  <si>
    <t>II</t>
  </si>
  <si>
    <t>Investimet financiare afatgjata</t>
  </si>
  <si>
    <t>Aksione dhe pjesemarrje te tjera ne njesi te kontrolluara</t>
  </si>
  <si>
    <t>Aksione dhe investime te tjera ne pjesmarrje</t>
  </si>
  <si>
    <t>Aksione dhe letra te tjera me vlere</t>
  </si>
  <si>
    <t>Llogari/Kerkesa te arketueshme afatgjata</t>
  </si>
  <si>
    <t>Aktive afatgjata materiale</t>
  </si>
  <si>
    <t>Toka</t>
  </si>
  <si>
    <t>Ndertesa</t>
  </si>
  <si>
    <t>Makineri dhe pajisje</t>
  </si>
  <si>
    <t>Aktivet biologjike afatgjata</t>
  </si>
  <si>
    <t>Aktivet afatgjata jomateriale</t>
  </si>
  <si>
    <t>Emri i mire</t>
  </si>
  <si>
    <t>Shpenzimet e zhvillimit</t>
  </si>
  <si>
    <t>Aktive te tjera afatgjata jomateriale</t>
  </si>
  <si>
    <t>Kapital aksionar i papaguar</t>
  </si>
  <si>
    <t>Aktive te tjera afatgjata (ne proces)</t>
  </si>
  <si>
    <t>Totali i Aktiveve</t>
  </si>
  <si>
    <t>Derivativet (vlera negative)</t>
  </si>
  <si>
    <t>Huamarrjet</t>
  </si>
  <si>
    <t>Huat dhe obligacionet afatshkurtra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</si>
  <si>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</si>
  <si>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</si>
  <si>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</si>
  <si>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</si>
  <si>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</si>
  <si>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Detyrimet tatimore</t>
  </si>
  <si>
    <t>Parapagimet e arkëtuara</t>
  </si>
  <si>
    <t>Grantet dhe te ardhurat e shtyra</t>
  </si>
  <si>
    <t>Provizionet afatshkurtra</t>
  </si>
  <si>
    <t>Huat afatgjata</t>
  </si>
  <si>
    <t>Hua, bono dhe detyrime nga qiraja financiare</t>
  </si>
  <si>
    <t>Bonot e konvertueshme</t>
  </si>
  <si>
    <t>Huamarrje te tjera afatgjata</t>
  </si>
  <si>
    <t>Provizionet afatgjata</t>
  </si>
  <si>
    <t>Grantet dhe te ardhura te shtyra</t>
  </si>
  <si>
    <t>Kapitali</t>
  </si>
  <si>
    <t>Aksionet e pakices</t>
  </si>
  <si>
    <t>Kapitali qe i perket aksionareve te shoqerise meme</t>
  </si>
  <si>
    <t>Kapitali aksionar</t>
  </si>
  <si>
    <t>Primi i aksionit</t>
  </si>
  <si>
    <t>Njesite ose aksionet e thesarit</t>
  </si>
  <si>
    <t>Rezerva</t>
  </si>
  <si>
    <t>Rezerva ligjore</t>
  </si>
  <si>
    <t>Rezerva te tjera</t>
  </si>
  <si>
    <t>Rezerva statuore</t>
  </si>
  <si>
    <t>Fitimet e pashperndara</t>
  </si>
  <si>
    <t>Fitimi/Humbja e vitit financiar</t>
  </si>
  <si>
    <t>Totali i Detyrimeve dhe i Kapitalit</t>
  </si>
  <si>
    <t>Shuma I.2</t>
  </si>
  <si>
    <t>Shuma I.3</t>
  </si>
  <si>
    <t>Shuma II.4</t>
  </si>
  <si>
    <t>Shuma II.2</t>
  </si>
  <si>
    <t>Shuma II.1</t>
  </si>
  <si>
    <t xml:space="preserve"> Shuma I.2</t>
  </si>
  <si>
    <t xml:space="preserve"> Shuma I.3</t>
  </si>
  <si>
    <t xml:space="preserve"> Totali per Detyrimet Afatgjata</t>
  </si>
  <si>
    <t>Totali per  Detyrimet Afatshkurtra</t>
  </si>
  <si>
    <t xml:space="preserve">  Shuma II.1</t>
  </si>
  <si>
    <t xml:space="preserve"> </t>
  </si>
  <si>
    <t>ShumaI.6</t>
  </si>
  <si>
    <t>Shuma I.4</t>
  </si>
  <si>
    <t xml:space="preserve"> Totali per     Kapitalin</t>
  </si>
  <si>
    <t xml:space="preserve">DETYRIMET  DHE KAPITALI </t>
  </si>
  <si>
    <t xml:space="preserve">Totali i detyrimeve  </t>
  </si>
  <si>
    <t>Aktive te tjera afatgjata materiale(vl kontabel)</t>
  </si>
  <si>
    <t>Shuma I.1</t>
  </si>
  <si>
    <t xml:space="preserve"> Totali i  Aktivet Afatshkurtra  (I)</t>
  </si>
  <si>
    <t xml:space="preserve"> Totali  i   Aktivet    Afatgjata  (II)</t>
  </si>
  <si>
    <t xml:space="preserve">Hua  te tjera </t>
  </si>
  <si>
    <t xml:space="preserve">Vlera monetare ne  banke </t>
  </si>
  <si>
    <t xml:space="preserve"> Vlera monetare ne   arke </t>
  </si>
  <si>
    <t xml:space="preserve">AKTIVE AFATSHKURTRA </t>
  </si>
  <si>
    <t xml:space="preserve">Kliente per mallra , produkte e sherbime </t>
  </si>
  <si>
    <t xml:space="preserve">Parapagime te dhena </t>
  </si>
  <si>
    <t xml:space="preserve">Debitore te tjere , kreditore te tjere </t>
  </si>
  <si>
    <t>Tatimi mbi fitimin (tep. debitore )</t>
  </si>
  <si>
    <t>Tatimi mbi ardhurat personale  (tep. debitore )</t>
  </si>
  <si>
    <t>Tatimi ne burim    (tep. debitore )</t>
  </si>
  <si>
    <t>Shteti   -TVSH  per tu marre    (tep. debitore )</t>
  </si>
  <si>
    <t>Te  tjera tatime per tu paguar dhe per tu kthyer  (tep. debitore )</t>
  </si>
  <si>
    <t>Te drejta dhe detyrime ndaj ortakeve dhe aksionerve   (tep. debitore )</t>
  </si>
  <si>
    <t>Qera financiare   (kur eshte afatshkurter dhe ka teprice debitore )</t>
  </si>
  <si>
    <t>Shpenzime te periudhave te ardhme  ( tep . Debitore)</t>
  </si>
  <si>
    <t>Shpenzime te llogaritura  ( tep . Debitore)</t>
  </si>
  <si>
    <t xml:space="preserve">AKTIVE AFATGJATA </t>
  </si>
  <si>
    <t>Te drejta ndaj pronareve per kapitalin e nenshkruar ,(tep debitore )</t>
  </si>
  <si>
    <t xml:space="preserve">AA ne proces </t>
  </si>
  <si>
    <t xml:space="preserve"> Llogari bankare te zbuluara (overdrafte bankar</t>
  </si>
  <si>
    <t xml:space="preserve"> Furnitore per mallra , produkte e sherbime </t>
  </si>
  <si>
    <t xml:space="preserve"> Furnitore per aktive afatgjate </t>
  </si>
  <si>
    <t xml:space="preserve"> Premtim pagesa te pagueshme </t>
  </si>
  <si>
    <t xml:space="preserve"> Paga dhe shperblime </t>
  </si>
  <si>
    <t xml:space="preserve"> Paradhenie per  punonjesit </t>
  </si>
  <si>
    <t xml:space="preserve"> Sigurime shoqerore  dhe shendesore </t>
  </si>
  <si>
    <t xml:space="preserve"> Organizma te tjera shoqerore </t>
  </si>
  <si>
    <t>Inventari Imet</t>
  </si>
  <si>
    <t>vi</t>
  </si>
  <si>
    <t xml:space="preserve">Tatim  mbi te ardhurat  personale </t>
  </si>
  <si>
    <t>Akciza</t>
  </si>
  <si>
    <t xml:space="preserve">Tatim  te tjera  per punonjesit </t>
  </si>
  <si>
    <t xml:space="preserve">Tatim mbi fitimin </t>
  </si>
  <si>
    <t xml:space="preserve">Shteti  - TVSH   per tu paguar  </t>
  </si>
  <si>
    <t xml:space="preserve">Te tjera  tatime per tu paguar dhe per tu kthyer </t>
  </si>
  <si>
    <t xml:space="preserve">Tatime ne burim </t>
  </si>
  <si>
    <r>
      <t xml:space="preserve">    </t>
    </r>
    <r>
      <rPr>
        <b/>
        <sz val="9"/>
        <rFont val="Arial"/>
        <family val="2"/>
      </rPr>
      <t>A)</t>
    </r>
    <r>
      <rPr>
        <sz val="9"/>
        <rFont val="Arial"/>
        <family val="2"/>
      </rPr>
      <t xml:space="preserve"> Detyrime per sigurimet shoqerore dhe shendesore </t>
    </r>
  </si>
  <si>
    <r>
      <t xml:space="preserve">    </t>
    </r>
    <r>
      <rPr>
        <b/>
        <sz val="9"/>
        <rFont val="Arial"/>
        <family val="2"/>
      </rPr>
      <t>B)</t>
    </r>
    <r>
      <rPr>
        <sz val="9"/>
        <rFont val="Arial"/>
        <family val="2"/>
      </rPr>
      <t xml:space="preserve"> Shteti per tatime dhe taksa </t>
    </r>
  </si>
  <si>
    <t xml:space="preserve">Te drejta  dhe detyrime ndaj pronareve per kapitalin e nenshkruar </t>
  </si>
  <si>
    <t xml:space="preserve">Qera  financiare afatshkurter </t>
  </si>
  <si>
    <t>Debitore te tjere ,kreditore te tjere  (tep kreditore )</t>
  </si>
  <si>
    <t>Te drejta  dhe detyrime ndaj pjestareve te tjere te grupit</t>
  </si>
  <si>
    <t xml:space="preserve">Te drejta  dhe detyrime ndaj ortakeve  dhe aksionereve </t>
  </si>
  <si>
    <t xml:space="preserve"> Parapagime  te marra </t>
  </si>
  <si>
    <t xml:space="preserve">Provizione  afatgjate </t>
  </si>
  <si>
    <t xml:space="preserve">Kapitali  I paguar </t>
  </si>
  <si>
    <t xml:space="preserve"> Kapitali  I nenshkruar  I  papaguar </t>
  </si>
  <si>
    <t xml:space="preserve">Aksione te thesarit </t>
  </si>
  <si>
    <t xml:space="preserve">Fitimi / Humbja e pashperndare </t>
  </si>
  <si>
    <t xml:space="preserve">Fitimi / Humbja  Rezultati I Ushtrimi </t>
  </si>
  <si>
    <t xml:space="preserve">DETYRIMET AFATSHKURTRA </t>
  </si>
  <si>
    <t xml:space="preserve">DETYRIMET AFATGJATA </t>
  </si>
  <si>
    <t>TE ARDHURAT E SHPENZIMET (formati 2)</t>
  </si>
  <si>
    <t>(Bazuar ne klasifikimin e Shpenzimeve sipas Funksioneve  )</t>
  </si>
  <si>
    <t>Emertimi</t>
  </si>
  <si>
    <t>Shitjet neto</t>
  </si>
  <si>
    <t>701, 705</t>
  </si>
  <si>
    <t>705</t>
  </si>
  <si>
    <t>Shitje mallrash</t>
  </si>
  <si>
    <t>Kostoja e prodhimit/blerjes se mallrave</t>
  </si>
  <si>
    <t>601, 605</t>
  </si>
  <si>
    <t>601</t>
  </si>
  <si>
    <t>6021</t>
  </si>
  <si>
    <t>6027</t>
  </si>
  <si>
    <t xml:space="preserve">Blerje /shpenzime iventar imet </t>
  </si>
  <si>
    <t>6031</t>
  </si>
  <si>
    <t>Ndrysh.gjend.mater.para</t>
  </si>
  <si>
    <t>6032</t>
  </si>
  <si>
    <t>Ndrysh.gjend.mater.tjera</t>
  </si>
  <si>
    <t>60327</t>
  </si>
  <si>
    <t xml:space="preserve">Ndrysh.gjend.iventar imet </t>
  </si>
  <si>
    <t>605</t>
  </si>
  <si>
    <t>Blerje /shpenzime mallra, sherbimesh</t>
  </si>
  <si>
    <t>6035</t>
  </si>
  <si>
    <t>Ndrysh.gjend.mallra</t>
  </si>
  <si>
    <t>Fitimi (humbja) bruto   (1-2)</t>
  </si>
  <si>
    <t>Shpenzimet e shitjes</t>
  </si>
  <si>
    <t xml:space="preserve">Shpenzime reklama ,publicteti </t>
  </si>
  <si>
    <t>Shpenzime administrative</t>
  </si>
  <si>
    <t>641</t>
  </si>
  <si>
    <t xml:space="preserve">Pagat dhe shperblimet e personelit   </t>
  </si>
  <si>
    <t>644</t>
  </si>
  <si>
    <t>Sigurimet shoqerore dhe shendetesore</t>
  </si>
  <si>
    <t>648</t>
  </si>
  <si>
    <t>Shpenzime te tjera per personelin</t>
  </si>
  <si>
    <t>Te ardhura te tjera nga veprimtarite e shfrytezimit</t>
  </si>
  <si>
    <t>702-708X</t>
  </si>
  <si>
    <t>7081</t>
  </si>
  <si>
    <t>Qera</t>
  </si>
  <si>
    <t>Shpenzime te tjera te zakonshme</t>
  </si>
  <si>
    <t>604</t>
  </si>
  <si>
    <t>Bl.energji,avull,uje</t>
  </si>
  <si>
    <t>608</t>
  </si>
  <si>
    <t>Blerje /shpenzime te tjera</t>
  </si>
  <si>
    <t>613</t>
  </si>
  <si>
    <t>Qira</t>
  </si>
  <si>
    <t>615</t>
  </si>
  <si>
    <t>Mirembajtje dhe riparime</t>
  </si>
  <si>
    <t>616</t>
  </si>
  <si>
    <t>Sigurime</t>
  </si>
  <si>
    <t>6183</t>
  </si>
  <si>
    <t>Shpenzime kanceleri</t>
  </si>
  <si>
    <t>626</t>
  </si>
  <si>
    <t>Shpz.postare e telekom.</t>
  </si>
  <si>
    <t>6271</t>
  </si>
  <si>
    <t>Transporte per blerje</t>
  </si>
  <si>
    <t>628</t>
  </si>
  <si>
    <t>Sherbime bankare</t>
  </si>
  <si>
    <t>634</t>
  </si>
  <si>
    <t>Taksa dhe tarifa vendore</t>
  </si>
  <si>
    <t>657</t>
  </si>
  <si>
    <t>Gjoba dhe demshperblime</t>
  </si>
  <si>
    <t>Fitimi (humbja) nga veprimtarite e shfrytezimit</t>
  </si>
  <si>
    <t>Te ardhura e shpenzime financiare nga njesite e kontrolluara</t>
  </si>
  <si>
    <t>762, 662</t>
  </si>
  <si>
    <t>Te ardhura e shpenzime nga investime ne pjesemarrje</t>
  </si>
  <si>
    <t>761; 661</t>
  </si>
  <si>
    <t>Te ardhurat dhe shpenzimet financiare nga</t>
  </si>
  <si>
    <t xml:space="preserve">    a</t>
  </si>
  <si>
    <t>Te ardhura e shpenzime financiare nga investime te tjera financiare afatgjata</t>
  </si>
  <si>
    <t>763, 764;765;664,665</t>
  </si>
  <si>
    <t xml:space="preserve">    b</t>
  </si>
  <si>
    <t xml:space="preserve"> Te ardhura e shpenzime financiare nga interesi</t>
  </si>
  <si>
    <t>767; 667</t>
  </si>
  <si>
    <t>767</t>
  </si>
  <si>
    <t>Te ardhura nga interesat</t>
  </si>
  <si>
    <t>Shpenzime interesi</t>
  </si>
  <si>
    <t xml:space="preserve">    c</t>
  </si>
  <si>
    <t xml:space="preserve"> Te ardhura e shpenzime financiare nga kursi i kembimit</t>
  </si>
  <si>
    <t>769; 669</t>
  </si>
  <si>
    <t>769</t>
  </si>
  <si>
    <t>Fitim nga kembimet valutore</t>
  </si>
  <si>
    <t xml:space="preserve">    d</t>
  </si>
  <si>
    <t xml:space="preserve">   Te ardhura e shpenzime financiare nga te tjera financiare</t>
  </si>
  <si>
    <t>768; 668</t>
  </si>
  <si>
    <t>Totali (a÷d)</t>
  </si>
  <si>
    <t>Shuma te ardhurave e shpenzimeve financiare                               (11.1+/-11.2+/-11.3+/-11.4)</t>
  </si>
  <si>
    <t>Fitimi (humbja) para tatimit    (8+/-12)</t>
  </si>
  <si>
    <t>Shpenzimet e tatimit te fitimit</t>
  </si>
  <si>
    <t>Fitimi (humbja) neto e vitit financiar  (13-14)</t>
  </si>
  <si>
    <t xml:space="preserve">Dorezim punimesh e sherbime </t>
  </si>
  <si>
    <t xml:space="preserve">NIPTI  </t>
  </si>
  <si>
    <t>Interesi i paguar</t>
  </si>
  <si>
    <t>Tatim mbi fitimin i paguar</t>
  </si>
  <si>
    <t>Blerja e aktiveve afatgjata materiale</t>
  </si>
  <si>
    <t>Fluksi monetar nga aktivitetet financiare</t>
  </si>
  <si>
    <t>TOTALI</t>
  </si>
  <si>
    <t>A</t>
  </si>
  <si>
    <t>Efekti ndryshimeve ne politikat kontabel</t>
  </si>
  <si>
    <t>B</t>
  </si>
  <si>
    <t>Pozicioni i rregulluar</t>
  </si>
  <si>
    <t>Dividentet e paguar</t>
  </si>
  <si>
    <t>Fitimi neto per periudhen kontabel</t>
  </si>
  <si>
    <t>Aksione te thesari te riblera</t>
  </si>
  <si>
    <t>III</t>
  </si>
  <si>
    <t>Nje pasqyre e pa Konsoliduar</t>
  </si>
  <si>
    <t>Primi aksionit</t>
  </si>
  <si>
    <t>Aksione thesari</t>
  </si>
  <si>
    <t>Rezerva stat.ligjore</t>
  </si>
  <si>
    <t xml:space="preserve">Fitimi pashperndare </t>
  </si>
  <si>
    <t>Rritja rezerves kapitalit</t>
  </si>
  <si>
    <t>Emetimi aksioneve</t>
  </si>
  <si>
    <t>Emetimi kapitali aksionar</t>
  </si>
  <si>
    <t>S H E N I M E T          S P J E G U E S E</t>
  </si>
  <si>
    <t>Sqarim:</t>
  </si>
  <si>
    <t>Dhënia e shënimeve shpjeguese në këtë pjesë është e detyrueshme sipas SKK 2.</t>
  </si>
  <si>
    <t xml:space="preserve">Plotesimi i te dhenave të kësaj pjese duhet të bëhet sipas kërkesave dhe strukturës standarte te </t>
  </si>
  <si>
    <t>percaktuara ne SKK 2 dhe konkretisht paragrafeve 49-55.  Rradha e dhenies se spjegimeve duhet te jete :</t>
  </si>
  <si>
    <t>a) Informacion i përgjithsëm dhe politikat kontabël</t>
  </si>
  <si>
    <t>b)Shënimet qe shpjegojnë zërat e ndryshëm të pasqyrave financiare</t>
  </si>
  <si>
    <t>c) Shënime të tjera shpjegeuse</t>
  </si>
  <si>
    <t>Per Drejtimin  e Njesise  Ekonomike</t>
  </si>
  <si>
    <t>Mjete transporti</t>
  </si>
  <si>
    <t>Inventar - Pjesë ndërrimi</t>
  </si>
  <si>
    <t xml:space="preserve">KAPITALI </t>
  </si>
  <si>
    <t xml:space="preserve">Pasqyra e fluksit monetar -- Metoda direkte </t>
  </si>
  <si>
    <t xml:space="preserve"> Periudha raportuese</t>
  </si>
  <si>
    <t xml:space="preserve"> Periudha paraardhëse</t>
  </si>
  <si>
    <t>Fluksi monetar nga veprimtaritë e shfrytëzimit</t>
  </si>
  <si>
    <t>Mjetet monetare (MM) të arkëtuara nga klientët</t>
  </si>
  <si>
    <t>MM të paguara ndaj furnitorëve dhe punonjësve</t>
  </si>
  <si>
    <t>MM të ardhura nga veprimtaritë</t>
  </si>
  <si>
    <t>MM neto nga veprimtaritë e shfrytëzimit</t>
  </si>
  <si>
    <t>Fluksi monetar nga veprimtaritë investuese</t>
  </si>
  <si>
    <t>Blerja e njësisë së kontrolluar X minus paratë e Arkëtuara</t>
  </si>
  <si>
    <t>Të ardhurat nga shitja e pajisjeve</t>
  </si>
  <si>
    <t>Interesi i arkëtuar</t>
  </si>
  <si>
    <t>Dividendët e arkëtuar</t>
  </si>
  <si>
    <t>MM neto të përdorura në veprimtaritë investuese</t>
  </si>
  <si>
    <t>Të ardhura nga huamarrje afatgjata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</si>
  <si>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</si>
  <si>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</si>
  <si>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</si>
  <si>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</si>
  <si>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</si>
  <si>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</si>
  <si>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Amortizime dhe zhveresimi</t>
  </si>
  <si>
    <t xml:space="preserve">Instalime ,makineri ,pajisje pune </t>
  </si>
  <si>
    <t xml:space="preserve">Mjete transporti </t>
  </si>
  <si>
    <t xml:space="preserve">Hua nga banka  </t>
  </si>
  <si>
    <t xml:space="preserve">Urban Distribution sh.p.k </t>
  </si>
  <si>
    <t>K81318001M</t>
  </si>
  <si>
    <t xml:space="preserve">Hua te tjera afatgjata 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</si>
  <si>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</si>
  <si>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</si>
  <si>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</si>
  <si>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</si>
  <si>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</si>
  <si>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</si>
  <si>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</si>
  <si>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</si>
  <si>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</si>
  <si>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</si>
  <si>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</si>
  <si>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</si>
  <si>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</si>
  <si>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</si>
  <si>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</si>
  <si>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</si>
  <si>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</si>
  <si>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</si>
  <si>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</si>
  <si>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</si>
  <si>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</si>
  <si>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</si>
  <si>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</si>
  <si>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</si>
  <si>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</si>
  <si>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</si>
  <si>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</si>
  <si>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</si>
  <si>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</si>
  <si>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</si>
  <si>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</si>
  <si>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</si>
  <si>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</si>
  <si>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</si>
  <si>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</si>
  <si>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</si>
  <si>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</si>
  <si>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</si>
  <si>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</si>
  <si>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</si>
  <si>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</si>
  <si>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</si>
  <si>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</si>
  <si>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</si>
  <si>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</si>
  <si>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</si>
  <si>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percaktimin e kostos se inventareve eshte zgjedhur metoda "Kosto Mesatare "(SKK 4)</t>
  </si>
  <si>
    <t>C</t>
  </si>
  <si>
    <t xml:space="preserve">Shenime te tjera shpjeguese </t>
  </si>
  <si>
    <t xml:space="preserve">SUBJEKTI </t>
  </si>
  <si>
    <t xml:space="preserve">URBAN DISTRIBUTION SH.P.K </t>
  </si>
  <si>
    <t>Likujditetet jane paraqitur ne bilanc me gjendjen e llogarise bankare ne daten e fundit</t>
  </si>
  <si>
    <t xml:space="preserve">Ngjarje te ndodhura pas dates se bilancit per te cilat behen rregullime apo ngjarje te </t>
  </si>
  <si>
    <t>Gabime materiale te ndodhura ne periudhat kontabel te mepareshme te konstatuara gjate</t>
  </si>
  <si>
    <t>ndodhura pas dates se bilancit per te cilat nuk behen rregulline  nuk ka.</t>
  </si>
  <si>
    <t xml:space="preserve">     Kuadri kontabel i aplikuar : Standartet Kombetare te Kontabilitetit ne Shqiperi.(SKK 2; 49)</t>
  </si>
  <si>
    <t>(  Mbështetur në Ligjin nr.9228,datë 29.04.2004 "Për Kontabilitetin dhe Pasqyrat</t>
  </si>
  <si>
    <t>PASQYRAT  FINANCIARE</t>
  </si>
  <si>
    <t xml:space="preserve">- Emri  </t>
  </si>
  <si>
    <t>- NIPT</t>
  </si>
  <si>
    <t xml:space="preserve">- Adresa </t>
  </si>
  <si>
    <t xml:space="preserve">- Data e krijimit </t>
  </si>
  <si>
    <t xml:space="preserve">- Nr.Regj.Tregtar </t>
  </si>
  <si>
    <t xml:space="preserve">- Pasqyrat Financiare </t>
  </si>
  <si>
    <t xml:space="preserve">Individuale </t>
  </si>
  <si>
    <t>□</t>
  </si>
  <si>
    <t xml:space="preserve">Te konsoliduara </t>
  </si>
  <si>
    <t xml:space="preserve">- Monedha  </t>
  </si>
  <si>
    <t xml:space="preserve">- Rrumbullakimi </t>
  </si>
  <si>
    <t xml:space="preserve">Nga </t>
  </si>
  <si>
    <t xml:space="preserve">Leke </t>
  </si>
  <si>
    <t>Të dhëna identifikuese</t>
  </si>
  <si>
    <t xml:space="preserve">Të dhëna të tjera </t>
  </si>
  <si>
    <t>- Periudha kontabël</t>
  </si>
  <si>
    <t xml:space="preserve">- Fusha e veprimtarisë </t>
  </si>
  <si>
    <t>- Data e plotësimit të PF</t>
  </si>
  <si>
    <t>Tregtim me shumicë dhe pakicë</t>
  </si>
  <si>
    <t>instalim,mirëmbajtje,furnizim dhe riparim i distributorëve</t>
  </si>
  <si>
    <t>Rr. e re e Rinasit,servis OMCN</t>
  </si>
  <si>
    <t xml:space="preserve">Berxull,Tirane </t>
  </si>
  <si>
    <t>Viti  2010</t>
  </si>
  <si>
    <t>Pozicioni me 31 dhjetor 2010</t>
  </si>
  <si>
    <t>29 Janar 2008</t>
  </si>
  <si>
    <t>Nr</t>
  </si>
  <si>
    <t>Sasia</t>
  </si>
  <si>
    <t>Gjendje</t>
  </si>
  <si>
    <t>Shtesa</t>
  </si>
  <si>
    <t>Pakesime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</si>
  <si>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</si>
  <si>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</si>
  <si>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</si>
  <si>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</si>
  <si>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</si>
  <si>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</si>
  <si>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</si>
  <si>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</si>
  <si>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</si>
  <si>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</si>
  <si>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</si>
  <si>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</si>
  <si>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</si>
  <si>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</si>
  <si>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</si>
  <si>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</si>
  <si>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</si>
  <si>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</si>
  <si>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</si>
  <si>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</si>
  <si>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</si>
  <si>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>Inventari i mjeteve te transportit deri ne date 31/12/2011</t>
  </si>
  <si>
    <t>Kafe Ciald</t>
  </si>
  <si>
    <t>Gjendje magazine mallra dhe materiale 31/12/2011</t>
  </si>
  <si>
    <t xml:space="preserve">Uje </t>
  </si>
  <si>
    <t>Lupo kek</t>
  </si>
  <si>
    <t>Chipsy salted</t>
  </si>
  <si>
    <t>Biskolate</t>
  </si>
  <si>
    <t>VITI 2011</t>
  </si>
  <si>
    <t>01.01.2011</t>
  </si>
  <si>
    <t>Deri 31.12.2011</t>
  </si>
  <si>
    <t>29 Mars 2012</t>
  </si>
  <si>
    <t>Te tjera kerkesa rezulton me saldo debitore per shumen 2 491 248 leke e cila perbehet nga :</t>
  </si>
  <si>
    <t xml:space="preserve">tatim fitimi gjithsej ne vitin 2011 eshte 250 684 leke  dhe 1 640 525 llogari ne pritje (tvsh kreditore qe </t>
  </si>
  <si>
    <t>(  Klodjana Jance  )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</si>
</sst>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(* #,##0_);_(* \(#,##0\);_(* &quot;-&quot;??_);_(@_)"/>
    <numFmt numFmtId="181" formatCode="0.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.0_);_(* \(#,##0.0\);_(* &quot;-&quot;?_);_(@_)"/>
  </numFmts>
  <fonts count="115">
    <font>
      <sz val="10"/>
      <name val="Arial"/>
      <family val="0"/>
    </font>
    <font>
      <sz val="10"/>
      <color indexed="8"/>
      <name val="MS Sans Serif"/>
      <family val="2"/>
    </font>
    <font>
      <sz val="8.5"/>
      <color indexed="8"/>
      <name val="Arial"/>
      <family val="2"/>
    </font>
    <font>
      <b/>
      <sz val="14.05"/>
      <color indexed="8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9.95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9"/>
      <color indexed="21"/>
      <name val="Arial"/>
      <family val="2"/>
    </font>
    <font>
      <sz val="8.5"/>
      <color indexed="21"/>
      <name val="Arial"/>
      <family val="2"/>
    </font>
    <font>
      <b/>
      <sz val="9"/>
      <color indexed="21"/>
      <name val="Arial"/>
      <family val="2"/>
    </font>
    <font>
      <sz val="8.5"/>
      <name val="Arial"/>
      <family val="2"/>
    </font>
    <font>
      <sz val="9.95"/>
      <color indexed="8"/>
      <name val="Arial"/>
      <family val="2"/>
    </font>
    <font>
      <i/>
      <sz val="9.95"/>
      <color indexed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.95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MS Sans Serif"/>
      <family val="2"/>
    </font>
    <font>
      <sz val="7"/>
      <color indexed="8"/>
      <name val="Microsoft Sans Serif"/>
      <family val="2"/>
    </font>
    <font>
      <sz val="12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  <font>
      <u val="single"/>
      <sz val="11"/>
      <name val="Arial"/>
      <family val="2"/>
    </font>
    <font>
      <b/>
      <u val="single"/>
      <sz val="14"/>
      <name val="Arial"/>
      <family val="2"/>
    </font>
    <font>
      <i/>
      <sz val="10"/>
      <name val="Arial"/>
      <family val="2"/>
    </font>
    <font>
      <sz val="10"/>
      <color indexed="21"/>
      <name val="Arial"/>
      <family val="2"/>
    </font>
    <font>
      <b/>
      <sz val="14.05"/>
      <color indexed="8"/>
      <name val="Arial"/>
      <family val="2"/>
    </font>
    <font>
      <sz val="9.8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11"/>
      <color indexed="8"/>
      <name val="Arial"/>
      <family val="2"/>
    </font>
    <font>
      <sz val="9.95"/>
      <name val="Arial"/>
      <family val="2"/>
    </font>
    <font>
      <sz val="9"/>
      <color indexed="12"/>
      <name val="Arial"/>
      <family val="2"/>
    </font>
    <font>
      <b/>
      <sz val="11.05"/>
      <color indexed="8"/>
      <name val="Arial"/>
      <family val="2"/>
    </font>
    <font>
      <b/>
      <sz val="8.9"/>
      <color indexed="8"/>
      <name val="Arial"/>
      <family val="2"/>
    </font>
    <font>
      <b/>
      <u val="single"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sz val="3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38"/>
      <name val="Times New Roman"/>
      <family val="1"/>
    </font>
    <font>
      <sz val="11.5"/>
      <name val="Times New Roman"/>
      <family val="1"/>
    </font>
    <font>
      <b/>
      <sz val="26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9"/>
      <name val="Tahoma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hair"/>
      <bottom/>
    </border>
    <border>
      <left style="hair"/>
      <right style="hair"/>
      <top>
        <color indexed="63"/>
      </top>
      <bottom/>
    </border>
    <border>
      <left style="hair"/>
      <right style="medium"/>
      <top style="hair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26" borderId="0" applyNumberFormat="0" applyBorder="0" applyAlignment="0" applyProtection="0"/>
    <xf numFmtId="0" fontId="101" fillId="27" borderId="1" applyNumberFormat="0" applyAlignment="0" applyProtection="0"/>
    <xf numFmtId="0" fontId="10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81" fillId="0" borderId="0" applyBorder="0" applyProtection="0">
      <alignment horizontal="left" vertical="top" wrapText="1"/>
    </xf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4" fillId="29" borderId="0" applyNumberFormat="0" applyBorder="0" applyAlignment="0" applyProtection="0"/>
    <xf numFmtId="0" fontId="105" fillId="0" borderId="3" applyNumberFormat="0" applyFill="0" applyAlignment="0" applyProtection="0"/>
    <xf numFmtId="0" fontId="106" fillId="0" borderId="4" applyNumberFormat="0" applyFill="0" applyAlignment="0" applyProtection="0"/>
    <xf numFmtId="0" fontId="107" fillId="0" borderId="5" applyNumberFormat="0" applyFill="0" applyAlignment="0" applyProtection="0"/>
    <xf numFmtId="0" fontId="10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8" fillId="30" borderId="1" applyNumberFormat="0" applyAlignment="0" applyProtection="0"/>
    <xf numFmtId="0" fontId="109" fillId="0" borderId="6" applyNumberFormat="0" applyFill="0" applyAlignment="0" applyProtection="0"/>
    <xf numFmtId="0" fontId="11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7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111" fillId="27" borderId="8" applyNumberFormat="0" applyAlignment="0" applyProtection="0"/>
    <xf numFmtId="9" fontId="0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9" applyNumberFormat="0" applyFill="0" applyAlignment="0" applyProtection="0"/>
    <xf numFmtId="0" fontId="114" fillId="0" borderId="0" applyNumberFormat="0" applyFill="0" applyBorder="0" applyAlignment="0" applyProtection="0"/>
  </cellStyleXfs>
  <cellXfs count="636">
    <xf numFmtId="0" fontId="0" fillId="0" borderId="0" xfId="0" applyAlignment="1">
      <alignment/>
    </xf>
    <xf numFmtId="0" fontId="2" fillId="0" borderId="0" xfId="62" applyNumberFormat="1" applyFont="1" applyFill="1" applyBorder="1" applyAlignment="1" applyProtection="1">
      <alignment horizontal="center"/>
      <protection/>
    </xf>
    <xf numFmtId="0" fontId="7" fillId="0" borderId="10" xfId="62" applyFont="1" applyBorder="1" applyAlignment="1">
      <alignment vertical="center"/>
      <protection/>
    </xf>
    <xf numFmtId="0" fontId="2" fillId="0" borderId="10" xfId="62" applyNumberFormat="1" applyFont="1" applyFill="1" applyBorder="1" applyAlignment="1" applyProtection="1">
      <alignment horizontal="center"/>
      <protection/>
    </xf>
    <xf numFmtId="43" fontId="10" fillId="0" borderId="10" xfId="62" applyNumberFormat="1" applyFont="1" applyFill="1" applyBorder="1" applyAlignment="1" applyProtection="1">
      <alignment/>
      <protection/>
    </xf>
    <xf numFmtId="0" fontId="12" fillId="0" borderId="10" xfId="62" applyFont="1" applyBorder="1">
      <alignment/>
      <protection/>
    </xf>
    <xf numFmtId="0" fontId="13" fillId="0" borderId="10" xfId="62" applyFont="1" applyFill="1" applyBorder="1" applyAlignment="1">
      <alignment horizontal="center"/>
      <protection/>
    </xf>
    <xf numFmtId="0" fontId="15" fillId="0" borderId="10" xfId="62" applyFont="1" applyFill="1" applyBorder="1" applyAlignment="1">
      <alignment horizontal="center"/>
      <protection/>
    </xf>
    <xf numFmtId="0" fontId="17" fillId="0" borderId="10" xfId="62" applyFont="1" applyBorder="1" applyAlignment="1">
      <alignment vertical="center"/>
      <protection/>
    </xf>
    <xf numFmtId="0" fontId="7" fillId="0" borderId="10" xfId="62" applyFont="1" applyBorder="1" applyAlignment="1">
      <alignment horizontal="left" vertical="center"/>
      <protection/>
    </xf>
    <xf numFmtId="43" fontId="0" fillId="0" borderId="10" xfId="42" applyFont="1" applyFill="1" applyBorder="1" applyAlignment="1" applyProtection="1">
      <alignment/>
      <protection/>
    </xf>
    <xf numFmtId="43" fontId="19" fillId="0" borderId="10" xfId="42" applyFont="1" applyFill="1" applyBorder="1" applyAlignment="1" applyProtection="1">
      <alignment/>
      <protection/>
    </xf>
    <xf numFmtId="0" fontId="2" fillId="33" borderId="10" xfId="62" applyNumberFormat="1" applyFont="1" applyFill="1" applyBorder="1" applyAlignment="1" applyProtection="1">
      <alignment horizontal="center"/>
      <protection/>
    </xf>
    <xf numFmtId="0" fontId="18" fillId="0" borderId="11" xfId="0" applyFont="1" applyFill="1" applyBorder="1" applyAlignment="1">
      <alignment/>
    </xf>
    <xf numFmtId="0" fontId="12" fillId="0" borderId="12" xfId="62" applyFont="1" applyBorder="1">
      <alignment/>
      <protection/>
    </xf>
    <xf numFmtId="0" fontId="18" fillId="0" borderId="11" xfId="62" applyFont="1" applyFill="1" applyBorder="1">
      <alignment/>
      <protection/>
    </xf>
    <xf numFmtId="0" fontId="7" fillId="0" borderId="13" xfId="62" applyFont="1" applyBorder="1" applyAlignment="1">
      <alignment horizontal="left" vertical="center"/>
      <protection/>
    </xf>
    <xf numFmtId="0" fontId="7" fillId="0" borderId="14" xfId="62" applyFont="1" applyBorder="1" applyAlignment="1">
      <alignment horizontal="left" vertical="center"/>
      <protection/>
    </xf>
    <xf numFmtId="0" fontId="7" fillId="0" borderId="11" xfId="62" applyFont="1" applyBorder="1" applyAlignment="1">
      <alignment vertical="center"/>
      <protection/>
    </xf>
    <xf numFmtId="0" fontId="7" fillId="0" borderId="13" xfId="62" applyFont="1" applyBorder="1" applyAlignment="1">
      <alignment vertical="center"/>
      <protection/>
    </xf>
    <xf numFmtId="0" fontId="18" fillId="0" borderId="14" xfId="62" applyFont="1" applyBorder="1">
      <alignment/>
      <protection/>
    </xf>
    <xf numFmtId="0" fontId="12" fillId="0" borderId="15" xfId="62" applyFont="1" applyBorder="1">
      <alignment/>
      <protection/>
    </xf>
    <xf numFmtId="0" fontId="12" fillId="0" borderId="16" xfId="62" applyFont="1" applyBorder="1">
      <alignment/>
      <protection/>
    </xf>
    <xf numFmtId="0" fontId="18" fillId="0" borderId="15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62" applyFont="1" applyFill="1" applyBorder="1">
      <alignment/>
      <protection/>
    </xf>
    <xf numFmtId="0" fontId="7" fillId="0" borderId="11" xfId="62" applyFont="1" applyBorder="1" applyAlignment="1">
      <alignment horizontal="left" vertical="center"/>
      <protection/>
    </xf>
    <xf numFmtId="0" fontId="17" fillId="0" borderId="11" xfId="62" applyFont="1" applyBorder="1" applyAlignment="1">
      <alignment horizontal="left"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12" fillId="0" borderId="10" xfId="62" applyFont="1" applyFill="1" applyBorder="1" applyAlignment="1">
      <alignment horizontal="center"/>
      <protection/>
    </xf>
    <xf numFmtId="0" fontId="12" fillId="0" borderId="10" xfId="62" applyNumberFormat="1" applyFont="1" applyFill="1" applyBorder="1" applyAlignment="1" applyProtection="1">
      <alignment horizontal="center"/>
      <protection/>
    </xf>
    <xf numFmtId="0" fontId="18" fillId="0" borderId="12" xfId="0" applyFont="1" applyBorder="1" applyAlignment="1">
      <alignment/>
    </xf>
    <xf numFmtId="0" fontId="0" fillId="0" borderId="0" xfId="0" applyBorder="1" applyAlignment="1">
      <alignment/>
    </xf>
    <xf numFmtId="0" fontId="12" fillId="0" borderId="11" xfId="62" applyFont="1" applyBorder="1">
      <alignment/>
      <protection/>
    </xf>
    <xf numFmtId="0" fontId="2" fillId="0" borderId="16" xfId="62" applyNumberFormat="1" applyFont="1" applyFill="1" applyBorder="1" applyAlignment="1" applyProtection="1">
      <alignment horizontal="center"/>
      <protection/>
    </xf>
    <xf numFmtId="0" fontId="18" fillId="0" borderId="11" xfId="62" applyFont="1" applyFill="1" applyBorder="1" applyAlignment="1">
      <alignment horizontal="right"/>
      <protection/>
    </xf>
    <xf numFmtId="0" fontId="18" fillId="0" borderId="10" xfId="62" applyFont="1" applyFill="1" applyBorder="1" applyAlignment="1">
      <alignment horizontal="right"/>
      <protection/>
    </xf>
    <xf numFmtId="0" fontId="0" fillId="0" borderId="0" xfId="0" applyNumberFormat="1" applyFill="1" applyBorder="1" applyAlignment="1" applyProtection="1">
      <alignment/>
      <protection/>
    </xf>
    <xf numFmtId="0" fontId="28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39" fontId="16" fillId="0" borderId="0" xfId="0" applyNumberFormat="1" applyFont="1" applyAlignment="1">
      <alignment horizontal="right" vertical="center"/>
    </xf>
    <xf numFmtId="39" fontId="7" fillId="0" borderId="0" xfId="0" applyNumberFormat="1" applyFont="1" applyAlignment="1">
      <alignment horizontal="righ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>
      <alignment/>
      <protection/>
    </xf>
    <xf numFmtId="43" fontId="0" fillId="0" borderId="0" xfId="0" applyNumberFormat="1" applyFill="1" applyBorder="1" applyAlignment="1" applyProtection="1">
      <alignment/>
      <protection/>
    </xf>
    <xf numFmtId="0" fontId="30" fillId="0" borderId="0" xfId="0" applyNumberFormat="1" applyFont="1" applyFill="1" applyBorder="1" applyAlignment="1" applyProtection="1">
      <alignment horizontal="left"/>
      <protection/>
    </xf>
    <xf numFmtId="0" fontId="30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3" fillId="0" borderId="17" xfId="0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3" fontId="22" fillId="0" borderId="10" xfId="0" applyNumberFormat="1" applyFont="1" applyBorder="1" applyAlignment="1">
      <alignment vertical="center"/>
    </xf>
    <xf numFmtId="3" fontId="22" fillId="0" borderId="1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7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22" fillId="0" borderId="26" xfId="0" applyNumberFormat="1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Alignment="1">
      <alignment vertical="center"/>
    </xf>
    <xf numFmtId="0" fontId="4" fillId="0" borderId="32" xfId="0" applyFont="1" applyBorder="1" applyAlignment="1">
      <alignment/>
    </xf>
    <xf numFmtId="0" fontId="33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0" xfId="0" applyFont="1" applyAlignment="1">
      <alignment/>
    </xf>
    <xf numFmtId="0" fontId="4" fillId="0" borderId="3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13" fillId="0" borderId="10" xfId="62" applyNumberFormat="1" applyFont="1" applyFill="1" applyBorder="1" applyAlignment="1" applyProtection="1">
      <alignment horizontal="center"/>
      <protection/>
    </xf>
    <xf numFmtId="43" fontId="38" fillId="0" borderId="10" xfId="42" applyFont="1" applyFill="1" applyBorder="1" applyAlignment="1" applyProtection="1">
      <alignment/>
      <protection/>
    </xf>
    <xf numFmtId="0" fontId="7" fillId="0" borderId="43" xfId="62" applyFont="1" applyBorder="1" applyAlignment="1">
      <alignment horizontal="center" vertical="center"/>
      <protection/>
    </xf>
    <xf numFmtId="0" fontId="2" fillId="0" borderId="44" xfId="62" applyNumberFormat="1" applyFont="1" applyFill="1" applyBorder="1" applyAlignment="1" applyProtection="1">
      <alignment horizontal="center"/>
      <protection/>
    </xf>
    <xf numFmtId="0" fontId="8" fillId="0" borderId="44" xfId="62" applyNumberFormat="1" applyFont="1" applyFill="1" applyBorder="1" applyAlignment="1" applyProtection="1">
      <alignment/>
      <protection/>
    </xf>
    <xf numFmtId="0" fontId="9" fillId="0" borderId="45" xfId="62" applyNumberFormat="1" applyFont="1" applyFill="1" applyBorder="1" applyAlignment="1" applyProtection="1">
      <alignment/>
      <protection/>
    </xf>
    <xf numFmtId="1" fontId="7" fillId="0" borderId="46" xfId="62" applyNumberFormat="1" applyFont="1" applyBorder="1" applyAlignment="1">
      <alignment horizontal="center" vertical="center"/>
      <protection/>
    </xf>
    <xf numFmtId="43" fontId="10" fillId="0" borderId="47" xfId="62" applyNumberFormat="1" applyFont="1" applyFill="1" applyBorder="1" applyAlignment="1" applyProtection="1">
      <alignment/>
      <protection/>
    </xf>
    <xf numFmtId="43" fontId="12" fillId="0" borderId="47" xfId="42" applyFont="1" applyFill="1" applyBorder="1" applyAlignment="1" applyProtection="1">
      <alignment/>
      <protection/>
    </xf>
    <xf numFmtId="43" fontId="9" fillId="0" borderId="47" xfId="62" applyNumberFormat="1" applyFont="1" applyFill="1" applyBorder="1" applyAlignment="1" applyProtection="1">
      <alignment/>
      <protection/>
    </xf>
    <xf numFmtId="0" fontId="16" fillId="0" borderId="46" xfId="62" applyFont="1" applyBorder="1" applyAlignment="1">
      <alignment horizontal="right" vertical="center"/>
      <protection/>
    </xf>
    <xf numFmtId="0" fontId="7" fillId="0" borderId="46" xfId="62" applyFont="1" applyBorder="1" applyAlignment="1">
      <alignment horizontal="left" vertical="center"/>
      <protection/>
    </xf>
    <xf numFmtId="43" fontId="0" fillId="0" borderId="47" xfId="42" applyFont="1" applyFill="1" applyBorder="1" applyAlignment="1" applyProtection="1">
      <alignment/>
      <protection/>
    </xf>
    <xf numFmtId="43" fontId="12" fillId="0" borderId="47" xfId="62" applyNumberFormat="1" applyFont="1" applyFill="1" applyBorder="1" applyAlignment="1" applyProtection="1">
      <alignment/>
      <protection/>
    </xf>
    <xf numFmtId="0" fontId="12" fillId="0" borderId="47" xfId="62" applyNumberFormat="1" applyFont="1" applyFill="1" applyBorder="1" applyAlignment="1" applyProtection="1">
      <alignment/>
      <protection/>
    </xf>
    <xf numFmtId="43" fontId="19" fillId="0" borderId="47" xfId="42" applyFont="1" applyFill="1" applyBorder="1" applyAlignment="1" applyProtection="1">
      <alignment/>
      <protection/>
    </xf>
    <xf numFmtId="0" fontId="9" fillId="0" borderId="47" xfId="62" applyNumberFormat="1" applyFont="1" applyFill="1" applyBorder="1" applyAlignment="1" applyProtection="1">
      <alignment/>
      <protection/>
    </xf>
    <xf numFmtId="0" fontId="24" fillId="33" borderId="48" xfId="62" applyFont="1" applyFill="1" applyBorder="1" applyAlignment="1">
      <alignment horizontal="left" vertical="center"/>
      <protection/>
    </xf>
    <xf numFmtId="0" fontId="7" fillId="0" borderId="46" xfId="62" applyFont="1" applyBorder="1" applyAlignment="1">
      <alignment horizontal="center" vertical="center"/>
      <protection/>
    </xf>
    <xf numFmtId="43" fontId="23" fillId="0" borderId="47" xfId="62" applyNumberFormat="1" applyFont="1" applyFill="1" applyBorder="1" applyAlignment="1" applyProtection="1">
      <alignment/>
      <protection/>
    </xf>
    <xf numFmtId="1" fontId="14" fillId="0" borderId="46" xfId="62" applyNumberFormat="1" applyFont="1" applyBorder="1" applyAlignment="1">
      <alignment horizontal="center" vertical="center"/>
      <protection/>
    </xf>
    <xf numFmtId="0" fontId="24" fillId="33" borderId="49" xfId="62" applyFont="1" applyFill="1" applyBorder="1" applyAlignment="1">
      <alignment horizontal="left" vertical="center"/>
      <protection/>
    </xf>
    <xf numFmtId="0" fontId="2" fillId="33" borderId="21" xfId="62" applyNumberFormat="1" applyFont="1" applyFill="1" applyBorder="1" applyAlignment="1" applyProtection="1">
      <alignment horizontal="center"/>
      <protection/>
    </xf>
    <xf numFmtId="0" fontId="8" fillId="0" borderId="0" xfId="62" applyNumberFormat="1" applyFont="1" applyFill="1" applyBorder="1" applyAlignment="1" applyProtection="1">
      <alignment/>
      <protection/>
    </xf>
    <xf numFmtId="0" fontId="2" fillId="0" borderId="0" xfId="62" applyNumberFormat="1" applyFont="1" applyFill="1" applyBorder="1" applyAlignment="1" applyProtection="1">
      <alignment/>
      <protection/>
    </xf>
    <xf numFmtId="0" fontId="21" fillId="0" borderId="0" xfId="62" applyFont="1" applyAlignment="1">
      <alignment horizontal="left" vertical="center"/>
      <protection/>
    </xf>
    <xf numFmtId="0" fontId="9" fillId="0" borderId="0" xfId="62" applyNumberFormat="1" applyFont="1" applyFill="1" applyBorder="1" applyAlignment="1" applyProtection="1">
      <alignment/>
      <protection/>
    </xf>
    <xf numFmtId="0" fontId="21" fillId="0" borderId="43" xfId="62" applyFont="1" applyBorder="1" applyAlignment="1">
      <alignment horizontal="right" vertical="center"/>
      <protection/>
    </xf>
    <xf numFmtId="0" fontId="40" fillId="0" borderId="50" xfId="62" applyFont="1" applyBorder="1" applyAlignment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38" fillId="0" borderId="10" xfId="0" applyFont="1" applyBorder="1" applyAlignment="1">
      <alignment/>
    </xf>
    <xf numFmtId="43" fontId="12" fillId="0" borderId="10" xfId="42" applyFont="1" applyFill="1" applyBorder="1" applyAlignment="1">
      <alignment/>
    </xf>
    <xf numFmtId="0" fontId="42" fillId="0" borderId="10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43" fillId="0" borderId="46" xfId="0" applyFont="1" applyBorder="1" applyAlignment="1">
      <alignment/>
    </xf>
    <xf numFmtId="0" fontId="43" fillId="0" borderId="46" xfId="0" applyFont="1" applyFill="1" applyBorder="1" applyAlignment="1">
      <alignment/>
    </xf>
    <xf numFmtId="0" fontId="43" fillId="0" borderId="46" xfId="0" applyFont="1" applyBorder="1" applyAlignment="1">
      <alignment horizontal="left"/>
    </xf>
    <xf numFmtId="43" fontId="42" fillId="0" borderId="47" xfId="42" applyFont="1" applyFill="1" applyBorder="1" applyAlignment="1" applyProtection="1">
      <alignment/>
      <protection/>
    </xf>
    <xf numFmtId="43" fontId="8" fillId="0" borderId="47" xfId="42" applyFont="1" applyFill="1" applyBorder="1" applyAlignment="1" applyProtection="1">
      <alignment/>
      <protection/>
    </xf>
    <xf numFmtId="0" fontId="7" fillId="33" borderId="51" xfId="0" applyFont="1" applyFill="1" applyBorder="1" applyAlignment="1">
      <alignment vertical="center"/>
    </xf>
    <xf numFmtId="0" fontId="45" fillId="0" borderId="0" xfId="0" applyNumberFormat="1" applyFont="1" applyFill="1" applyBorder="1" applyAlignment="1" applyProtection="1">
      <alignment/>
      <protection/>
    </xf>
    <xf numFmtId="0" fontId="45" fillId="0" borderId="0" xfId="0" applyFont="1" applyAlignment="1">
      <alignment horizontal="right" vertical="center"/>
    </xf>
    <xf numFmtId="0" fontId="46" fillId="0" borderId="0" xfId="0" applyNumberFormat="1" applyFont="1" applyFill="1" applyBorder="1" applyAlignment="1" applyProtection="1">
      <alignment/>
      <protection/>
    </xf>
    <xf numFmtId="0" fontId="45" fillId="0" borderId="43" xfId="0" applyFont="1" applyBorder="1" applyAlignment="1">
      <alignment horizontal="right" vertical="center"/>
    </xf>
    <xf numFmtId="0" fontId="45" fillId="0" borderId="50" xfId="0" applyFont="1" applyBorder="1" applyAlignment="1">
      <alignment horizontal="center" vertical="center"/>
    </xf>
    <xf numFmtId="0" fontId="45" fillId="0" borderId="46" xfId="0" applyFont="1" applyBorder="1" applyAlignment="1">
      <alignment horizontal="right" vertical="center"/>
    </xf>
    <xf numFmtId="0" fontId="43" fillId="0" borderId="46" xfId="0" applyFont="1" applyBorder="1" applyAlignment="1">
      <alignment horizontal="left" vertical="center"/>
    </xf>
    <xf numFmtId="0" fontId="18" fillId="0" borderId="46" xfId="0" applyFont="1" applyBorder="1" applyAlignment="1">
      <alignment/>
    </xf>
    <xf numFmtId="0" fontId="45" fillId="0" borderId="46" xfId="0" applyFont="1" applyFill="1" applyBorder="1" applyAlignment="1">
      <alignment horizontal="right" vertical="center"/>
    </xf>
    <xf numFmtId="0" fontId="45" fillId="0" borderId="46" xfId="0" applyNumberFormat="1" applyFont="1" applyFill="1" applyBorder="1" applyAlignment="1" applyProtection="1">
      <alignment horizontal="right"/>
      <protection/>
    </xf>
    <xf numFmtId="0" fontId="45" fillId="33" borderId="50" xfId="0" applyFont="1" applyFill="1" applyBorder="1" applyAlignment="1">
      <alignment horizontal="right" vertical="center"/>
    </xf>
    <xf numFmtId="0" fontId="20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23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44" xfId="42" applyFont="1" applyFill="1" applyBorder="1" applyAlignment="1" applyProtection="1">
      <alignment/>
      <protection/>
    </xf>
    <xf numFmtId="43" fontId="0" fillId="0" borderId="45" xfId="42" applyFont="1" applyFill="1" applyBorder="1" applyAlignment="1" applyProtection="1">
      <alignment/>
      <protection/>
    </xf>
    <xf numFmtId="43" fontId="19" fillId="33" borderId="51" xfId="42" applyFont="1" applyFill="1" applyBorder="1" applyAlignment="1" applyProtection="1">
      <alignment/>
      <protection/>
    </xf>
    <xf numFmtId="43" fontId="19" fillId="33" borderId="52" xfId="42" applyFont="1" applyFill="1" applyBorder="1" applyAlignment="1" applyProtection="1">
      <alignment/>
      <protection/>
    </xf>
    <xf numFmtId="43" fontId="12" fillId="0" borderId="10" xfId="42" applyFont="1" applyBorder="1" applyAlignment="1">
      <alignment/>
    </xf>
    <xf numFmtId="43" fontId="12" fillId="0" borderId="10" xfId="42" applyFont="1" applyFill="1" applyBorder="1" applyAlignment="1" applyProtection="1">
      <alignment/>
      <protection/>
    </xf>
    <xf numFmtId="43" fontId="12" fillId="0" borderId="10" xfId="42" applyFont="1" applyBorder="1" applyAlignment="1">
      <alignment vertical="center"/>
    </xf>
    <xf numFmtId="0" fontId="12" fillId="0" borderId="46" xfId="0" applyFont="1" applyBorder="1" applyAlignment="1">
      <alignment/>
    </xf>
    <xf numFmtId="0" fontId="43" fillId="0" borderId="11" xfId="62" applyFont="1" applyBorder="1" applyAlignment="1">
      <alignment horizontal="right" vertical="center"/>
      <protection/>
    </xf>
    <xf numFmtId="0" fontId="9" fillId="0" borderId="10" xfId="62" applyNumberFormat="1" applyFont="1" applyFill="1" applyBorder="1" applyAlignment="1" applyProtection="1">
      <alignment horizontal="center"/>
      <protection/>
    </xf>
    <xf numFmtId="0" fontId="50" fillId="34" borderId="53" xfId="62" applyNumberFormat="1" applyFont="1" applyFill="1" applyBorder="1" applyAlignment="1" applyProtection="1">
      <alignment horizontal="center"/>
      <protection/>
    </xf>
    <xf numFmtId="0" fontId="12" fillId="0" borderId="10" xfId="62" applyFont="1" applyBorder="1" applyAlignment="1">
      <alignment vertical="center"/>
      <protection/>
    </xf>
    <xf numFmtId="180" fontId="23" fillId="0" borderId="47" xfId="62" applyNumberFormat="1" applyFont="1" applyFill="1" applyBorder="1" applyAlignment="1" applyProtection="1">
      <alignment/>
      <protection/>
    </xf>
    <xf numFmtId="0" fontId="12" fillId="0" borderId="12" xfId="62" applyFont="1" applyBorder="1" applyAlignment="1">
      <alignment vertical="center"/>
      <protection/>
    </xf>
    <xf numFmtId="0" fontId="51" fillId="0" borderId="46" xfId="62" applyFont="1" applyBorder="1" applyAlignment="1">
      <alignment horizontal="right" vertical="center"/>
      <protection/>
    </xf>
    <xf numFmtId="180" fontId="22" fillId="0" borderId="47" xfId="62" applyNumberFormat="1" applyFont="1" applyFill="1" applyBorder="1" applyAlignment="1" applyProtection="1">
      <alignment/>
      <protection/>
    </xf>
    <xf numFmtId="0" fontId="22" fillId="0" borderId="46" xfId="62" applyFont="1" applyBorder="1" applyAlignment="1">
      <alignment horizontal="right" vertical="center"/>
      <protection/>
    </xf>
    <xf numFmtId="43" fontId="22" fillId="0" borderId="47" xfId="62" applyNumberFormat="1" applyFont="1" applyFill="1" applyBorder="1" applyAlignment="1" applyProtection="1">
      <alignment/>
      <protection/>
    </xf>
    <xf numFmtId="0" fontId="17" fillId="0" borderId="14" xfId="62" applyFont="1" applyBorder="1" applyAlignment="1">
      <alignment vertical="center"/>
      <protection/>
    </xf>
    <xf numFmtId="180" fontId="12" fillId="0" borderId="47" xfId="62" applyNumberFormat="1" applyFont="1" applyFill="1" applyBorder="1" applyAlignment="1" applyProtection="1">
      <alignment/>
      <protection/>
    </xf>
    <xf numFmtId="0" fontId="24" fillId="0" borderId="46" xfId="62" applyFont="1" applyBorder="1" applyAlignment="1">
      <alignment horizontal="left" vertical="center"/>
      <protection/>
    </xf>
    <xf numFmtId="0" fontId="24" fillId="0" borderId="10" xfId="62" applyFont="1" applyBorder="1" applyAlignment="1">
      <alignment horizontal="left" vertical="center"/>
      <protection/>
    </xf>
    <xf numFmtId="43" fontId="52" fillId="0" borderId="47" xfId="62" applyNumberFormat="1" applyFont="1" applyFill="1" applyBorder="1" applyAlignment="1" applyProtection="1">
      <alignment/>
      <protection/>
    </xf>
    <xf numFmtId="0" fontId="8" fillId="0" borderId="46" xfId="62" applyNumberFormat="1" applyFont="1" applyFill="1" applyBorder="1" applyAlignment="1" applyProtection="1">
      <alignment/>
      <protection/>
    </xf>
    <xf numFmtId="0" fontId="24" fillId="33" borderId="10" xfId="62" applyFont="1" applyFill="1" applyBorder="1" applyAlignment="1">
      <alignment horizontal="left" vertical="center"/>
      <protection/>
    </xf>
    <xf numFmtId="43" fontId="19" fillId="33" borderId="47" xfId="62" applyNumberFormat="1" applyFont="1" applyFill="1" applyBorder="1" applyAlignment="1" applyProtection="1">
      <alignment/>
      <protection/>
    </xf>
    <xf numFmtId="0" fontId="24" fillId="0" borderId="49" xfId="62" applyFont="1" applyBorder="1" applyAlignment="1">
      <alignment horizontal="left" vertical="center"/>
      <protection/>
    </xf>
    <xf numFmtId="0" fontId="24" fillId="33" borderId="21" xfId="62" applyFont="1" applyFill="1" applyBorder="1" applyAlignment="1">
      <alignment horizontal="left"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15" fillId="0" borderId="0" xfId="0" applyFont="1" applyAlignment="1">
      <alignment/>
    </xf>
    <xf numFmtId="0" fontId="53" fillId="0" borderId="0" xfId="62" applyFont="1" applyAlignment="1">
      <alignment horizontal="left" vertical="center"/>
      <protection/>
    </xf>
    <xf numFmtId="0" fontId="0" fillId="0" borderId="20" xfId="60" applyBorder="1">
      <alignment/>
      <protection/>
    </xf>
    <xf numFmtId="0" fontId="0" fillId="0" borderId="30" xfId="60" applyBorder="1">
      <alignment/>
      <protection/>
    </xf>
    <xf numFmtId="0" fontId="0" fillId="0" borderId="31" xfId="60" applyBorder="1">
      <alignment/>
      <protection/>
    </xf>
    <xf numFmtId="0" fontId="0" fillId="0" borderId="0" xfId="60">
      <alignment/>
      <protection/>
    </xf>
    <xf numFmtId="0" fontId="0" fillId="0" borderId="0" xfId="60" applyAlignment="1">
      <alignment vertical="center"/>
      <protection/>
    </xf>
    <xf numFmtId="0" fontId="4" fillId="0" borderId="32" xfId="60" applyFont="1" applyBorder="1">
      <alignment/>
      <protection/>
    </xf>
    <xf numFmtId="0" fontId="33" fillId="0" borderId="34" xfId="60" applyFont="1" applyBorder="1" applyAlignment="1">
      <alignment horizontal="center"/>
      <protection/>
    </xf>
    <xf numFmtId="0" fontId="4" fillId="0" borderId="36" xfId="60" applyFont="1" applyBorder="1">
      <alignment/>
      <protection/>
    </xf>
    <xf numFmtId="0" fontId="4" fillId="0" borderId="33" xfId="60" applyFont="1" applyBorder="1">
      <alignment/>
      <protection/>
    </xf>
    <xf numFmtId="0" fontId="4" fillId="0" borderId="0" xfId="60" applyFont="1">
      <alignment/>
      <protection/>
    </xf>
    <xf numFmtId="0" fontId="4" fillId="0" borderId="37" xfId="60" applyFont="1" applyBorder="1">
      <alignment/>
      <protection/>
    </xf>
    <xf numFmtId="0" fontId="4" fillId="0" borderId="38" xfId="60" applyFont="1" applyBorder="1">
      <alignment/>
      <protection/>
    </xf>
    <xf numFmtId="0" fontId="4" fillId="0" borderId="38" xfId="60" applyFont="1" applyBorder="1" applyAlignment="1">
      <alignment/>
      <protection/>
    </xf>
    <xf numFmtId="0" fontId="4" fillId="0" borderId="37" xfId="60" applyFont="1" applyFill="1" applyBorder="1">
      <alignment/>
      <protection/>
    </xf>
    <xf numFmtId="0" fontId="4" fillId="0" borderId="39" xfId="60" applyFont="1" applyBorder="1">
      <alignment/>
      <protection/>
    </xf>
    <xf numFmtId="0" fontId="4" fillId="0" borderId="41" xfId="60" applyFont="1" applyBorder="1">
      <alignment/>
      <protection/>
    </xf>
    <xf numFmtId="0" fontId="0" fillId="0" borderId="32" xfId="60" applyBorder="1">
      <alignment/>
      <protection/>
    </xf>
    <xf numFmtId="0" fontId="0" fillId="0" borderId="0" xfId="60" applyBorder="1">
      <alignment/>
      <protection/>
    </xf>
    <xf numFmtId="0" fontId="0" fillId="0" borderId="33" xfId="60" applyBorder="1">
      <alignment/>
      <protection/>
    </xf>
    <xf numFmtId="0" fontId="55" fillId="0" borderId="0" xfId="60" applyFont="1" applyBorder="1" applyAlignment="1">
      <alignment horizontal="right" vertical="center"/>
      <protection/>
    </xf>
    <xf numFmtId="0" fontId="55" fillId="0" borderId="0" xfId="60" applyFont="1" applyBorder="1" applyAlignment="1">
      <alignment vertical="center"/>
      <protection/>
    </xf>
    <xf numFmtId="0" fontId="4" fillId="0" borderId="0" xfId="60" applyFont="1" applyBorder="1" applyAlignment="1">
      <alignment horizontal="right" vertical="center"/>
      <protection/>
    </xf>
    <xf numFmtId="0" fontId="0" fillId="0" borderId="0" xfId="60" applyFont="1" applyBorder="1" applyAlignment="1">
      <alignment horizontal="right"/>
      <protection/>
    </xf>
    <xf numFmtId="0" fontId="0" fillId="0" borderId="0" xfId="60" applyFont="1" applyFill="1" applyBorder="1">
      <alignment/>
      <protection/>
    </xf>
    <xf numFmtId="0" fontId="0" fillId="0" borderId="0" xfId="60" applyFont="1">
      <alignment/>
      <protection/>
    </xf>
    <xf numFmtId="0" fontId="0" fillId="0" borderId="0" xfId="60" applyFont="1" applyBorder="1">
      <alignment/>
      <protection/>
    </xf>
    <xf numFmtId="0" fontId="0" fillId="0" borderId="32" xfId="60" applyFont="1" applyBorder="1">
      <alignment/>
      <protection/>
    </xf>
    <xf numFmtId="0" fontId="0" fillId="0" borderId="33" xfId="60" applyFont="1" applyBorder="1">
      <alignment/>
      <protection/>
    </xf>
    <xf numFmtId="0" fontId="0" fillId="0" borderId="33" xfId="60" applyBorder="1" applyAlignment="1">
      <alignment horizontal="center"/>
      <protection/>
    </xf>
    <xf numFmtId="0" fontId="0" fillId="0" borderId="14" xfId="60" applyBorder="1">
      <alignment/>
      <protection/>
    </xf>
    <xf numFmtId="0" fontId="0" fillId="0" borderId="15" xfId="60" applyBorder="1">
      <alignment/>
      <protection/>
    </xf>
    <xf numFmtId="0" fontId="0" fillId="0" borderId="42" xfId="60" applyBorder="1">
      <alignment/>
      <protection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left" indent="8"/>
    </xf>
    <xf numFmtId="0" fontId="31" fillId="0" borderId="0" xfId="0" applyFont="1" applyBorder="1" applyAlignment="1">
      <alignment/>
    </xf>
    <xf numFmtId="0" fontId="34" fillId="0" borderId="33" xfId="0" applyFont="1" applyBorder="1" applyAlignment="1">
      <alignment/>
    </xf>
    <xf numFmtId="0" fontId="31" fillId="0" borderId="33" xfId="0" applyFont="1" applyBorder="1" applyAlignment="1">
      <alignment/>
    </xf>
    <xf numFmtId="0" fontId="32" fillId="0" borderId="0" xfId="60" applyFont="1" applyAlignment="1">
      <alignment horizontal="center" vertical="center"/>
      <protection/>
    </xf>
    <xf numFmtId="0" fontId="0" fillId="0" borderId="0" xfId="60" applyNumberFormat="1" applyFill="1" applyBorder="1" applyAlignment="1" applyProtection="1">
      <alignment/>
      <protection/>
    </xf>
    <xf numFmtId="0" fontId="26" fillId="0" borderId="0" xfId="60" applyNumberFormat="1" applyFont="1" applyFill="1" applyBorder="1" applyAlignment="1" applyProtection="1">
      <alignment/>
      <protection/>
    </xf>
    <xf numFmtId="0" fontId="0" fillId="0" borderId="10" xfId="60" applyNumberFormat="1" applyFont="1" applyFill="1" applyBorder="1" applyAlignment="1" applyProtection="1">
      <alignment/>
      <protection/>
    </xf>
    <xf numFmtId="0" fontId="58" fillId="0" borderId="32" xfId="0" applyFont="1" applyBorder="1" applyAlignment="1">
      <alignment/>
    </xf>
    <xf numFmtId="0" fontId="58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58" fillId="0" borderId="33" xfId="0" applyFont="1" applyBorder="1" applyAlignment="1">
      <alignment/>
    </xf>
    <xf numFmtId="0" fontId="59" fillId="0" borderId="32" xfId="0" applyFont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9" fillId="0" borderId="33" xfId="0" applyFont="1" applyBorder="1" applyAlignment="1">
      <alignment/>
    </xf>
    <xf numFmtId="0" fontId="58" fillId="0" borderId="0" xfId="0" applyFont="1" applyAlignment="1">
      <alignment/>
    </xf>
    <xf numFmtId="0" fontId="61" fillId="0" borderId="32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33" xfId="0" applyFont="1" applyBorder="1" applyAlignment="1">
      <alignment/>
    </xf>
    <xf numFmtId="0" fontId="58" fillId="0" borderId="14" xfId="0" applyFont="1" applyBorder="1" applyAlignment="1">
      <alignment/>
    </xf>
    <xf numFmtId="0" fontId="58" fillId="0" borderId="15" xfId="0" applyFont="1" applyBorder="1" applyAlignment="1">
      <alignment/>
    </xf>
    <xf numFmtId="0" fontId="58" fillId="0" borderId="42" xfId="0" applyFont="1" applyBorder="1" applyAlignment="1">
      <alignment/>
    </xf>
    <xf numFmtId="49" fontId="61" fillId="0" borderId="0" xfId="0" applyNumberFormat="1" applyFont="1" applyBorder="1" applyAlignment="1">
      <alignment/>
    </xf>
    <xf numFmtId="49" fontId="61" fillId="0" borderId="14" xfId="0" applyNumberFormat="1" applyFont="1" applyBorder="1" applyAlignment="1">
      <alignment/>
    </xf>
    <xf numFmtId="49" fontId="61" fillId="0" borderId="15" xfId="0" applyNumberFormat="1" applyFont="1" applyBorder="1" applyAlignment="1">
      <alignment/>
    </xf>
    <xf numFmtId="49" fontId="61" fillId="0" borderId="42" xfId="0" applyNumberFormat="1" applyFont="1" applyBorder="1" applyAlignment="1">
      <alignment horizontal="center"/>
    </xf>
    <xf numFmtId="49" fontId="63" fillId="0" borderId="0" xfId="0" applyNumberFormat="1" applyFont="1" applyBorder="1" applyAlignment="1">
      <alignment/>
    </xf>
    <xf numFmtId="49" fontId="57" fillId="0" borderId="0" xfId="0" applyNumberFormat="1" applyFont="1" applyBorder="1" applyAlignment="1">
      <alignment/>
    </xf>
    <xf numFmtId="0" fontId="62" fillId="0" borderId="32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33" xfId="0" applyFont="1" applyBorder="1" applyAlignment="1">
      <alignment horizontal="center"/>
    </xf>
    <xf numFmtId="0" fontId="59" fillId="0" borderId="0" xfId="0" applyFont="1" applyBorder="1" applyAlignment="1">
      <alignment horizontal="right"/>
    </xf>
    <xf numFmtId="49" fontId="57" fillId="0" borderId="32" xfId="0" applyNumberFormat="1" applyFont="1" applyBorder="1" applyAlignment="1">
      <alignment/>
    </xf>
    <xf numFmtId="0" fontId="57" fillId="0" borderId="0" xfId="0" applyFont="1" applyBorder="1" applyAlignment="1">
      <alignment/>
    </xf>
    <xf numFmtId="0" fontId="65" fillId="0" borderId="0" xfId="0" applyFont="1" applyBorder="1" applyAlignment="1">
      <alignment/>
    </xf>
    <xf numFmtId="0" fontId="64" fillId="0" borderId="32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64" fillId="0" borderId="33" xfId="0" applyFont="1" applyBorder="1" applyAlignment="1">
      <alignment horizontal="center"/>
    </xf>
    <xf numFmtId="0" fontId="57" fillId="0" borderId="32" xfId="0" applyFont="1" applyBorder="1" applyAlignment="1">
      <alignment/>
    </xf>
    <xf numFmtId="0" fontId="57" fillId="0" borderId="33" xfId="0" applyFont="1" applyBorder="1" applyAlignment="1">
      <alignment/>
    </xf>
    <xf numFmtId="49" fontId="57" fillId="0" borderId="33" xfId="0" applyNumberFormat="1" applyFont="1" applyBorder="1" applyAlignment="1">
      <alignment/>
    </xf>
    <xf numFmtId="0" fontId="66" fillId="0" borderId="0" xfId="0" applyFont="1" applyBorder="1" applyAlignment="1">
      <alignment/>
    </xf>
    <xf numFmtId="0" fontId="66" fillId="0" borderId="0" xfId="0" applyFont="1" applyBorder="1" applyAlignment="1">
      <alignment horizontal="center"/>
    </xf>
    <xf numFmtId="49" fontId="57" fillId="0" borderId="33" xfId="0" applyNumberFormat="1" applyFont="1" applyBorder="1" applyAlignment="1">
      <alignment horizontal="center"/>
    </xf>
    <xf numFmtId="0" fontId="61" fillId="0" borderId="0" xfId="0" applyFont="1" applyAlignment="1">
      <alignment/>
    </xf>
    <xf numFmtId="49" fontId="61" fillId="0" borderId="32" xfId="0" applyNumberFormat="1" applyFont="1" applyBorder="1" applyAlignment="1">
      <alignment horizontal="left"/>
    </xf>
    <xf numFmtId="49" fontId="68" fillId="0" borderId="32" xfId="0" applyNumberFormat="1" applyFont="1" applyBorder="1" applyAlignment="1">
      <alignment horizontal="left"/>
    </xf>
    <xf numFmtId="49" fontId="68" fillId="0" borderId="0" xfId="0" applyNumberFormat="1" applyFont="1" applyBorder="1" applyAlignment="1">
      <alignment horizontal="left"/>
    </xf>
    <xf numFmtId="180" fontId="21" fillId="0" borderId="0" xfId="42" applyNumberFormat="1" applyFont="1" applyAlignment="1">
      <alignment horizontal="left" vertical="center"/>
    </xf>
    <xf numFmtId="180" fontId="2" fillId="0" borderId="0" xfId="42" applyNumberFormat="1" applyFont="1" applyFill="1" applyBorder="1" applyAlignment="1" applyProtection="1">
      <alignment horizontal="center"/>
      <protection/>
    </xf>
    <xf numFmtId="180" fontId="8" fillId="0" borderId="0" xfId="42" applyNumberFormat="1" applyFont="1" applyFill="1" applyBorder="1" applyAlignment="1" applyProtection="1">
      <alignment/>
      <protection/>
    </xf>
    <xf numFmtId="180" fontId="8" fillId="0" borderId="44" xfId="42" applyNumberFormat="1" applyFont="1" applyFill="1" applyBorder="1" applyAlignment="1" applyProtection="1">
      <alignment/>
      <protection/>
    </xf>
    <xf numFmtId="180" fontId="8" fillId="0" borderId="10" xfId="42" applyNumberFormat="1" applyFont="1" applyFill="1" applyBorder="1" applyAlignment="1" applyProtection="1">
      <alignment/>
      <protection/>
    </xf>
    <xf numFmtId="180" fontId="23" fillId="0" borderId="10" xfId="42" applyNumberFormat="1" applyFont="1" applyFill="1" applyBorder="1" applyAlignment="1" applyProtection="1">
      <alignment/>
      <protection/>
    </xf>
    <xf numFmtId="180" fontId="0" fillId="0" borderId="10" xfId="42" applyNumberFormat="1" applyFont="1" applyFill="1" applyBorder="1" applyAlignment="1" applyProtection="1">
      <alignment/>
      <protection/>
    </xf>
    <xf numFmtId="180" fontId="12" fillId="0" borderId="10" xfId="42" applyNumberFormat="1" applyFont="1" applyFill="1" applyBorder="1" applyAlignment="1" applyProtection="1">
      <alignment/>
      <protection/>
    </xf>
    <xf numFmtId="180" fontId="14" fillId="0" borderId="10" xfId="42" applyNumberFormat="1" applyFont="1" applyFill="1" applyBorder="1" applyAlignment="1" applyProtection="1">
      <alignment/>
      <protection/>
    </xf>
    <xf numFmtId="180" fontId="22" fillId="0" borderId="10" xfId="42" applyNumberFormat="1" applyFont="1" applyFill="1" applyBorder="1" applyAlignment="1" applyProtection="1">
      <alignment/>
      <protection/>
    </xf>
    <xf numFmtId="180" fontId="42" fillId="0" borderId="10" xfId="42" applyNumberFormat="1" applyFont="1" applyFill="1" applyBorder="1" applyAlignment="1" applyProtection="1">
      <alignment/>
      <protection/>
    </xf>
    <xf numFmtId="180" fontId="19" fillId="33" borderId="10" xfId="42" applyNumberFormat="1" applyFont="1" applyFill="1" applyBorder="1" applyAlignment="1" applyProtection="1">
      <alignment/>
      <protection/>
    </xf>
    <xf numFmtId="180" fontId="38" fillId="0" borderId="10" xfId="42" applyNumberFormat="1" applyFont="1" applyFill="1" applyBorder="1" applyAlignment="1" applyProtection="1">
      <alignment/>
      <protection/>
    </xf>
    <xf numFmtId="180" fontId="9" fillId="0" borderId="10" xfId="42" applyNumberFormat="1" applyFont="1" applyFill="1" applyBorder="1" applyAlignment="1" applyProtection="1">
      <alignment/>
      <protection/>
    </xf>
    <xf numFmtId="180" fontId="8" fillId="33" borderId="21" xfId="42" applyNumberFormat="1" applyFont="1" applyFill="1" applyBorder="1" applyAlignment="1" applyProtection="1">
      <alignment/>
      <protection/>
    </xf>
    <xf numFmtId="180" fontId="0" fillId="0" borderId="0" xfId="42" applyNumberFormat="1" applyFont="1" applyAlignment="1">
      <alignment/>
    </xf>
    <xf numFmtId="0" fontId="31" fillId="0" borderId="0" xfId="0" applyFont="1" applyBorder="1" applyAlignment="1">
      <alignment horizontal="left" indent="6"/>
    </xf>
    <xf numFmtId="0" fontId="19" fillId="0" borderId="0" xfId="0" applyFont="1" applyBorder="1" applyAlignment="1">
      <alignment horizontal="left" indent="4"/>
    </xf>
    <xf numFmtId="0" fontId="0" fillId="0" borderId="33" xfId="0" applyBorder="1" applyAlignment="1">
      <alignment horizontal="left"/>
    </xf>
    <xf numFmtId="0" fontId="34" fillId="0" borderId="0" xfId="0" applyFont="1" applyBorder="1" applyAlignment="1">
      <alignment horizontal="center"/>
    </xf>
    <xf numFmtId="180" fontId="12" fillId="0" borderId="47" xfId="42" applyNumberFormat="1" applyFont="1" applyFill="1" applyBorder="1" applyAlignment="1" applyProtection="1">
      <alignment/>
      <protection/>
    </xf>
    <xf numFmtId="180" fontId="8" fillId="0" borderId="47" xfId="62" applyNumberFormat="1" applyFont="1" applyFill="1" applyBorder="1" applyAlignment="1" applyProtection="1">
      <alignment/>
      <protection/>
    </xf>
    <xf numFmtId="180" fontId="8" fillId="0" borderId="47" xfId="42" applyNumberFormat="1" applyFont="1" applyFill="1" applyBorder="1" applyAlignment="1" applyProtection="1">
      <alignment/>
      <protection/>
    </xf>
    <xf numFmtId="180" fontId="38" fillId="0" borderId="47" xfId="42" applyNumberFormat="1" applyFont="1" applyFill="1" applyBorder="1" applyAlignment="1" applyProtection="1">
      <alignment/>
      <protection/>
    </xf>
    <xf numFmtId="180" fontId="0" fillId="0" borderId="47" xfId="42" applyNumberFormat="1" applyFont="1" applyFill="1" applyBorder="1" applyAlignment="1" applyProtection="1">
      <alignment/>
      <protection/>
    </xf>
    <xf numFmtId="180" fontId="19" fillId="0" borderId="47" xfId="42" applyNumberFormat="1" applyFont="1" applyFill="1" applyBorder="1" applyAlignment="1" applyProtection="1">
      <alignment/>
      <protection/>
    </xf>
    <xf numFmtId="180" fontId="23" fillId="0" borderId="47" xfId="42" applyNumberFormat="1" applyFont="1" applyFill="1" applyBorder="1" applyAlignment="1" applyProtection="1">
      <alignment/>
      <protection/>
    </xf>
    <xf numFmtId="180" fontId="19" fillId="0" borderId="47" xfId="62" applyNumberFormat="1" applyFont="1" applyFill="1" applyBorder="1" applyAlignment="1" applyProtection="1">
      <alignment/>
      <protection/>
    </xf>
    <xf numFmtId="180" fontId="0" fillId="0" borderId="47" xfId="62" applyNumberFormat="1" applyFont="1" applyFill="1" applyBorder="1" applyAlignment="1" applyProtection="1">
      <alignment/>
      <protection/>
    </xf>
    <xf numFmtId="180" fontId="9" fillId="0" borderId="47" xfId="42" applyNumberFormat="1" applyFont="1" applyFill="1" applyBorder="1" applyAlignment="1" applyProtection="1">
      <alignment/>
      <protection/>
    </xf>
    <xf numFmtId="180" fontId="8" fillId="33" borderId="54" xfId="42" applyNumberFormat="1" applyFont="1" applyFill="1" applyBorder="1" applyAlignment="1" applyProtection="1">
      <alignment/>
      <protection/>
    </xf>
    <xf numFmtId="180" fontId="19" fillId="33" borderId="47" xfId="62" applyNumberFormat="1" applyFont="1" applyFill="1" applyBorder="1" applyAlignment="1" applyProtection="1">
      <alignment/>
      <protection/>
    </xf>
    <xf numFmtId="180" fontId="42" fillId="33" borderId="54" xfId="62" applyNumberFormat="1" applyFont="1" applyFill="1" applyBorder="1" applyAlignment="1" applyProtection="1">
      <alignment/>
      <protection/>
    </xf>
    <xf numFmtId="180" fontId="20" fillId="34" borderId="55" xfId="62" applyNumberFormat="1" applyFont="1" applyFill="1" applyBorder="1" applyAlignment="1" applyProtection="1">
      <alignment/>
      <protection/>
    </xf>
    <xf numFmtId="0" fontId="12" fillId="0" borderId="16" xfId="0" applyFont="1" applyBorder="1" applyAlignment="1">
      <alignment/>
    </xf>
    <xf numFmtId="0" fontId="43" fillId="0" borderId="46" xfId="0" applyNumberFormat="1" applyFont="1" applyFill="1" applyBorder="1" applyAlignment="1" applyProtection="1">
      <alignment horizontal="left"/>
      <protection/>
    </xf>
    <xf numFmtId="180" fontId="20" fillId="34" borderId="53" xfId="62" applyNumberFormat="1" applyFont="1" applyFill="1" applyBorder="1" applyAlignment="1" applyProtection="1">
      <alignment/>
      <protection/>
    </xf>
    <xf numFmtId="180" fontId="0" fillId="0" borderId="10" xfId="62" applyNumberFormat="1" applyFont="1" applyFill="1" applyBorder="1" applyAlignment="1" applyProtection="1">
      <alignment/>
      <protection/>
    </xf>
    <xf numFmtId="180" fontId="8" fillId="0" borderId="10" xfId="62" applyNumberFormat="1" applyFont="1" applyFill="1" applyBorder="1" applyAlignment="1" applyProtection="1">
      <alignment/>
      <protection/>
    </xf>
    <xf numFmtId="180" fontId="12" fillId="0" borderId="10" xfId="62" applyNumberFormat="1" applyFont="1" applyFill="1" applyBorder="1" applyAlignment="1" applyProtection="1">
      <alignment/>
      <protection/>
    </xf>
    <xf numFmtId="180" fontId="19" fillId="0" borderId="10" xfId="42" applyNumberFormat="1" applyFont="1" applyFill="1" applyBorder="1" applyAlignment="1" applyProtection="1">
      <alignment/>
      <protection/>
    </xf>
    <xf numFmtId="180" fontId="19" fillId="33" borderId="10" xfId="62" applyNumberFormat="1" applyFont="1" applyFill="1" applyBorder="1" applyAlignment="1" applyProtection="1">
      <alignment/>
      <protection/>
    </xf>
    <xf numFmtId="180" fontId="23" fillId="0" borderId="10" xfId="62" applyNumberFormat="1" applyFont="1" applyFill="1" applyBorder="1" applyAlignment="1" applyProtection="1">
      <alignment/>
      <protection/>
    </xf>
    <xf numFmtId="180" fontId="19" fillId="0" borderId="10" xfId="62" applyNumberFormat="1" applyFont="1" applyFill="1" applyBorder="1" applyAlignment="1" applyProtection="1">
      <alignment/>
      <protection/>
    </xf>
    <xf numFmtId="180" fontId="42" fillId="33" borderId="21" xfId="62" applyNumberFormat="1" applyFont="1" applyFill="1" applyBorder="1" applyAlignment="1" applyProtection="1">
      <alignment/>
      <protection/>
    </xf>
    <xf numFmtId="180" fontId="8" fillId="0" borderId="0" xfId="62" applyNumberFormat="1" applyFont="1" applyFill="1" applyBorder="1" applyAlignment="1" applyProtection="1">
      <alignment/>
      <protection/>
    </xf>
    <xf numFmtId="180" fontId="0" fillId="0" borderId="0" xfId="0" applyNumberFormat="1" applyFont="1" applyAlignment="1">
      <alignment/>
    </xf>
    <xf numFmtId="171" fontId="0" fillId="0" borderId="0" xfId="0" applyNumberFormat="1" applyFill="1" applyBorder="1" applyAlignment="1" applyProtection="1">
      <alignment/>
      <protection/>
    </xf>
    <xf numFmtId="180" fontId="0" fillId="0" borderId="0" xfId="42" applyNumberFormat="1" applyFont="1" applyFill="1" applyBorder="1" applyAlignment="1" applyProtection="1">
      <alignment/>
      <protection/>
    </xf>
    <xf numFmtId="1" fontId="7" fillId="0" borderId="46" xfId="62" applyNumberFormat="1" applyFont="1" applyFill="1" applyBorder="1" applyAlignment="1">
      <alignment horizontal="center" vertical="center"/>
      <protection/>
    </xf>
    <xf numFmtId="0" fontId="18" fillId="0" borderId="11" xfId="62" applyFont="1" applyFill="1" applyBorder="1" applyAlignment="1">
      <alignment vertical="center"/>
      <protection/>
    </xf>
    <xf numFmtId="0" fontId="12" fillId="0" borderId="12" xfId="62" applyFont="1" applyFill="1" applyBorder="1" applyAlignment="1">
      <alignment vertical="center"/>
      <protection/>
    </xf>
    <xf numFmtId="0" fontId="0" fillId="0" borderId="0" xfId="0" applyFont="1" applyFill="1" applyAlignment="1">
      <alignment/>
    </xf>
    <xf numFmtId="1" fontId="14" fillId="0" borderId="46" xfId="62" applyNumberFormat="1" applyFont="1" applyFill="1" applyBorder="1" applyAlignment="1">
      <alignment horizontal="center" vertical="center"/>
      <protection/>
    </xf>
    <xf numFmtId="0" fontId="12" fillId="0" borderId="12" xfId="62" applyFont="1" applyFill="1" applyBorder="1">
      <alignment/>
      <protection/>
    </xf>
    <xf numFmtId="0" fontId="7" fillId="0" borderId="10" xfId="62" applyFont="1" applyFill="1" applyBorder="1" applyAlignment="1">
      <alignment vertical="center"/>
      <protection/>
    </xf>
    <xf numFmtId="0" fontId="7" fillId="0" borderId="13" xfId="62" applyFont="1" applyFill="1" applyBorder="1" applyAlignment="1">
      <alignment vertical="center"/>
      <protection/>
    </xf>
    <xf numFmtId="0" fontId="16" fillId="0" borderId="46" xfId="62" applyFont="1" applyFill="1" applyBorder="1" applyAlignment="1">
      <alignment horizontal="right" vertical="center"/>
      <protection/>
    </xf>
    <xf numFmtId="0" fontId="17" fillId="0" borderId="10" xfId="62" applyFont="1" applyFill="1" applyBorder="1" applyAlignment="1">
      <alignment vertical="center"/>
      <protection/>
    </xf>
    <xf numFmtId="0" fontId="7" fillId="0" borderId="46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44" fillId="0" borderId="10" xfId="62" applyFont="1" applyFill="1" applyBorder="1" applyAlignment="1">
      <alignment vertical="center"/>
      <protection/>
    </xf>
    <xf numFmtId="0" fontId="12" fillId="0" borderId="10" xfId="62" applyFont="1" applyFill="1" applyBorder="1" applyAlignment="1">
      <alignment vertical="center"/>
      <protection/>
    </xf>
    <xf numFmtId="0" fontId="12" fillId="0" borderId="16" xfId="62" applyFont="1" applyFill="1" applyBorder="1">
      <alignment/>
      <protection/>
    </xf>
    <xf numFmtId="0" fontId="51" fillId="0" borderId="46" xfId="62" applyFont="1" applyFill="1" applyBorder="1" applyAlignment="1">
      <alignment horizontal="right" vertical="center"/>
      <protection/>
    </xf>
    <xf numFmtId="0" fontId="17" fillId="0" borderId="13" xfId="62" applyFont="1" applyFill="1" applyBorder="1" applyAlignment="1">
      <alignment vertical="center"/>
      <protection/>
    </xf>
    <xf numFmtId="0" fontId="22" fillId="0" borderId="10" xfId="62" applyFont="1" applyFill="1" applyBorder="1">
      <alignment/>
      <protection/>
    </xf>
    <xf numFmtId="180" fontId="0" fillId="0" borderId="0" xfId="0" applyNumberFormat="1" applyFont="1" applyFill="1" applyAlignment="1">
      <alignment/>
    </xf>
    <xf numFmtId="0" fontId="22" fillId="0" borderId="46" xfId="62" applyFont="1" applyFill="1" applyBorder="1" applyAlignment="1">
      <alignment horizontal="right" vertical="center"/>
      <protection/>
    </xf>
    <xf numFmtId="0" fontId="17" fillId="0" borderId="11" xfId="62" applyFont="1" applyFill="1" applyBorder="1" applyAlignment="1">
      <alignment vertical="center"/>
      <protection/>
    </xf>
    <xf numFmtId="0" fontId="12" fillId="0" borderId="10" xfId="62" applyFont="1" applyFill="1" applyBorder="1">
      <alignment/>
      <protection/>
    </xf>
    <xf numFmtId="0" fontId="11" fillId="0" borderId="46" xfId="62" applyFont="1" applyFill="1" applyBorder="1">
      <alignment/>
      <protection/>
    </xf>
    <xf numFmtId="0" fontId="31" fillId="0" borderId="46" xfId="62" applyFont="1" applyFill="1" applyBorder="1">
      <alignment/>
      <protection/>
    </xf>
    <xf numFmtId="0" fontId="7" fillId="0" borderId="13" xfId="62" applyFont="1" applyFill="1" applyBorder="1" applyAlignment="1">
      <alignment horizontal="left" vertical="center"/>
      <protection/>
    </xf>
    <xf numFmtId="0" fontId="18" fillId="0" borderId="14" xfId="62" applyFont="1" applyFill="1" applyBorder="1">
      <alignment/>
      <protection/>
    </xf>
    <xf numFmtId="0" fontId="20" fillId="0" borderId="46" xfId="62" applyFont="1" applyFill="1" applyBorder="1" applyAlignment="1">
      <alignment horizontal="left" vertical="center"/>
      <protection/>
    </xf>
    <xf numFmtId="0" fontId="17" fillId="0" borderId="10" xfId="62" applyFont="1" applyFill="1" applyBorder="1" applyAlignment="1">
      <alignment horizontal="left" vertical="center"/>
      <protection/>
    </xf>
    <xf numFmtId="0" fontId="37" fillId="0" borderId="0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7" fillId="0" borderId="11" xfId="62" applyFont="1" applyFill="1" applyBorder="1" applyAlignment="1">
      <alignment horizontal="left" vertical="center"/>
      <protection/>
    </xf>
    <xf numFmtId="171" fontId="0" fillId="0" borderId="0" xfId="0" applyNumberFormat="1" applyFont="1" applyFill="1" applyAlignment="1">
      <alignment/>
    </xf>
    <xf numFmtId="0" fontId="49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3" fontId="0" fillId="0" borderId="10" xfId="45" applyNumberForma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4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/>
    </xf>
    <xf numFmtId="3" fontId="0" fillId="0" borderId="21" xfId="45" applyNumberFormat="1" applyBorder="1" applyAlignment="1">
      <alignment/>
    </xf>
    <xf numFmtId="0" fontId="0" fillId="0" borderId="56" xfId="0" applyFont="1" applyBorder="1" applyAlignment="1">
      <alignment vertical="center"/>
    </xf>
    <xf numFmtId="0" fontId="37" fillId="0" borderId="53" xfId="0" applyFont="1" applyBorder="1" applyAlignment="1">
      <alignment vertical="center"/>
    </xf>
    <xf numFmtId="0" fontId="37" fillId="0" borderId="53" xfId="0" applyFont="1" applyBorder="1" applyAlignment="1">
      <alignment horizontal="center" vertical="center"/>
    </xf>
    <xf numFmtId="3" fontId="37" fillId="0" borderId="53" xfId="45" applyNumberFormat="1" applyFont="1" applyBorder="1" applyAlignment="1">
      <alignment vertical="center"/>
    </xf>
    <xf numFmtId="3" fontId="37" fillId="0" borderId="55" xfId="45" applyNumberFormat="1" applyFont="1" applyBorder="1" applyAlignment="1">
      <alignment vertical="center"/>
    </xf>
    <xf numFmtId="3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45" applyNumberFormat="1" applyFill="1" applyBorder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19" fillId="0" borderId="0" xfId="0" applyFont="1" applyAlignment="1">
      <alignment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right"/>
    </xf>
    <xf numFmtId="2" fontId="57" fillId="0" borderId="0" xfId="61" applyNumberFormat="1" applyFont="1" applyBorder="1" applyAlignment="1">
      <alignment wrapText="1"/>
      <protection/>
    </xf>
    <xf numFmtId="0" fontId="19" fillId="0" borderId="21" xfId="61" applyFont="1" applyBorder="1" applyAlignment="1">
      <alignment horizontal="center"/>
      <protection/>
    </xf>
    <xf numFmtId="2" fontId="75" fillId="0" borderId="33" xfId="61" applyNumberFormat="1" applyFont="1" applyBorder="1" applyAlignment="1">
      <alignment horizontal="center" wrapText="1"/>
      <protection/>
    </xf>
    <xf numFmtId="0" fontId="76" fillId="0" borderId="57" xfId="61" applyFont="1" applyBorder="1" applyAlignment="1">
      <alignment horizontal="center" vertical="center" wrapText="1"/>
      <protection/>
    </xf>
    <xf numFmtId="0" fontId="19" fillId="0" borderId="58" xfId="61" applyFont="1" applyBorder="1" applyAlignment="1">
      <alignment horizontal="center"/>
      <protection/>
    </xf>
    <xf numFmtId="0" fontId="19" fillId="0" borderId="44" xfId="61" applyFont="1" applyBorder="1" applyAlignment="1">
      <alignment horizontal="left" wrapText="1"/>
      <protection/>
    </xf>
    <xf numFmtId="0" fontId="19" fillId="0" borderId="44" xfId="61" applyFont="1" applyBorder="1" applyAlignment="1">
      <alignment horizontal="left"/>
      <protection/>
    </xf>
    <xf numFmtId="0" fontId="19" fillId="0" borderId="45" xfId="61" applyFont="1" applyBorder="1" applyAlignment="1">
      <alignment horizontal="left"/>
      <protection/>
    </xf>
    <xf numFmtId="0" fontId="0" fillId="0" borderId="49" xfId="61" applyFont="1" applyBorder="1" applyAlignment="1">
      <alignment horizontal="center"/>
      <protection/>
    </xf>
    <xf numFmtId="0" fontId="0" fillId="0" borderId="16" xfId="61" applyFont="1" applyBorder="1" applyAlignment="1">
      <alignment horizontal="left" wrapText="1"/>
      <protection/>
    </xf>
    <xf numFmtId="0" fontId="19" fillId="0" borderId="10" xfId="61" applyFont="1" applyBorder="1" applyAlignment="1">
      <alignment horizontal="left"/>
      <protection/>
    </xf>
    <xf numFmtId="0" fontId="19" fillId="0" borderId="47" xfId="61" applyFont="1" applyBorder="1" applyAlignment="1">
      <alignment horizontal="left"/>
      <protection/>
    </xf>
    <xf numFmtId="0" fontId="0" fillId="0" borderId="59" xfId="61" applyFont="1" applyBorder="1" applyAlignment="1">
      <alignment horizontal="center"/>
      <protection/>
    </xf>
    <xf numFmtId="0" fontId="37" fillId="0" borderId="16" xfId="61" applyFont="1" applyBorder="1" applyAlignment="1">
      <alignment horizontal="left" wrapText="1"/>
      <protection/>
    </xf>
    <xf numFmtId="0" fontId="19" fillId="0" borderId="46" xfId="61" applyFont="1" applyBorder="1" applyAlignment="1">
      <alignment horizontal="center"/>
      <protection/>
    </xf>
    <xf numFmtId="0" fontId="19" fillId="0" borderId="16" xfId="61" applyFont="1" applyBorder="1" applyAlignment="1">
      <alignment horizontal="left" wrapText="1"/>
      <protection/>
    </xf>
    <xf numFmtId="0" fontId="0" fillId="0" borderId="13" xfId="61" applyFont="1" applyBorder="1" applyAlignment="1">
      <alignment horizontal="left" wrapText="1"/>
      <protection/>
    </xf>
    <xf numFmtId="0" fontId="0" fillId="0" borderId="48" xfId="61" applyFont="1" applyBorder="1" applyAlignment="1">
      <alignment horizontal="center"/>
      <protection/>
    </xf>
    <xf numFmtId="0" fontId="0" fillId="0" borderId="42" xfId="61" applyFont="1" applyBorder="1" applyAlignment="1">
      <alignment horizontal="left" wrapText="1"/>
      <protection/>
    </xf>
    <xf numFmtId="0" fontId="19" fillId="0" borderId="46" xfId="61" applyFont="1" applyBorder="1" applyAlignment="1">
      <alignment horizontal="center" vertical="center"/>
      <protection/>
    </xf>
    <xf numFmtId="0" fontId="19" fillId="0" borderId="59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wrapText="1"/>
      <protection/>
    </xf>
    <xf numFmtId="0" fontId="19" fillId="0" borderId="49" xfId="61" applyFont="1" applyBorder="1" applyAlignment="1">
      <alignment horizontal="center"/>
      <protection/>
    </xf>
    <xf numFmtId="0" fontId="49" fillId="0" borderId="10" xfId="61" applyFont="1" applyBorder="1" applyAlignment="1">
      <alignment horizontal="left" wrapText="1"/>
      <protection/>
    </xf>
    <xf numFmtId="0" fontId="19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19" fillId="0" borderId="59" xfId="61" applyFont="1" applyBorder="1" applyAlignment="1">
      <alignment horizontal="center"/>
      <protection/>
    </xf>
    <xf numFmtId="0" fontId="19" fillId="0" borderId="10" xfId="61" applyFont="1" applyBorder="1" applyAlignment="1">
      <alignment horizontal="left" wrapText="1"/>
      <protection/>
    </xf>
    <xf numFmtId="0" fontId="19" fillId="0" borderId="48" xfId="61" applyFont="1" applyBorder="1" applyAlignment="1">
      <alignment horizontal="center"/>
      <protection/>
    </xf>
    <xf numFmtId="0" fontId="19" fillId="0" borderId="13" xfId="61" applyFont="1" applyBorder="1" applyAlignment="1">
      <alignment horizontal="left" wrapText="1"/>
      <protection/>
    </xf>
    <xf numFmtId="0" fontId="19" fillId="0" borderId="50" xfId="61" applyFont="1" applyBorder="1" applyAlignment="1">
      <alignment horizontal="center"/>
      <protection/>
    </xf>
    <xf numFmtId="0" fontId="19" fillId="0" borderId="51" xfId="61" applyFont="1" applyBorder="1" applyAlignment="1">
      <alignment horizontal="left" wrapText="1"/>
      <protection/>
    </xf>
    <xf numFmtId="0" fontId="19" fillId="0" borderId="51" xfId="61" applyFont="1" applyBorder="1" applyAlignment="1">
      <alignment horizontal="left"/>
      <protection/>
    </xf>
    <xf numFmtId="0" fontId="19" fillId="0" borderId="52" xfId="61" applyFont="1" applyBorder="1" applyAlignment="1">
      <alignment horizontal="left"/>
      <protection/>
    </xf>
    <xf numFmtId="0" fontId="19" fillId="0" borderId="0" xfId="61" applyFont="1" applyBorder="1" applyAlignment="1">
      <alignment horizontal="center"/>
      <protection/>
    </xf>
    <xf numFmtId="0" fontId="19" fillId="0" borderId="0" xfId="61" applyFont="1" applyBorder="1" applyAlignment="1">
      <alignment horizontal="left" wrapText="1"/>
      <protection/>
    </xf>
    <xf numFmtId="0" fontId="19" fillId="0" borderId="0" xfId="61" applyFont="1" applyBorder="1" applyAlignment="1">
      <alignment horizontal="left"/>
      <protection/>
    </xf>
    <xf numFmtId="0" fontId="76" fillId="0" borderId="43" xfId="61" applyFont="1" applyBorder="1" applyAlignment="1">
      <alignment horizontal="center"/>
      <protection/>
    </xf>
    <xf numFmtId="0" fontId="76" fillId="0" borderId="44" xfId="61" applyFont="1" applyBorder="1" applyAlignment="1">
      <alignment horizontal="left" wrapText="1"/>
      <protection/>
    </xf>
    <xf numFmtId="0" fontId="4" fillId="0" borderId="46" xfId="61" applyFont="1" applyBorder="1" applyAlignment="1">
      <alignment horizontal="left"/>
      <protection/>
    </xf>
    <xf numFmtId="0" fontId="4" fillId="0" borderId="10" xfId="63" applyFont="1" applyFill="1" applyBorder="1" applyAlignment="1">
      <alignment horizontal="left" wrapText="1"/>
      <protection/>
    </xf>
    <xf numFmtId="0" fontId="76" fillId="0" borderId="10" xfId="61" applyFont="1" applyBorder="1" applyAlignment="1">
      <alignment horizontal="left"/>
      <protection/>
    </xf>
    <xf numFmtId="0" fontId="4" fillId="0" borderId="10" xfId="61" applyFont="1" applyBorder="1" applyAlignment="1">
      <alignment horizontal="left" wrapText="1"/>
      <protection/>
    </xf>
    <xf numFmtId="0" fontId="76" fillId="0" borderId="46" xfId="61" applyFont="1" applyBorder="1" applyAlignment="1">
      <alignment horizontal="center"/>
      <protection/>
    </xf>
    <xf numFmtId="0" fontId="76" fillId="0" borderId="10" xfId="61" applyFont="1" applyBorder="1" applyAlignment="1">
      <alignment horizontal="left" wrapText="1"/>
      <protection/>
    </xf>
    <xf numFmtId="0" fontId="4" fillId="0" borderId="46" xfId="61" applyFont="1" applyBorder="1" applyAlignment="1">
      <alignment horizontal="center"/>
      <protection/>
    </xf>
    <xf numFmtId="0" fontId="4" fillId="0" borderId="10" xfId="61" applyFont="1" applyBorder="1" applyAlignment="1">
      <alignment horizontal="left"/>
      <protection/>
    </xf>
    <xf numFmtId="0" fontId="4" fillId="0" borderId="46" xfId="61" applyFont="1" applyFill="1" applyBorder="1" applyAlignment="1">
      <alignment horizontal="center"/>
      <protection/>
    </xf>
    <xf numFmtId="0" fontId="4" fillId="0" borderId="60" xfId="0" applyFont="1" applyBorder="1" applyAlignment="1">
      <alignment/>
    </xf>
    <xf numFmtId="0" fontId="76" fillId="0" borderId="0" xfId="0" applyFont="1" applyBorder="1" applyAlignment="1">
      <alignment/>
    </xf>
    <xf numFmtId="0" fontId="76" fillId="0" borderId="46" xfId="61" applyFont="1" applyBorder="1">
      <alignment/>
      <protection/>
    </xf>
    <xf numFmtId="0" fontId="4" fillId="0" borderId="46" xfId="0" applyFont="1" applyBorder="1" applyAlignment="1">
      <alignment/>
    </xf>
    <xf numFmtId="0" fontId="4" fillId="0" borderId="46" xfId="61" applyFont="1" applyBorder="1">
      <alignment/>
      <protection/>
    </xf>
    <xf numFmtId="0" fontId="4" fillId="0" borderId="50" xfId="61" applyFont="1" applyBorder="1">
      <alignment/>
      <protection/>
    </xf>
    <xf numFmtId="0" fontId="76" fillId="0" borderId="51" xfId="61" applyFont="1" applyBorder="1" applyAlignment="1">
      <alignment horizontal="left"/>
      <protection/>
    </xf>
    <xf numFmtId="0" fontId="4" fillId="0" borderId="51" xfId="61" applyFont="1" applyBorder="1" applyAlignment="1">
      <alignment horizontal="left"/>
      <protection/>
    </xf>
    <xf numFmtId="0" fontId="82" fillId="0" borderId="61" xfId="0" applyFont="1" applyBorder="1" applyAlignment="1">
      <alignment horizontal="center"/>
    </xf>
    <xf numFmtId="0" fontId="82" fillId="0" borderId="62" xfId="0" applyFont="1" applyBorder="1" applyAlignment="1">
      <alignment horizontal="center"/>
    </xf>
    <xf numFmtId="0" fontId="82" fillId="0" borderId="63" xfId="0" applyFont="1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49" fillId="0" borderId="60" xfId="0" applyFont="1" applyBorder="1" applyAlignment="1">
      <alignment/>
    </xf>
    <xf numFmtId="0" fontId="49" fillId="0" borderId="71" xfId="0" applyFont="1" applyBorder="1" applyAlignment="1">
      <alignment/>
    </xf>
    <xf numFmtId="0" fontId="0" fillId="0" borderId="60" xfId="0" applyBorder="1" applyAlignment="1">
      <alignment horizontal="center"/>
    </xf>
    <xf numFmtId="43" fontId="0" fillId="0" borderId="71" xfId="42" applyFont="1" applyBorder="1" applyAlignment="1">
      <alignment horizontal="center"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49" fillId="0" borderId="75" xfId="0" applyFont="1" applyBorder="1" applyAlignment="1">
      <alignment/>
    </xf>
    <xf numFmtId="0" fontId="49" fillId="0" borderId="15" xfId="0" applyFont="1" applyBorder="1" applyAlignment="1">
      <alignment/>
    </xf>
    <xf numFmtId="0" fontId="49" fillId="0" borderId="15" xfId="0" applyFont="1" applyBorder="1" applyAlignment="1">
      <alignment horizontal="center"/>
    </xf>
    <xf numFmtId="0" fontId="49" fillId="0" borderId="76" xfId="0" applyFont="1" applyBorder="1" applyAlignment="1">
      <alignment horizontal="center"/>
    </xf>
    <xf numFmtId="0" fontId="83" fillId="0" borderId="77" xfId="0" applyFont="1" applyBorder="1" applyAlignment="1">
      <alignment horizontal="center"/>
    </xf>
    <xf numFmtId="0" fontId="83" fillId="0" borderId="78" xfId="0" applyFont="1" applyBorder="1" applyAlignment="1">
      <alignment horizontal="center"/>
    </xf>
    <xf numFmtId="184" fontId="83" fillId="0" borderId="79" xfId="42" applyNumberFormat="1" applyFont="1" applyBorder="1" applyAlignment="1">
      <alignment horizontal="center"/>
    </xf>
    <xf numFmtId="0" fontId="83" fillId="0" borderId="0" xfId="0" applyFont="1" applyAlignment="1">
      <alignment/>
    </xf>
    <xf numFmtId="0" fontId="83" fillId="0" borderId="64" xfId="0" applyFont="1" applyBorder="1" applyAlignment="1">
      <alignment horizontal="center"/>
    </xf>
    <xf numFmtId="0" fontId="83" fillId="0" borderId="65" xfId="0" applyFont="1" applyBorder="1" applyAlignment="1">
      <alignment horizontal="center"/>
    </xf>
    <xf numFmtId="184" fontId="19" fillId="0" borderId="80" xfId="42" applyNumberFormat="1" applyFont="1" applyBorder="1" applyAlignment="1">
      <alignment horizontal="center"/>
    </xf>
    <xf numFmtId="0" fontId="42" fillId="0" borderId="0" xfId="62" applyFont="1" applyAlignment="1">
      <alignment horizontal="left" vertical="center"/>
      <protection/>
    </xf>
    <xf numFmtId="0" fontId="0" fillId="0" borderId="0" xfId="0" applyFont="1" applyBorder="1" applyAlignment="1">
      <alignment horizontal="center"/>
    </xf>
    <xf numFmtId="0" fontId="79" fillId="0" borderId="0" xfId="0" applyFont="1" applyAlignment="1">
      <alignment horizontal="right"/>
    </xf>
    <xf numFmtId="180" fontId="22" fillId="0" borderId="47" xfId="42" applyNumberFormat="1" applyFont="1" applyFill="1" applyBorder="1" applyAlignment="1" applyProtection="1">
      <alignment/>
      <protection/>
    </xf>
    <xf numFmtId="43" fontId="0" fillId="0" borderId="0" xfId="0" applyNumberFormat="1" applyFont="1" applyFill="1" applyBorder="1" applyAlignment="1" applyProtection="1">
      <alignment/>
      <protection/>
    </xf>
    <xf numFmtId="43" fontId="12" fillId="0" borderId="81" xfId="42" applyFont="1" applyFill="1" applyBorder="1" applyAlignment="1" applyProtection="1">
      <alignment/>
      <protection/>
    </xf>
    <xf numFmtId="43" fontId="0" fillId="0" borderId="81" xfId="42" applyFont="1" applyFill="1" applyBorder="1" applyAlignment="1" applyProtection="1">
      <alignment/>
      <protection/>
    </xf>
    <xf numFmtId="43" fontId="38" fillId="0" borderId="81" xfId="42" applyFont="1" applyFill="1" applyBorder="1" applyAlignment="1" applyProtection="1">
      <alignment/>
      <protection/>
    </xf>
    <xf numFmtId="0" fontId="23" fillId="0" borderId="45" xfId="61" applyFont="1" applyBorder="1" applyAlignment="1">
      <alignment horizontal="left"/>
      <protection/>
    </xf>
    <xf numFmtId="0" fontId="23" fillId="0" borderId="47" xfId="61" applyFont="1" applyBorder="1" applyAlignment="1">
      <alignment horizontal="left"/>
      <protection/>
    </xf>
    <xf numFmtId="0" fontId="23" fillId="0" borderId="47" xfId="61" applyFont="1" applyBorder="1" applyAlignment="1">
      <alignment horizontal="left" wrapText="1"/>
      <protection/>
    </xf>
    <xf numFmtId="0" fontId="23" fillId="0" borderId="82" xfId="61" applyFont="1" applyBorder="1" applyAlignment="1">
      <alignment horizontal="center" vertical="center" wrapText="1"/>
      <protection/>
    </xf>
    <xf numFmtId="0" fontId="23" fillId="0" borderId="52" xfId="61" applyFont="1" applyBorder="1" applyAlignment="1">
      <alignment horizontal="left"/>
      <protection/>
    </xf>
    <xf numFmtId="0" fontId="23" fillId="0" borderId="44" xfId="61" applyFont="1" applyBorder="1" applyAlignment="1">
      <alignment horizontal="left"/>
      <protection/>
    </xf>
    <xf numFmtId="0" fontId="23" fillId="0" borderId="10" xfId="61" applyFont="1" applyBorder="1" applyAlignment="1">
      <alignment horizontal="left"/>
      <protection/>
    </xf>
    <xf numFmtId="0" fontId="23" fillId="0" borderId="10" xfId="61" applyFont="1" applyBorder="1" applyAlignment="1">
      <alignment horizontal="left" wrapText="1"/>
      <protection/>
    </xf>
    <xf numFmtId="0" fontId="23" fillId="0" borderId="13" xfId="61" applyFont="1" applyBorder="1" applyAlignment="1">
      <alignment horizontal="center" vertical="center" wrapText="1"/>
      <protection/>
    </xf>
    <xf numFmtId="0" fontId="23" fillId="0" borderId="51" xfId="61" applyFont="1" applyBorder="1" applyAlignment="1">
      <alignment horizontal="left"/>
      <protection/>
    </xf>
    <xf numFmtId="0" fontId="23" fillId="0" borderId="0" xfId="61" applyFont="1" applyBorder="1" applyAlignment="1">
      <alignment horizontal="center"/>
      <protection/>
    </xf>
    <xf numFmtId="0" fontId="23" fillId="0" borderId="0" xfId="61" applyFont="1" applyBorder="1" applyAlignment="1">
      <alignment horizontal="left" wrapText="1"/>
      <protection/>
    </xf>
    <xf numFmtId="0" fontId="23" fillId="0" borderId="0" xfId="61" applyFont="1" applyBorder="1" applyAlignment="1">
      <alignment horizontal="left"/>
      <protection/>
    </xf>
    <xf numFmtId="0" fontId="22" fillId="0" borderId="0" xfId="0" applyFont="1" applyAlignment="1">
      <alignment/>
    </xf>
    <xf numFmtId="0" fontId="48" fillId="0" borderId="0" xfId="0" applyFont="1" applyAlignment="1">
      <alignment/>
    </xf>
    <xf numFmtId="0" fontId="80" fillId="0" borderId="0" xfId="0" applyFont="1" applyAlignment="1">
      <alignment/>
    </xf>
    <xf numFmtId="0" fontId="22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right"/>
    </xf>
    <xf numFmtId="0" fontId="22" fillId="0" borderId="21" xfId="61" applyFont="1" applyBorder="1">
      <alignment/>
      <protection/>
    </xf>
    <xf numFmtId="2" fontId="48" fillId="0" borderId="21" xfId="61" applyNumberFormat="1" applyFont="1" applyBorder="1" applyAlignment="1">
      <alignment horizontal="center" wrapText="1"/>
      <protection/>
    </xf>
    <xf numFmtId="0" fontId="23" fillId="0" borderId="21" xfId="61" applyFont="1" applyBorder="1" applyAlignment="1">
      <alignment horizontal="center" vertical="center" wrapText="1"/>
      <protection/>
    </xf>
    <xf numFmtId="0" fontId="22" fillId="0" borderId="0" xfId="61" applyFont="1">
      <alignment/>
      <protection/>
    </xf>
    <xf numFmtId="0" fontId="23" fillId="0" borderId="10" xfId="61" applyFont="1" applyFill="1" applyBorder="1" applyAlignment="1">
      <alignment horizontal="left"/>
      <protection/>
    </xf>
    <xf numFmtId="3" fontId="0" fillId="0" borderId="10" xfId="45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0" fillId="0" borderId="8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184" fontId="83" fillId="0" borderId="85" xfId="42" applyNumberFormat="1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83" fillId="0" borderId="78" xfId="0" applyFont="1" applyFill="1" applyBorder="1" applyAlignment="1">
      <alignment horizontal="center"/>
    </xf>
    <xf numFmtId="0" fontId="83" fillId="0" borderId="65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43" fontId="0" fillId="0" borderId="0" xfId="42" applyFont="1" applyFill="1" applyBorder="1" applyAlignment="1" applyProtection="1">
      <alignment/>
      <protection/>
    </xf>
    <xf numFmtId="180" fontId="0" fillId="0" borderId="0" xfId="60" applyNumberFormat="1" applyFill="1" applyBorder="1" applyAlignment="1" applyProtection="1">
      <alignment/>
      <protection/>
    </xf>
    <xf numFmtId="9" fontId="0" fillId="0" borderId="0" xfId="67" applyFont="1" applyFill="1" applyBorder="1" applyAlignment="1" applyProtection="1">
      <alignment/>
      <protection/>
    </xf>
    <xf numFmtId="0" fontId="0" fillId="0" borderId="0" xfId="60" applyNumberFormat="1" applyFont="1" applyFill="1" applyBorder="1" applyAlignment="1" applyProtection="1">
      <alignment/>
      <protection/>
    </xf>
    <xf numFmtId="0" fontId="72" fillId="0" borderId="10" xfId="60" applyNumberFormat="1" applyFont="1" applyFill="1" applyBorder="1" applyAlignment="1" applyProtection="1">
      <alignment/>
      <protection/>
    </xf>
    <xf numFmtId="180" fontId="72" fillId="0" borderId="10" xfId="42" applyNumberFormat="1" applyFont="1" applyFill="1" applyBorder="1" applyAlignment="1" applyProtection="1">
      <alignment/>
      <protection/>
    </xf>
    <xf numFmtId="0" fontId="73" fillId="0" borderId="10" xfId="60" applyNumberFormat="1" applyFont="1" applyFill="1" applyBorder="1" applyAlignment="1" applyProtection="1">
      <alignment/>
      <protection/>
    </xf>
    <xf numFmtId="180" fontId="71" fillId="0" borderId="10" xfId="42" applyNumberFormat="1" applyFont="1" applyFill="1" applyBorder="1" applyAlignment="1" applyProtection="1">
      <alignment/>
      <protection/>
    </xf>
    <xf numFmtId="180" fontId="70" fillId="0" borderId="10" xfId="42" applyNumberFormat="1" applyFont="1" applyFill="1" applyBorder="1" applyAlignment="1" applyProtection="1">
      <alignment/>
      <protection/>
    </xf>
    <xf numFmtId="0" fontId="67" fillId="0" borderId="32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0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56" fillId="0" borderId="32" xfId="0" applyFont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64" fillId="0" borderId="20" xfId="0" applyFont="1" applyBorder="1" applyAlignment="1">
      <alignment horizontal="center"/>
    </xf>
    <xf numFmtId="0" fontId="64" fillId="0" borderId="30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20" fillId="34" borderId="86" xfId="62" applyFont="1" applyFill="1" applyBorder="1" applyAlignment="1">
      <alignment horizontal="center" vertical="center"/>
      <protection/>
    </xf>
    <xf numFmtId="0" fontId="20" fillId="34" borderId="87" xfId="62" applyFont="1" applyFill="1" applyBorder="1" applyAlignment="1">
      <alignment horizontal="center" vertical="center"/>
      <protection/>
    </xf>
    <xf numFmtId="0" fontId="20" fillId="34" borderId="88" xfId="62" applyFont="1" applyFill="1" applyBorder="1" applyAlignment="1">
      <alignment horizontal="center" vertical="center"/>
      <protection/>
    </xf>
    <xf numFmtId="0" fontId="17" fillId="0" borderId="11" xfId="62" applyFont="1" applyFill="1" applyBorder="1" applyAlignment="1">
      <alignment horizontal="left" vertical="center"/>
      <protection/>
    </xf>
    <xf numFmtId="0" fontId="17" fillId="0" borderId="16" xfId="62" applyFont="1" applyFill="1" applyBorder="1" applyAlignment="1">
      <alignment horizontal="left" vertical="center"/>
      <protection/>
    </xf>
    <xf numFmtId="0" fontId="27" fillId="33" borderId="11" xfId="62" applyFont="1" applyFill="1" applyBorder="1" applyAlignment="1">
      <alignment horizontal="left" vertical="center"/>
      <protection/>
    </xf>
    <xf numFmtId="0" fontId="27" fillId="33" borderId="16" xfId="62" applyFont="1" applyFill="1" applyBorder="1" applyAlignment="1">
      <alignment horizontal="left" vertical="center"/>
      <protection/>
    </xf>
    <xf numFmtId="0" fontId="27" fillId="33" borderId="20" xfId="62" applyFont="1" applyFill="1" applyBorder="1" applyAlignment="1">
      <alignment horizontal="left" vertical="center"/>
      <protection/>
    </xf>
    <xf numFmtId="0" fontId="27" fillId="33" borderId="31" xfId="62" applyFont="1" applyFill="1" applyBorder="1" applyAlignment="1">
      <alignment horizontal="left" vertical="center"/>
      <protection/>
    </xf>
    <xf numFmtId="0" fontId="17" fillId="0" borderId="11" xfId="62" applyFont="1" applyBorder="1" applyAlignment="1">
      <alignment horizontal="left" vertical="center"/>
      <protection/>
    </xf>
    <xf numFmtId="0" fontId="17" fillId="0" borderId="16" xfId="62" applyFont="1" applyBorder="1" applyAlignment="1">
      <alignment horizontal="left" vertical="center"/>
      <protection/>
    </xf>
    <xf numFmtId="0" fontId="20" fillId="0" borderId="44" xfId="62" applyFont="1" applyBorder="1" applyAlignment="1">
      <alignment horizontal="left" vertical="center"/>
      <protection/>
    </xf>
    <xf numFmtId="0" fontId="7" fillId="0" borderId="13" xfId="62" applyFont="1" applyFill="1" applyBorder="1" applyAlignment="1">
      <alignment horizontal="left" vertical="center"/>
      <protection/>
    </xf>
    <xf numFmtId="0" fontId="7" fillId="0" borderId="10" xfId="62" applyFont="1" applyFill="1" applyBorder="1" applyAlignment="1">
      <alignment horizontal="left" vertical="center"/>
      <protection/>
    </xf>
    <xf numFmtId="0" fontId="39" fillId="0" borderId="0" xfId="62" applyFont="1" applyAlignment="1">
      <alignment horizontal="center" vertical="center"/>
      <protection/>
    </xf>
    <xf numFmtId="0" fontId="21" fillId="0" borderId="45" xfId="62" applyFont="1" applyBorder="1" applyAlignment="1">
      <alignment horizontal="center" vertical="center" wrapText="1"/>
      <protection/>
    </xf>
    <xf numFmtId="0" fontId="21" fillId="0" borderId="52" xfId="62" applyFont="1" applyBorder="1" applyAlignment="1">
      <alignment horizontal="center" vertical="center" wrapText="1"/>
      <protection/>
    </xf>
    <xf numFmtId="0" fontId="25" fillId="0" borderId="44" xfId="62" applyFont="1" applyBorder="1" applyAlignment="1">
      <alignment horizontal="center" vertical="center"/>
      <protection/>
    </xf>
    <xf numFmtId="0" fontId="25" fillId="0" borderId="51" xfId="62" applyFont="1" applyBorder="1" applyAlignment="1">
      <alignment horizontal="center" vertical="center"/>
      <protection/>
    </xf>
    <xf numFmtId="0" fontId="21" fillId="0" borderId="44" xfId="62" applyFont="1" applyBorder="1" applyAlignment="1">
      <alignment horizontal="center" vertical="center" wrapText="1"/>
      <protection/>
    </xf>
    <xf numFmtId="0" fontId="21" fillId="0" borderId="51" xfId="62" applyFont="1" applyBorder="1" applyAlignment="1">
      <alignment horizontal="center" vertical="center" wrapText="1"/>
      <protection/>
    </xf>
    <xf numFmtId="0" fontId="7" fillId="0" borderId="89" xfId="62" applyFont="1" applyBorder="1" applyAlignment="1">
      <alignment horizontal="center" vertical="center"/>
      <protection/>
    </xf>
    <xf numFmtId="0" fontId="7" fillId="0" borderId="90" xfId="62" applyFont="1" applyBorder="1" applyAlignment="1">
      <alignment horizontal="center" vertical="center"/>
      <protection/>
    </xf>
    <xf numFmtId="0" fontId="7" fillId="0" borderId="91" xfId="62" applyFont="1" applyBorder="1" applyAlignment="1">
      <alignment horizontal="center" vertical="center"/>
      <protection/>
    </xf>
    <xf numFmtId="0" fontId="7" fillId="0" borderId="92" xfId="62" applyFont="1" applyBorder="1" applyAlignment="1">
      <alignment horizontal="center" vertical="center"/>
      <protection/>
    </xf>
    <xf numFmtId="0" fontId="54" fillId="0" borderId="0" xfId="62" applyFont="1" applyAlignment="1">
      <alignment horizontal="center" vertical="center"/>
      <protection/>
    </xf>
    <xf numFmtId="0" fontId="20" fillId="0" borderId="10" xfId="62" applyFont="1" applyBorder="1" applyAlignment="1">
      <alignment horizontal="left" vertical="center"/>
      <protection/>
    </xf>
    <xf numFmtId="0" fontId="20" fillId="0" borderId="44" xfId="62" applyFont="1" applyFill="1" applyBorder="1" applyAlignment="1">
      <alignment horizontal="left" vertical="center"/>
      <protection/>
    </xf>
    <xf numFmtId="0" fontId="21" fillId="0" borderId="93" xfId="62" applyFont="1" applyBorder="1" applyAlignment="1">
      <alignment horizontal="center" vertical="center" wrapText="1"/>
      <protection/>
    </xf>
    <xf numFmtId="0" fontId="21" fillId="0" borderId="94" xfId="62" applyFont="1" applyBorder="1" applyAlignment="1">
      <alignment horizontal="center" vertical="center" wrapText="1"/>
      <protection/>
    </xf>
    <xf numFmtId="0" fontId="25" fillId="0" borderId="95" xfId="62" applyFont="1" applyBorder="1" applyAlignment="1">
      <alignment horizontal="center" vertical="center"/>
      <protection/>
    </xf>
    <xf numFmtId="0" fontId="25" fillId="0" borderId="96" xfId="62" applyFont="1" applyBorder="1" applyAlignment="1">
      <alignment horizontal="center" vertical="center"/>
      <protection/>
    </xf>
    <xf numFmtId="0" fontId="41" fillId="0" borderId="44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3" fillId="0" borderId="4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41" fillId="0" borderId="0" xfId="64" applyFont="1" applyAlignment="1">
      <alignment horizontal="center"/>
      <protection/>
    </xf>
    <xf numFmtId="0" fontId="11" fillId="0" borderId="0" xfId="0" applyFont="1" applyAlignment="1">
      <alignment horizontal="center"/>
    </xf>
    <xf numFmtId="0" fontId="36" fillId="0" borderId="32" xfId="60" applyFont="1" applyBorder="1" applyAlignment="1">
      <alignment horizontal="center" vertical="center"/>
      <protection/>
    </xf>
    <xf numFmtId="0" fontId="36" fillId="0" borderId="0" xfId="60" applyFont="1" applyBorder="1" applyAlignment="1">
      <alignment horizontal="center" vertical="center"/>
      <protection/>
    </xf>
    <xf numFmtId="0" fontId="36" fillId="0" borderId="33" xfId="60" applyFont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36" fillId="0" borderId="32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2" fillId="0" borderId="0" xfId="60" applyFont="1" applyFill="1" applyAlignment="1">
      <alignment horizontal="center" vertical="center"/>
      <protection/>
    </xf>
    <xf numFmtId="0" fontId="19" fillId="0" borderId="10" xfId="60" applyNumberFormat="1" applyFont="1" applyFill="1" applyBorder="1" applyAlignment="1" applyProtection="1">
      <alignment horizontal="center"/>
      <protection/>
    </xf>
    <xf numFmtId="180" fontId="19" fillId="0" borderId="10" xfId="42" applyNumberFormat="1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/>
    </xf>
    <xf numFmtId="0" fontId="55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0" fillId="0" borderId="12" xfId="61" applyFont="1" applyBorder="1" applyAlignment="1">
      <alignment horizontal="left" wrapText="1"/>
      <protection/>
    </xf>
    <xf numFmtId="0" fontId="0" fillId="0" borderId="16" xfId="61" applyFont="1" applyBorder="1" applyAlignment="1">
      <alignment horizontal="left" wrapText="1"/>
      <protection/>
    </xf>
    <xf numFmtId="0" fontId="19" fillId="0" borderId="51" xfId="61" applyFont="1" applyBorder="1" applyAlignment="1">
      <alignment horizontal="left" wrapText="1"/>
      <protection/>
    </xf>
    <xf numFmtId="0" fontId="0" fillId="0" borderId="12" xfId="61" applyFont="1" applyBorder="1" applyAlignment="1">
      <alignment horizontal="center" wrapText="1"/>
      <protection/>
    </xf>
    <xf numFmtId="0" fontId="0" fillId="0" borderId="16" xfId="61" applyFont="1" applyBorder="1" applyAlignment="1">
      <alignment horizontal="center" wrapText="1"/>
      <protection/>
    </xf>
    <xf numFmtId="0" fontId="19" fillId="0" borderId="12" xfId="61" applyFont="1" applyBorder="1" applyAlignment="1">
      <alignment horizontal="left" wrapText="1"/>
      <protection/>
    </xf>
    <xf numFmtId="0" fontId="19" fillId="0" borderId="16" xfId="61" applyFont="1" applyBorder="1" applyAlignment="1">
      <alignment horizontal="left" wrapText="1"/>
      <protection/>
    </xf>
    <xf numFmtId="0" fontId="37" fillId="0" borderId="16" xfId="61" applyFont="1" applyBorder="1" applyAlignment="1">
      <alignment horizontal="left" wrapText="1"/>
      <protection/>
    </xf>
    <xf numFmtId="0" fontId="37" fillId="0" borderId="10" xfId="61" applyFont="1" applyBorder="1" applyAlignment="1">
      <alignment horizontal="left" wrapText="1"/>
      <protection/>
    </xf>
    <xf numFmtId="0" fontId="19" fillId="0" borderId="10" xfId="61" applyFont="1" applyBorder="1" applyAlignment="1">
      <alignment horizontal="left" wrapText="1"/>
      <protection/>
    </xf>
    <xf numFmtId="2" fontId="19" fillId="0" borderId="11" xfId="61" applyNumberFormat="1" applyFont="1" applyBorder="1" applyAlignment="1">
      <alignment horizontal="center" wrapText="1"/>
      <protection/>
    </xf>
    <xf numFmtId="2" fontId="19" fillId="0" borderId="12" xfId="61" applyNumberFormat="1" applyFont="1" applyBorder="1" applyAlignment="1">
      <alignment horizontal="center" wrapText="1"/>
      <protection/>
    </xf>
    <xf numFmtId="2" fontId="19" fillId="0" borderId="16" xfId="61" applyNumberFormat="1" applyFont="1" applyBorder="1" applyAlignment="1">
      <alignment horizontal="center" wrapText="1"/>
      <protection/>
    </xf>
    <xf numFmtId="2" fontId="75" fillId="0" borderId="0" xfId="61" applyNumberFormat="1" applyFont="1" applyBorder="1" applyAlignment="1">
      <alignment horizontal="center" wrapText="1"/>
      <protection/>
    </xf>
    <xf numFmtId="2" fontId="75" fillId="0" borderId="33" xfId="61" applyNumberFormat="1" applyFont="1" applyBorder="1" applyAlignment="1">
      <alignment horizontal="center" wrapText="1"/>
      <protection/>
    </xf>
    <xf numFmtId="0" fontId="19" fillId="0" borderId="97" xfId="61" applyFont="1" applyBorder="1" applyAlignment="1">
      <alignment horizontal="left" wrapText="1"/>
      <protection/>
    </xf>
    <xf numFmtId="0" fontId="19" fillId="0" borderId="44" xfId="61" applyFont="1" applyBorder="1" applyAlignment="1">
      <alignment horizontal="left" wrapText="1"/>
      <protection/>
    </xf>
    <xf numFmtId="0" fontId="4" fillId="0" borderId="10" xfId="61" applyFont="1" applyBorder="1" applyAlignment="1">
      <alignment horizontal="left" wrapText="1"/>
      <protection/>
    </xf>
    <xf numFmtId="0" fontId="76" fillId="0" borderId="10" xfId="61" applyFont="1" applyBorder="1" applyAlignment="1">
      <alignment horizontal="left" wrapText="1"/>
      <protection/>
    </xf>
    <xf numFmtId="2" fontId="23" fillId="0" borderId="11" xfId="61" applyNumberFormat="1" applyFont="1" applyBorder="1" applyAlignment="1">
      <alignment horizontal="center" wrapText="1"/>
      <protection/>
    </xf>
    <xf numFmtId="2" fontId="23" fillId="0" borderId="12" xfId="61" applyNumberFormat="1" applyFont="1" applyBorder="1" applyAlignment="1">
      <alignment horizontal="center" wrapText="1"/>
      <protection/>
    </xf>
    <xf numFmtId="2" fontId="23" fillId="0" borderId="16" xfId="61" applyNumberFormat="1" applyFont="1" applyBorder="1" applyAlignment="1">
      <alignment horizontal="center" wrapText="1"/>
      <protection/>
    </xf>
    <xf numFmtId="0" fontId="48" fillId="0" borderId="20" xfId="61" applyFont="1" applyBorder="1" applyAlignment="1">
      <alignment horizontal="center" wrapText="1"/>
      <protection/>
    </xf>
    <xf numFmtId="0" fontId="48" fillId="0" borderId="30" xfId="61" applyFont="1" applyBorder="1" applyAlignment="1">
      <alignment horizontal="center" wrapText="1"/>
      <protection/>
    </xf>
    <xf numFmtId="0" fontId="48" fillId="0" borderId="31" xfId="61" applyFont="1" applyBorder="1" applyAlignment="1">
      <alignment horizontal="center" wrapText="1"/>
      <protection/>
    </xf>
    <xf numFmtId="0" fontId="76" fillId="0" borderId="97" xfId="61" applyFont="1" applyBorder="1" applyAlignment="1">
      <alignment horizontal="left" wrapText="1"/>
      <protection/>
    </xf>
    <xf numFmtId="0" fontId="76" fillId="0" borderId="44" xfId="61" applyFont="1" applyBorder="1" applyAlignment="1">
      <alignment horizontal="left" wrapText="1"/>
      <protection/>
    </xf>
    <xf numFmtId="0" fontId="4" fillId="0" borderId="10" xfId="63" applyFont="1" applyFill="1" applyBorder="1" applyAlignment="1">
      <alignment horizontal="left" wrapText="1"/>
      <protection/>
    </xf>
    <xf numFmtId="0" fontId="76" fillId="0" borderId="10" xfId="63" applyFont="1" applyFill="1" applyBorder="1" applyAlignment="1">
      <alignment horizontal="left" wrapText="1"/>
      <protection/>
    </xf>
    <xf numFmtId="0" fontId="4" fillId="0" borderId="10" xfId="61" applyFont="1" applyBorder="1" applyAlignment="1">
      <alignment horizontal="left"/>
      <protection/>
    </xf>
    <xf numFmtId="0" fontId="76" fillId="0" borderId="10" xfId="61" applyFont="1" applyBorder="1" applyAlignment="1">
      <alignment horizontal="left"/>
      <protection/>
    </xf>
    <xf numFmtId="0" fontId="77" fillId="0" borderId="10" xfId="63" applyFont="1" applyFill="1" applyBorder="1" applyAlignment="1">
      <alignment horizontal="left" wrapText="1"/>
      <protection/>
    </xf>
    <xf numFmtId="0" fontId="77" fillId="0" borderId="10" xfId="61" applyFont="1" applyBorder="1" applyAlignment="1">
      <alignment horizontal="left"/>
      <protection/>
    </xf>
    <xf numFmtId="0" fontId="77" fillId="0" borderId="51" xfId="61" applyFont="1" applyBorder="1" applyAlignment="1">
      <alignment horizontal="left"/>
      <protection/>
    </xf>
    <xf numFmtId="0" fontId="78" fillId="0" borderId="0" xfId="0" applyFont="1" applyAlignment="1">
      <alignment horizontal="center"/>
    </xf>
    <xf numFmtId="0" fontId="20" fillId="0" borderId="0" xfId="62" applyFont="1" applyAlignment="1">
      <alignment horizontal="center"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 2" xfId="44"/>
    <cellStyle name="Comma_21.Aktivet Afatgjata Materiale  09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" xfId="59"/>
    <cellStyle name="Normal 2" xfId="60"/>
    <cellStyle name="Normal_asn_2009 Propozimet" xfId="61"/>
    <cellStyle name="Normal_Sheet1" xfId="62"/>
    <cellStyle name="Normal_Sheet2" xfId="63"/>
    <cellStyle name="Normal_Sheet3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4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1" max="1" width="2.28125" style="251" customWidth="1"/>
    <col min="2" max="9" width="5.7109375" style="251" customWidth="1"/>
    <col min="10" max="10" width="5.28125" style="251" customWidth="1"/>
    <col min="11" max="11" width="3.57421875" style="251" customWidth="1"/>
    <col min="12" max="15" width="5.7109375" style="251" customWidth="1"/>
    <col min="16" max="16" width="3.140625" style="251" customWidth="1"/>
    <col min="17" max="18" width="5.7109375" style="251" customWidth="1"/>
    <col min="19" max="19" width="3.57421875" style="251" customWidth="1"/>
    <col min="20" max="20" width="5.7109375" style="251" customWidth="1"/>
    <col min="21" max="21" width="3.421875" style="251" customWidth="1"/>
    <col min="22" max="22" width="1.8515625" style="251" customWidth="1"/>
    <col min="23" max="16384" width="9.140625" style="251" customWidth="1"/>
  </cols>
  <sheetData>
    <row r="1" ht="6.75" customHeight="1"/>
    <row r="2" spans="1:22" ht="12.75">
      <c r="A2" s="255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44"/>
    </row>
    <row r="3" spans="1:23" s="248" customFormat="1" ht="13.5" customHeight="1">
      <c r="A3" s="247"/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67"/>
      <c r="N3" s="245"/>
      <c r="O3" s="249"/>
      <c r="P3" s="249"/>
      <c r="Q3" s="249"/>
      <c r="R3" s="249"/>
      <c r="S3" s="249"/>
      <c r="T3" s="249"/>
      <c r="U3" s="250"/>
      <c r="V3" s="249"/>
      <c r="W3" s="249"/>
    </row>
    <row r="4" spans="1:23" s="248" customFormat="1" ht="13.5" customHeight="1">
      <c r="A4" s="247"/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50"/>
      <c r="V4" s="249"/>
      <c r="W4" s="249"/>
    </row>
    <row r="5" spans="1:23" s="248" customFormat="1" ht="13.5" customHeight="1">
      <c r="A5" s="243"/>
      <c r="B5" s="244"/>
      <c r="C5" s="244"/>
      <c r="D5" s="244"/>
      <c r="E5" s="244"/>
      <c r="F5" s="244"/>
      <c r="G5" s="244"/>
      <c r="H5" s="244"/>
      <c r="I5" s="244"/>
      <c r="J5" s="244"/>
      <c r="K5" s="244"/>
      <c r="L5" s="244"/>
      <c r="M5" s="244"/>
      <c r="N5" s="244"/>
      <c r="O5" s="244"/>
      <c r="P5" s="244"/>
      <c r="Q5" s="244"/>
      <c r="R5" s="244"/>
      <c r="S5" s="244"/>
      <c r="T5" s="244"/>
      <c r="U5" s="246"/>
      <c r="V5" s="249"/>
      <c r="W5" s="249"/>
    </row>
    <row r="6" spans="1:23" s="248" customFormat="1" ht="13.5" customHeight="1">
      <c r="A6" s="243"/>
      <c r="B6" s="244"/>
      <c r="C6" s="244"/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6"/>
      <c r="V6" s="249"/>
      <c r="W6" s="249"/>
    </row>
    <row r="7" spans="1:23" ht="12.75">
      <c r="A7" s="243"/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244"/>
      <c r="S7" s="244"/>
      <c r="T7" s="244"/>
      <c r="U7" s="246"/>
      <c r="W7" s="244"/>
    </row>
    <row r="8" spans="1:21" ht="12.75">
      <c r="A8" s="243"/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S8" s="244"/>
      <c r="T8" s="244"/>
      <c r="U8" s="246"/>
    </row>
    <row r="9" spans="1:21" ht="12.75">
      <c r="A9" s="243"/>
      <c r="B9" s="244"/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6"/>
    </row>
    <row r="10" spans="1:21" ht="12.75">
      <c r="A10" s="243"/>
      <c r="B10" s="244"/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6"/>
    </row>
    <row r="11" spans="1:21" ht="47.25">
      <c r="A11" s="528" t="s">
        <v>517</v>
      </c>
      <c r="B11" s="529"/>
      <c r="C11" s="529"/>
      <c r="D11" s="529"/>
      <c r="E11" s="529"/>
      <c r="F11" s="529"/>
      <c r="G11" s="529"/>
      <c r="H11" s="529"/>
      <c r="I11" s="529"/>
      <c r="J11" s="529"/>
      <c r="K11" s="529"/>
      <c r="L11" s="529"/>
      <c r="M11" s="529"/>
      <c r="N11" s="529"/>
      <c r="O11" s="529"/>
      <c r="P11" s="529"/>
      <c r="Q11" s="529"/>
      <c r="R11" s="529"/>
      <c r="S11" s="529"/>
      <c r="T11" s="529"/>
      <c r="U11" s="530"/>
    </row>
    <row r="12" spans="1:21" ht="11.25" customHeight="1">
      <c r="A12" s="264"/>
      <c r="B12" s="265"/>
      <c r="C12" s="265"/>
      <c r="D12" s="265"/>
      <c r="E12" s="265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6"/>
    </row>
    <row r="13" spans="1:21" ht="24.75" customHeight="1">
      <c r="A13" s="264"/>
      <c r="B13" s="265"/>
      <c r="C13" s="265"/>
      <c r="D13" s="265"/>
      <c r="E13" s="265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6"/>
    </row>
    <row r="14" spans="1:21" ht="21.75" customHeight="1">
      <c r="A14" s="534" t="s">
        <v>516</v>
      </c>
      <c r="B14" s="535"/>
      <c r="C14" s="535"/>
      <c r="D14" s="535"/>
      <c r="E14" s="535"/>
      <c r="F14" s="535"/>
      <c r="G14" s="535"/>
      <c r="H14" s="535"/>
      <c r="I14" s="535"/>
      <c r="J14" s="535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6"/>
    </row>
    <row r="15" spans="1:21" ht="21.75" customHeight="1">
      <c r="A15" s="534" t="s">
        <v>158</v>
      </c>
      <c r="B15" s="535"/>
      <c r="C15" s="535"/>
      <c r="D15" s="535"/>
      <c r="E15" s="535"/>
      <c r="F15" s="535"/>
      <c r="G15" s="535"/>
      <c r="H15" s="535"/>
      <c r="I15" s="535"/>
      <c r="J15" s="535"/>
      <c r="K15" s="535"/>
      <c r="L15" s="535"/>
      <c r="M15" s="535"/>
      <c r="N15" s="535"/>
      <c r="O15" s="535"/>
      <c r="P15" s="535"/>
      <c r="Q15" s="535"/>
      <c r="R15" s="535"/>
      <c r="S15" s="535"/>
      <c r="T15" s="535"/>
      <c r="U15" s="536"/>
    </row>
    <row r="16" spans="1:21" ht="12.75">
      <c r="A16" s="243"/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6"/>
    </row>
    <row r="17" spans="1:21" ht="12.75">
      <c r="A17" s="243"/>
      <c r="B17" s="244"/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6"/>
    </row>
    <row r="18" spans="1:21" ht="33">
      <c r="A18" s="531"/>
      <c r="B18" s="532"/>
      <c r="C18" s="532"/>
      <c r="D18" s="532"/>
      <c r="E18" s="532"/>
      <c r="F18" s="532"/>
      <c r="G18" s="532"/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2"/>
      <c r="S18" s="532"/>
      <c r="T18" s="532"/>
      <c r="U18" s="533"/>
    </row>
    <row r="19" spans="1:21" ht="12.75">
      <c r="A19" s="243"/>
      <c r="B19" s="244"/>
      <c r="C19" s="244"/>
      <c r="D19" s="244"/>
      <c r="E19" s="244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6"/>
    </row>
    <row r="20" spans="1:21" ht="12.75">
      <c r="A20" s="243"/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6"/>
    </row>
    <row r="21" spans="1:21" ht="12.75">
      <c r="A21" s="243"/>
      <c r="B21" s="244"/>
      <c r="C21" s="244"/>
      <c r="D21" s="244"/>
      <c r="E21" s="244"/>
      <c r="F21" s="540" t="s">
        <v>576</v>
      </c>
      <c r="G21" s="540"/>
      <c r="H21" s="540"/>
      <c r="I21" s="540"/>
      <c r="J21" s="540"/>
      <c r="K21" s="540"/>
      <c r="L21" s="540"/>
      <c r="M21" s="244"/>
      <c r="N21" s="244"/>
      <c r="O21" s="244"/>
      <c r="P21" s="244"/>
      <c r="Q21" s="244"/>
      <c r="R21" s="244"/>
      <c r="S21" s="244"/>
      <c r="T21" s="244"/>
      <c r="U21" s="246"/>
    </row>
    <row r="22" spans="1:21" ht="12.75">
      <c r="A22" s="243"/>
      <c r="B22" s="244"/>
      <c r="C22" s="244"/>
      <c r="D22" s="244"/>
      <c r="E22" s="244"/>
      <c r="F22" s="540"/>
      <c r="G22" s="540"/>
      <c r="H22" s="540"/>
      <c r="I22" s="540"/>
      <c r="J22" s="540"/>
      <c r="K22" s="540"/>
      <c r="L22" s="540"/>
      <c r="M22" s="244"/>
      <c r="N22" s="244"/>
      <c r="O22" s="244"/>
      <c r="P22" s="244"/>
      <c r="Q22" s="244"/>
      <c r="R22" s="244"/>
      <c r="S22" s="244"/>
      <c r="T22" s="244"/>
      <c r="U22" s="246"/>
    </row>
    <row r="23" spans="1:21" ht="12.75">
      <c r="A23" s="243"/>
      <c r="B23" s="244"/>
      <c r="C23" s="244"/>
      <c r="D23" s="244"/>
      <c r="E23" s="244"/>
      <c r="F23" s="540"/>
      <c r="G23" s="540"/>
      <c r="H23" s="540"/>
      <c r="I23" s="540"/>
      <c r="J23" s="540"/>
      <c r="K23" s="540"/>
      <c r="L23" s="540"/>
      <c r="M23" s="244"/>
      <c r="N23" s="244"/>
      <c r="O23" s="244"/>
      <c r="P23" s="244"/>
      <c r="Q23" s="244"/>
      <c r="R23" s="244"/>
      <c r="S23" s="244"/>
      <c r="T23" s="244"/>
      <c r="U23" s="246"/>
    </row>
    <row r="24" spans="1:21" ht="12.75">
      <c r="A24" s="243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6"/>
    </row>
    <row r="25" spans="1:21" ht="30.75" customHeight="1">
      <c r="A25" s="243"/>
      <c r="B25" s="244"/>
      <c r="C25" s="244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6"/>
    </row>
    <row r="26" spans="1:21" ht="12.75">
      <c r="A26" s="243"/>
      <c r="B26" s="244"/>
      <c r="C26" s="244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4"/>
      <c r="O26" s="244"/>
      <c r="P26" s="244"/>
      <c r="Q26" s="244"/>
      <c r="R26" s="244"/>
      <c r="S26" s="244"/>
      <c r="T26" s="244"/>
      <c r="U26" s="246"/>
    </row>
    <row r="27" spans="1:21" ht="12.75">
      <c r="A27" s="243"/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4"/>
      <c r="U27" s="246"/>
    </row>
    <row r="28" spans="1:21" ht="12.75">
      <c r="A28" s="243"/>
      <c r="B28" s="244"/>
      <c r="C28" s="244"/>
      <c r="D28" s="244"/>
      <c r="E28" s="244"/>
      <c r="F28" s="244"/>
      <c r="G28" s="244"/>
      <c r="H28" s="244"/>
      <c r="I28" s="244"/>
      <c r="J28" s="244"/>
      <c r="K28" s="244"/>
      <c r="L28" s="244"/>
      <c r="M28" s="244"/>
      <c r="N28" s="244"/>
      <c r="O28" s="244"/>
      <c r="P28" s="244"/>
      <c r="Q28" s="244"/>
      <c r="R28" s="244"/>
      <c r="S28" s="244"/>
      <c r="T28" s="244"/>
      <c r="U28" s="246"/>
    </row>
    <row r="29" spans="1:21" ht="15" customHeight="1">
      <c r="A29" s="243"/>
      <c r="B29" s="537" t="s">
        <v>531</v>
      </c>
      <c r="C29" s="538"/>
      <c r="D29" s="538"/>
      <c r="E29" s="538"/>
      <c r="F29" s="538"/>
      <c r="G29" s="538"/>
      <c r="H29" s="538"/>
      <c r="I29" s="538"/>
      <c r="J29" s="539"/>
      <c r="K29" s="270"/>
      <c r="L29" s="537" t="s">
        <v>532</v>
      </c>
      <c r="M29" s="538"/>
      <c r="N29" s="538"/>
      <c r="O29" s="538"/>
      <c r="P29" s="538"/>
      <c r="Q29" s="538"/>
      <c r="R29" s="538"/>
      <c r="S29" s="538"/>
      <c r="T29" s="539"/>
      <c r="U29" s="246"/>
    </row>
    <row r="30" spans="1:21" ht="15" customHeight="1">
      <c r="A30" s="243"/>
      <c r="B30" s="271"/>
      <c r="C30" s="272"/>
      <c r="D30" s="272"/>
      <c r="E30" s="272"/>
      <c r="F30" s="272"/>
      <c r="G30" s="272"/>
      <c r="H30" s="272"/>
      <c r="I30" s="272"/>
      <c r="J30" s="273"/>
      <c r="K30" s="270"/>
      <c r="L30" s="271"/>
      <c r="M30" s="272"/>
      <c r="N30" s="272"/>
      <c r="O30" s="272"/>
      <c r="P30" s="272"/>
      <c r="Q30" s="272"/>
      <c r="R30" s="272"/>
      <c r="S30" s="272"/>
      <c r="T30" s="273"/>
      <c r="U30" s="246"/>
    </row>
    <row r="31" spans="1:21" ht="15" customHeight="1">
      <c r="A31" s="243"/>
      <c r="B31" s="274"/>
      <c r="C31" s="269"/>
      <c r="D31" s="269"/>
      <c r="E31" s="269"/>
      <c r="F31" s="269"/>
      <c r="G31" s="269"/>
      <c r="H31" s="269"/>
      <c r="I31" s="269"/>
      <c r="J31" s="275"/>
      <c r="K31" s="270"/>
      <c r="L31" s="274"/>
      <c r="M31" s="269"/>
      <c r="N31" s="269"/>
      <c r="O31" s="269"/>
      <c r="P31" s="263" t="s">
        <v>525</v>
      </c>
      <c r="Q31" s="253" t="s">
        <v>524</v>
      </c>
      <c r="R31" s="253"/>
      <c r="S31" s="269"/>
      <c r="T31" s="275"/>
      <c r="U31" s="246"/>
    </row>
    <row r="32" spans="1:21" ht="15" customHeight="1">
      <c r="A32" s="243"/>
      <c r="B32" s="268" t="s">
        <v>518</v>
      </c>
      <c r="C32" s="263"/>
      <c r="D32" s="263"/>
      <c r="E32" s="263"/>
      <c r="F32" s="258" t="s">
        <v>457</v>
      </c>
      <c r="G32" s="263"/>
      <c r="H32" s="263"/>
      <c r="I32" s="263"/>
      <c r="J32" s="276"/>
      <c r="K32" s="270"/>
      <c r="L32" s="268" t="s">
        <v>523</v>
      </c>
      <c r="M32" s="263"/>
      <c r="N32" s="263"/>
      <c r="O32" s="263"/>
      <c r="P32" s="263"/>
      <c r="Q32" s="263"/>
      <c r="R32" s="263"/>
      <c r="S32" s="263"/>
      <c r="T32" s="276"/>
      <c r="U32" s="246"/>
    </row>
    <row r="33" spans="1:21" ht="15" customHeight="1">
      <c r="A33" s="243"/>
      <c r="B33" s="268" t="s">
        <v>247</v>
      </c>
      <c r="C33" s="263"/>
      <c r="D33" s="263"/>
      <c r="E33" s="263"/>
      <c r="F33" s="258"/>
      <c r="G33" s="263"/>
      <c r="H33" s="263"/>
      <c r="I33" s="263"/>
      <c r="J33" s="276"/>
      <c r="K33" s="270"/>
      <c r="L33" s="268" t="s">
        <v>247</v>
      </c>
      <c r="M33" s="263"/>
      <c r="N33" s="263"/>
      <c r="O33" s="270"/>
      <c r="P33" s="263" t="s">
        <v>525</v>
      </c>
      <c r="Q33" s="258" t="s">
        <v>526</v>
      </c>
      <c r="R33" s="258"/>
      <c r="S33" s="258"/>
      <c r="T33" s="276"/>
      <c r="U33" s="246"/>
    </row>
    <row r="34" spans="1:21" ht="15" customHeight="1">
      <c r="A34" s="243"/>
      <c r="B34" s="268" t="s">
        <v>519</v>
      </c>
      <c r="C34" s="263"/>
      <c r="D34" s="263"/>
      <c r="E34" s="263"/>
      <c r="F34" s="258" t="s">
        <v>458</v>
      </c>
      <c r="G34" s="263"/>
      <c r="H34" s="263"/>
      <c r="I34" s="263"/>
      <c r="J34" s="276"/>
      <c r="K34" s="270"/>
      <c r="L34" s="268"/>
      <c r="M34" s="263"/>
      <c r="N34" s="263"/>
      <c r="O34" s="263"/>
      <c r="P34" s="263"/>
      <c r="Q34" s="258"/>
      <c r="R34" s="258"/>
      <c r="S34" s="258"/>
      <c r="T34" s="276"/>
      <c r="U34" s="246"/>
    </row>
    <row r="35" spans="1:21" ht="15" customHeight="1">
      <c r="A35" s="247"/>
      <c r="B35" s="268"/>
      <c r="C35" s="263"/>
      <c r="D35" s="263"/>
      <c r="E35" s="263"/>
      <c r="F35" s="258"/>
      <c r="G35" s="263"/>
      <c r="H35" s="263"/>
      <c r="I35" s="263"/>
      <c r="J35" s="276"/>
      <c r="K35" s="277"/>
      <c r="L35" s="268"/>
      <c r="M35" s="263"/>
      <c r="N35" s="263"/>
      <c r="O35" s="263"/>
      <c r="P35" s="263"/>
      <c r="Q35" s="258"/>
      <c r="R35" s="258"/>
      <c r="S35" s="258"/>
      <c r="T35" s="276"/>
      <c r="U35" s="250"/>
    </row>
    <row r="36" spans="1:21" ht="15" customHeight="1">
      <c r="A36" s="247"/>
      <c r="B36" s="268" t="s">
        <v>520</v>
      </c>
      <c r="C36" s="263"/>
      <c r="D36" s="263"/>
      <c r="E36" s="263"/>
      <c r="F36" s="258" t="s">
        <v>538</v>
      </c>
      <c r="G36" s="263"/>
      <c r="H36" s="263"/>
      <c r="I36" s="263"/>
      <c r="J36" s="276"/>
      <c r="K36" s="277"/>
      <c r="L36" s="268" t="s">
        <v>527</v>
      </c>
      <c r="M36" s="263"/>
      <c r="N36" s="263"/>
      <c r="O36" s="263"/>
      <c r="P36" s="263"/>
      <c r="Q36" s="258" t="s">
        <v>530</v>
      </c>
      <c r="R36" s="258"/>
      <c r="S36" s="258"/>
      <c r="T36" s="276"/>
      <c r="U36" s="250"/>
    </row>
    <row r="37" spans="1:21" ht="15" customHeight="1">
      <c r="A37" s="247"/>
      <c r="B37" s="268"/>
      <c r="C37" s="263"/>
      <c r="D37" s="263"/>
      <c r="E37" s="263"/>
      <c r="F37" s="258" t="s">
        <v>539</v>
      </c>
      <c r="G37" s="263"/>
      <c r="H37" s="263"/>
      <c r="I37" s="263"/>
      <c r="J37" s="276"/>
      <c r="K37" s="277"/>
      <c r="L37" s="268"/>
      <c r="M37" s="263"/>
      <c r="N37" s="263"/>
      <c r="O37" s="263"/>
      <c r="P37" s="263"/>
      <c r="Q37" s="258"/>
      <c r="R37" s="258"/>
      <c r="S37" s="258"/>
      <c r="T37" s="276"/>
      <c r="U37" s="250"/>
    </row>
    <row r="38" spans="1:21" ht="15" customHeight="1">
      <c r="A38" s="247"/>
      <c r="B38" s="268"/>
      <c r="C38" s="263"/>
      <c r="D38" s="263"/>
      <c r="E38" s="263"/>
      <c r="F38" s="263"/>
      <c r="G38" s="263"/>
      <c r="H38" s="263"/>
      <c r="I38" s="263"/>
      <c r="J38" s="276"/>
      <c r="K38" s="277"/>
      <c r="L38" s="268"/>
      <c r="M38" s="263"/>
      <c r="N38" s="263"/>
      <c r="O38" s="263"/>
      <c r="P38" s="263"/>
      <c r="Q38" s="258"/>
      <c r="R38" s="258"/>
      <c r="S38" s="258"/>
      <c r="T38" s="276"/>
      <c r="U38" s="250"/>
    </row>
    <row r="39" spans="1:21" ht="15" customHeight="1">
      <c r="A39" s="247"/>
      <c r="B39" s="268" t="s">
        <v>521</v>
      </c>
      <c r="C39" s="263"/>
      <c r="D39" s="263"/>
      <c r="E39" s="263"/>
      <c r="F39" s="258" t="s">
        <v>542</v>
      </c>
      <c r="G39" s="263"/>
      <c r="H39" s="263"/>
      <c r="I39" s="263"/>
      <c r="J39" s="276"/>
      <c r="K39" s="277"/>
      <c r="L39" s="268" t="s">
        <v>528</v>
      </c>
      <c r="M39" s="263"/>
      <c r="N39" s="263"/>
      <c r="O39" s="263"/>
      <c r="P39" s="263"/>
      <c r="Q39" s="258" t="s">
        <v>530</v>
      </c>
      <c r="R39" s="258"/>
      <c r="S39" s="258"/>
      <c r="T39" s="276"/>
      <c r="U39" s="250"/>
    </row>
    <row r="40" spans="1:21" ht="15" customHeight="1">
      <c r="A40" s="243"/>
      <c r="B40" s="268"/>
      <c r="C40" s="263"/>
      <c r="D40" s="263"/>
      <c r="E40" s="263"/>
      <c r="F40" s="263"/>
      <c r="G40" s="263"/>
      <c r="H40" s="263"/>
      <c r="I40" s="263"/>
      <c r="J40" s="276"/>
      <c r="K40" s="270"/>
      <c r="L40" s="268"/>
      <c r="M40" s="263"/>
      <c r="N40" s="263"/>
      <c r="O40" s="263"/>
      <c r="P40" s="263"/>
      <c r="Q40" s="258"/>
      <c r="R40" s="258"/>
      <c r="S40" s="258"/>
      <c r="T40" s="276"/>
      <c r="U40" s="246"/>
    </row>
    <row r="41" spans="1:21" ht="15" customHeight="1">
      <c r="A41" s="252"/>
      <c r="B41" s="268" t="s">
        <v>522</v>
      </c>
      <c r="C41" s="263"/>
      <c r="D41" s="263"/>
      <c r="E41" s="263"/>
      <c r="F41" s="258" t="s">
        <v>157</v>
      </c>
      <c r="G41" s="263"/>
      <c r="H41" s="263"/>
      <c r="I41" s="263"/>
      <c r="J41" s="276"/>
      <c r="K41" s="278"/>
      <c r="L41" s="268" t="s">
        <v>533</v>
      </c>
      <c r="M41" s="263"/>
      <c r="N41" s="263"/>
      <c r="O41" s="263"/>
      <c r="P41" s="263"/>
      <c r="Q41" s="258"/>
      <c r="R41" s="258"/>
      <c r="S41" s="258"/>
      <c r="T41" s="276"/>
      <c r="U41" s="254"/>
    </row>
    <row r="42" spans="1:21" ht="15" customHeight="1">
      <c r="A42" s="252"/>
      <c r="B42" s="268"/>
      <c r="C42" s="263"/>
      <c r="D42" s="263"/>
      <c r="E42" s="263"/>
      <c r="F42" s="263"/>
      <c r="G42" s="263"/>
      <c r="H42" s="263"/>
      <c r="I42" s="263"/>
      <c r="J42" s="276"/>
      <c r="K42" s="278"/>
      <c r="L42" s="268"/>
      <c r="M42" s="262" t="s">
        <v>529</v>
      </c>
      <c r="N42" s="262" t="s">
        <v>577</v>
      </c>
      <c r="O42" s="262"/>
      <c r="P42" s="262"/>
      <c r="Q42" s="262" t="s">
        <v>578</v>
      </c>
      <c r="R42" s="262"/>
      <c r="S42" s="262"/>
      <c r="T42" s="276"/>
      <c r="U42" s="254"/>
    </row>
    <row r="43" spans="1:21" ht="15" customHeight="1">
      <c r="A43" s="252"/>
      <c r="B43" s="268" t="s">
        <v>534</v>
      </c>
      <c r="C43" s="263"/>
      <c r="D43" s="263"/>
      <c r="E43" s="263"/>
      <c r="F43" s="283" t="s">
        <v>536</v>
      </c>
      <c r="G43" s="263"/>
      <c r="H43" s="263"/>
      <c r="I43" s="263"/>
      <c r="J43" s="276"/>
      <c r="K43" s="278"/>
      <c r="L43" s="268"/>
      <c r="M43" s="263"/>
      <c r="N43" s="263"/>
      <c r="O43" s="263"/>
      <c r="P43" s="263"/>
      <c r="Q43" s="258"/>
      <c r="R43" s="258"/>
      <c r="S43" s="258"/>
      <c r="T43" s="276"/>
      <c r="U43" s="254"/>
    </row>
    <row r="44" spans="1:21" s="248" customFormat="1" ht="15" customHeight="1">
      <c r="A44" s="252"/>
      <c r="B44" s="282" t="s">
        <v>537</v>
      </c>
      <c r="C44" s="258"/>
      <c r="D44" s="258"/>
      <c r="E44" s="258"/>
      <c r="F44" s="258"/>
      <c r="G44" s="263"/>
      <c r="H44" s="263"/>
      <c r="I44" s="263"/>
      <c r="J44" s="279"/>
      <c r="K44" s="277"/>
      <c r="L44" s="268" t="s">
        <v>535</v>
      </c>
      <c r="M44" s="263"/>
      <c r="N44" s="263"/>
      <c r="O44" s="263"/>
      <c r="P44" s="263"/>
      <c r="Q44" s="258" t="s">
        <v>579</v>
      </c>
      <c r="R44" s="258"/>
      <c r="S44" s="258"/>
      <c r="T44" s="279"/>
      <c r="U44" s="254"/>
    </row>
    <row r="45" spans="1:21" s="248" customFormat="1" ht="15" customHeight="1">
      <c r="A45" s="252"/>
      <c r="B45" s="281" t="s">
        <v>141</v>
      </c>
      <c r="C45" s="258"/>
      <c r="D45" s="258"/>
      <c r="E45" s="258"/>
      <c r="F45" s="258"/>
      <c r="G45" s="263"/>
      <c r="H45" s="263"/>
      <c r="I45" s="263"/>
      <c r="J45" s="279"/>
      <c r="K45" s="277"/>
      <c r="L45" s="268"/>
      <c r="M45" s="263"/>
      <c r="N45" s="263"/>
      <c r="O45" s="263"/>
      <c r="P45" s="263"/>
      <c r="Q45" s="263"/>
      <c r="R45" s="263"/>
      <c r="S45" s="263"/>
      <c r="T45" s="279"/>
      <c r="U45" s="254"/>
    </row>
    <row r="46" spans="1:21" s="248" customFormat="1" ht="15" customHeight="1">
      <c r="A46" s="252"/>
      <c r="B46" s="259"/>
      <c r="C46" s="260"/>
      <c r="D46" s="260"/>
      <c r="E46" s="260"/>
      <c r="F46" s="260"/>
      <c r="G46" s="260"/>
      <c r="H46" s="260"/>
      <c r="I46" s="260"/>
      <c r="J46" s="261"/>
      <c r="K46" s="249"/>
      <c r="L46" s="259"/>
      <c r="M46" s="260"/>
      <c r="N46" s="260"/>
      <c r="O46" s="260"/>
      <c r="P46" s="260"/>
      <c r="Q46" s="260"/>
      <c r="R46" s="260"/>
      <c r="S46" s="260"/>
      <c r="T46" s="261"/>
      <c r="U46" s="254"/>
    </row>
    <row r="47" spans="1:21" s="248" customFormat="1" ht="12.75" customHeight="1">
      <c r="A47" s="255"/>
      <c r="B47" s="256"/>
      <c r="C47" s="256"/>
      <c r="D47" s="256"/>
      <c r="E47" s="256"/>
      <c r="F47" s="256"/>
      <c r="G47" s="256"/>
      <c r="H47" s="256"/>
      <c r="I47" s="256"/>
      <c r="J47" s="256"/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7"/>
    </row>
    <row r="48" ht="12.75" customHeight="1"/>
    <row r="49" spans="1:21" s="280" customFormat="1" ht="12.75" customHeight="1">
      <c r="A49" s="251"/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251"/>
      <c r="T49" s="251"/>
      <c r="U49" s="251"/>
    </row>
    <row r="50" spans="1:21" s="280" customFormat="1" ht="12.75" customHeight="1">
      <c r="A50" s="251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</row>
    <row r="51" spans="1:21" s="280" customFormat="1" ht="12.75" customHeight="1">
      <c r="A51" s="251"/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251"/>
      <c r="T51" s="251"/>
      <c r="U51" s="251"/>
    </row>
    <row r="52" spans="1:21" s="280" customFormat="1" ht="12.75" customHeight="1">
      <c r="A52" s="251"/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</row>
    <row r="53" spans="1:21" s="280" customFormat="1" ht="12.75" customHeight="1">
      <c r="A53" s="251"/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</row>
    <row r="54" spans="1:21" s="280" customFormat="1" ht="12.75" customHeight="1">
      <c r="A54" s="251"/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</row>
    <row r="55" ht="12.75" customHeight="1"/>
  </sheetData>
  <sheetProtection/>
  <mergeCells count="7">
    <mergeCell ref="A11:U11"/>
    <mergeCell ref="A18:U18"/>
    <mergeCell ref="A15:U15"/>
    <mergeCell ref="L29:T29"/>
    <mergeCell ref="B29:J29"/>
    <mergeCell ref="A14:U14"/>
    <mergeCell ref="F21:L23"/>
  </mergeCells>
  <printOptions horizontalCentered="1" verticalCentered="1"/>
  <pageMargins left="0.17" right="0" top="0.23" bottom="0.3937007874015748" header="0.28" footer="0.5118110236220472"/>
  <pageSetup horizontalDpi="600" verticalDpi="600" orientation="portrait" paperSize="12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3" max="3" width="11.28125" style="0" customWidth="1"/>
    <col min="4" max="4" width="14.7109375" style="0" customWidth="1"/>
    <col min="5" max="5" width="12.7109375" style="0" customWidth="1"/>
    <col min="6" max="6" width="12.421875" style="0" customWidth="1"/>
    <col min="7" max="7" width="10.8515625" style="0" customWidth="1"/>
    <col min="8" max="8" width="9.421875" style="0" customWidth="1"/>
    <col min="9" max="9" width="13.28125" style="0" customWidth="1"/>
    <col min="10" max="10" width="12.8515625" style="0" customWidth="1"/>
    <col min="11" max="11" width="4.7109375" style="0" customWidth="1"/>
    <col min="16" max="16" width="53.421875" style="0" customWidth="1"/>
  </cols>
  <sheetData>
    <row r="1" spans="1:10" ht="12.75">
      <c r="A1" s="99"/>
      <c r="B1" s="365" t="s">
        <v>133</v>
      </c>
      <c r="C1" s="386"/>
      <c r="D1" s="386"/>
      <c r="E1" s="99"/>
      <c r="F1" s="99"/>
      <c r="G1" s="99"/>
      <c r="H1" s="99"/>
      <c r="I1" s="99"/>
      <c r="J1" s="99"/>
    </row>
    <row r="2" spans="1:10" ht="12.75">
      <c r="A2" s="99"/>
      <c r="B2" s="365" t="s">
        <v>134</v>
      </c>
      <c r="C2" s="386"/>
      <c r="D2" s="386"/>
      <c r="E2" s="99"/>
      <c r="F2" s="99"/>
      <c r="G2" s="99"/>
      <c r="H2" s="99"/>
      <c r="I2" s="99"/>
      <c r="J2" s="99"/>
    </row>
    <row r="3" spans="1:10" ht="12.75">
      <c r="A3" s="99"/>
      <c r="B3" s="387"/>
      <c r="C3" s="99"/>
      <c r="D3" s="99"/>
      <c r="E3" s="99"/>
      <c r="F3" s="336"/>
      <c r="G3" s="99"/>
      <c r="H3" s="99"/>
      <c r="I3" s="387" t="s">
        <v>555</v>
      </c>
      <c r="J3" s="99"/>
    </row>
    <row r="4" spans="1:10" ht="12.75">
      <c r="A4" s="99"/>
      <c r="B4" s="387"/>
      <c r="C4" s="99"/>
      <c r="D4" s="99"/>
      <c r="E4" s="99"/>
      <c r="F4" s="99"/>
      <c r="G4" s="99"/>
      <c r="H4" s="99"/>
      <c r="I4" s="99"/>
      <c r="J4" s="99"/>
    </row>
    <row r="5" spans="1:16" ht="12.75">
      <c r="A5" s="97"/>
      <c r="B5" s="97"/>
      <c r="C5" s="97"/>
      <c r="D5" s="97"/>
      <c r="E5" s="97"/>
      <c r="F5" s="97"/>
      <c r="G5" s="97"/>
      <c r="H5" s="97"/>
      <c r="I5" s="388"/>
      <c r="J5" s="389" t="s">
        <v>556</v>
      </c>
      <c r="K5" s="32"/>
      <c r="L5" s="32"/>
      <c r="M5" s="32"/>
      <c r="N5" s="32"/>
      <c r="O5" s="32"/>
      <c r="P5" s="32"/>
    </row>
    <row r="6" spans="1:16" ht="15.75" customHeight="1">
      <c r="A6" s="610" t="s">
        <v>557</v>
      </c>
      <c r="B6" s="611"/>
      <c r="C6" s="611"/>
      <c r="D6" s="611"/>
      <c r="E6" s="611"/>
      <c r="F6" s="611"/>
      <c r="G6" s="611"/>
      <c r="H6" s="611"/>
      <c r="I6" s="611"/>
      <c r="J6" s="612"/>
      <c r="K6" s="390"/>
      <c r="L6" s="390"/>
      <c r="M6" s="390"/>
      <c r="N6" s="390"/>
      <c r="O6" s="390"/>
      <c r="P6" s="390"/>
    </row>
    <row r="7" spans="1:10" ht="26.25" customHeight="1" thickBot="1">
      <c r="A7" s="391"/>
      <c r="B7" s="613" t="s">
        <v>558</v>
      </c>
      <c r="C7" s="613"/>
      <c r="D7" s="613"/>
      <c r="E7" s="613"/>
      <c r="F7" s="614"/>
      <c r="G7" s="392" t="s">
        <v>559</v>
      </c>
      <c r="H7" s="392" t="s">
        <v>560</v>
      </c>
      <c r="I7" s="393" t="s">
        <v>10</v>
      </c>
      <c r="J7" s="393" t="s">
        <v>561</v>
      </c>
    </row>
    <row r="8" spans="1:10" ht="16.5" customHeight="1">
      <c r="A8" s="394">
        <v>1</v>
      </c>
      <c r="B8" s="615" t="s">
        <v>562</v>
      </c>
      <c r="C8" s="616"/>
      <c r="D8" s="616"/>
      <c r="E8" s="616"/>
      <c r="F8" s="616"/>
      <c r="G8" s="395">
        <v>70</v>
      </c>
      <c r="H8" s="395">
        <v>11100</v>
      </c>
      <c r="I8" s="396">
        <f>SUM(I9:I11)</f>
        <v>7011.27932</v>
      </c>
      <c r="J8" s="397">
        <v>10610.92932</v>
      </c>
    </row>
    <row r="9" spans="1:10" ht="16.5" customHeight="1">
      <c r="A9" s="398" t="s">
        <v>563</v>
      </c>
      <c r="B9" s="600" t="s">
        <v>564</v>
      </c>
      <c r="C9" s="600"/>
      <c r="D9" s="600"/>
      <c r="E9" s="600"/>
      <c r="F9" s="601"/>
      <c r="G9" s="399" t="s">
        <v>565</v>
      </c>
      <c r="H9" s="399">
        <v>11101</v>
      </c>
      <c r="I9" s="400">
        <f>4006535.32/1000</f>
        <v>4006.53532</v>
      </c>
      <c r="J9" s="401">
        <v>2479.56631</v>
      </c>
    </row>
    <row r="10" spans="1:10" ht="16.5" customHeight="1">
      <c r="A10" s="402" t="s">
        <v>566</v>
      </c>
      <c r="B10" s="600" t="s">
        <v>567</v>
      </c>
      <c r="C10" s="600"/>
      <c r="D10" s="600"/>
      <c r="E10" s="600"/>
      <c r="F10" s="601"/>
      <c r="G10" s="399">
        <v>704</v>
      </c>
      <c r="H10" s="399">
        <v>11102</v>
      </c>
      <c r="I10" s="400">
        <f>8393.34/1000</f>
        <v>8.39334</v>
      </c>
      <c r="J10" s="401">
        <v>204.55001000000001</v>
      </c>
    </row>
    <row r="11" spans="1:10" ht="16.5" customHeight="1">
      <c r="A11" s="402" t="s">
        <v>568</v>
      </c>
      <c r="B11" s="600" t="s">
        <v>26</v>
      </c>
      <c r="C11" s="600"/>
      <c r="D11" s="600"/>
      <c r="E11" s="600"/>
      <c r="F11" s="601"/>
      <c r="G11" s="403">
        <v>705</v>
      </c>
      <c r="H11" s="399">
        <v>11103</v>
      </c>
      <c r="I11" s="400">
        <f>2996350.66/1000</f>
        <v>2996.35066</v>
      </c>
      <c r="J11" s="401">
        <v>7926.813</v>
      </c>
    </row>
    <row r="12" spans="1:10" ht="16.5" customHeight="1">
      <c r="A12" s="404">
        <v>2</v>
      </c>
      <c r="B12" s="605" t="s">
        <v>27</v>
      </c>
      <c r="C12" s="605"/>
      <c r="D12" s="605"/>
      <c r="E12" s="605"/>
      <c r="F12" s="606"/>
      <c r="G12" s="405">
        <v>708</v>
      </c>
      <c r="H12" s="406">
        <v>11104</v>
      </c>
      <c r="I12" s="400"/>
      <c r="J12" s="401"/>
    </row>
    <row r="13" spans="1:10" ht="16.5" customHeight="1">
      <c r="A13" s="407" t="s">
        <v>563</v>
      </c>
      <c r="B13" s="600" t="s">
        <v>28</v>
      </c>
      <c r="C13" s="600"/>
      <c r="D13" s="600"/>
      <c r="E13" s="600"/>
      <c r="F13" s="601"/>
      <c r="G13" s="399">
        <v>7081</v>
      </c>
      <c r="H13" s="408">
        <v>111041</v>
      </c>
      <c r="I13" s="400"/>
      <c r="J13" s="401"/>
    </row>
    <row r="14" spans="1:10" ht="16.5" customHeight="1">
      <c r="A14" s="407" t="s">
        <v>29</v>
      </c>
      <c r="B14" s="600" t="s">
        <v>30</v>
      </c>
      <c r="C14" s="600"/>
      <c r="D14" s="600"/>
      <c r="E14" s="600"/>
      <c r="F14" s="601"/>
      <c r="G14" s="399">
        <v>7082</v>
      </c>
      <c r="H14" s="408">
        <v>111042</v>
      </c>
      <c r="I14" s="400"/>
      <c r="J14" s="401"/>
    </row>
    <row r="15" spans="1:10" ht="16.5" customHeight="1">
      <c r="A15" s="407" t="s">
        <v>31</v>
      </c>
      <c r="B15" s="600" t="s">
        <v>32</v>
      </c>
      <c r="C15" s="600"/>
      <c r="D15" s="600"/>
      <c r="E15" s="600"/>
      <c r="F15" s="601"/>
      <c r="G15" s="399">
        <v>7083</v>
      </c>
      <c r="H15" s="408">
        <v>111043</v>
      </c>
      <c r="I15" s="400"/>
      <c r="J15" s="401"/>
    </row>
    <row r="16" spans="1:10" ht="29.25" customHeight="1">
      <c r="A16" s="409">
        <v>3</v>
      </c>
      <c r="B16" s="605" t="s">
        <v>33</v>
      </c>
      <c r="C16" s="605"/>
      <c r="D16" s="605"/>
      <c r="E16" s="605"/>
      <c r="F16" s="606"/>
      <c r="G16" s="405">
        <v>71</v>
      </c>
      <c r="H16" s="406">
        <v>11201</v>
      </c>
      <c r="I16" s="400"/>
      <c r="J16" s="401"/>
    </row>
    <row r="17" spans="1:10" ht="16.5" customHeight="1">
      <c r="A17" s="410"/>
      <c r="B17" s="603" t="s">
        <v>34</v>
      </c>
      <c r="C17" s="603"/>
      <c r="D17" s="603"/>
      <c r="E17" s="603"/>
      <c r="F17" s="604"/>
      <c r="G17" s="411"/>
      <c r="H17" s="399">
        <v>112011</v>
      </c>
      <c r="I17" s="400"/>
      <c r="J17" s="401"/>
    </row>
    <row r="18" spans="1:10" ht="16.5" customHeight="1">
      <c r="A18" s="410"/>
      <c r="B18" s="603" t="s">
        <v>35</v>
      </c>
      <c r="C18" s="603"/>
      <c r="D18" s="603"/>
      <c r="E18" s="603"/>
      <c r="F18" s="604"/>
      <c r="G18" s="411"/>
      <c r="H18" s="399">
        <v>112012</v>
      </c>
      <c r="I18" s="400"/>
      <c r="J18" s="401"/>
    </row>
    <row r="19" spans="1:10" ht="16.5" customHeight="1">
      <c r="A19" s="412">
        <v>4</v>
      </c>
      <c r="B19" s="605" t="s">
        <v>36</v>
      </c>
      <c r="C19" s="605"/>
      <c r="D19" s="605"/>
      <c r="E19" s="605"/>
      <c r="F19" s="606"/>
      <c r="G19" s="413">
        <v>72</v>
      </c>
      <c r="H19" s="414">
        <v>11300</v>
      </c>
      <c r="I19" s="400"/>
      <c r="J19" s="401"/>
    </row>
    <row r="20" spans="1:10" ht="16.5" customHeight="1">
      <c r="A20" s="402"/>
      <c r="B20" s="607" t="s">
        <v>37</v>
      </c>
      <c r="C20" s="608"/>
      <c r="D20" s="608"/>
      <c r="E20" s="608"/>
      <c r="F20" s="608"/>
      <c r="G20" s="372"/>
      <c r="H20" s="415">
        <v>11301</v>
      </c>
      <c r="I20" s="400"/>
      <c r="J20" s="401"/>
    </row>
    <row r="21" spans="1:10" ht="16.5" customHeight="1">
      <c r="A21" s="416">
        <v>5</v>
      </c>
      <c r="B21" s="606" t="s">
        <v>38</v>
      </c>
      <c r="C21" s="609"/>
      <c r="D21" s="609"/>
      <c r="E21" s="609"/>
      <c r="F21" s="609"/>
      <c r="G21" s="417">
        <v>73</v>
      </c>
      <c r="H21" s="417">
        <v>11400</v>
      </c>
      <c r="I21" s="400"/>
      <c r="J21" s="401"/>
    </row>
    <row r="22" spans="1:10" ht="16.5" customHeight="1">
      <c r="A22" s="418">
        <v>6</v>
      </c>
      <c r="B22" s="606" t="s">
        <v>39</v>
      </c>
      <c r="C22" s="609"/>
      <c r="D22" s="609"/>
      <c r="E22" s="609"/>
      <c r="F22" s="609"/>
      <c r="G22" s="417">
        <v>75</v>
      </c>
      <c r="H22" s="419">
        <v>11500</v>
      </c>
      <c r="I22" s="400">
        <f>2156.96/1000</f>
        <v>2.15696</v>
      </c>
      <c r="J22" s="401">
        <v>5.41667</v>
      </c>
    </row>
    <row r="23" spans="1:10" ht="16.5" customHeight="1">
      <c r="A23" s="416">
        <v>7</v>
      </c>
      <c r="B23" s="605" t="s">
        <v>40</v>
      </c>
      <c r="C23" s="605"/>
      <c r="D23" s="605"/>
      <c r="E23" s="605"/>
      <c r="F23" s="606"/>
      <c r="G23" s="405">
        <v>77</v>
      </c>
      <c r="H23" s="405">
        <v>11600</v>
      </c>
      <c r="I23" s="400">
        <f>7584172.02/1000</f>
        <v>7584.17202</v>
      </c>
      <c r="J23" s="401">
        <v>1250</v>
      </c>
    </row>
    <row r="24" spans="1:10" ht="16.5" customHeight="1" thickBot="1">
      <c r="A24" s="420" t="s">
        <v>41</v>
      </c>
      <c r="B24" s="602" t="s">
        <v>42</v>
      </c>
      <c r="C24" s="602"/>
      <c r="D24" s="602"/>
      <c r="E24" s="602"/>
      <c r="F24" s="602"/>
      <c r="G24" s="421"/>
      <c r="H24" s="421">
        <v>11800</v>
      </c>
      <c r="I24" s="422">
        <f>I8+I12+I16+I19+I21+I22+I23</f>
        <v>14597.6083</v>
      </c>
      <c r="J24" s="423">
        <v>11866.34599</v>
      </c>
    </row>
    <row r="25" spans="1:10" ht="16.5" customHeight="1">
      <c r="A25" s="424"/>
      <c r="B25" s="425"/>
      <c r="C25" s="425"/>
      <c r="D25" s="425"/>
      <c r="E25" s="425"/>
      <c r="F25" s="425"/>
      <c r="G25" s="425"/>
      <c r="H25" s="425"/>
      <c r="I25" s="426"/>
      <c r="J25" s="426"/>
    </row>
    <row r="26" spans="1:10" ht="16.5" customHeight="1">
      <c r="A26" s="424"/>
      <c r="B26" s="425"/>
      <c r="C26" s="425"/>
      <c r="D26" s="425"/>
      <c r="E26" s="425"/>
      <c r="F26" s="425"/>
      <c r="G26" s="425"/>
      <c r="H26" s="425"/>
      <c r="I26" s="426"/>
      <c r="J26" s="426"/>
    </row>
    <row r="27" spans="1:10" ht="16.5" customHeight="1">
      <c r="A27" s="424"/>
      <c r="B27" s="425"/>
      <c r="C27" s="425"/>
      <c r="D27" s="425"/>
      <c r="E27" s="425"/>
      <c r="F27" s="425"/>
      <c r="G27" s="425"/>
      <c r="H27" s="425"/>
      <c r="I27" s="426"/>
      <c r="J27" s="426"/>
    </row>
    <row r="28" spans="1:10" ht="16.5" customHeight="1">
      <c r="A28" s="424"/>
      <c r="B28" s="425"/>
      <c r="C28" s="425"/>
      <c r="D28" s="425"/>
      <c r="E28" s="425"/>
      <c r="F28" s="425"/>
      <c r="G28" s="425"/>
      <c r="H28" s="425"/>
      <c r="I28" s="426" t="s">
        <v>554</v>
      </c>
      <c r="J28" s="426"/>
    </row>
    <row r="29" spans="1:10" ht="16.5" customHeight="1">
      <c r="A29" s="424"/>
      <c r="B29" s="425"/>
      <c r="C29" s="425"/>
      <c r="D29" s="425"/>
      <c r="E29" s="425"/>
      <c r="F29" s="425"/>
      <c r="G29" s="425"/>
      <c r="H29" s="425"/>
      <c r="I29" s="426" t="s">
        <v>140</v>
      </c>
      <c r="J29" s="426"/>
    </row>
    <row r="30" spans="1:10" ht="16.5" customHeight="1">
      <c r="A30" s="424"/>
      <c r="B30" s="425"/>
      <c r="C30" s="425"/>
      <c r="D30" s="425"/>
      <c r="E30" s="425"/>
      <c r="F30" s="425"/>
      <c r="G30" s="425"/>
      <c r="H30" s="425"/>
      <c r="I30" s="426"/>
      <c r="J30" s="426"/>
    </row>
    <row r="31" spans="1:10" ht="16.5" customHeight="1">
      <c r="A31" s="424"/>
      <c r="B31" s="425"/>
      <c r="C31" s="425"/>
      <c r="D31" s="425"/>
      <c r="E31" s="425"/>
      <c r="F31" s="425"/>
      <c r="G31" s="425"/>
      <c r="H31" s="425"/>
      <c r="I31" s="426"/>
      <c r="J31" s="426"/>
    </row>
    <row r="32" spans="1:10" ht="16.5" customHeight="1">
      <c r="A32" s="424"/>
      <c r="B32" s="425"/>
      <c r="C32" s="425"/>
      <c r="D32" s="425"/>
      <c r="E32" s="425"/>
      <c r="F32" s="425"/>
      <c r="G32" s="425"/>
      <c r="H32" s="425"/>
      <c r="I32" s="426"/>
      <c r="J32" s="426"/>
    </row>
    <row r="33" spans="1:10" ht="16.5" customHeight="1">
      <c r="A33" s="424"/>
      <c r="B33" s="425"/>
      <c r="C33" s="425"/>
      <c r="D33" s="425"/>
      <c r="E33" s="425"/>
      <c r="F33" s="425"/>
      <c r="G33" s="425"/>
      <c r="H33" s="425"/>
      <c r="I33" s="426"/>
      <c r="J33" s="426"/>
    </row>
    <row r="34" spans="1:10" ht="12.75">
      <c r="A34" s="99"/>
      <c r="B34" s="99"/>
      <c r="C34" s="99"/>
      <c r="D34" s="99"/>
      <c r="E34" s="99"/>
      <c r="F34" s="99"/>
      <c r="G34" s="99"/>
      <c r="H34" s="99"/>
      <c r="I34" s="99"/>
      <c r="J34" s="99"/>
    </row>
    <row r="35" spans="1:10" ht="12.75">
      <c r="A35" s="99"/>
      <c r="B35" s="99"/>
      <c r="C35" s="99"/>
      <c r="D35" s="99"/>
      <c r="E35" s="99"/>
      <c r="F35" s="99"/>
      <c r="G35" s="99"/>
      <c r="H35" s="99"/>
      <c r="I35" s="99"/>
      <c r="J35" s="99"/>
    </row>
    <row r="36" spans="1:10" ht="12.75">
      <c r="A36" s="99"/>
      <c r="B36" s="99"/>
      <c r="C36" s="99"/>
      <c r="D36" s="99"/>
      <c r="E36" s="99"/>
      <c r="F36" s="99"/>
      <c r="G36" s="99"/>
      <c r="H36" s="99"/>
      <c r="I36" s="99"/>
      <c r="J36" s="99"/>
    </row>
    <row r="37" spans="1:10" ht="12.75">
      <c r="A37" s="99"/>
      <c r="B37" s="99"/>
      <c r="C37" s="99"/>
      <c r="D37" s="99"/>
      <c r="E37" s="99"/>
      <c r="F37" s="99"/>
      <c r="G37" s="99"/>
      <c r="H37" s="99"/>
      <c r="I37" s="99"/>
      <c r="J37" s="99"/>
    </row>
  </sheetData>
  <sheetProtection/>
  <mergeCells count="19">
    <mergeCell ref="B12:F12"/>
    <mergeCell ref="B13:F13"/>
    <mergeCell ref="B14:F14"/>
    <mergeCell ref="A6:J6"/>
    <mergeCell ref="B7:F7"/>
    <mergeCell ref="B8:F8"/>
    <mergeCell ref="B9:F9"/>
    <mergeCell ref="B10:F10"/>
    <mergeCell ref="B11:F11"/>
    <mergeCell ref="B15:F15"/>
    <mergeCell ref="B24:F24"/>
    <mergeCell ref="B18:F18"/>
    <mergeCell ref="B19:F19"/>
    <mergeCell ref="B20:F20"/>
    <mergeCell ref="B21:F21"/>
    <mergeCell ref="B22:F22"/>
    <mergeCell ref="B23:F23"/>
    <mergeCell ref="B16:F16"/>
    <mergeCell ref="B17:F17"/>
  </mergeCells>
  <printOptions/>
  <pageMargins left="0.17" right="0.16" top="0.75" bottom="0.75" header="0.3" footer="0.3"/>
  <pageSetup horizontalDpi="600" verticalDpi="600" orientation="portrait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00390625" style="495" customWidth="1"/>
    <col min="2" max="5" width="9.140625" style="495" customWidth="1"/>
    <col min="6" max="6" width="12.57421875" style="495" customWidth="1"/>
    <col min="7" max="7" width="9.140625" style="495" customWidth="1"/>
    <col min="8" max="8" width="10.421875" style="495" customWidth="1"/>
    <col min="9" max="9" width="11.57421875" style="495" customWidth="1"/>
    <col min="10" max="10" width="12.00390625" style="495" customWidth="1"/>
    <col min="11" max="16384" width="9.140625" style="495" customWidth="1"/>
  </cols>
  <sheetData>
    <row r="1" spans="1:10" ht="12">
      <c r="A1" s="492"/>
      <c r="B1" s="493"/>
      <c r="C1" s="493"/>
      <c r="D1" s="493"/>
      <c r="E1" s="493"/>
      <c r="F1" s="493"/>
      <c r="G1" s="493"/>
      <c r="H1" s="493"/>
      <c r="I1" s="494"/>
      <c r="J1" s="494"/>
    </row>
    <row r="2" spans="2:8" ht="12">
      <c r="B2" s="496" t="s">
        <v>133</v>
      </c>
      <c r="C2" s="497"/>
      <c r="D2" s="497"/>
      <c r="H2" s="518"/>
    </row>
    <row r="3" spans="2:4" ht="12">
      <c r="B3" s="496" t="s">
        <v>134</v>
      </c>
      <c r="C3" s="497"/>
      <c r="D3" s="497"/>
    </row>
    <row r="4" spans="2:9" ht="12">
      <c r="B4" s="166"/>
      <c r="I4" s="166" t="s">
        <v>43</v>
      </c>
    </row>
    <row r="5" spans="1:10" ht="12">
      <c r="A5" s="498"/>
      <c r="B5" s="498"/>
      <c r="C5" s="498"/>
      <c r="D5" s="498"/>
      <c r="E5" s="498"/>
      <c r="F5" s="498"/>
      <c r="G5" s="498"/>
      <c r="H5" s="498"/>
      <c r="I5" s="499"/>
      <c r="J5" s="500" t="s">
        <v>556</v>
      </c>
    </row>
    <row r="6" spans="1:10" ht="12">
      <c r="A6" s="619" t="s">
        <v>557</v>
      </c>
      <c r="B6" s="620"/>
      <c r="C6" s="620"/>
      <c r="D6" s="620"/>
      <c r="E6" s="620"/>
      <c r="F6" s="620"/>
      <c r="G6" s="620"/>
      <c r="H6" s="620"/>
      <c r="I6" s="620"/>
      <c r="J6" s="621"/>
    </row>
    <row r="7" spans="1:10" ht="24.75" thickBot="1">
      <c r="A7" s="501"/>
      <c r="B7" s="622" t="s">
        <v>44</v>
      </c>
      <c r="C7" s="623"/>
      <c r="D7" s="623"/>
      <c r="E7" s="623"/>
      <c r="F7" s="624"/>
      <c r="G7" s="502" t="s">
        <v>559</v>
      </c>
      <c r="H7" s="502" t="s">
        <v>560</v>
      </c>
      <c r="I7" s="503" t="s">
        <v>10</v>
      </c>
      <c r="J7" s="503" t="s">
        <v>561</v>
      </c>
    </row>
    <row r="8" spans="1:10" ht="13.5" customHeight="1">
      <c r="A8" s="427">
        <v>1</v>
      </c>
      <c r="B8" s="625" t="s">
        <v>45</v>
      </c>
      <c r="C8" s="626"/>
      <c r="D8" s="626"/>
      <c r="E8" s="626"/>
      <c r="F8" s="626"/>
      <c r="G8" s="428">
        <v>60</v>
      </c>
      <c r="H8" s="428">
        <v>12100</v>
      </c>
      <c r="I8" s="487">
        <f>I9+I10+I11+I12+I13</f>
        <v>3915.8096</v>
      </c>
      <c r="J8" s="482">
        <v>7152.880370000001</v>
      </c>
    </row>
    <row r="9" spans="1:10" ht="14.25" customHeight="1">
      <c r="A9" s="429" t="s">
        <v>46</v>
      </c>
      <c r="B9" s="627" t="s">
        <v>47</v>
      </c>
      <c r="C9" s="627" t="s">
        <v>48</v>
      </c>
      <c r="D9" s="627"/>
      <c r="E9" s="627"/>
      <c r="F9" s="627"/>
      <c r="G9" s="430" t="s">
        <v>49</v>
      </c>
      <c r="H9" s="430">
        <v>12101</v>
      </c>
      <c r="I9" s="488">
        <f>(331592.08+1055741.1)/1000</f>
        <v>1387.33318</v>
      </c>
      <c r="J9" s="483">
        <v>2752.94058</v>
      </c>
    </row>
    <row r="10" spans="1:10" ht="13.5" customHeight="1">
      <c r="A10" s="429" t="s">
        <v>566</v>
      </c>
      <c r="B10" s="627" t="s">
        <v>50</v>
      </c>
      <c r="C10" s="627" t="s">
        <v>48</v>
      </c>
      <c r="D10" s="627"/>
      <c r="E10" s="627"/>
      <c r="F10" s="627"/>
      <c r="G10" s="430"/>
      <c r="H10" s="432">
        <v>12102</v>
      </c>
      <c r="I10" s="488">
        <f>(284253.5+86262.62)/1000</f>
        <v>370.51612</v>
      </c>
      <c r="J10" s="483">
        <v>-1274.60465</v>
      </c>
    </row>
    <row r="11" spans="1:10" ht="12">
      <c r="A11" s="429" t="s">
        <v>568</v>
      </c>
      <c r="B11" s="627" t="s">
        <v>51</v>
      </c>
      <c r="C11" s="627" t="s">
        <v>48</v>
      </c>
      <c r="D11" s="627"/>
      <c r="E11" s="627"/>
      <c r="F11" s="627"/>
      <c r="G11" s="430" t="s">
        <v>52</v>
      </c>
      <c r="H11" s="430">
        <v>12103</v>
      </c>
      <c r="I11" s="488">
        <f>1604677.91/1000</f>
        <v>1604.6779099999999</v>
      </c>
      <c r="J11" s="483">
        <v>5045.87964</v>
      </c>
    </row>
    <row r="12" spans="1:10" ht="13.5" customHeight="1">
      <c r="A12" s="429" t="s">
        <v>53</v>
      </c>
      <c r="B12" s="628" t="s">
        <v>54</v>
      </c>
      <c r="C12" s="627" t="s">
        <v>48</v>
      </c>
      <c r="D12" s="627"/>
      <c r="E12" s="627"/>
      <c r="F12" s="627"/>
      <c r="G12" s="430"/>
      <c r="H12" s="432">
        <v>12104</v>
      </c>
      <c r="I12" s="488">
        <f>553282.39/1000</f>
        <v>553.28239</v>
      </c>
      <c r="J12" s="483">
        <v>628.6648</v>
      </c>
    </row>
    <row r="13" spans="1:10" ht="13.5" customHeight="1">
      <c r="A13" s="429" t="s">
        <v>55</v>
      </c>
      <c r="B13" s="627" t="s">
        <v>56</v>
      </c>
      <c r="C13" s="627" t="s">
        <v>48</v>
      </c>
      <c r="D13" s="627"/>
      <c r="E13" s="627"/>
      <c r="F13" s="627"/>
      <c r="G13" s="430" t="s">
        <v>57</v>
      </c>
      <c r="H13" s="432">
        <v>12105</v>
      </c>
      <c r="I13" s="488"/>
      <c r="J13" s="483"/>
    </row>
    <row r="14" spans="1:10" ht="14.25" customHeight="1">
      <c r="A14" s="433">
        <v>2</v>
      </c>
      <c r="B14" s="618" t="s">
        <v>58</v>
      </c>
      <c r="C14" s="618"/>
      <c r="D14" s="618"/>
      <c r="E14" s="618"/>
      <c r="F14" s="618"/>
      <c r="G14" s="434">
        <v>64</v>
      </c>
      <c r="H14" s="434">
        <v>12200</v>
      </c>
      <c r="I14" s="488">
        <f>I15+I16</f>
        <v>3049.435</v>
      </c>
      <c r="J14" s="483">
        <v>3363.8365</v>
      </c>
    </row>
    <row r="15" spans="1:10" ht="12">
      <c r="A15" s="435" t="s">
        <v>59</v>
      </c>
      <c r="B15" s="618" t="s">
        <v>60</v>
      </c>
      <c r="C15" s="617"/>
      <c r="D15" s="617"/>
      <c r="E15" s="617"/>
      <c r="F15" s="617"/>
      <c r="G15" s="432">
        <v>641</v>
      </c>
      <c r="H15" s="432">
        <v>12201</v>
      </c>
      <c r="I15" s="488">
        <f>2613054/1000</f>
        <v>2613.054</v>
      </c>
      <c r="J15" s="483">
        <v>2882.464</v>
      </c>
    </row>
    <row r="16" spans="1:10" ht="13.5" customHeight="1">
      <c r="A16" s="435" t="s">
        <v>61</v>
      </c>
      <c r="B16" s="617" t="s">
        <v>62</v>
      </c>
      <c r="C16" s="617"/>
      <c r="D16" s="617"/>
      <c r="E16" s="617"/>
      <c r="F16" s="617"/>
      <c r="G16" s="432">
        <v>644</v>
      </c>
      <c r="H16" s="432">
        <v>12202</v>
      </c>
      <c r="I16" s="488">
        <f>436381/1000</f>
        <v>436.381</v>
      </c>
      <c r="J16" s="483">
        <v>481.3725</v>
      </c>
    </row>
    <row r="17" spans="1:10" ht="14.25" customHeight="1">
      <c r="A17" s="433">
        <v>3</v>
      </c>
      <c r="B17" s="618" t="s">
        <v>63</v>
      </c>
      <c r="C17" s="618"/>
      <c r="D17" s="618"/>
      <c r="E17" s="618"/>
      <c r="F17" s="618"/>
      <c r="G17" s="434">
        <v>68</v>
      </c>
      <c r="H17" s="434">
        <v>12300</v>
      </c>
      <c r="I17" s="505">
        <f>906280/1000</f>
        <v>906.28</v>
      </c>
      <c r="J17" s="483">
        <v>1227.818</v>
      </c>
    </row>
    <row r="18" spans="1:10" ht="13.5" customHeight="1">
      <c r="A18" s="433">
        <v>4</v>
      </c>
      <c r="B18" s="618" t="s">
        <v>64</v>
      </c>
      <c r="C18" s="618"/>
      <c r="D18" s="618"/>
      <c r="E18" s="618"/>
      <c r="F18" s="618"/>
      <c r="G18" s="434">
        <v>61</v>
      </c>
      <c r="H18" s="434">
        <v>12400</v>
      </c>
      <c r="I18" s="488">
        <f>I19+I20+I21+I22+I23+I24+I25+I26+I27+I28+I29+I30+I33</f>
        <v>759.0192199999999</v>
      </c>
      <c r="J18" s="483">
        <v>2272.52345</v>
      </c>
    </row>
    <row r="19" spans="1:10" ht="13.5" customHeight="1">
      <c r="A19" s="435" t="s">
        <v>563</v>
      </c>
      <c r="B19" s="629" t="s">
        <v>65</v>
      </c>
      <c r="C19" s="629"/>
      <c r="D19" s="629"/>
      <c r="E19" s="629"/>
      <c r="F19" s="629"/>
      <c r="G19" s="430"/>
      <c r="H19" s="430">
        <v>12401</v>
      </c>
      <c r="I19" s="488"/>
      <c r="J19" s="483"/>
    </row>
    <row r="20" spans="1:10" ht="13.5" customHeight="1">
      <c r="A20" s="435" t="s">
        <v>29</v>
      </c>
      <c r="B20" s="629" t="s">
        <v>66</v>
      </c>
      <c r="C20" s="629"/>
      <c r="D20" s="629"/>
      <c r="E20" s="629"/>
      <c r="F20" s="629"/>
      <c r="G20" s="436">
        <v>611</v>
      </c>
      <c r="H20" s="430">
        <v>12402</v>
      </c>
      <c r="I20" s="488"/>
      <c r="J20" s="483"/>
    </row>
    <row r="21" spans="1:10" ht="12.75" customHeight="1">
      <c r="A21" s="435" t="s">
        <v>31</v>
      </c>
      <c r="B21" s="629" t="s">
        <v>345</v>
      </c>
      <c r="C21" s="629"/>
      <c r="D21" s="629"/>
      <c r="E21" s="629"/>
      <c r="F21" s="629"/>
      <c r="G21" s="430">
        <v>613</v>
      </c>
      <c r="H21" s="430">
        <v>12403</v>
      </c>
      <c r="I21" s="488">
        <f>220662/1000</f>
        <v>220.662</v>
      </c>
      <c r="J21" s="483">
        <v>44.222</v>
      </c>
    </row>
    <row r="22" spans="1:10" ht="13.5" customHeight="1">
      <c r="A22" s="435" t="s">
        <v>67</v>
      </c>
      <c r="B22" s="629" t="s">
        <v>354</v>
      </c>
      <c r="C22" s="629"/>
      <c r="D22" s="629"/>
      <c r="E22" s="629"/>
      <c r="F22" s="629"/>
      <c r="G22" s="436">
        <v>615</v>
      </c>
      <c r="H22" s="430">
        <v>12404</v>
      </c>
      <c r="I22" s="489">
        <f>13984/1000</f>
        <v>13.984</v>
      </c>
      <c r="J22" s="484">
        <v>17.635</v>
      </c>
    </row>
    <row r="23" spans="1:10" ht="12.75" customHeight="1">
      <c r="A23" s="435" t="s">
        <v>68</v>
      </c>
      <c r="B23" s="629" t="s">
        <v>69</v>
      </c>
      <c r="C23" s="629"/>
      <c r="D23" s="629"/>
      <c r="E23" s="629"/>
      <c r="F23" s="629"/>
      <c r="G23" s="436">
        <v>616</v>
      </c>
      <c r="H23" s="430">
        <v>12405</v>
      </c>
      <c r="I23" s="488">
        <f>46796/1000</f>
        <v>46.796</v>
      </c>
      <c r="J23" s="483">
        <v>59.157</v>
      </c>
    </row>
    <row r="24" spans="1:10" ht="13.5" customHeight="1">
      <c r="A24" s="435" t="s">
        <v>70</v>
      </c>
      <c r="B24" s="629" t="s">
        <v>71</v>
      </c>
      <c r="C24" s="629"/>
      <c r="D24" s="629"/>
      <c r="E24" s="629"/>
      <c r="F24" s="629"/>
      <c r="G24" s="436">
        <v>617</v>
      </c>
      <c r="H24" s="430">
        <v>12406</v>
      </c>
      <c r="I24" s="488"/>
      <c r="J24" s="483"/>
    </row>
    <row r="25" spans="1:10" ht="12.75" customHeight="1">
      <c r="A25" s="435" t="s">
        <v>72</v>
      </c>
      <c r="B25" s="627" t="s">
        <v>73</v>
      </c>
      <c r="C25" s="627" t="s">
        <v>48</v>
      </c>
      <c r="D25" s="627"/>
      <c r="E25" s="627"/>
      <c r="F25" s="627"/>
      <c r="G25" s="436">
        <v>618</v>
      </c>
      <c r="H25" s="430">
        <v>12407</v>
      </c>
      <c r="I25" s="505">
        <f>(4179.3+6324.93)/1000</f>
        <v>10.50423</v>
      </c>
      <c r="J25" s="483">
        <v>1526.3497</v>
      </c>
    </row>
    <row r="26" spans="1:10" ht="12">
      <c r="A26" s="435" t="s">
        <v>74</v>
      </c>
      <c r="B26" s="627" t="s">
        <v>75</v>
      </c>
      <c r="C26" s="627"/>
      <c r="D26" s="627"/>
      <c r="E26" s="627"/>
      <c r="F26" s="627"/>
      <c r="G26" s="436">
        <v>623</v>
      </c>
      <c r="H26" s="430">
        <v>12408</v>
      </c>
      <c r="I26" s="488"/>
      <c r="J26" s="483"/>
    </row>
    <row r="27" spans="1:10" ht="12.75" customHeight="1">
      <c r="A27" s="435" t="s">
        <v>76</v>
      </c>
      <c r="B27" s="627" t="s">
        <v>77</v>
      </c>
      <c r="C27" s="627"/>
      <c r="D27" s="627"/>
      <c r="E27" s="627"/>
      <c r="F27" s="627"/>
      <c r="G27" s="436">
        <v>624</v>
      </c>
      <c r="H27" s="430">
        <v>12409</v>
      </c>
      <c r="I27" s="488">
        <f>18999.5/1000</f>
        <v>18.9995</v>
      </c>
      <c r="J27" s="483"/>
    </row>
    <row r="28" spans="1:10" ht="12">
      <c r="A28" s="435" t="s">
        <v>78</v>
      </c>
      <c r="B28" s="627" t="s">
        <v>79</v>
      </c>
      <c r="C28" s="627"/>
      <c r="D28" s="627"/>
      <c r="E28" s="627"/>
      <c r="F28" s="627"/>
      <c r="G28" s="436">
        <v>625</v>
      </c>
      <c r="H28" s="430">
        <v>12410</v>
      </c>
      <c r="I28" s="488"/>
      <c r="J28" s="483"/>
    </row>
    <row r="29" spans="1:10" ht="12.75" customHeight="1">
      <c r="A29" s="435" t="s">
        <v>80</v>
      </c>
      <c r="B29" s="627" t="s">
        <v>81</v>
      </c>
      <c r="C29" s="627"/>
      <c r="D29" s="627"/>
      <c r="E29" s="627"/>
      <c r="F29" s="627"/>
      <c r="G29" s="436">
        <v>626</v>
      </c>
      <c r="H29" s="430">
        <v>12411</v>
      </c>
      <c r="I29" s="488">
        <f>333792.85/1000</f>
        <v>333.79285</v>
      </c>
      <c r="J29" s="483">
        <v>513.6947700000001</v>
      </c>
    </row>
    <row r="30" spans="1:10" ht="13.5" customHeight="1">
      <c r="A30" s="437" t="s">
        <v>82</v>
      </c>
      <c r="B30" s="627" t="s">
        <v>83</v>
      </c>
      <c r="C30" s="627"/>
      <c r="D30" s="627"/>
      <c r="E30" s="627"/>
      <c r="F30" s="627"/>
      <c r="G30" s="436">
        <v>627</v>
      </c>
      <c r="H30" s="430">
        <v>12412</v>
      </c>
      <c r="I30" s="488">
        <f>I31+I32</f>
        <v>42</v>
      </c>
      <c r="J30" s="483"/>
    </row>
    <row r="31" spans="1:10" ht="12">
      <c r="A31" s="435"/>
      <c r="B31" s="631" t="s">
        <v>84</v>
      </c>
      <c r="C31" s="631"/>
      <c r="D31" s="631"/>
      <c r="E31" s="631"/>
      <c r="F31" s="631"/>
      <c r="G31" s="436">
        <v>6271</v>
      </c>
      <c r="H31" s="436">
        <v>124121</v>
      </c>
      <c r="I31" s="488">
        <f>42000/1000</f>
        <v>42</v>
      </c>
      <c r="J31" s="483"/>
    </row>
    <row r="32" spans="1:10" ht="12">
      <c r="A32" s="435"/>
      <c r="B32" s="631" t="s">
        <v>85</v>
      </c>
      <c r="C32" s="631"/>
      <c r="D32" s="631"/>
      <c r="E32" s="631"/>
      <c r="F32" s="631"/>
      <c r="G32" s="436">
        <v>6272</v>
      </c>
      <c r="H32" s="436">
        <v>124122</v>
      </c>
      <c r="I32" s="488"/>
      <c r="J32" s="483"/>
    </row>
    <row r="33" spans="1:10" ht="13.5" customHeight="1">
      <c r="A33" s="435" t="s">
        <v>86</v>
      </c>
      <c r="B33" s="627" t="s">
        <v>87</v>
      </c>
      <c r="C33" s="627"/>
      <c r="D33" s="627"/>
      <c r="E33" s="627"/>
      <c r="F33" s="627"/>
      <c r="G33" s="436">
        <v>628</v>
      </c>
      <c r="H33" s="436">
        <v>12413</v>
      </c>
      <c r="I33" s="488">
        <f>72280.64/1000</f>
        <v>72.28064</v>
      </c>
      <c r="J33" s="483">
        <v>111.46498</v>
      </c>
    </row>
    <row r="34" spans="1:10" ht="12">
      <c r="A34" s="433">
        <v>5</v>
      </c>
      <c r="B34" s="628" t="s">
        <v>88</v>
      </c>
      <c r="C34" s="627"/>
      <c r="D34" s="627"/>
      <c r="E34" s="627"/>
      <c r="F34" s="627"/>
      <c r="G34" s="431">
        <v>63</v>
      </c>
      <c r="H34" s="431">
        <v>12500</v>
      </c>
      <c r="I34" s="488">
        <f>I35+I36+I37+I38</f>
        <v>30.72</v>
      </c>
      <c r="J34" s="483">
        <v>7.477</v>
      </c>
    </row>
    <row r="35" spans="1:10" ht="12" customHeight="1">
      <c r="A35" s="435" t="s">
        <v>563</v>
      </c>
      <c r="B35" s="627" t="s">
        <v>89</v>
      </c>
      <c r="C35" s="627"/>
      <c r="D35" s="627"/>
      <c r="E35" s="627"/>
      <c r="F35" s="627"/>
      <c r="G35" s="436">
        <v>632</v>
      </c>
      <c r="H35" s="436">
        <v>12501</v>
      </c>
      <c r="I35" s="488"/>
      <c r="J35" s="483"/>
    </row>
    <row r="36" spans="1:10" ht="12.75" customHeight="1">
      <c r="A36" s="435" t="s">
        <v>29</v>
      </c>
      <c r="B36" s="627" t="s">
        <v>287</v>
      </c>
      <c r="C36" s="627"/>
      <c r="D36" s="627"/>
      <c r="E36" s="627"/>
      <c r="F36" s="627"/>
      <c r="G36" s="436">
        <v>633</v>
      </c>
      <c r="H36" s="436">
        <v>12502</v>
      </c>
      <c r="I36" s="488">
        <f>2220/1000</f>
        <v>2.22</v>
      </c>
      <c r="J36" s="483"/>
    </row>
    <row r="37" spans="1:10" ht="13.5" customHeight="1">
      <c r="A37" s="435" t="s">
        <v>31</v>
      </c>
      <c r="B37" s="627" t="s">
        <v>366</v>
      </c>
      <c r="C37" s="627"/>
      <c r="D37" s="627"/>
      <c r="E37" s="627"/>
      <c r="F37" s="627"/>
      <c r="G37" s="436">
        <v>634</v>
      </c>
      <c r="H37" s="436">
        <v>12503</v>
      </c>
      <c r="I37" s="488">
        <f>28500/1000</f>
        <v>28.5</v>
      </c>
      <c r="J37" s="483">
        <v>2.077</v>
      </c>
    </row>
    <row r="38" spans="1:10" ht="14.25" customHeight="1">
      <c r="A38" s="435" t="s">
        <v>67</v>
      </c>
      <c r="B38" s="627" t="s">
        <v>90</v>
      </c>
      <c r="C38" s="627"/>
      <c r="D38" s="627"/>
      <c r="E38" s="627"/>
      <c r="F38" s="627"/>
      <c r="G38" s="436" t="s">
        <v>91</v>
      </c>
      <c r="H38" s="436">
        <v>12504</v>
      </c>
      <c r="I38" s="488"/>
      <c r="J38" s="483">
        <v>5.4</v>
      </c>
    </row>
    <row r="39" spans="1:10" ht="12">
      <c r="A39" s="433" t="s">
        <v>92</v>
      </c>
      <c r="B39" s="618" t="s">
        <v>93</v>
      </c>
      <c r="C39" s="618"/>
      <c r="D39" s="618"/>
      <c r="E39" s="618"/>
      <c r="F39" s="618"/>
      <c r="G39" s="436"/>
      <c r="H39" s="436">
        <v>12600</v>
      </c>
      <c r="I39" s="488">
        <f>I8+I14+I17+I18+I34</f>
        <v>8661.263819999998</v>
      </c>
      <c r="J39" s="483">
        <v>14024.53532</v>
      </c>
    </row>
    <row r="40" spans="1:10" ht="14.25" customHeight="1">
      <c r="A40" s="438"/>
      <c r="B40" s="439" t="s">
        <v>94</v>
      </c>
      <c r="C40" s="87"/>
      <c r="D40" s="87"/>
      <c r="E40" s="87"/>
      <c r="F40" s="87"/>
      <c r="G40" s="87"/>
      <c r="H40" s="87"/>
      <c r="I40" s="490" t="s">
        <v>10</v>
      </c>
      <c r="J40" s="485" t="s">
        <v>561</v>
      </c>
    </row>
    <row r="41" spans="1:10" ht="13.5" customHeight="1">
      <c r="A41" s="440">
        <v>1</v>
      </c>
      <c r="B41" s="630" t="s">
        <v>95</v>
      </c>
      <c r="C41" s="630"/>
      <c r="D41" s="630"/>
      <c r="E41" s="630"/>
      <c r="F41" s="630"/>
      <c r="G41" s="431"/>
      <c r="H41" s="431">
        <v>14000</v>
      </c>
      <c r="I41" s="488">
        <v>7</v>
      </c>
      <c r="J41" s="483">
        <v>8</v>
      </c>
    </row>
    <row r="42" spans="1:10" ht="13.5" customHeight="1">
      <c r="A42" s="440">
        <v>2</v>
      </c>
      <c r="B42" s="630" t="s">
        <v>96</v>
      </c>
      <c r="C42" s="630"/>
      <c r="D42" s="630"/>
      <c r="E42" s="630"/>
      <c r="F42" s="630"/>
      <c r="G42" s="431"/>
      <c r="H42" s="431">
        <v>15000</v>
      </c>
      <c r="I42" s="488"/>
      <c r="J42" s="483"/>
    </row>
    <row r="43" spans="1:10" ht="13.5" customHeight="1">
      <c r="A43" s="441" t="s">
        <v>563</v>
      </c>
      <c r="B43" s="629" t="s">
        <v>97</v>
      </c>
      <c r="C43" s="629"/>
      <c r="D43" s="629"/>
      <c r="E43" s="629"/>
      <c r="F43" s="629"/>
      <c r="G43" s="431"/>
      <c r="H43" s="436">
        <v>15001</v>
      </c>
      <c r="I43" s="488"/>
      <c r="J43" s="483"/>
    </row>
    <row r="44" spans="1:10" ht="12">
      <c r="A44" s="441"/>
      <c r="B44" s="632" t="s">
        <v>98</v>
      </c>
      <c r="C44" s="632"/>
      <c r="D44" s="632"/>
      <c r="E44" s="632"/>
      <c r="F44" s="632"/>
      <c r="G44" s="431"/>
      <c r="H44" s="436">
        <v>150011</v>
      </c>
      <c r="I44" s="488">
        <f>3174953.67/1000</f>
        <v>3174.95367</v>
      </c>
      <c r="J44" s="483">
        <v>474.16355</v>
      </c>
    </row>
    <row r="45" spans="1:10" ht="12">
      <c r="A45" s="442" t="s">
        <v>29</v>
      </c>
      <c r="B45" s="629" t="s">
        <v>99</v>
      </c>
      <c r="C45" s="629"/>
      <c r="D45" s="629"/>
      <c r="E45" s="629"/>
      <c r="F45" s="629"/>
      <c r="G45" s="431"/>
      <c r="H45" s="436">
        <v>15002</v>
      </c>
      <c r="I45" s="488"/>
      <c r="J45" s="483"/>
    </row>
    <row r="46" spans="1:10" ht="15" customHeight="1" thickBot="1">
      <c r="A46" s="443"/>
      <c r="B46" s="633" t="s">
        <v>100</v>
      </c>
      <c r="C46" s="633"/>
      <c r="D46" s="633"/>
      <c r="E46" s="633"/>
      <c r="F46" s="633"/>
      <c r="G46" s="444"/>
      <c r="H46" s="445">
        <v>150021</v>
      </c>
      <c r="I46" s="491">
        <f>4877000.94/1000</f>
        <v>4877.000940000001</v>
      </c>
      <c r="J46" s="486"/>
    </row>
    <row r="47" ht="12">
      <c r="J47" s="494"/>
    </row>
    <row r="48" ht="12">
      <c r="I48" s="494" t="s">
        <v>554</v>
      </c>
    </row>
    <row r="49" spans="9:10" ht="12">
      <c r="I49" s="495" t="s">
        <v>140</v>
      </c>
      <c r="J49" s="494"/>
    </row>
    <row r="50" ht="12">
      <c r="J50" s="494"/>
    </row>
    <row r="51" ht="12">
      <c r="J51" s="494"/>
    </row>
    <row r="52" spans="2:10" ht="12">
      <c r="B52" s="504"/>
      <c r="J52" s="494"/>
    </row>
    <row r="53" ht="12">
      <c r="B53" s="504"/>
    </row>
    <row r="54" ht="12">
      <c r="B54" s="504"/>
    </row>
    <row r="55" ht="12">
      <c r="B55" s="504"/>
    </row>
  </sheetData>
  <sheetProtection/>
  <mergeCells count="40">
    <mergeCell ref="B43:F43"/>
    <mergeCell ref="B44:F44"/>
    <mergeCell ref="B45:F45"/>
    <mergeCell ref="B46:F46"/>
    <mergeCell ref="B34:F34"/>
    <mergeCell ref="B35:F35"/>
    <mergeCell ref="B36:F36"/>
    <mergeCell ref="B37:F37"/>
    <mergeCell ref="B38:F38"/>
    <mergeCell ref="B39:F39"/>
    <mergeCell ref="B24:F24"/>
    <mergeCell ref="B25:F25"/>
    <mergeCell ref="B26:F26"/>
    <mergeCell ref="B27:F27"/>
    <mergeCell ref="B41:F41"/>
    <mergeCell ref="B42:F42"/>
    <mergeCell ref="B30:F30"/>
    <mergeCell ref="B31:F31"/>
    <mergeCell ref="B32:F32"/>
    <mergeCell ref="B33:F33"/>
    <mergeCell ref="B14:F14"/>
    <mergeCell ref="B15:F15"/>
    <mergeCell ref="B28:F28"/>
    <mergeCell ref="B29:F29"/>
    <mergeCell ref="B18:F18"/>
    <mergeCell ref="B19:F19"/>
    <mergeCell ref="B20:F20"/>
    <mergeCell ref="B21:F21"/>
    <mergeCell ref="B22:F22"/>
    <mergeCell ref="B23:F23"/>
    <mergeCell ref="B16:F16"/>
    <mergeCell ref="B17:F17"/>
    <mergeCell ref="A6:J6"/>
    <mergeCell ref="B7:F7"/>
    <mergeCell ref="B8:F8"/>
    <mergeCell ref="B9:F9"/>
    <mergeCell ref="B10:F10"/>
    <mergeCell ref="B11:F11"/>
    <mergeCell ref="B12:F12"/>
    <mergeCell ref="B13:F13"/>
  </mergeCells>
  <printOptions/>
  <pageMargins left="0.25" right="0.35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J35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6.8515625" style="0" customWidth="1"/>
    <col min="3" max="3" width="17.00390625" style="0" customWidth="1"/>
    <col min="4" max="4" width="10.28125" style="0" customWidth="1"/>
    <col min="5" max="5" width="11.00390625" style="0" customWidth="1"/>
    <col min="6" max="6" width="11.8515625" style="0" customWidth="1"/>
    <col min="7" max="7" width="14.7109375" style="0" customWidth="1"/>
    <col min="9" max="9" width="12.8515625" style="0" customWidth="1"/>
  </cols>
  <sheetData>
    <row r="2" spans="2:6" ht="12.75">
      <c r="B2" s="365" t="s">
        <v>101</v>
      </c>
      <c r="F2" s="336"/>
    </row>
    <row r="3" ht="12.75">
      <c r="B3" s="365" t="s">
        <v>102</v>
      </c>
    </row>
    <row r="4" spans="2:7" ht="14.25">
      <c r="B4" s="365"/>
      <c r="D4" s="634" t="s">
        <v>571</v>
      </c>
      <c r="E4" s="634"/>
      <c r="F4" s="634"/>
      <c r="G4" s="634"/>
    </row>
    <row r="5" ht="13.5" thickBot="1"/>
    <row r="6" spans="2:7" ht="15">
      <c r="B6" s="446" t="s">
        <v>543</v>
      </c>
      <c r="C6" s="447" t="s">
        <v>311</v>
      </c>
      <c r="D6" s="447" t="s">
        <v>103</v>
      </c>
      <c r="E6" s="447" t="s">
        <v>104</v>
      </c>
      <c r="F6" s="447" t="s">
        <v>105</v>
      </c>
      <c r="G6" s="448" t="s">
        <v>106</v>
      </c>
    </row>
    <row r="7" spans="2:7" s="470" customFormat="1" ht="15">
      <c r="B7" s="467">
        <v>1</v>
      </c>
      <c r="C7" s="468" t="s">
        <v>107</v>
      </c>
      <c r="D7" s="468" t="s">
        <v>108</v>
      </c>
      <c r="E7" s="515">
        <f>58.99+8.87+6.24</f>
        <v>74.1</v>
      </c>
      <c r="F7" s="468">
        <v>710</v>
      </c>
      <c r="G7" s="469">
        <f>E7*F7</f>
        <v>52610.99999999999</v>
      </c>
    </row>
    <row r="8" spans="2:7" s="470" customFormat="1" ht="15">
      <c r="B8" s="471">
        <v>2</v>
      </c>
      <c r="C8" s="472" t="s">
        <v>109</v>
      </c>
      <c r="D8" s="472" t="s">
        <v>108</v>
      </c>
      <c r="E8" s="516">
        <f>55.5+6.44+8.98</f>
        <v>70.92</v>
      </c>
      <c r="F8" s="472">
        <v>105</v>
      </c>
      <c r="G8" s="469">
        <f aca="true" t="shared" si="0" ref="G8:G29">E8*F8</f>
        <v>7446.6</v>
      </c>
    </row>
    <row r="9" spans="2:7" s="470" customFormat="1" ht="15">
      <c r="B9" s="471">
        <v>3</v>
      </c>
      <c r="C9" s="472" t="s">
        <v>110</v>
      </c>
      <c r="D9" s="472" t="s">
        <v>108</v>
      </c>
      <c r="E9" s="516">
        <f>171.04+7.58+11.45</f>
        <v>190.07</v>
      </c>
      <c r="F9" s="472">
        <v>534.88</v>
      </c>
      <c r="G9" s="469">
        <f t="shared" si="0"/>
        <v>101664.6416</v>
      </c>
    </row>
    <row r="10" spans="2:7" s="470" customFormat="1" ht="15">
      <c r="B10" s="471">
        <v>4</v>
      </c>
      <c r="C10" s="472" t="s">
        <v>111</v>
      </c>
      <c r="D10" s="472" t="s">
        <v>108</v>
      </c>
      <c r="E10" s="516">
        <f>12.55+3.67+4.8</f>
        <v>21.02</v>
      </c>
      <c r="F10" s="472">
        <v>265</v>
      </c>
      <c r="G10" s="469">
        <f t="shared" si="0"/>
        <v>5570.3</v>
      </c>
    </row>
    <row r="11" spans="2:7" s="470" customFormat="1" ht="15">
      <c r="B11" s="471">
        <v>5</v>
      </c>
      <c r="C11" s="472" t="s">
        <v>112</v>
      </c>
      <c r="D11" s="472" t="s">
        <v>108</v>
      </c>
      <c r="E11" s="516">
        <f>137.83+11.03+11.03</f>
        <v>159.89000000000001</v>
      </c>
      <c r="F11" s="472">
        <v>370.24</v>
      </c>
      <c r="G11" s="469">
        <f t="shared" si="0"/>
        <v>59197.67360000001</v>
      </c>
    </row>
    <row r="12" spans="2:7" s="470" customFormat="1" ht="15">
      <c r="B12" s="471">
        <v>6</v>
      </c>
      <c r="C12" s="472" t="s">
        <v>113</v>
      </c>
      <c r="D12" s="472" t="s">
        <v>114</v>
      </c>
      <c r="E12" s="516">
        <f>316182+2354+1323</f>
        <v>319859</v>
      </c>
      <c r="F12" s="472">
        <v>1.2</v>
      </c>
      <c r="G12" s="469">
        <f t="shared" si="0"/>
        <v>383830.8</v>
      </c>
    </row>
    <row r="13" spans="2:7" s="470" customFormat="1" ht="15">
      <c r="B13" s="471">
        <v>7</v>
      </c>
      <c r="C13" s="472" t="s">
        <v>115</v>
      </c>
      <c r="D13" s="472" t="s">
        <v>114</v>
      </c>
      <c r="E13" s="516">
        <f>328390+2354+1323</f>
        <v>332067</v>
      </c>
      <c r="F13" s="472">
        <v>0.365</v>
      </c>
      <c r="G13" s="469">
        <f t="shared" si="0"/>
        <v>121204.455</v>
      </c>
    </row>
    <row r="14" spans="2:7" s="470" customFormat="1" ht="15">
      <c r="B14" s="471">
        <v>8</v>
      </c>
      <c r="C14" s="472" t="s">
        <v>570</v>
      </c>
      <c r="D14" s="472" t="s">
        <v>114</v>
      </c>
      <c r="E14" s="516">
        <v>20</v>
      </c>
      <c r="F14" s="472">
        <v>667</v>
      </c>
      <c r="G14" s="469">
        <f>E14*F14</f>
        <v>13340</v>
      </c>
    </row>
    <row r="15" spans="2:7" ht="15">
      <c r="B15" s="449">
        <v>9</v>
      </c>
      <c r="C15" s="450" t="s">
        <v>116</v>
      </c>
      <c r="D15" s="450" t="s">
        <v>114</v>
      </c>
      <c r="E15" s="517">
        <f>50+7+37</f>
        <v>94</v>
      </c>
      <c r="F15" s="450">
        <v>34</v>
      </c>
      <c r="G15" s="469">
        <f t="shared" si="0"/>
        <v>3196</v>
      </c>
    </row>
    <row r="16" spans="2:7" ht="15">
      <c r="B16" s="449">
        <v>10</v>
      </c>
      <c r="C16" s="450" t="s">
        <v>117</v>
      </c>
      <c r="D16" s="450" t="s">
        <v>114</v>
      </c>
      <c r="E16" s="517">
        <f>80+80+92</f>
        <v>252</v>
      </c>
      <c r="F16" s="450">
        <v>34</v>
      </c>
      <c r="G16" s="469">
        <f t="shared" si="0"/>
        <v>8568</v>
      </c>
    </row>
    <row r="17" spans="2:10" ht="15">
      <c r="B17" s="449">
        <v>11</v>
      </c>
      <c r="C17" s="450" t="s">
        <v>118</v>
      </c>
      <c r="D17" s="450" t="s">
        <v>114</v>
      </c>
      <c r="E17" s="517">
        <f>33+25</f>
        <v>58</v>
      </c>
      <c r="F17" s="450">
        <v>41.6</v>
      </c>
      <c r="G17" s="469">
        <f t="shared" si="0"/>
        <v>2412.8</v>
      </c>
      <c r="J17" s="470"/>
    </row>
    <row r="18" spans="2:7" ht="15">
      <c r="B18" s="449">
        <v>12</v>
      </c>
      <c r="C18" s="450" t="s">
        <v>119</v>
      </c>
      <c r="D18" s="450" t="s">
        <v>114</v>
      </c>
      <c r="E18" s="517">
        <f>60+80+76</f>
        <v>216</v>
      </c>
      <c r="F18" s="450">
        <v>40</v>
      </c>
      <c r="G18" s="469">
        <f t="shared" si="0"/>
        <v>8640</v>
      </c>
    </row>
    <row r="19" spans="2:7" ht="15">
      <c r="B19" s="449">
        <v>13</v>
      </c>
      <c r="C19" s="450" t="s">
        <v>120</v>
      </c>
      <c r="D19" s="450" t="s">
        <v>114</v>
      </c>
      <c r="E19" s="517">
        <f>122+5+40</f>
        <v>167</v>
      </c>
      <c r="F19" s="450">
        <v>40</v>
      </c>
      <c r="G19" s="469">
        <f t="shared" si="0"/>
        <v>6680</v>
      </c>
    </row>
    <row r="20" spans="2:7" ht="15">
      <c r="B20" s="449">
        <v>14</v>
      </c>
      <c r="C20" s="450" t="s">
        <v>121</v>
      </c>
      <c r="D20" s="450" t="s">
        <v>114</v>
      </c>
      <c r="E20" s="517">
        <f>153+60</f>
        <v>213</v>
      </c>
      <c r="F20" s="450">
        <v>40</v>
      </c>
      <c r="G20" s="469">
        <f t="shared" si="0"/>
        <v>8520</v>
      </c>
    </row>
    <row r="21" spans="2:7" ht="15">
      <c r="B21" s="449">
        <v>15</v>
      </c>
      <c r="C21" s="450" t="s">
        <v>122</v>
      </c>
      <c r="D21" s="450" t="s">
        <v>114</v>
      </c>
      <c r="E21" s="517">
        <f>115+70</f>
        <v>185</v>
      </c>
      <c r="F21" s="450">
        <v>40</v>
      </c>
      <c r="G21" s="469">
        <f t="shared" si="0"/>
        <v>7400</v>
      </c>
    </row>
    <row r="22" spans="2:7" ht="15">
      <c r="B22" s="449">
        <v>16</v>
      </c>
      <c r="C22" s="450" t="s">
        <v>123</v>
      </c>
      <c r="D22" s="450" t="s">
        <v>114</v>
      </c>
      <c r="E22" s="517">
        <f>100+80</f>
        <v>180</v>
      </c>
      <c r="F22" s="450">
        <v>40</v>
      </c>
      <c r="G22" s="469">
        <f t="shared" si="0"/>
        <v>7200</v>
      </c>
    </row>
    <row r="23" spans="2:7" ht="15">
      <c r="B23" s="449">
        <v>17</v>
      </c>
      <c r="C23" s="450" t="s">
        <v>572</v>
      </c>
      <c r="D23" s="450" t="s">
        <v>114</v>
      </c>
      <c r="E23" s="517">
        <f>94+120+163</f>
        <v>377</v>
      </c>
      <c r="F23" s="450">
        <v>17</v>
      </c>
      <c r="G23" s="469">
        <f t="shared" si="0"/>
        <v>6409</v>
      </c>
    </row>
    <row r="24" spans="2:7" ht="15">
      <c r="B24" s="449">
        <v>18</v>
      </c>
      <c r="C24" s="450" t="s">
        <v>124</v>
      </c>
      <c r="D24" s="450" t="s">
        <v>114</v>
      </c>
      <c r="E24" s="517">
        <f>83+7</f>
        <v>90</v>
      </c>
      <c r="F24" s="450">
        <v>34.47</v>
      </c>
      <c r="G24" s="469">
        <f t="shared" si="0"/>
        <v>3102.2999999999997</v>
      </c>
    </row>
    <row r="25" spans="2:7" ht="15">
      <c r="B25" s="449">
        <v>19</v>
      </c>
      <c r="C25" s="450" t="s">
        <v>125</v>
      </c>
      <c r="D25" s="450" t="s">
        <v>114</v>
      </c>
      <c r="E25" s="517">
        <v>120</v>
      </c>
      <c r="F25" s="450">
        <v>34.17</v>
      </c>
      <c r="G25" s="469">
        <f t="shared" si="0"/>
        <v>4100.400000000001</v>
      </c>
    </row>
    <row r="26" spans="2:7" ht="15">
      <c r="B26" s="449">
        <v>20</v>
      </c>
      <c r="C26" s="450" t="s">
        <v>126</v>
      </c>
      <c r="D26" s="450" t="s">
        <v>114</v>
      </c>
      <c r="E26" s="517">
        <f>67+70</f>
        <v>137</v>
      </c>
      <c r="F26" s="450">
        <v>34.15</v>
      </c>
      <c r="G26" s="469">
        <f t="shared" si="0"/>
        <v>4678.55</v>
      </c>
    </row>
    <row r="27" spans="2:7" ht="15">
      <c r="B27" s="508">
        <v>21</v>
      </c>
      <c r="C27" s="510" t="s">
        <v>573</v>
      </c>
      <c r="D27" s="509" t="s">
        <v>114</v>
      </c>
      <c r="E27" s="517">
        <f>170+80</f>
        <v>250</v>
      </c>
      <c r="F27" s="450">
        <v>14.17</v>
      </c>
      <c r="G27" s="469">
        <f t="shared" si="0"/>
        <v>3542.5</v>
      </c>
    </row>
    <row r="28" spans="2:7" ht="15">
      <c r="B28" s="449">
        <v>22</v>
      </c>
      <c r="C28" s="511" t="s">
        <v>574</v>
      </c>
      <c r="D28" s="512" t="s">
        <v>114</v>
      </c>
      <c r="E28" s="517">
        <v>15</v>
      </c>
      <c r="F28" s="450">
        <v>30.8</v>
      </c>
      <c r="G28" s="469">
        <f t="shared" si="0"/>
        <v>462</v>
      </c>
    </row>
    <row r="29" spans="2:7" ht="15">
      <c r="B29" s="449">
        <v>23</v>
      </c>
      <c r="C29" s="514" t="s">
        <v>575</v>
      </c>
      <c r="D29" s="512" t="s">
        <v>114</v>
      </c>
      <c r="E29" s="517">
        <f>190+60</f>
        <v>250</v>
      </c>
      <c r="F29" s="450">
        <v>14.5</v>
      </c>
      <c r="G29" s="469">
        <f t="shared" si="0"/>
        <v>3625</v>
      </c>
    </row>
    <row r="30" spans="2:7" ht="15">
      <c r="B30" s="449"/>
      <c r="C30" s="511"/>
      <c r="D30" s="512"/>
      <c r="E30" s="450"/>
      <c r="F30" s="450"/>
      <c r="G30" s="513"/>
    </row>
    <row r="31" spans="2:7" ht="13.5" thickBot="1">
      <c r="B31" s="451"/>
      <c r="C31" s="452"/>
      <c r="D31" s="452"/>
      <c r="E31" s="452"/>
      <c r="F31" s="452"/>
      <c r="G31" s="473">
        <f>SUM(G7:G30)</f>
        <v>823402.0202000001</v>
      </c>
    </row>
    <row r="32" ht="12.75">
      <c r="I32" s="167"/>
    </row>
    <row r="34" spans="5:7" ht="12.75">
      <c r="E34" s="594"/>
      <c r="F34" s="594"/>
      <c r="G34" t="s">
        <v>554</v>
      </c>
    </row>
    <row r="35" ht="12.75">
      <c r="G35" s="167" t="s">
        <v>140</v>
      </c>
    </row>
  </sheetData>
  <sheetProtection/>
  <mergeCells count="2">
    <mergeCell ref="E34:F34"/>
    <mergeCell ref="D4:G4"/>
  </mergeCells>
  <printOptions/>
  <pageMargins left="0.7" right="0.7" top="0.4" bottom="0.42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F22"/>
  <sheetViews>
    <sheetView zoomScalePageLayoutView="0" workbookViewId="0" topLeftCell="A1">
      <selection activeCell="K16" sqref="K16"/>
    </sheetView>
  </sheetViews>
  <sheetFormatPr defaultColWidth="9.140625" defaultRowHeight="12.75"/>
  <cols>
    <col min="1" max="1" width="5.140625" style="0" customWidth="1"/>
    <col min="2" max="2" width="4.140625" style="0" customWidth="1"/>
    <col min="3" max="3" width="18.140625" style="0" customWidth="1"/>
    <col min="4" max="4" width="19.8515625" style="0" customWidth="1"/>
    <col min="5" max="5" width="16.7109375" style="0" customWidth="1"/>
    <col min="6" max="6" width="15.28125" style="0" customWidth="1"/>
  </cols>
  <sheetData>
    <row r="2" spans="3:6" ht="12.75">
      <c r="C2" s="474" t="s">
        <v>509</v>
      </c>
      <c r="D2" s="128" t="s">
        <v>510</v>
      </c>
      <c r="E2" s="128"/>
      <c r="F2" s="336"/>
    </row>
    <row r="3" spans="3:6" ht="12.75">
      <c r="C3" s="474" t="s">
        <v>398</v>
      </c>
      <c r="D3" s="128" t="s">
        <v>458</v>
      </c>
      <c r="E3" s="128"/>
      <c r="F3" s="99"/>
    </row>
    <row r="4" spans="3:5" ht="12.75">
      <c r="C4" s="130"/>
      <c r="D4" s="128"/>
      <c r="E4" s="128"/>
    </row>
    <row r="5" spans="3:6" ht="15">
      <c r="C5" s="635" t="s">
        <v>569</v>
      </c>
      <c r="D5" s="635"/>
      <c r="E5" s="635"/>
      <c r="F5" s="635"/>
    </row>
    <row r="6" ht="13.5" thickBot="1"/>
    <row r="7" spans="2:6" ht="12.75">
      <c r="B7" s="453"/>
      <c r="C7" s="454"/>
      <c r="D7" s="454"/>
      <c r="E7" s="454"/>
      <c r="F7" s="455"/>
    </row>
    <row r="8" spans="2:6" ht="12.75">
      <c r="B8" s="463" t="s">
        <v>543</v>
      </c>
      <c r="C8" s="464" t="s">
        <v>127</v>
      </c>
      <c r="D8" s="465" t="s">
        <v>128</v>
      </c>
      <c r="E8" s="465" t="s">
        <v>135</v>
      </c>
      <c r="F8" s="466" t="s">
        <v>129</v>
      </c>
    </row>
    <row r="9" spans="2:6" ht="12.75">
      <c r="B9" s="456"/>
      <c r="C9" s="388"/>
      <c r="D9" s="388"/>
      <c r="E9" s="388"/>
      <c r="F9" s="457"/>
    </row>
    <row r="10" spans="2:6" s="385" customFormat="1" ht="12.75">
      <c r="B10" s="458">
        <v>1</v>
      </c>
      <c r="C10" s="164" t="s">
        <v>130</v>
      </c>
      <c r="D10" s="164" t="s">
        <v>131</v>
      </c>
      <c r="E10" s="475" t="s">
        <v>136</v>
      </c>
      <c r="F10" s="459" t="s">
        <v>132</v>
      </c>
    </row>
    <row r="11" spans="2:6" ht="13.5" thickBot="1">
      <c r="B11" s="460"/>
      <c r="C11" s="461"/>
      <c r="D11" s="461"/>
      <c r="E11" s="461"/>
      <c r="F11" s="462"/>
    </row>
    <row r="21" ht="14.25">
      <c r="F21" s="476" t="s">
        <v>554</v>
      </c>
    </row>
    <row r="22" ht="12.75">
      <c r="F22" t="s">
        <v>140</v>
      </c>
    </row>
  </sheetData>
  <sheetProtection/>
  <mergeCells count="1">
    <mergeCell ref="C5:F5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G3" sqref="G3"/>
    </sheetView>
  </sheetViews>
  <sheetFormatPr defaultColWidth="9.140625" defaultRowHeight="12.75" outlineLevelRow="1"/>
  <cols>
    <col min="1" max="1" width="9.140625" style="99" customWidth="1"/>
    <col min="2" max="2" width="8.57421875" style="99" customWidth="1"/>
    <col min="3" max="3" width="5.57421875" style="99" customWidth="1"/>
    <col min="4" max="4" width="51.140625" style="99" customWidth="1"/>
    <col min="5" max="5" width="8.140625" style="197" customWidth="1"/>
    <col min="6" max="6" width="13.7109375" style="99" customWidth="1"/>
    <col min="7" max="7" width="13.57421875" style="99" customWidth="1"/>
    <col min="8" max="8" width="10.28125" style="99" bestFit="1" customWidth="1"/>
    <col min="9" max="9" width="16.00390625" style="99" bestFit="1" customWidth="1"/>
    <col min="10" max="16384" width="9.140625" style="99" customWidth="1"/>
  </cols>
  <sheetData>
    <row r="1" spans="1:7" ht="12.75">
      <c r="A1" s="128"/>
      <c r="B1" s="128"/>
      <c r="C1" s="128"/>
      <c r="D1" s="128"/>
      <c r="E1" s="129"/>
      <c r="F1" s="128"/>
      <c r="G1" s="128"/>
    </row>
    <row r="2" spans="1:7" ht="12.75">
      <c r="A2" s="128"/>
      <c r="B2" s="130" t="s">
        <v>509</v>
      </c>
      <c r="C2" s="128" t="s">
        <v>510</v>
      </c>
      <c r="D2" s="128"/>
      <c r="E2" s="1"/>
      <c r="F2" s="128"/>
      <c r="G2" s="131"/>
    </row>
    <row r="3" spans="1:7" ht="12.75">
      <c r="A3" s="128"/>
      <c r="B3" s="130" t="s">
        <v>398</v>
      </c>
      <c r="C3" s="128" t="s">
        <v>458</v>
      </c>
      <c r="D3" s="128"/>
      <c r="E3" s="1"/>
      <c r="F3" s="128"/>
      <c r="G3" s="131"/>
    </row>
    <row r="4" spans="1:7" ht="12.75">
      <c r="A4" s="128"/>
      <c r="D4" s="128"/>
      <c r="E4" s="1"/>
      <c r="F4" s="128"/>
      <c r="G4" s="130"/>
    </row>
    <row r="5" spans="1:7" ht="18">
      <c r="A5" s="128"/>
      <c r="B5" s="555" t="s">
        <v>159</v>
      </c>
      <c r="C5" s="555"/>
      <c r="D5" s="555"/>
      <c r="E5" s="555"/>
      <c r="F5" s="555"/>
      <c r="G5" s="555"/>
    </row>
    <row r="6" spans="1:7" ht="15" customHeight="1">
      <c r="A6" s="128"/>
      <c r="B6" s="566" t="s">
        <v>0</v>
      </c>
      <c r="C6" s="566"/>
      <c r="D6" s="566"/>
      <c r="E6" s="566"/>
      <c r="F6" s="566"/>
      <c r="G6" s="566"/>
    </row>
    <row r="7" spans="1:7" ht="13.5" thickBot="1">
      <c r="A7" s="128"/>
      <c r="B7" s="128"/>
      <c r="C7" s="128"/>
      <c r="D7" s="128"/>
      <c r="E7" s="1"/>
      <c r="F7" s="128"/>
      <c r="G7" s="131"/>
    </row>
    <row r="8" spans="1:7" ht="12.75">
      <c r="A8" s="128"/>
      <c r="B8" s="132" t="s">
        <v>160</v>
      </c>
      <c r="C8" s="562" t="s">
        <v>163</v>
      </c>
      <c r="D8" s="563"/>
      <c r="E8" s="558" t="s">
        <v>162</v>
      </c>
      <c r="F8" s="560" t="s">
        <v>2</v>
      </c>
      <c r="G8" s="556" t="s">
        <v>3</v>
      </c>
    </row>
    <row r="9" spans="1:7" ht="13.5" thickBot="1">
      <c r="A9" s="128"/>
      <c r="B9" s="133" t="s">
        <v>161</v>
      </c>
      <c r="C9" s="564"/>
      <c r="D9" s="565"/>
      <c r="E9" s="559"/>
      <c r="F9" s="561"/>
      <c r="G9" s="557"/>
    </row>
    <row r="10" spans="1:7" ht="20.25" customHeight="1">
      <c r="A10" s="128"/>
      <c r="B10" s="107" t="s">
        <v>164</v>
      </c>
      <c r="C10" s="552" t="s">
        <v>260</v>
      </c>
      <c r="D10" s="552"/>
      <c r="E10" s="108"/>
      <c r="F10" s="109"/>
      <c r="G10" s="110"/>
    </row>
    <row r="11" spans="1:7" ht="16.5" customHeight="1">
      <c r="A11" s="128"/>
      <c r="B11" s="111">
        <v>1</v>
      </c>
      <c r="C11" s="2" t="s">
        <v>165</v>
      </c>
      <c r="D11" s="2"/>
      <c r="E11" s="3"/>
      <c r="F11" s="4"/>
      <c r="G11" s="112"/>
    </row>
    <row r="12" spans="1:7" s="336" customFormat="1" ht="15.75" hidden="1" outlineLevel="1">
      <c r="A12" s="128"/>
      <c r="B12" s="355"/>
      <c r="C12" s="24">
        <v>512</v>
      </c>
      <c r="D12" s="347" t="s">
        <v>258</v>
      </c>
      <c r="E12" s="6"/>
      <c r="F12" s="173">
        <f>65+4705.56+134.83+422.34+187.55+4.58+2586.89</f>
        <v>8106.75</v>
      </c>
      <c r="G12" s="113">
        <v>10721.64</v>
      </c>
    </row>
    <row r="13" spans="1:7" s="336" customFormat="1" ht="15" hidden="1" outlineLevel="1">
      <c r="A13" s="128"/>
      <c r="B13" s="356"/>
      <c r="C13" s="24">
        <v>531</v>
      </c>
      <c r="D13" s="347" t="s">
        <v>259</v>
      </c>
      <c r="E13" s="6"/>
      <c r="F13" s="173">
        <v>106775.81</v>
      </c>
      <c r="G13" s="113">
        <v>57545.51</v>
      </c>
    </row>
    <row r="14" spans="1:8" s="336" customFormat="1" ht="15.75" collapsed="1">
      <c r="A14" s="128"/>
      <c r="B14" s="355"/>
      <c r="C14" s="553" t="s">
        <v>254</v>
      </c>
      <c r="D14" s="554"/>
      <c r="E14" s="7"/>
      <c r="F14" s="321">
        <f>+SUM(F12:F13)</f>
        <v>114882.56</v>
      </c>
      <c r="G14" s="312">
        <v>68267.15</v>
      </c>
      <c r="H14" s="351"/>
    </row>
    <row r="15" spans="1:7" s="336" customFormat="1" ht="16.5" customHeight="1">
      <c r="A15" s="128"/>
      <c r="B15" s="333">
        <v>2</v>
      </c>
      <c r="C15" s="339" t="s">
        <v>166</v>
      </c>
      <c r="D15" s="339"/>
      <c r="E15" s="3"/>
      <c r="F15" s="322"/>
      <c r="G15" s="305"/>
    </row>
    <row r="16" spans="1:7" s="336" customFormat="1" ht="12.75">
      <c r="A16" s="128"/>
      <c r="B16" s="341" t="s">
        <v>167</v>
      </c>
      <c r="C16" s="342" t="s">
        <v>168</v>
      </c>
      <c r="D16" s="342"/>
      <c r="E16" s="3"/>
      <c r="F16" s="322"/>
      <c r="G16" s="305"/>
    </row>
    <row r="17" spans="1:7" s="336" customFormat="1" ht="12.75">
      <c r="A17" s="128"/>
      <c r="B17" s="341" t="s">
        <v>169</v>
      </c>
      <c r="C17" s="342" t="s">
        <v>170</v>
      </c>
      <c r="D17" s="342"/>
      <c r="E17" s="3"/>
      <c r="F17" s="322"/>
      <c r="G17" s="305"/>
    </row>
    <row r="18" spans="1:7" s="336" customFormat="1" ht="12.75">
      <c r="A18" s="128"/>
      <c r="B18" s="343"/>
      <c r="C18" s="344" t="s">
        <v>237</v>
      </c>
      <c r="D18" s="344"/>
      <c r="E18" s="3"/>
      <c r="F18" s="322">
        <v>0</v>
      </c>
      <c r="G18" s="305">
        <v>0</v>
      </c>
    </row>
    <row r="19" spans="1:7" s="336" customFormat="1" ht="21.75" customHeight="1">
      <c r="A19" s="128"/>
      <c r="B19" s="333">
        <v>3</v>
      </c>
      <c r="C19" s="339" t="s">
        <v>171</v>
      </c>
      <c r="D19" s="339"/>
      <c r="E19" s="3"/>
      <c r="F19" s="322"/>
      <c r="G19" s="305"/>
    </row>
    <row r="20" spans="1:7" s="336" customFormat="1" ht="12.75">
      <c r="A20" s="128"/>
      <c r="B20" s="341" t="s">
        <v>167</v>
      </c>
      <c r="C20" s="342" t="s">
        <v>172</v>
      </c>
      <c r="D20" s="342"/>
      <c r="E20" s="3"/>
      <c r="F20" s="288">
        <f>+F21</f>
        <v>5038366.05</v>
      </c>
      <c r="G20" s="306">
        <v>773520</v>
      </c>
    </row>
    <row r="21" spans="1:7" s="336" customFormat="1" ht="12.75" hidden="1" outlineLevel="1">
      <c r="A21" s="128"/>
      <c r="B21" s="341"/>
      <c r="C21" s="13">
        <v>411</v>
      </c>
      <c r="D21" s="347" t="s">
        <v>261</v>
      </c>
      <c r="E21" s="3"/>
      <c r="F21" s="296">
        <v>5038366.05</v>
      </c>
      <c r="G21" s="307">
        <v>773520</v>
      </c>
    </row>
    <row r="22" spans="1:7" s="336" customFormat="1" ht="12.75" collapsed="1">
      <c r="A22" s="128"/>
      <c r="B22" s="341" t="s">
        <v>169</v>
      </c>
      <c r="C22" s="342" t="s">
        <v>173</v>
      </c>
      <c r="D22" s="342"/>
      <c r="E22" s="3"/>
      <c r="F22" s="288">
        <f>+SUM(F23:F32)</f>
        <v>2491247.7800000003</v>
      </c>
      <c r="G22" s="306">
        <v>1963236.96</v>
      </c>
    </row>
    <row r="23" spans="1:7" s="336" customFormat="1" ht="12.75" hidden="1" outlineLevel="1">
      <c r="A23" s="128"/>
      <c r="B23" s="341"/>
      <c r="C23" s="23">
        <v>418</v>
      </c>
      <c r="D23" s="347" t="s">
        <v>262</v>
      </c>
      <c r="E23" s="3"/>
      <c r="F23" s="290"/>
      <c r="G23" s="308"/>
    </row>
    <row r="24" spans="1:7" s="336" customFormat="1" ht="12.75" hidden="1" outlineLevel="1">
      <c r="A24" s="128"/>
      <c r="B24" s="341"/>
      <c r="C24" s="24">
        <v>467</v>
      </c>
      <c r="D24" s="347" t="s">
        <v>263</v>
      </c>
      <c r="E24" s="3"/>
      <c r="F24" s="323">
        <v>600038.67</v>
      </c>
      <c r="G24" s="308"/>
    </row>
    <row r="25" spans="1:7" s="336" customFormat="1" ht="12.75" hidden="1" outlineLevel="1">
      <c r="A25" s="128"/>
      <c r="B25" s="341"/>
      <c r="C25" s="24">
        <v>444</v>
      </c>
      <c r="D25" s="347" t="s">
        <v>261</v>
      </c>
      <c r="E25" s="3"/>
      <c r="F25" s="290"/>
      <c r="G25" s="308"/>
    </row>
    <row r="26" spans="1:7" s="336" customFormat="1" ht="12.75" hidden="1" outlineLevel="1">
      <c r="A26" s="128"/>
      <c r="B26" s="341"/>
      <c r="C26" s="25">
        <v>444</v>
      </c>
      <c r="D26" s="347" t="s">
        <v>264</v>
      </c>
      <c r="E26" s="6"/>
      <c r="F26" s="323">
        <f>272362-21677.89</f>
        <v>250684.11</v>
      </c>
      <c r="G26" s="187">
        <v>272362</v>
      </c>
    </row>
    <row r="27" spans="1:7" ht="12.75" hidden="1" outlineLevel="1">
      <c r="A27" s="128"/>
      <c r="B27" s="115"/>
      <c r="C27" s="25">
        <v>442</v>
      </c>
      <c r="D27" s="14" t="s">
        <v>265</v>
      </c>
      <c r="E27" s="6"/>
      <c r="F27" s="323"/>
      <c r="G27" s="187"/>
    </row>
    <row r="28" spans="1:7" ht="12.75" hidden="1" outlineLevel="1">
      <c r="A28" s="128"/>
      <c r="B28" s="115"/>
      <c r="C28" s="25">
        <v>449</v>
      </c>
      <c r="D28" s="14" t="s">
        <v>266</v>
      </c>
      <c r="E28" s="6"/>
      <c r="F28" s="323"/>
      <c r="G28" s="187"/>
    </row>
    <row r="29" spans="1:7" s="336" customFormat="1" ht="12.75" hidden="1" outlineLevel="1">
      <c r="A29" s="128"/>
      <c r="B29" s="341"/>
      <c r="C29" s="25">
        <v>4453</v>
      </c>
      <c r="D29" s="338" t="s">
        <v>267</v>
      </c>
      <c r="E29" s="6"/>
      <c r="F29" s="323"/>
      <c r="G29" s="187">
        <v>50349.96</v>
      </c>
    </row>
    <row r="30" spans="1:7" s="336" customFormat="1" ht="12.75" hidden="1" outlineLevel="1">
      <c r="A30" s="128"/>
      <c r="B30" s="341"/>
      <c r="C30" s="25">
        <v>447</v>
      </c>
      <c r="D30" s="338" t="s">
        <v>268</v>
      </c>
      <c r="E30" s="6"/>
      <c r="F30" s="323"/>
      <c r="G30" s="187"/>
    </row>
    <row r="31" spans="1:7" s="336" customFormat="1" ht="12.75" hidden="1" outlineLevel="1">
      <c r="A31" s="128"/>
      <c r="B31" s="341"/>
      <c r="C31" s="25">
        <v>455</v>
      </c>
      <c r="D31" s="338" t="s">
        <v>269</v>
      </c>
      <c r="E31" s="6"/>
      <c r="F31" s="323"/>
      <c r="G31" s="187"/>
    </row>
    <row r="32" spans="1:7" s="336" customFormat="1" ht="12.75" hidden="1" outlineLevel="1">
      <c r="A32" s="128"/>
      <c r="B32" s="341"/>
      <c r="C32" s="25">
        <v>471</v>
      </c>
      <c r="D32" s="338" t="s">
        <v>137</v>
      </c>
      <c r="E32" s="6"/>
      <c r="F32" s="323">
        <v>1640525</v>
      </c>
      <c r="G32" s="187">
        <v>1640525</v>
      </c>
    </row>
    <row r="33" spans="1:7" s="336" customFormat="1" ht="12.75" collapsed="1">
      <c r="A33" s="128"/>
      <c r="B33" s="341" t="s">
        <v>174</v>
      </c>
      <c r="C33" s="342" t="s">
        <v>175</v>
      </c>
      <c r="D33" s="353"/>
      <c r="E33" s="3"/>
      <c r="F33" s="322"/>
      <c r="G33" s="305"/>
    </row>
    <row r="34" spans="1:7" s="336" customFormat="1" ht="12.75">
      <c r="A34" s="128"/>
      <c r="B34" s="341" t="s">
        <v>176</v>
      </c>
      <c r="C34" s="342" t="s">
        <v>177</v>
      </c>
      <c r="D34" s="353"/>
      <c r="E34" s="3"/>
      <c r="F34" s="324">
        <v>0</v>
      </c>
      <c r="G34" s="309">
        <v>0</v>
      </c>
    </row>
    <row r="35" spans="1:7" s="336" customFormat="1" ht="12.75" hidden="1" outlineLevel="1">
      <c r="A35" s="128"/>
      <c r="B35" s="341"/>
      <c r="C35" s="358">
        <v>460</v>
      </c>
      <c r="D35" s="338" t="s">
        <v>270</v>
      </c>
      <c r="E35" s="3"/>
      <c r="F35" s="324"/>
      <c r="G35" s="309"/>
    </row>
    <row r="36" spans="1:8" s="336" customFormat="1" ht="15" collapsed="1">
      <c r="A36" s="128"/>
      <c r="B36" s="359"/>
      <c r="C36" s="344" t="s">
        <v>238</v>
      </c>
      <c r="D36" s="357"/>
      <c r="E36" s="3"/>
      <c r="F36" s="322">
        <f>+F34+F33+F22+F20</f>
        <v>7529613.83</v>
      </c>
      <c r="G36" s="305">
        <v>2736756.96</v>
      </c>
      <c r="H36" s="351"/>
    </row>
    <row r="37" spans="1:7" s="336" customFormat="1" ht="19.5" customHeight="1">
      <c r="A37" s="128"/>
      <c r="B37" s="333">
        <v>4</v>
      </c>
      <c r="C37" s="339" t="s">
        <v>178</v>
      </c>
      <c r="D37" s="339"/>
      <c r="E37" s="3"/>
      <c r="F37" s="322"/>
      <c r="G37" s="305"/>
    </row>
    <row r="38" spans="1:10" s="336" customFormat="1" ht="12" customHeight="1">
      <c r="A38" s="128"/>
      <c r="B38" s="341" t="s">
        <v>167</v>
      </c>
      <c r="C38" s="360" t="s">
        <v>179</v>
      </c>
      <c r="D38" s="360"/>
      <c r="E38" s="3"/>
      <c r="F38" s="291">
        <v>731466.83</v>
      </c>
      <c r="G38" s="304">
        <v>819579.84</v>
      </c>
      <c r="I38" s="361"/>
      <c r="J38" s="233"/>
    </row>
    <row r="39" spans="1:10" s="336" customFormat="1" ht="12.75">
      <c r="A39" s="128"/>
      <c r="B39" s="341" t="s">
        <v>169</v>
      </c>
      <c r="C39" s="362" t="s">
        <v>284</v>
      </c>
      <c r="D39" s="338"/>
      <c r="E39" s="3"/>
      <c r="F39" s="293"/>
      <c r="G39" s="477"/>
      <c r="J39" s="233"/>
    </row>
    <row r="40" spans="1:10" s="336" customFormat="1" ht="12.75">
      <c r="A40" s="128"/>
      <c r="B40" s="341"/>
      <c r="C40" s="25">
        <v>3125</v>
      </c>
      <c r="D40" s="338" t="s">
        <v>430</v>
      </c>
      <c r="E40" s="3"/>
      <c r="F40" s="291">
        <v>1559433.57</v>
      </c>
      <c r="G40" s="304">
        <v>1841790.77</v>
      </c>
      <c r="I40" s="361"/>
      <c r="J40" s="233"/>
    </row>
    <row r="41" spans="1:10" s="336" customFormat="1" ht="12.75">
      <c r="A41" s="128"/>
      <c r="B41" s="341" t="s">
        <v>174</v>
      </c>
      <c r="C41" s="544" t="s">
        <v>180</v>
      </c>
      <c r="D41" s="545"/>
      <c r="E41" s="3"/>
      <c r="F41" s="293">
        <v>0</v>
      </c>
      <c r="G41" s="477">
        <v>0</v>
      </c>
      <c r="I41" s="361"/>
      <c r="J41" s="233"/>
    </row>
    <row r="42" spans="1:7" s="336" customFormat="1" ht="12.75">
      <c r="A42" s="128"/>
      <c r="B42" s="341" t="s">
        <v>176</v>
      </c>
      <c r="C42" s="544" t="s">
        <v>181</v>
      </c>
      <c r="D42" s="545"/>
      <c r="E42" s="3"/>
      <c r="F42" s="293">
        <v>0</v>
      </c>
      <c r="G42" s="477">
        <v>0</v>
      </c>
    </row>
    <row r="43" spans="1:7" s="336" customFormat="1" ht="13.5" customHeight="1">
      <c r="A43" s="128"/>
      <c r="B43" s="341" t="s">
        <v>183</v>
      </c>
      <c r="C43" s="544" t="s">
        <v>182</v>
      </c>
      <c r="D43" s="545"/>
      <c r="E43" s="3"/>
      <c r="F43" s="291">
        <v>92108.68</v>
      </c>
      <c r="G43" s="304">
        <v>645397.2</v>
      </c>
    </row>
    <row r="44" spans="1:7" s="336" customFormat="1" ht="12.75">
      <c r="A44" s="128"/>
      <c r="B44" s="341" t="s">
        <v>285</v>
      </c>
      <c r="C44" s="544" t="s">
        <v>184</v>
      </c>
      <c r="D44" s="545"/>
      <c r="E44" s="3"/>
      <c r="F44" s="322"/>
      <c r="G44" s="305"/>
    </row>
    <row r="45" spans="1:9" s="336" customFormat="1" ht="12.75">
      <c r="A45" s="128"/>
      <c r="B45" s="343"/>
      <c r="C45" s="344" t="s">
        <v>249</v>
      </c>
      <c r="D45" s="363"/>
      <c r="E45" s="3"/>
      <c r="F45" s="321">
        <f>+F44+F43+F42+F41+F39+F38+F40</f>
        <v>2383009.08</v>
      </c>
      <c r="G45" s="312">
        <v>3306767.81</v>
      </c>
      <c r="I45" s="351"/>
    </row>
    <row r="46" spans="1:9" s="336" customFormat="1" ht="18.75" customHeight="1">
      <c r="A46" s="128"/>
      <c r="B46" s="333">
        <v>5</v>
      </c>
      <c r="C46" s="339" t="s">
        <v>185</v>
      </c>
      <c r="D46" s="339"/>
      <c r="E46" s="3"/>
      <c r="F46" s="322"/>
      <c r="G46" s="305"/>
      <c r="I46" s="364"/>
    </row>
    <row r="47" spans="1:7" s="336" customFormat="1" ht="19.5" customHeight="1">
      <c r="A47" s="128"/>
      <c r="B47" s="333">
        <v>6</v>
      </c>
      <c r="C47" s="339" t="s">
        <v>186</v>
      </c>
      <c r="D47" s="339"/>
      <c r="E47" s="3"/>
      <c r="F47" s="322"/>
      <c r="G47" s="305"/>
    </row>
    <row r="48" spans="1:8" s="336" customFormat="1" ht="16.5" customHeight="1">
      <c r="A48" s="128"/>
      <c r="B48" s="333">
        <v>7</v>
      </c>
      <c r="C48" s="339" t="s">
        <v>187</v>
      </c>
      <c r="D48" s="339"/>
      <c r="E48" s="3"/>
      <c r="F48" s="289">
        <f>+SUM(F49:F50)</f>
        <v>0</v>
      </c>
      <c r="G48" s="310">
        <v>5796</v>
      </c>
      <c r="H48" s="351"/>
    </row>
    <row r="49" spans="1:7" s="336" customFormat="1" ht="12.75" hidden="1" outlineLevel="1">
      <c r="A49" s="128"/>
      <c r="B49" s="333"/>
      <c r="C49" s="13">
        <v>486</v>
      </c>
      <c r="D49" s="347" t="s">
        <v>271</v>
      </c>
      <c r="E49" s="3"/>
      <c r="F49" s="291"/>
      <c r="G49" s="304">
        <v>5796</v>
      </c>
    </row>
    <row r="50" spans="1:7" ht="12.75" hidden="1" outlineLevel="1">
      <c r="A50" s="128"/>
      <c r="B50" s="111"/>
      <c r="C50" s="13">
        <v>481</v>
      </c>
      <c r="D50" s="22" t="s">
        <v>272</v>
      </c>
      <c r="E50" s="3"/>
      <c r="F50" s="289"/>
      <c r="G50" s="310"/>
    </row>
    <row r="51" spans="1:9" ht="15" collapsed="1">
      <c r="A51" s="128"/>
      <c r="B51" s="122"/>
      <c r="C51" s="546" t="s">
        <v>255</v>
      </c>
      <c r="D51" s="547"/>
      <c r="E51" s="12"/>
      <c r="F51" s="325">
        <f>+F48+F47+F46+F45+F36+F18+F14</f>
        <v>10027505.47</v>
      </c>
      <c r="G51" s="315">
        <v>6117587.92</v>
      </c>
      <c r="I51" s="330"/>
    </row>
    <row r="52" spans="1:7" ht="15">
      <c r="A52" s="128"/>
      <c r="B52" s="123" t="s">
        <v>188</v>
      </c>
      <c r="C52" s="567" t="s">
        <v>273</v>
      </c>
      <c r="D52" s="567"/>
      <c r="E52" s="3"/>
      <c r="F52" s="322"/>
      <c r="G52" s="305"/>
    </row>
    <row r="53" spans="1:7" ht="16.5" customHeight="1">
      <c r="A53" s="128"/>
      <c r="B53" s="111">
        <v>1</v>
      </c>
      <c r="C53" s="2" t="s">
        <v>189</v>
      </c>
      <c r="D53" s="2"/>
      <c r="E53" s="3"/>
      <c r="F53" s="322"/>
      <c r="G53" s="305"/>
    </row>
    <row r="54" spans="1:7" ht="12.75">
      <c r="A54" s="128"/>
      <c r="B54" s="115" t="s">
        <v>167</v>
      </c>
      <c r="C54" s="550" t="s">
        <v>190</v>
      </c>
      <c r="D54" s="551"/>
      <c r="E54" s="3"/>
      <c r="F54" s="322"/>
      <c r="G54" s="305"/>
    </row>
    <row r="55" spans="1:7" ht="12.75">
      <c r="A55" s="128"/>
      <c r="B55" s="115" t="s">
        <v>169</v>
      </c>
      <c r="C55" s="544" t="s">
        <v>191</v>
      </c>
      <c r="D55" s="545"/>
      <c r="E55" s="3"/>
      <c r="F55" s="291">
        <v>30000</v>
      </c>
      <c r="G55" s="305"/>
    </row>
    <row r="56" spans="1:7" ht="12.75">
      <c r="A56" s="128"/>
      <c r="B56" s="115" t="s">
        <v>174</v>
      </c>
      <c r="C56" s="27" t="s">
        <v>192</v>
      </c>
      <c r="D56" s="28"/>
      <c r="E56" s="3"/>
      <c r="F56" s="322"/>
      <c r="G56" s="305"/>
    </row>
    <row r="57" spans="1:7" ht="12.75">
      <c r="A57" s="128"/>
      <c r="B57" s="115" t="s">
        <v>176</v>
      </c>
      <c r="C57" s="550" t="s">
        <v>193</v>
      </c>
      <c r="D57" s="551"/>
      <c r="E57" s="3"/>
      <c r="F57" s="326">
        <f>+SUM(F58:F61)</f>
        <v>0</v>
      </c>
      <c r="G57" s="180">
        <v>0</v>
      </c>
    </row>
    <row r="58" spans="1:7" ht="12.75" hidden="1" outlineLevel="1">
      <c r="A58" s="128"/>
      <c r="B58" s="115"/>
      <c r="C58" s="13">
        <v>418</v>
      </c>
      <c r="D58" s="14" t="s">
        <v>262</v>
      </c>
      <c r="E58" s="3"/>
      <c r="F58" s="326"/>
      <c r="G58" s="180"/>
    </row>
    <row r="59" spans="1:7" ht="12.75" hidden="1" outlineLevel="1">
      <c r="A59" s="128"/>
      <c r="B59" s="115"/>
      <c r="C59" s="13">
        <v>467</v>
      </c>
      <c r="D59" s="14" t="s">
        <v>263</v>
      </c>
      <c r="E59" s="3"/>
      <c r="F59" s="326"/>
      <c r="G59" s="180"/>
    </row>
    <row r="60" spans="1:7" ht="12.75" hidden="1" outlineLevel="1">
      <c r="A60" s="128"/>
      <c r="B60" s="115"/>
      <c r="C60" s="13">
        <v>444</v>
      </c>
      <c r="D60" s="14" t="s">
        <v>261</v>
      </c>
      <c r="E60" s="3"/>
      <c r="F60" s="326"/>
      <c r="G60" s="180"/>
    </row>
    <row r="61" spans="1:7" ht="12.75" hidden="1" outlineLevel="1">
      <c r="A61" s="128"/>
      <c r="B61" s="115"/>
      <c r="C61" s="15">
        <v>444</v>
      </c>
      <c r="D61" s="14" t="s">
        <v>264</v>
      </c>
      <c r="E61" s="3"/>
      <c r="F61" s="326"/>
      <c r="G61" s="180"/>
    </row>
    <row r="62" spans="1:7" ht="12.75" collapsed="1">
      <c r="A62" s="128"/>
      <c r="B62" s="116"/>
      <c r="C62" s="16" t="s">
        <v>241</v>
      </c>
      <c r="D62" s="17"/>
      <c r="E62" s="3"/>
      <c r="F62" s="321">
        <f>+F57+F56+F55+F54</f>
        <v>30000</v>
      </c>
      <c r="G62" s="312">
        <v>0</v>
      </c>
    </row>
    <row r="63" spans="1:7" ht="20.25" customHeight="1">
      <c r="A63" s="128"/>
      <c r="B63" s="111">
        <v>2</v>
      </c>
      <c r="C63" s="2" t="s">
        <v>194</v>
      </c>
      <c r="D63" s="18"/>
      <c r="E63" s="3"/>
      <c r="F63" s="322"/>
      <c r="G63" s="305"/>
    </row>
    <row r="64" spans="1:7" ht="12.75">
      <c r="A64" s="128"/>
      <c r="B64" s="115" t="s">
        <v>167</v>
      </c>
      <c r="C64" s="550" t="s">
        <v>195</v>
      </c>
      <c r="D64" s="551"/>
      <c r="E64" s="3"/>
      <c r="F64" s="324"/>
      <c r="G64" s="309"/>
    </row>
    <row r="65" spans="1:7" ht="12.75">
      <c r="A65" s="128"/>
      <c r="B65" s="115" t="s">
        <v>169</v>
      </c>
      <c r="C65" s="550" t="s">
        <v>196</v>
      </c>
      <c r="D65" s="551"/>
      <c r="E65" s="3"/>
      <c r="F65" s="324"/>
      <c r="G65" s="309"/>
    </row>
    <row r="66" spans="1:8" ht="12.75">
      <c r="A66" s="128"/>
      <c r="B66" s="115" t="s">
        <v>174</v>
      </c>
      <c r="C66" s="550" t="s">
        <v>197</v>
      </c>
      <c r="D66" s="551"/>
      <c r="E66" s="3"/>
      <c r="F66" s="290">
        <f>+SUM(F67:F69)</f>
        <v>30801529.849999998</v>
      </c>
      <c r="G66" s="308">
        <v>33409857.119999997</v>
      </c>
      <c r="H66" s="330"/>
    </row>
    <row r="67" spans="1:7" ht="12.75" hidden="1" outlineLevel="1">
      <c r="A67" s="128"/>
      <c r="B67" s="115"/>
      <c r="C67" s="176">
        <v>213</v>
      </c>
      <c r="D67" s="14" t="s">
        <v>454</v>
      </c>
      <c r="E67" s="30"/>
      <c r="F67" s="291">
        <f>39228012.76-9360131</f>
        <v>29867881.759999998</v>
      </c>
      <c r="G67" s="304">
        <v>32386145.119999997</v>
      </c>
    </row>
    <row r="68" spans="1:7" ht="12.75" hidden="1" outlineLevel="1">
      <c r="A68" s="128"/>
      <c r="B68" s="115"/>
      <c r="C68" s="176">
        <v>218</v>
      </c>
      <c r="D68" s="14" t="s">
        <v>156</v>
      </c>
      <c r="E68" s="30"/>
      <c r="F68" s="291">
        <f>313080.09-67649</f>
        <v>245431.09000000003</v>
      </c>
      <c r="G68" s="304">
        <v>157753</v>
      </c>
    </row>
    <row r="69" spans="1:7" ht="12.75" hidden="1" outlineLevel="1">
      <c r="A69" s="128"/>
      <c r="B69" s="115"/>
      <c r="C69" s="176">
        <v>2158</v>
      </c>
      <c r="D69" s="14" t="s">
        <v>455</v>
      </c>
      <c r="E69" s="30"/>
      <c r="F69" s="291">
        <f>1365000-676783</f>
        <v>688217</v>
      </c>
      <c r="G69" s="304">
        <v>865959</v>
      </c>
    </row>
    <row r="70" spans="1:7" ht="12.75" collapsed="1">
      <c r="A70" s="128"/>
      <c r="B70" s="115" t="s">
        <v>176</v>
      </c>
      <c r="C70" s="550" t="s">
        <v>253</v>
      </c>
      <c r="D70" s="551"/>
      <c r="E70" s="3"/>
      <c r="F70" s="324"/>
      <c r="G70" s="309"/>
    </row>
    <row r="71" spans="1:7" ht="12.75">
      <c r="A71" s="128"/>
      <c r="B71" s="116"/>
      <c r="C71" s="9" t="s">
        <v>240</v>
      </c>
      <c r="D71" s="9"/>
      <c r="E71" s="3"/>
      <c r="F71" s="321">
        <f>+F70+F66+F65+F64</f>
        <v>30801529.849999998</v>
      </c>
      <c r="G71" s="312">
        <v>33409857.119999997</v>
      </c>
    </row>
    <row r="72" spans="1:7" ht="17.25" customHeight="1">
      <c r="A72" s="128"/>
      <c r="B72" s="111">
        <v>3</v>
      </c>
      <c r="C72" s="2" t="s">
        <v>198</v>
      </c>
      <c r="D72" s="2"/>
      <c r="E72" s="3"/>
      <c r="F72" s="322"/>
      <c r="G72" s="305"/>
    </row>
    <row r="73" spans="1:7" ht="18.75" customHeight="1">
      <c r="A73" s="128"/>
      <c r="B73" s="111">
        <v>4</v>
      </c>
      <c r="C73" s="2" t="s">
        <v>199</v>
      </c>
      <c r="D73" s="2"/>
      <c r="E73" s="3"/>
      <c r="F73" s="322"/>
      <c r="G73" s="305"/>
    </row>
    <row r="74" spans="1:7" ht="12.75">
      <c r="A74" s="128"/>
      <c r="B74" s="115" t="s">
        <v>167</v>
      </c>
      <c r="C74" s="550" t="s">
        <v>200</v>
      </c>
      <c r="D74" s="551"/>
      <c r="E74" s="3"/>
      <c r="F74" s="324"/>
      <c r="G74" s="309"/>
    </row>
    <row r="75" spans="1:7" ht="12.75">
      <c r="A75" s="128"/>
      <c r="B75" s="115" t="s">
        <v>169</v>
      </c>
      <c r="C75" s="550" t="s">
        <v>201</v>
      </c>
      <c r="D75" s="551"/>
      <c r="E75" s="3"/>
      <c r="F75" s="324"/>
      <c r="G75" s="309"/>
    </row>
    <row r="76" spans="1:7" ht="12.75">
      <c r="A76" s="128"/>
      <c r="B76" s="115" t="s">
        <v>174</v>
      </c>
      <c r="C76" s="550" t="s">
        <v>202</v>
      </c>
      <c r="D76" s="551"/>
      <c r="E76" s="3"/>
      <c r="F76" s="324">
        <v>0</v>
      </c>
      <c r="G76" s="309">
        <v>0</v>
      </c>
    </row>
    <row r="77" spans="1:7" ht="12.75">
      <c r="A77" s="128"/>
      <c r="B77" s="116"/>
      <c r="C77" s="9" t="s">
        <v>239</v>
      </c>
      <c r="D77" s="9"/>
      <c r="E77" s="3"/>
      <c r="F77" s="327">
        <v>0</v>
      </c>
      <c r="G77" s="311">
        <v>0</v>
      </c>
    </row>
    <row r="78" spans="1:7" ht="18.75" customHeight="1">
      <c r="A78" s="128"/>
      <c r="B78" s="111">
        <v>5</v>
      </c>
      <c r="C78" s="2" t="s">
        <v>203</v>
      </c>
      <c r="D78" s="2"/>
      <c r="E78" s="3"/>
      <c r="F78" s="290">
        <v>0</v>
      </c>
      <c r="G78" s="308">
        <v>0</v>
      </c>
    </row>
    <row r="79" spans="1:7" ht="12.75" hidden="1" outlineLevel="1">
      <c r="A79" s="128"/>
      <c r="B79" s="111"/>
      <c r="C79" s="13">
        <v>456</v>
      </c>
      <c r="D79" s="14" t="s">
        <v>274</v>
      </c>
      <c r="E79" s="3"/>
      <c r="F79" s="290"/>
      <c r="G79" s="308"/>
    </row>
    <row r="80" spans="1:7" ht="20.25" customHeight="1" collapsed="1">
      <c r="A80" s="128"/>
      <c r="B80" s="111">
        <v>6</v>
      </c>
      <c r="C80" s="19" t="s">
        <v>204</v>
      </c>
      <c r="D80" s="19"/>
      <c r="E80" s="3"/>
      <c r="F80" s="290">
        <v>0</v>
      </c>
      <c r="G80" s="308">
        <v>0</v>
      </c>
    </row>
    <row r="81" spans="1:7" ht="12.75" hidden="1" outlineLevel="1">
      <c r="A81" s="128"/>
      <c r="B81" s="125"/>
      <c r="C81" s="20">
        <v>23</v>
      </c>
      <c r="D81" s="21" t="s">
        <v>275</v>
      </c>
      <c r="E81" s="6"/>
      <c r="F81" s="323"/>
      <c r="G81" s="187"/>
    </row>
    <row r="82" spans="1:7" ht="17.25" customHeight="1" collapsed="1" thickBot="1">
      <c r="A82" s="128"/>
      <c r="B82" s="126"/>
      <c r="C82" s="548" t="s">
        <v>256</v>
      </c>
      <c r="D82" s="549"/>
      <c r="E82" s="127"/>
      <c r="F82" s="328">
        <f>+F80+F78+F77+F72+F71+F62</f>
        <v>30831529.849999998</v>
      </c>
      <c r="G82" s="316">
        <v>33409857.119999997</v>
      </c>
    </row>
    <row r="83" spans="1:7" ht="23.25" customHeight="1" thickBot="1">
      <c r="A83" s="128"/>
      <c r="B83" s="541" t="s">
        <v>205</v>
      </c>
      <c r="C83" s="542"/>
      <c r="D83" s="543"/>
      <c r="E83" s="178"/>
      <c r="F83" s="320">
        <f>+F82+F51</f>
        <v>40859035.32</v>
      </c>
      <c r="G83" s="317">
        <v>39527445.04</v>
      </c>
    </row>
    <row r="84" spans="1:7" ht="15">
      <c r="A84" s="128"/>
      <c r="B84" s="196"/>
      <c r="C84" s="196"/>
      <c r="D84" s="196"/>
      <c r="E84" s="1"/>
      <c r="F84" s="329"/>
      <c r="G84" s="131"/>
    </row>
    <row r="85" spans="1:7" ht="15">
      <c r="A85" s="128"/>
      <c r="B85" s="196"/>
      <c r="C85" s="196"/>
      <c r="D85" s="196"/>
      <c r="E85" s="1"/>
      <c r="F85" s="329"/>
      <c r="G85" s="131"/>
    </row>
    <row r="86" spans="1:7" ht="15">
      <c r="A86" s="128"/>
      <c r="B86" s="196"/>
      <c r="C86" s="196"/>
      <c r="D86" s="196"/>
      <c r="E86" s="1"/>
      <c r="F86" s="329"/>
      <c r="G86" s="131"/>
    </row>
    <row r="87" spans="1:7" ht="15">
      <c r="A87" s="128"/>
      <c r="B87" s="196"/>
      <c r="C87" s="196"/>
      <c r="D87" s="196"/>
      <c r="E87" s="1"/>
      <c r="F87" s="329"/>
      <c r="G87" s="131"/>
    </row>
    <row r="88" ht="12.75">
      <c r="F88" s="330"/>
    </row>
    <row r="89" ht="12.75">
      <c r="F89" s="330"/>
    </row>
    <row r="90" ht="12.75">
      <c r="F90" s="330"/>
    </row>
    <row r="91" ht="12.75">
      <c r="F91" s="330"/>
    </row>
    <row r="92" ht="12.75">
      <c r="F92" s="330"/>
    </row>
  </sheetData>
  <sheetProtection/>
  <mergeCells count="26">
    <mergeCell ref="C52:D52"/>
    <mergeCell ref="C74:D74"/>
    <mergeCell ref="C75:D75"/>
    <mergeCell ref="C76:D76"/>
    <mergeCell ref="C64:D64"/>
    <mergeCell ref="C65:D65"/>
    <mergeCell ref="C66:D66"/>
    <mergeCell ref="C70:D70"/>
    <mergeCell ref="C10:D10"/>
    <mergeCell ref="C14:D14"/>
    <mergeCell ref="B5:G5"/>
    <mergeCell ref="G8:G9"/>
    <mergeCell ref="E8:E9"/>
    <mergeCell ref="F8:F9"/>
    <mergeCell ref="C8:D9"/>
    <mergeCell ref="B6:G6"/>
    <mergeCell ref="B83:D83"/>
    <mergeCell ref="C41:D41"/>
    <mergeCell ref="C42:D42"/>
    <mergeCell ref="C43:D43"/>
    <mergeCell ref="C44:D44"/>
    <mergeCell ref="C51:D51"/>
    <mergeCell ref="C82:D82"/>
    <mergeCell ref="C54:D54"/>
    <mergeCell ref="C55:D55"/>
    <mergeCell ref="C57:D57"/>
  </mergeCells>
  <printOptions horizontalCentered="1"/>
  <pageMargins left="0.17" right="0.16" top="0.15748031496063" bottom="0.15748031496063" header="0.17" footer="0.16"/>
  <pageSetup horizontalDpi="600" verticalDpi="600" orientation="portrait" paperSize="12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8"/>
  <sheetViews>
    <sheetView zoomScalePageLayoutView="0" workbookViewId="0" topLeftCell="A1">
      <selection activeCell="E3" sqref="E3"/>
    </sheetView>
  </sheetViews>
  <sheetFormatPr defaultColWidth="9.140625" defaultRowHeight="12.75" outlineLevelRow="1"/>
  <cols>
    <col min="1" max="1" width="5.28125" style="99" customWidth="1"/>
    <col min="2" max="2" width="8.57421875" style="99" customWidth="1"/>
    <col min="3" max="3" width="6.8515625" style="99" customWidth="1"/>
    <col min="4" max="4" width="45.7109375" style="99" customWidth="1"/>
    <col min="5" max="5" width="8.57421875" style="99" customWidth="1"/>
    <col min="6" max="6" width="15.00390625" style="299" customWidth="1"/>
    <col min="7" max="7" width="14.00390625" style="99" customWidth="1"/>
    <col min="8" max="8" width="13.57421875" style="99" bestFit="1" customWidth="1"/>
    <col min="9" max="9" width="11.28125" style="99" bestFit="1" customWidth="1"/>
    <col min="10" max="16384" width="9.140625" style="99" customWidth="1"/>
  </cols>
  <sheetData>
    <row r="2" spans="2:7" ht="12.75">
      <c r="B2" s="130" t="s">
        <v>509</v>
      </c>
      <c r="C2" s="128" t="s">
        <v>510</v>
      </c>
      <c r="D2" s="130"/>
      <c r="E2" s="128"/>
      <c r="F2" s="284"/>
      <c r="G2" s="128"/>
    </row>
    <row r="3" spans="2:7" ht="12.75">
      <c r="B3" s="130" t="s">
        <v>398</v>
      </c>
      <c r="C3" s="128" t="s">
        <v>458</v>
      </c>
      <c r="D3" s="130"/>
      <c r="E3" s="128"/>
      <c r="F3" s="284"/>
      <c r="G3" s="128"/>
    </row>
    <row r="4" spans="2:7" ht="15" customHeight="1">
      <c r="B4" s="555" t="s">
        <v>159</v>
      </c>
      <c r="C4" s="555"/>
      <c r="D4" s="555"/>
      <c r="E4" s="555"/>
      <c r="F4" s="555"/>
      <c r="G4" s="555"/>
    </row>
    <row r="5" spans="2:7" ht="15">
      <c r="B5" s="128"/>
      <c r="C5" s="196"/>
      <c r="F5" s="285"/>
      <c r="G5" s="128"/>
    </row>
    <row r="6" spans="2:7" ht="13.5" customHeight="1">
      <c r="B6" s="566" t="s">
        <v>0</v>
      </c>
      <c r="C6" s="566"/>
      <c r="D6" s="566"/>
      <c r="E6" s="566"/>
      <c r="F6" s="566"/>
      <c r="G6" s="566"/>
    </row>
    <row r="7" spans="2:7" ht="19.5" customHeight="1" thickBot="1">
      <c r="B7" s="128"/>
      <c r="C7" s="128"/>
      <c r="D7" s="128"/>
      <c r="E7" s="1"/>
      <c r="F7" s="286"/>
      <c r="G7" s="131"/>
    </row>
    <row r="8" spans="2:7" ht="18.75" customHeight="1">
      <c r="B8" s="132" t="s">
        <v>160</v>
      </c>
      <c r="C8" s="562" t="s">
        <v>251</v>
      </c>
      <c r="D8" s="563"/>
      <c r="E8" s="571" t="s">
        <v>162</v>
      </c>
      <c r="F8" s="569" t="s">
        <v>4</v>
      </c>
      <c r="G8" s="569" t="s">
        <v>5</v>
      </c>
    </row>
    <row r="9" spans="2:7" ht="19.5" customHeight="1" thickBot="1">
      <c r="B9" s="133" t="s">
        <v>161</v>
      </c>
      <c r="C9" s="564"/>
      <c r="D9" s="565"/>
      <c r="E9" s="572"/>
      <c r="F9" s="570"/>
      <c r="G9" s="570"/>
    </row>
    <row r="10" spans="2:7" ht="18" customHeight="1">
      <c r="B10" s="107" t="s">
        <v>164</v>
      </c>
      <c r="C10" s="568" t="s">
        <v>307</v>
      </c>
      <c r="D10" s="568"/>
      <c r="E10" s="108"/>
      <c r="F10" s="287"/>
      <c r="G10" s="110"/>
    </row>
    <row r="11" spans="2:7" ht="12.75">
      <c r="B11" s="111">
        <v>1</v>
      </c>
      <c r="C11" s="2" t="s">
        <v>206</v>
      </c>
      <c r="D11" s="2"/>
      <c r="E11" s="3"/>
      <c r="F11" s="288"/>
      <c r="G11" s="118"/>
    </row>
    <row r="12" spans="2:7" ht="12.75" hidden="1" outlineLevel="1">
      <c r="B12" s="111">
        <v>2</v>
      </c>
      <c r="C12" s="2" t="s">
        <v>207</v>
      </c>
      <c r="D12" s="2"/>
      <c r="E12" s="3"/>
      <c r="F12" s="288"/>
      <c r="G12" s="118"/>
    </row>
    <row r="13" spans="2:7" ht="12.75" hidden="1" outlineLevel="1">
      <c r="B13" s="115" t="s">
        <v>167</v>
      </c>
      <c r="C13" s="8" t="s">
        <v>208</v>
      </c>
      <c r="D13" s="8"/>
      <c r="E13" s="3"/>
      <c r="F13" s="289">
        <f>F14+F15</f>
        <v>3534141.01</v>
      </c>
      <c r="G13" s="124">
        <v>2026920.46</v>
      </c>
    </row>
    <row r="14" spans="2:7" ht="12.75" collapsed="1">
      <c r="B14" s="115"/>
      <c r="C14" s="31">
        <v>519</v>
      </c>
      <c r="D14" s="22" t="s">
        <v>276</v>
      </c>
      <c r="E14" s="3"/>
      <c r="F14" s="291">
        <f>801643.36+2024497.65+708000</f>
        <v>3534141.01</v>
      </c>
      <c r="G14" s="304">
        <v>2026920.46</v>
      </c>
    </row>
    <row r="15" spans="2:7" ht="12.75">
      <c r="B15" s="115"/>
      <c r="C15" s="31">
        <v>542</v>
      </c>
      <c r="D15" s="22" t="s">
        <v>276</v>
      </c>
      <c r="E15" s="3"/>
      <c r="F15" s="289"/>
      <c r="G15" s="124"/>
    </row>
    <row r="16" spans="2:7" ht="12.75">
      <c r="B16" s="115" t="s">
        <v>169</v>
      </c>
      <c r="C16" s="8" t="s">
        <v>209</v>
      </c>
      <c r="D16" s="8"/>
      <c r="E16" s="3"/>
      <c r="F16" s="288"/>
      <c r="G16" s="121"/>
    </row>
    <row r="17" spans="2:7" ht="18" customHeight="1">
      <c r="B17" s="115" t="s">
        <v>174</v>
      </c>
      <c r="C17" s="8" t="s">
        <v>210</v>
      </c>
      <c r="D17" s="8"/>
      <c r="E17" s="3"/>
      <c r="F17" s="288"/>
      <c r="G17" s="121"/>
    </row>
    <row r="18" spans="2:8" ht="12.75">
      <c r="B18" s="116"/>
      <c r="C18" s="9" t="s">
        <v>242</v>
      </c>
      <c r="D18" s="9"/>
      <c r="E18" s="3"/>
      <c r="F18" s="288">
        <f>F13+F16+F17</f>
        <v>3534141.01</v>
      </c>
      <c r="G18" s="306">
        <v>2026920.46</v>
      </c>
      <c r="H18" s="330"/>
    </row>
    <row r="19" spans="2:7" ht="12.75" hidden="1" outlineLevel="1">
      <c r="B19" s="111">
        <v>3</v>
      </c>
      <c r="C19" s="2" t="s">
        <v>211</v>
      </c>
      <c r="D19" s="2"/>
      <c r="E19" s="3"/>
      <c r="F19" s="288"/>
      <c r="G19" s="121"/>
    </row>
    <row r="20" spans="2:7" ht="12.75" hidden="1" outlineLevel="1">
      <c r="B20" s="115" t="s">
        <v>167</v>
      </c>
      <c r="C20" s="8" t="s">
        <v>212</v>
      </c>
      <c r="D20" s="8"/>
      <c r="E20" s="3"/>
      <c r="F20" s="289">
        <f>+SUM(F21:F24)</f>
        <v>27854134.53</v>
      </c>
      <c r="G20" s="180">
        <v>28780440.6</v>
      </c>
    </row>
    <row r="21" spans="2:8" s="336" customFormat="1" ht="12.75" hidden="1" outlineLevel="1">
      <c r="B21" s="341"/>
      <c r="C21" s="24">
        <v>401</v>
      </c>
      <c r="D21" s="347" t="s">
        <v>277</v>
      </c>
      <c r="E21" s="30"/>
      <c r="F21" s="291">
        <v>27854134.53</v>
      </c>
      <c r="G21" s="304">
        <v>28744680.78</v>
      </c>
      <c r="H21" s="351"/>
    </row>
    <row r="22" spans="2:7" s="336" customFormat="1" ht="12.75" collapsed="1">
      <c r="B22" s="341"/>
      <c r="C22" s="24">
        <v>403</v>
      </c>
      <c r="D22" s="347" t="s">
        <v>279</v>
      </c>
      <c r="E22" s="30"/>
      <c r="F22" s="292"/>
      <c r="G22" s="180"/>
    </row>
    <row r="23" spans="2:7" s="336" customFormat="1" ht="12.75" hidden="1" outlineLevel="1">
      <c r="B23" s="341"/>
      <c r="C23" s="24">
        <v>404</v>
      </c>
      <c r="D23" s="335" t="s">
        <v>278</v>
      </c>
      <c r="E23" s="30"/>
      <c r="F23" s="292"/>
      <c r="G23" s="180"/>
    </row>
    <row r="24" spans="2:7" s="336" customFormat="1" ht="12.75" hidden="1" outlineLevel="1">
      <c r="B24" s="341"/>
      <c r="C24" s="24">
        <v>408</v>
      </c>
      <c r="D24" s="335" t="s">
        <v>139</v>
      </c>
      <c r="E24" s="30"/>
      <c r="F24" s="291"/>
      <c r="G24" s="304">
        <v>35759.82</v>
      </c>
    </row>
    <row r="25" spans="2:7" s="336" customFormat="1" ht="12.75" hidden="1" outlineLevel="1">
      <c r="B25" s="348" t="s">
        <v>169</v>
      </c>
      <c r="C25" s="342" t="s">
        <v>213</v>
      </c>
      <c r="D25" s="349"/>
      <c r="E25" s="3"/>
      <c r="F25" s="290">
        <f>+SUM(F26:F27)</f>
        <v>607686.5</v>
      </c>
      <c r="G25" s="183">
        <v>262148.5</v>
      </c>
    </row>
    <row r="26" spans="2:7" s="336" customFormat="1" ht="12.75" collapsed="1">
      <c r="B26" s="348"/>
      <c r="C26" s="24">
        <v>421</v>
      </c>
      <c r="D26" s="347" t="s">
        <v>280</v>
      </c>
      <c r="E26" s="3"/>
      <c r="F26" s="291">
        <v>607686.5</v>
      </c>
      <c r="G26" s="304">
        <v>262148.5</v>
      </c>
    </row>
    <row r="27" spans="2:7" s="336" customFormat="1" ht="12.75">
      <c r="B27" s="348"/>
      <c r="C27" s="24">
        <v>423</v>
      </c>
      <c r="D27" s="347" t="s">
        <v>281</v>
      </c>
      <c r="E27" s="3"/>
      <c r="F27" s="293"/>
      <c r="G27" s="183"/>
    </row>
    <row r="28" spans="2:7" s="336" customFormat="1" ht="13.5" customHeight="1" hidden="1" outlineLevel="1">
      <c r="B28" s="348" t="s">
        <v>174</v>
      </c>
      <c r="C28" s="342" t="s">
        <v>214</v>
      </c>
      <c r="D28" s="342"/>
      <c r="E28" s="3"/>
      <c r="F28" s="290">
        <f>+SUM(F29:F39)</f>
        <v>618964</v>
      </c>
      <c r="G28" s="180">
        <v>83477</v>
      </c>
    </row>
    <row r="29" spans="2:7" s="336" customFormat="1" ht="12.75" hidden="1" outlineLevel="1">
      <c r="B29" s="348"/>
      <c r="C29" s="350" t="s">
        <v>293</v>
      </c>
      <c r="D29" s="350"/>
      <c r="E29" s="3"/>
      <c r="F29" s="289"/>
      <c r="G29" s="180"/>
    </row>
    <row r="30" spans="2:7" s="336" customFormat="1" ht="12.75" collapsed="1">
      <c r="B30" s="348"/>
      <c r="C30" s="24">
        <v>431</v>
      </c>
      <c r="D30" s="347" t="s">
        <v>282</v>
      </c>
      <c r="E30" s="30"/>
      <c r="F30" s="291">
        <v>75972</v>
      </c>
      <c r="G30" s="304">
        <v>63660</v>
      </c>
    </row>
    <row r="31" spans="2:7" s="336" customFormat="1" ht="12.75" hidden="1" outlineLevel="1">
      <c r="B31" s="348"/>
      <c r="C31" s="24">
        <v>423</v>
      </c>
      <c r="D31" s="347" t="s">
        <v>283</v>
      </c>
      <c r="E31" s="30"/>
      <c r="F31" s="292"/>
      <c r="G31" s="180"/>
    </row>
    <row r="32" spans="2:7" s="336" customFormat="1" ht="12.75" hidden="1" outlineLevel="1">
      <c r="B32" s="348"/>
      <c r="C32" s="350" t="s">
        <v>294</v>
      </c>
      <c r="D32" s="350"/>
      <c r="E32" s="29"/>
      <c r="F32" s="289"/>
      <c r="G32" s="180"/>
    </row>
    <row r="33" spans="2:7" s="336" customFormat="1" ht="12.75" hidden="1" outlineLevel="1">
      <c r="B33" s="348"/>
      <c r="C33" s="35">
        <v>441</v>
      </c>
      <c r="D33" s="338" t="s">
        <v>287</v>
      </c>
      <c r="E33" s="29"/>
      <c r="F33" s="292"/>
      <c r="G33" s="180"/>
    </row>
    <row r="34" spans="2:7" s="336" customFormat="1" ht="12.75" hidden="1" outlineLevel="1">
      <c r="B34" s="348"/>
      <c r="C34" s="35">
        <v>442</v>
      </c>
      <c r="D34" s="338" t="s">
        <v>286</v>
      </c>
      <c r="E34" s="29"/>
      <c r="F34" s="291">
        <v>24230</v>
      </c>
      <c r="G34" s="304">
        <v>19817</v>
      </c>
    </row>
    <row r="35" spans="2:9" s="336" customFormat="1" ht="12.75" hidden="1" outlineLevel="1">
      <c r="B35" s="348"/>
      <c r="C35" s="35">
        <v>443</v>
      </c>
      <c r="D35" s="338" t="s">
        <v>288</v>
      </c>
      <c r="E35" s="29"/>
      <c r="F35" s="292"/>
      <c r="G35" s="180"/>
      <c r="I35" s="351"/>
    </row>
    <row r="36" spans="2:7" s="336" customFormat="1" ht="12.75" hidden="1" outlineLevel="1">
      <c r="B36" s="348"/>
      <c r="C36" s="35">
        <v>444</v>
      </c>
      <c r="D36" s="338" t="s">
        <v>289</v>
      </c>
      <c r="E36" s="29"/>
      <c r="F36" s="292"/>
      <c r="G36" s="180"/>
    </row>
    <row r="37" spans="2:7" s="336" customFormat="1" ht="12.75" hidden="1" outlineLevel="1">
      <c r="B37" s="348"/>
      <c r="C37" s="35">
        <v>4453</v>
      </c>
      <c r="D37" s="338" t="s">
        <v>290</v>
      </c>
      <c r="E37" s="29"/>
      <c r="F37" s="291">
        <v>518762</v>
      </c>
      <c r="G37" s="180"/>
    </row>
    <row r="38" spans="2:9" s="336" customFormat="1" ht="12.75" collapsed="1">
      <c r="B38" s="348"/>
      <c r="C38" s="35">
        <v>447</v>
      </c>
      <c r="D38" s="338" t="s">
        <v>291</v>
      </c>
      <c r="E38" s="29"/>
      <c r="F38" s="292"/>
      <c r="G38" s="180"/>
      <c r="I38" s="351"/>
    </row>
    <row r="39" spans="2:7" s="336" customFormat="1" ht="12.75" hidden="1" outlineLevel="1">
      <c r="B39" s="348"/>
      <c r="C39" s="35">
        <v>449</v>
      </c>
      <c r="D39" s="338" t="s">
        <v>292</v>
      </c>
      <c r="E39" s="29"/>
      <c r="F39" s="292"/>
      <c r="G39" s="180"/>
    </row>
    <row r="40" spans="2:7" s="336" customFormat="1" ht="12.75" hidden="1" outlineLevel="1">
      <c r="B40" s="352" t="s">
        <v>176</v>
      </c>
      <c r="C40" s="342" t="s">
        <v>257</v>
      </c>
      <c r="D40" s="353"/>
      <c r="E40" s="30"/>
      <c r="F40" s="293">
        <f>+SUM(F41:F46)</f>
        <v>19447033.55</v>
      </c>
      <c r="G40" s="185">
        <v>19621358.32</v>
      </c>
    </row>
    <row r="41" spans="2:7" s="336" customFormat="1" ht="12.75" hidden="1" outlineLevel="1">
      <c r="B41" s="352"/>
      <c r="C41" s="35">
        <v>451</v>
      </c>
      <c r="D41" s="338" t="s">
        <v>298</v>
      </c>
      <c r="E41" s="354"/>
      <c r="F41" s="291">
        <v>15529330.22</v>
      </c>
      <c r="G41" s="304">
        <v>13504201.15</v>
      </c>
    </row>
    <row r="42" spans="2:7" s="336" customFormat="1" ht="12.75" hidden="1" outlineLevel="1">
      <c r="B42" s="352"/>
      <c r="C42" s="35">
        <v>455</v>
      </c>
      <c r="D42" s="338" t="s">
        <v>299</v>
      </c>
      <c r="E42" s="354"/>
      <c r="F42" s="293"/>
      <c r="G42" s="185"/>
    </row>
    <row r="43" spans="2:7" s="336" customFormat="1" ht="12.75" hidden="1" outlineLevel="1">
      <c r="B43" s="352"/>
      <c r="C43" s="35">
        <v>456</v>
      </c>
      <c r="D43" s="338" t="s">
        <v>295</v>
      </c>
      <c r="E43" s="354"/>
      <c r="F43" s="293"/>
      <c r="G43" s="185"/>
    </row>
    <row r="44" spans="2:7" s="336" customFormat="1" ht="12.75" hidden="1" outlineLevel="1">
      <c r="B44" s="352"/>
      <c r="C44" s="35">
        <v>457</v>
      </c>
      <c r="D44" s="338" t="s">
        <v>456</v>
      </c>
      <c r="E44" s="354"/>
      <c r="F44" s="293"/>
      <c r="G44" s="185"/>
    </row>
    <row r="45" spans="2:8" s="336" customFormat="1" ht="12.75" collapsed="1">
      <c r="B45" s="352"/>
      <c r="C45" s="35">
        <v>460</v>
      </c>
      <c r="D45" s="338" t="s">
        <v>296</v>
      </c>
      <c r="E45" s="354"/>
      <c r="F45" s="291">
        <v>3917703.33</v>
      </c>
      <c r="G45" s="304">
        <v>6117157.17</v>
      </c>
      <c r="H45" s="351"/>
    </row>
    <row r="46" spans="2:7" ht="12.75" hidden="1" outlineLevel="1">
      <c r="B46" s="184"/>
      <c r="C46" s="35">
        <v>467</v>
      </c>
      <c r="D46" s="14" t="s">
        <v>297</v>
      </c>
      <c r="E46" s="5"/>
      <c r="F46" s="293"/>
      <c r="G46" s="185"/>
    </row>
    <row r="47" spans="2:7" ht="12.75" collapsed="1">
      <c r="B47" s="182" t="s">
        <v>183</v>
      </c>
      <c r="C47" s="8" t="s">
        <v>215</v>
      </c>
      <c r="D47" s="186"/>
      <c r="E47" s="3"/>
      <c r="F47" s="289">
        <f>+F48</f>
        <v>0</v>
      </c>
      <c r="G47" s="124">
        <v>0</v>
      </c>
    </row>
    <row r="48" spans="2:7" ht="16.5" customHeight="1">
      <c r="B48" s="182"/>
      <c r="C48" s="36">
        <v>409</v>
      </c>
      <c r="D48" s="33" t="s">
        <v>300</v>
      </c>
      <c r="E48" s="3"/>
      <c r="F48" s="289"/>
      <c r="G48" s="124"/>
    </row>
    <row r="49" spans="2:8" ht="15.75" customHeight="1">
      <c r="B49" s="116"/>
      <c r="C49" s="9" t="s">
        <v>243</v>
      </c>
      <c r="D49" s="26"/>
      <c r="E49" s="3"/>
      <c r="F49" s="288">
        <f>+F47+F40+F28+F25+F20</f>
        <v>48527818.58</v>
      </c>
      <c r="G49" s="306">
        <v>48747424.42</v>
      </c>
      <c r="H49" s="330"/>
    </row>
    <row r="50" spans="2:8" ht="15.75" customHeight="1">
      <c r="B50" s="111">
        <v>4</v>
      </c>
      <c r="C50" s="2" t="s">
        <v>216</v>
      </c>
      <c r="D50" s="18"/>
      <c r="E50" s="3"/>
      <c r="F50" s="288"/>
      <c r="G50" s="187"/>
      <c r="H50" s="330"/>
    </row>
    <row r="51" spans="2:8" ht="20.25" customHeight="1">
      <c r="B51" s="111">
        <v>5</v>
      </c>
      <c r="C51" s="2" t="s">
        <v>217</v>
      </c>
      <c r="D51" s="18"/>
      <c r="E51" s="3"/>
      <c r="F51" s="288"/>
      <c r="G51" s="187"/>
      <c r="H51" s="330"/>
    </row>
    <row r="52" spans="2:8" ht="16.5" customHeight="1">
      <c r="B52" s="188"/>
      <c r="C52" s="189" t="s">
        <v>245</v>
      </c>
      <c r="D52" s="189"/>
      <c r="E52" s="3"/>
      <c r="F52" s="288">
        <f>+F51+F50+F49+F18</f>
        <v>52061959.589999996</v>
      </c>
      <c r="G52" s="146">
        <v>50774344.88</v>
      </c>
      <c r="H52" s="330"/>
    </row>
    <row r="53" spans="2:7" ht="15">
      <c r="B53" s="123" t="s">
        <v>188</v>
      </c>
      <c r="C53" s="567" t="s">
        <v>308</v>
      </c>
      <c r="D53" s="567"/>
      <c r="E53" s="3"/>
      <c r="F53" s="288">
        <f>SUM(F54:F63)</f>
        <v>0</v>
      </c>
      <c r="G53" s="114">
        <v>0</v>
      </c>
    </row>
    <row r="54" spans="2:7" ht="12.75">
      <c r="B54" s="111">
        <v>1</v>
      </c>
      <c r="C54" s="2" t="s">
        <v>218</v>
      </c>
      <c r="D54" s="2"/>
      <c r="E54" s="3"/>
      <c r="F54" s="288">
        <f>F55</f>
        <v>0</v>
      </c>
      <c r="G54" s="114">
        <v>0</v>
      </c>
    </row>
    <row r="55" spans="2:7" ht="12.75">
      <c r="B55" s="115" t="s">
        <v>167</v>
      </c>
      <c r="C55" s="8" t="s">
        <v>219</v>
      </c>
      <c r="D55" s="8"/>
      <c r="E55" s="3"/>
      <c r="F55" s="288"/>
      <c r="G55" s="118"/>
    </row>
    <row r="56" spans="2:7" ht="17.25" customHeight="1">
      <c r="B56" s="115" t="s">
        <v>169</v>
      </c>
      <c r="C56" s="8" t="s">
        <v>220</v>
      </c>
      <c r="D56" s="8"/>
      <c r="E56" s="3"/>
      <c r="F56" s="288"/>
      <c r="G56" s="118"/>
    </row>
    <row r="57" spans="2:7" ht="13.5" customHeight="1" hidden="1" outlineLevel="1">
      <c r="B57" s="116"/>
      <c r="C57" s="9" t="s">
        <v>246</v>
      </c>
      <c r="D57" s="9"/>
      <c r="E57" s="3"/>
      <c r="F57" s="288"/>
      <c r="G57" s="190"/>
    </row>
    <row r="58" spans="2:7" ht="16.5" customHeight="1" collapsed="1">
      <c r="B58" s="111">
        <v>2</v>
      </c>
      <c r="C58" s="2" t="s">
        <v>221</v>
      </c>
      <c r="D58" s="2"/>
      <c r="E58" s="3"/>
      <c r="F58" s="288">
        <f>+SUM(F59)</f>
        <v>0</v>
      </c>
      <c r="G58" s="187">
        <v>0</v>
      </c>
    </row>
    <row r="59" spans="2:7" ht="12.75" hidden="1" outlineLevel="1">
      <c r="B59" s="111"/>
      <c r="C59" s="35">
        <v>4684</v>
      </c>
      <c r="D59" s="179" t="s">
        <v>459</v>
      </c>
      <c r="E59" s="3"/>
      <c r="F59" s="288"/>
      <c r="G59" s="187"/>
    </row>
    <row r="60" spans="2:7" ht="15.75" customHeight="1" collapsed="1">
      <c r="B60" s="111">
        <v>3</v>
      </c>
      <c r="C60" s="2" t="s">
        <v>222</v>
      </c>
      <c r="D60" s="2"/>
      <c r="E60" s="3"/>
      <c r="F60" s="294">
        <v>0</v>
      </c>
      <c r="G60" s="145">
        <v>0</v>
      </c>
    </row>
    <row r="61" spans="2:7" ht="17.25" customHeight="1">
      <c r="B61" s="111"/>
      <c r="C61" s="35">
        <v>4631</v>
      </c>
      <c r="D61" s="181" t="s">
        <v>301</v>
      </c>
      <c r="E61" s="34"/>
      <c r="F61" s="294"/>
      <c r="G61" s="145"/>
    </row>
    <row r="62" spans="2:7" ht="16.5" customHeight="1">
      <c r="B62" s="111">
        <v>4</v>
      </c>
      <c r="C62" s="2" t="s">
        <v>223</v>
      </c>
      <c r="D62" s="19"/>
      <c r="E62" s="3"/>
      <c r="F62" s="288"/>
      <c r="G62" s="187"/>
    </row>
    <row r="63" spans="2:7" ht="15.75" customHeight="1">
      <c r="B63" s="188"/>
      <c r="C63" s="189" t="s">
        <v>244</v>
      </c>
      <c r="D63" s="189"/>
      <c r="E63" s="3"/>
      <c r="F63" s="288">
        <f>+F62+F60+F58+F57+F56+F55</f>
        <v>0</v>
      </c>
      <c r="G63" s="306">
        <v>0</v>
      </c>
    </row>
    <row r="64" spans="2:8" ht="14.25" customHeight="1">
      <c r="B64" s="191"/>
      <c r="C64" s="192" t="s">
        <v>252</v>
      </c>
      <c r="D64" s="192"/>
      <c r="E64" s="12"/>
      <c r="F64" s="295">
        <f>+F63+F52</f>
        <v>52061959.589999996</v>
      </c>
      <c r="G64" s="193">
        <v>50774344.88</v>
      </c>
      <c r="H64" s="507"/>
    </row>
    <row r="65" spans="2:7" ht="16.5" customHeight="1">
      <c r="B65" s="191"/>
      <c r="C65" s="567" t="s">
        <v>431</v>
      </c>
      <c r="D65" s="567"/>
      <c r="E65" s="3"/>
      <c r="F65" s="288"/>
      <c r="G65" s="121"/>
    </row>
    <row r="66" spans="2:7" ht="14.25" customHeight="1">
      <c r="B66" s="123" t="s">
        <v>164</v>
      </c>
      <c r="C66" s="2" t="s">
        <v>224</v>
      </c>
      <c r="D66" s="2"/>
      <c r="E66" s="3"/>
      <c r="F66" s="288"/>
      <c r="G66" s="121"/>
    </row>
    <row r="67" spans="2:7" ht="15" customHeight="1">
      <c r="B67" s="111">
        <v>1</v>
      </c>
      <c r="C67" s="2" t="s">
        <v>225</v>
      </c>
      <c r="D67" s="2"/>
      <c r="E67" s="3"/>
      <c r="F67" s="288"/>
      <c r="G67" s="121"/>
    </row>
    <row r="68" spans="2:7" ht="12.75" hidden="1" outlineLevel="1">
      <c r="B68" s="111">
        <v>2</v>
      </c>
      <c r="C68" s="2" t="s">
        <v>226</v>
      </c>
      <c r="D68" s="2"/>
      <c r="E68" s="3"/>
      <c r="F68" s="288"/>
      <c r="G68" s="121"/>
    </row>
    <row r="69" spans="2:7" ht="12.75" hidden="1" outlineLevel="1">
      <c r="B69" s="111">
        <v>3</v>
      </c>
      <c r="C69" s="2" t="s">
        <v>227</v>
      </c>
      <c r="D69" s="2"/>
      <c r="E69" s="3"/>
      <c r="F69" s="288">
        <f>+F70+F71</f>
        <v>100000</v>
      </c>
      <c r="G69" s="306">
        <v>100000</v>
      </c>
    </row>
    <row r="70" spans="2:7" s="336" customFormat="1" ht="14.25" customHeight="1" collapsed="1">
      <c r="B70" s="333"/>
      <c r="C70" s="334">
        <v>101</v>
      </c>
      <c r="D70" s="335" t="s">
        <v>302</v>
      </c>
      <c r="E70" s="105"/>
      <c r="F70" s="296">
        <v>100000</v>
      </c>
      <c r="G70" s="187">
        <v>100000</v>
      </c>
    </row>
    <row r="71" spans="2:7" s="336" customFormat="1" ht="14.25" customHeight="1">
      <c r="B71" s="337"/>
      <c r="C71" s="15">
        <v>102</v>
      </c>
      <c r="D71" s="338" t="s">
        <v>303</v>
      </c>
      <c r="E71" s="29"/>
      <c r="F71" s="291"/>
      <c r="G71" s="187"/>
    </row>
    <row r="72" spans="2:7" s="336" customFormat="1" ht="12.75" hidden="1" outlineLevel="1">
      <c r="B72" s="333">
        <v>4</v>
      </c>
      <c r="C72" s="339" t="s">
        <v>228</v>
      </c>
      <c r="D72" s="340"/>
      <c r="E72" s="3"/>
      <c r="F72" s="288"/>
      <c r="G72" s="118"/>
    </row>
    <row r="73" spans="2:7" s="336" customFormat="1" ht="17.25" customHeight="1" collapsed="1">
      <c r="B73" s="333">
        <v>5</v>
      </c>
      <c r="C73" s="339" t="s">
        <v>229</v>
      </c>
      <c r="D73" s="339"/>
      <c r="E73" s="3"/>
      <c r="F73" s="288">
        <f>+F74</f>
        <v>0</v>
      </c>
      <c r="G73" s="118">
        <v>0</v>
      </c>
    </row>
    <row r="74" spans="2:7" s="336" customFormat="1" ht="12.75">
      <c r="B74" s="337"/>
      <c r="C74" s="15">
        <v>103</v>
      </c>
      <c r="D74" s="338" t="s">
        <v>304</v>
      </c>
      <c r="E74" s="29"/>
      <c r="F74" s="291"/>
      <c r="G74" s="119"/>
    </row>
    <row r="75" spans="2:7" s="336" customFormat="1" ht="12.75">
      <c r="B75" s="333">
        <v>6</v>
      </c>
      <c r="C75" s="339" t="s">
        <v>230</v>
      </c>
      <c r="D75" s="340"/>
      <c r="E75" s="3"/>
      <c r="F75" s="288"/>
      <c r="G75" s="121"/>
    </row>
    <row r="76" spans="2:7" s="336" customFormat="1" ht="12.75">
      <c r="B76" s="341" t="s">
        <v>167</v>
      </c>
      <c r="C76" s="342" t="s">
        <v>231</v>
      </c>
      <c r="D76" s="342"/>
      <c r="E76" s="3"/>
      <c r="F76" s="296"/>
      <c r="G76" s="121"/>
    </row>
    <row r="77" spans="2:7" s="336" customFormat="1" ht="13.5" customHeight="1">
      <c r="B77" s="341" t="s">
        <v>169</v>
      </c>
      <c r="C77" s="342" t="s">
        <v>232</v>
      </c>
      <c r="D77" s="342"/>
      <c r="E77" s="3"/>
      <c r="F77" s="296"/>
      <c r="G77" s="121"/>
    </row>
    <row r="78" spans="2:7" s="336" customFormat="1" ht="15.75" customHeight="1">
      <c r="B78" s="341" t="s">
        <v>174</v>
      </c>
      <c r="C78" s="342" t="s">
        <v>233</v>
      </c>
      <c r="D78" s="342"/>
      <c r="E78" s="3"/>
      <c r="F78" s="296"/>
      <c r="G78" s="121"/>
    </row>
    <row r="79" spans="2:7" s="336" customFormat="1" ht="12.75" hidden="1" outlineLevel="1">
      <c r="B79" s="343" t="s">
        <v>247</v>
      </c>
      <c r="C79" s="344" t="s">
        <v>248</v>
      </c>
      <c r="D79" s="344"/>
      <c r="E79" s="3"/>
      <c r="F79" s="288">
        <f>+F78+F77+F76</f>
        <v>0</v>
      </c>
      <c r="G79" s="118">
        <v>0</v>
      </c>
    </row>
    <row r="80" spans="2:7" s="336" customFormat="1" ht="16.5" customHeight="1" collapsed="1">
      <c r="B80" s="333">
        <v>7</v>
      </c>
      <c r="C80" s="339" t="s">
        <v>234</v>
      </c>
      <c r="D80" s="339"/>
      <c r="E80" s="3"/>
      <c r="F80" s="288">
        <f>+SUM(F81)</f>
        <v>-11346899.83</v>
      </c>
      <c r="G80" s="118">
        <v>-7538163</v>
      </c>
    </row>
    <row r="81" spans="2:7" s="336" customFormat="1" ht="12.75" hidden="1" outlineLevel="1">
      <c r="B81" s="333"/>
      <c r="C81" s="345">
        <v>108</v>
      </c>
      <c r="D81" s="346" t="s">
        <v>305</v>
      </c>
      <c r="E81" s="177"/>
      <c r="F81" s="296">
        <f>G81+G83</f>
        <v>-11346899.83</v>
      </c>
      <c r="G81" s="118">
        <v>-7538163</v>
      </c>
    </row>
    <row r="82" spans="2:7" s="336" customFormat="1" ht="12.75" collapsed="1">
      <c r="B82" s="333">
        <v>8</v>
      </c>
      <c r="C82" s="339" t="s">
        <v>235</v>
      </c>
      <c r="D82" s="339"/>
      <c r="E82" s="3"/>
      <c r="F82" s="288">
        <f>+SUM(F83)</f>
        <v>43975.562000000704</v>
      </c>
      <c r="G82" s="313">
        <v>-3808736.8300000005</v>
      </c>
    </row>
    <row r="83" spans="2:7" s="336" customFormat="1" ht="21.75" customHeight="1">
      <c r="B83" s="333"/>
      <c r="C83" s="345">
        <v>109</v>
      </c>
      <c r="D83" s="346" t="s">
        <v>306</v>
      </c>
      <c r="E83" s="177"/>
      <c r="F83" s="297">
        <f>'ARDHURA&amp;SHPENZIME (FORMATI 2)'!D74</f>
        <v>43975.562000000704</v>
      </c>
      <c r="G83" s="313">
        <v>-3808736.8300000005</v>
      </c>
    </row>
    <row r="84" spans="2:7" ht="13.5" thickBot="1">
      <c r="B84" s="194"/>
      <c r="C84" s="195" t="s">
        <v>250</v>
      </c>
      <c r="D84" s="195"/>
      <c r="E84" s="127"/>
      <c r="F84" s="298">
        <f>+F82+F80+F79+F73+F72+F69</f>
        <v>-11202924.268</v>
      </c>
      <c r="G84" s="314">
        <v>-11246899.83</v>
      </c>
    </row>
    <row r="85" spans="2:7" ht="19.5" customHeight="1" thickBot="1">
      <c r="B85" s="541" t="s">
        <v>236</v>
      </c>
      <c r="C85" s="542"/>
      <c r="D85" s="543"/>
      <c r="E85" s="178"/>
      <c r="F85" s="320">
        <f>+F84+F64</f>
        <v>40859035.322</v>
      </c>
      <c r="G85" s="317">
        <v>39527445.050000004</v>
      </c>
    </row>
    <row r="86" spans="2:7" ht="12.75">
      <c r="B86" s="128"/>
      <c r="C86" s="128"/>
      <c r="D86" s="128"/>
      <c r="E86" s="1"/>
      <c r="F86" s="286"/>
      <c r="G86" s="131"/>
    </row>
    <row r="87" spans="2:7" ht="15">
      <c r="B87" s="198"/>
      <c r="C87" s="128"/>
      <c r="D87" s="128"/>
      <c r="E87" s="1"/>
      <c r="F87" s="286"/>
      <c r="G87" s="286"/>
    </row>
    <row r="88" spans="2:7" ht="12.75">
      <c r="B88" s="128"/>
      <c r="C88" s="128"/>
      <c r="D88" s="128"/>
      <c r="E88" s="1"/>
      <c r="F88" s="286"/>
      <c r="G88" s="131"/>
    </row>
  </sheetData>
  <sheetProtection/>
  <mergeCells count="10">
    <mergeCell ref="B85:D85"/>
    <mergeCell ref="C65:D65"/>
    <mergeCell ref="C53:D53"/>
    <mergeCell ref="C10:D10"/>
    <mergeCell ref="B6:G6"/>
    <mergeCell ref="B4:G4"/>
    <mergeCell ref="G8:G9"/>
    <mergeCell ref="E8:E9"/>
    <mergeCell ref="F8:F9"/>
    <mergeCell ref="C8:D9"/>
  </mergeCells>
  <printOptions/>
  <pageMargins left="0.2755905511811024" right="0.1968503937007874" top="0.54" bottom="0.15748031496062992" header="0.17" footer="0.15748031496062992"/>
  <pageSetup horizontalDpi="600" verticalDpi="600" orientation="portrait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6"/>
  <sheetViews>
    <sheetView zoomScalePageLayoutView="0" workbookViewId="0" topLeftCell="A1">
      <selection activeCell="A1" sqref="A1"/>
    </sheetView>
  </sheetViews>
  <sheetFormatPr defaultColWidth="6.57421875" defaultRowHeight="12.75" outlineLevelRow="1"/>
  <cols>
    <col min="1" max="1" width="7.8515625" style="45" customWidth="1"/>
    <col min="2" max="2" width="8.7109375" style="43" customWidth="1"/>
    <col min="3" max="3" width="63.7109375" style="37" customWidth="1"/>
    <col min="4" max="4" width="15.8515625" style="37" customWidth="1"/>
    <col min="5" max="5" width="16.00390625" style="37" customWidth="1"/>
    <col min="6" max="7" width="6.57421875" style="37" customWidth="1"/>
    <col min="8" max="8" width="17.00390625" style="37" bestFit="1" customWidth="1"/>
    <col min="9" max="16384" width="6.57421875" style="37" customWidth="1"/>
  </cols>
  <sheetData>
    <row r="1" ht="12.75">
      <c r="B1" s="38"/>
    </row>
    <row r="2" spans="4:5" ht="12.75">
      <c r="D2" s="134"/>
      <c r="E2" s="134"/>
    </row>
    <row r="3" spans="2:5" ht="12.75">
      <c r="B3" s="130" t="s">
        <v>509</v>
      </c>
      <c r="C3" s="128" t="s">
        <v>510</v>
      </c>
      <c r="D3" s="134"/>
      <c r="E3" s="134"/>
    </row>
    <row r="4" spans="2:5" ht="12.75">
      <c r="B4" s="130" t="s">
        <v>398</v>
      </c>
      <c r="C4" s="128" t="s">
        <v>458</v>
      </c>
      <c r="D4" s="134"/>
      <c r="E4" s="134"/>
    </row>
    <row r="5" spans="2:8" ht="18.75">
      <c r="B5" s="148"/>
      <c r="C5" s="579" t="s">
        <v>309</v>
      </c>
      <c r="D5" s="579"/>
      <c r="E5" s="135"/>
      <c r="F5" s="39"/>
      <c r="G5" s="39"/>
      <c r="H5" s="39"/>
    </row>
    <row r="6" spans="2:5" ht="12.75">
      <c r="B6" s="148"/>
      <c r="C6" s="580" t="s">
        <v>310</v>
      </c>
      <c r="D6" s="580"/>
      <c r="E6" s="134"/>
    </row>
    <row r="7" spans="2:5" ht="12.75">
      <c r="B7" s="148"/>
      <c r="C7" s="134"/>
      <c r="D7" s="134"/>
      <c r="E7" s="134"/>
    </row>
    <row r="8" spans="2:5" ht="12.75" customHeight="1">
      <c r="B8" s="581" t="s">
        <v>1</v>
      </c>
      <c r="C8" s="581"/>
      <c r="D8" s="581"/>
      <c r="E8" s="581"/>
    </row>
    <row r="9" spans="2:5" ht="13.5" thickBot="1">
      <c r="B9" s="149"/>
      <c r="C9" s="134"/>
      <c r="D9" s="134"/>
      <c r="E9" s="134"/>
    </row>
    <row r="10" spans="2:5" ht="12.75" customHeight="1">
      <c r="B10" s="151" t="s">
        <v>160</v>
      </c>
      <c r="C10" s="573" t="s">
        <v>311</v>
      </c>
      <c r="D10" s="575" t="s">
        <v>6</v>
      </c>
      <c r="E10" s="577" t="s">
        <v>540</v>
      </c>
    </row>
    <row r="11" spans="2:11" ht="12.75" customHeight="1" thickBot="1">
      <c r="B11" s="152" t="s">
        <v>161</v>
      </c>
      <c r="C11" s="574"/>
      <c r="D11" s="576"/>
      <c r="E11" s="578"/>
      <c r="J11" s="40"/>
      <c r="K11" s="40"/>
    </row>
    <row r="12" spans="1:11" ht="23.25" customHeight="1">
      <c r="A12" s="45" t="s">
        <v>313</v>
      </c>
      <c r="B12" s="151">
        <v>1</v>
      </c>
      <c r="C12" s="141" t="s">
        <v>312</v>
      </c>
      <c r="D12" s="168">
        <f>+SUM(D13:D17)</f>
        <v>14597608.3</v>
      </c>
      <c r="E12" s="169">
        <v>11866345.99</v>
      </c>
      <c r="I12" s="41"/>
      <c r="K12" s="41"/>
    </row>
    <row r="13" spans="2:11" ht="12.75" hidden="1" outlineLevel="1">
      <c r="B13" s="319">
        <v>701</v>
      </c>
      <c r="C13" s="318" t="s">
        <v>143</v>
      </c>
      <c r="D13" s="173">
        <v>4006535.32</v>
      </c>
      <c r="E13" s="479">
        <v>2479566.31</v>
      </c>
      <c r="H13" s="519"/>
      <c r="I13" s="41"/>
      <c r="K13" s="41"/>
    </row>
    <row r="14" spans="2:11" ht="12.75" hidden="1" outlineLevel="1">
      <c r="B14" s="319">
        <v>704</v>
      </c>
      <c r="C14" s="318" t="s">
        <v>397</v>
      </c>
      <c r="D14" s="173">
        <v>8393.34</v>
      </c>
      <c r="E14" s="479">
        <v>204550.01</v>
      </c>
      <c r="I14" s="41"/>
      <c r="K14" s="41"/>
    </row>
    <row r="15" spans="2:11" ht="12.75" hidden="1" outlineLevel="1">
      <c r="B15" s="142" t="s">
        <v>314</v>
      </c>
      <c r="C15" s="137" t="s">
        <v>315</v>
      </c>
      <c r="D15" s="173">
        <v>2996350.66</v>
      </c>
      <c r="E15" s="479">
        <v>7926813</v>
      </c>
      <c r="H15" s="331"/>
      <c r="I15" s="41"/>
      <c r="K15" s="41"/>
    </row>
    <row r="16" spans="2:11" ht="12.75" hidden="1" outlineLevel="1">
      <c r="B16" s="144">
        <v>7521</v>
      </c>
      <c r="C16" s="137" t="s">
        <v>144</v>
      </c>
      <c r="D16" s="173">
        <v>7584172.02</v>
      </c>
      <c r="E16" s="479">
        <v>1250000</v>
      </c>
      <c r="I16" s="41"/>
      <c r="K16" s="41"/>
    </row>
    <row r="17" spans="2:11" ht="12.75" hidden="1" outlineLevel="1">
      <c r="B17" s="144">
        <v>7581</v>
      </c>
      <c r="C17" s="137" t="s">
        <v>145</v>
      </c>
      <c r="D17" s="173">
        <v>2156.96</v>
      </c>
      <c r="E17" s="479">
        <v>5416.67</v>
      </c>
      <c r="I17" s="41"/>
      <c r="K17" s="41"/>
    </row>
    <row r="18" spans="1:11" ht="27.75" customHeight="1" collapsed="1">
      <c r="A18" s="45" t="s">
        <v>317</v>
      </c>
      <c r="B18" s="153">
        <v>2</v>
      </c>
      <c r="C18" s="136" t="s">
        <v>316</v>
      </c>
      <c r="D18" s="10">
        <f>+SUM(D19:D26)</f>
        <v>3915809.6</v>
      </c>
      <c r="E18" s="117">
        <v>7152880.37</v>
      </c>
      <c r="I18" s="41"/>
      <c r="K18" s="41"/>
    </row>
    <row r="19" spans="2:11" ht="12.75" hidden="1" outlineLevel="1">
      <c r="B19" s="175" t="s">
        <v>318</v>
      </c>
      <c r="C19" s="137" t="s">
        <v>7</v>
      </c>
      <c r="D19" s="173">
        <v>1055741.1</v>
      </c>
      <c r="E19" s="479">
        <v>2752940.58</v>
      </c>
      <c r="I19" s="41"/>
      <c r="K19" s="41"/>
    </row>
    <row r="20" spans="2:11" ht="12.75" hidden="1" outlineLevel="1">
      <c r="B20" s="175" t="s">
        <v>319</v>
      </c>
      <c r="C20" s="137" t="s">
        <v>8</v>
      </c>
      <c r="D20" s="173">
        <v>331592.08</v>
      </c>
      <c r="E20" s="113"/>
      <c r="I20" s="41"/>
      <c r="K20" s="41"/>
    </row>
    <row r="21" spans="2:11" ht="12.75" hidden="1" outlineLevel="1">
      <c r="B21" s="175" t="s">
        <v>320</v>
      </c>
      <c r="C21" s="137" t="s">
        <v>321</v>
      </c>
      <c r="D21" s="173"/>
      <c r="E21" s="479"/>
      <c r="I21" s="41"/>
      <c r="K21" s="41"/>
    </row>
    <row r="22" spans="2:11" ht="12.75" hidden="1" outlineLevel="1">
      <c r="B22" s="175" t="s">
        <v>322</v>
      </c>
      <c r="C22" s="137" t="s">
        <v>323</v>
      </c>
      <c r="D22" s="173">
        <v>86262.62</v>
      </c>
      <c r="E22" s="479">
        <v>-1274604.65</v>
      </c>
      <c r="H22" s="331"/>
      <c r="I22" s="41"/>
      <c r="K22" s="41"/>
    </row>
    <row r="23" spans="2:11" ht="12.75" hidden="1" outlineLevel="1">
      <c r="B23" s="175" t="s">
        <v>324</v>
      </c>
      <c r="C23" s="137" t="s">
        <v>325</v>
      </c>
      <c r="D23" s="173">
        <v>284253.5</v>
      </c>
      <c r="E23" s="479"/>
      <c r="I23" s="41"/>
      <c r="K23" s="41"/>
    </row>
    <row r="24" spans="2:11" ht="12.75" hidden="1" outlineLevel="1">
      <c r="B24" s="175" t="s">
        <v>326</v>
      </c>
      <c r="C24" s="137" t="s">
        <v>327</v>
      </c>
      <c r="D24" s="173"/>
      <c r="E24" s="479"/>
      <c r="I24" s="41"/>
      <c r="K24" s="41"/>
    </row>
    <row r="25" spans="2:11" ht="12.75" hidden="1" outlineLevel="1">
      <c r="B25" s="175" t="s">
        <v>328</v>
      </c>
      <c r="C25" s="137" t="s">
        <v>329</v>
      </c>
      <c r="D25" s="173">
        <v>1604677.91</v>
      </c>
      <c r="E25" s="479">
        <v>5045879.64</v>
      </c>
      <c r="I25" s="41"/>
      <c r="K25" s="41"/>
    </row>
    <row r="26" spans="2:11" ht="12.75" hidden="1" outlineLevel="1">
      <c r="B26" s="175" t="s">
        <v>330</v>
      </c>
      <c r="C26" s="137" t="s">
        <v>331</v>
      </c>
      <c r="D26" s="173">
        <v>553282.39</v>
      </c>
      <c r="E26" s="479">
        <v>628664.8</v>
      </c>
      <c r="I26" s="41"/>
      <c r="K26" s="41"/>
    </row>
    <row r="27" spans="2:11" ht="19.5" customHeight="1" collapsed="1">
      <c r="B27" s="153">
        <v>3</v>
      </c>
      <c r="C27" s="161" t="s">
        <v>332</v>
      </c>
      <c r="D27" s="10">
        <f>+D12-D18</f>
        <v>10681798.700000001</v>
      </c>
      <c r="E27" s="117">
        <v>4713465.62</v>
      </c>
      <c r="H27" s="47"/>
      <c r="I27" s="41"/>
      <c r="K27" s="41"/>
    </row>
    <row r="28" spans="2:11" ht="30.75" customHeight="1">
      <c r="B28" s="153">
        <v>4</v>
      </c>
      <c r="C28" s="136" t="s">
        <v>333</v>
      </c>
      <c r="D28" s="10"/>
      <c r="E28" s="117"/>
      <c r="I28" s="41"/>
      <c r="K28" s="41"/>
    </row>
    <row r="29" spans="2:11" ht="12.75" hidden="1" outlineLevel="1">
      <c r="B29" s="154">
        <v>654</v>
      </c>
      <c r="C29" s="138" t="s">
        <v>334</v>
      </c>
      <c r="D29" s="10"/>
      <c r="E29" s="117"/>
      <c r="I29" s="41"/>
      <c r="K29" s="41"/>
    </row>
    <row r="30" spans="2:11" ht="25.5" customHeight="1" collapsed="1">
      <c r="B30" s="153">
        <v>5</v>
      </c>
      <c r="C30" s="136" t="s">
        <v>335</v>
      </c>
      <c r="D30" s="10">
        <f>+SUM(D31:D33)</f>
        <v>3049435</v>
      </c>
      <c r="E30" s="117">
        <v>3363836.5</v>
      </c>
      <c r="I30" s="41"/>
      <c r="K30" s="41"/>
    </row>
    <row r="31" spans="2:11" ht="12.75" hidden="1" outlineLevel="1">
      <c r="B31" s="155" t="s">
        <v>336</v>
      </c>
      <c r="C31" s="137" t="s">
        <v>337</v>
      </c>
      <c r="D31" s="173">
        <v>2613054</v>
      </c>
      <c r="E31" s="479">
        <v>2882464</v>
      </c>
      <c r="I31" s="41"/>
      <c r="K31" s="41"/>
    </row>
    <row r="32" spans="2:11" ht="12.75" hidden="1" outlineLevel="1">
      <c r="B32" s="155" t="s">
        <v>338</v>
      </c>
      <c r="C32" s="137" t="s">
        <v>339</v>
      </c>
      <c r="D32" s="173">
        <v>436381</v>
      </c>
      <c r="E32" s="479">
        <v>481372.5</v>
      </c>
      <c r="I32" s="41"/>
      <c r="K32" s="41"/>
    </row>
    <row r="33" spans="2:11" ht="12.75" hidden="1" outlineLevel="1">
      <c r="B33" s="155" t="s">
        <v>340</v>
      </c>
      <c r="C33" s="137" t="s">
        <v>341</v>
      </c>
      <c r="D33" s="173"/>
      <c r="E33" s="117"/>
      <c r="I33" s="41"/>
      <c r="K33" s="41"/>
    </row>
    <row r="34" spans="1:11" ht="28.5" customHeight="1" collapsed="1">
      <c r="A34" s="49" t="s">
        <v>343</v>
      </c>
      <c r="B34" s="153">
        <v>6</v>
      </c>
      <c r="C34" s="136" t="s">
        <v>342</v>
      </c>
      <c r="D34" s="10"/>
      <c r="E34" s="117"/>
      <c r="I34" s="41"/>
      <c r="K34" s="41"/>
    </row>
    <row r="35" spans="1:11" ht="12.75" hidden="1" outlineLevel="1">
      <c r="A35" s="48"/>
      <c r="B35" s="142" t="s">
        <v>344</v>
      </c>
      <c r="C35" s="138" t="s">
        <v>345</v>
      </c>
      <c r="D35" s="10"/>
      <c r="E35" s="117"/>
      <c r="I35" s="41"/>
      <c r="K35" s="41"/>
    </row>
    <row r="36" spans="2:11" ht="30.75" customHeight="1" collapsed="1">
      <c r="B36" s="153">
        <v>7</v>
      </c>
      <c r="C36" s="136" t="s">
        <v>346</v>
      </c>
      <c r="D36" s="10">
        <f>+SUM(D37:D57)</f>
        <v>7529086.11</v>
      </c>
      <c r="E36" s="117">
        <v>5758562.3100000005</v>
      </c>
      <c r="I36" s="41"/>
      <c r="K36" s="41"/>
    </row>
    <row r="37" spans="2:11" ht="12.75" hidden="1" outlineLevel="1">
      <c r="B37" s="142" t="s">
        <v>347</v>
      </c>
      <c r="C37" s="172" t="s">
        <v>348</v>
      </c>
      <c r="D37" s="106"/>
      <c r="E37" s="117"/>
      <c r="I37" s="41"/>
      <c r="K37" s="41"/>
    </row>
    <row r="38" spans="2:11" ht="12.75" hidden="1" outlineLevel="1">
      <c r="B38" s="143" t="s">
        <v>349</v>
      </c>
      <c r="C38" s="139" t="s">
        <v>350</v>
      </c>
      <c r="D38" s="106"/>
      <c r="E38" s="480"/>
      <c r="I38" s="41"/>
      <c r="K38" s="41"/>
    </row>
    <row r="39" spans="2:11" ht="12.75" hidden="1" outlineLevel="1">
      <c r="B39" s="142" t="s">
        <v>351</v>
      </c>
      <c r="C39" s="172" t="s">
        <v>352</v>
      </c>
      <c r="D39" s="173">
        <v>220662</v>
      </c>
      <c r="E39" s="481">
        <v>44222</v>
      </c>
      <c r="I39" s="41"/>
      <c r="K39" s="41"/>
    </row>
    <row r="40" spans="2:11" ht="12.75" hidden="1" outlineLevel="1">
      <c r="B40" s="142" t="s">
        <v>353</v>
      </c>
      <c r="C40" s="172" t="s">
        <v>354</v>
      </c>
      <c r="D40" s="173">
        <v>13984</v>
      </c>
      <c r="E40" s="481">
        <v>17635</v>
      </c>
      <c r="I40" s="41"/>
      <c r="K40" s="41"/>
    </row>
    <row r="41" spans="2:11" ht="12.75" hidden="1" outlineLevel="1">
      <c r="B41" s="142" t="s">
        <v>355</v>
      </c>
      <c r="C41" s="172" t="s">
        <v>356</v>
      </c>
      <c r="D41" s="173">
        <v>46796</v>
      </c>
      <c r="E41" s="481">
        <v>59157</v>
      </c>
      <c r="I41" s="41"/>
      <c r="K41" s="41"/>
    </row>
    <row r="42" spans="2:11" ht="12.75" hidden="1" outlineLevel="1">
      <c r="B42" s="144">
        <v>618</v>
      </c>
      <c r="C42" s="172" t="s">
        <v>147</v>
      </c>
      <c r="D42" s="173"/>
      <c r="E42" s="481">
        <v>6220</v>
      </c>
      <c r="I42" s="41"/>
      <c r="K42" s="41"/>
    </row>
    <row r="43" spans="2:11" ht="12.75" hidden="1" outlineLevel="1">
      <c r="B43" s="144">
        <v>6181</v>
      </c>
      <c r="C43" s="172" t="s">
        <v>148</v>
      </c>
      <c r="D43" s="173">
        <v>4179.3</v>
      </c>
      <c r="E43" s="481">
        <v>20129.7</v>
      </c>
      <c r="I43" s="41"/>
      <c r="K43" s="41"/>
    </row>
    <row r="44" spans="2:11" ht="12.75" hidden="1" outlineLevel="1">
      <c r="B44" s="142" t="s">
        <v>357</v>
      </c>
      <c r="C44" s="172" t="s">
        <v>358</v>
      </c>
      <c r="D44" s="173">
        <v>6324.93</v>
      </c>
      <c r="E44" s="481"/>
      <c r="I44" s="41"/>
      <c r="K44" s="41"/>
    </row>
    <row r="45" spans="2:11" ht="12.75" hidden="1" outlineLevel="1">
      <c r="B45" s="144">
        <v>6185</v>
      </c>
      <c r="C45" s="172" t="s">
        <v>153</v>
      </c>
      <c r="D45" s="173"/>
      <c r="E45" s="481">
        <v>1500000</v>
      </c>
      <c r="I45" s="41"/>
      <c r="K45" s="41"/>
    </row>
    <row r="46" spans="2:11" ht="12.75" hidden="1" outlineLevel="1">
      <c r="B46" s="144">
        <v>624</v>
      </c>
      <c r="C46" s="172" t="s">
        <v>152</v>
      </c>
      <c r="D46" s="173">
        <v>18999.5</v>
      </c>
      <c r="E46" s="481"/>
      <c r="I46" s="41"/>
      <c r="K46" s="41"/>
    </row>
    <row r="47" spans="2:11" ht="12.75" hidden="1" outlineLevel="1">
      <c r="B47" s="142" t="s">
        <v>359</v>
      </c>
      <c r="C47" s="172" t="s">
        <v>360</v>
      </c>
      <c r="D47" s="173">
        <v>333792.85</v>
      </c>
      <c r="E47" s="481">
        <v>549454.59</v>
      </c>
      <c r="I47" s="41"/>
      <c r="K47" s="41"/>
    </row>
    <row r="48" spans="2:11" ht="12.75" hidden="1" outlineLevel="1">
      <c r="B48" s="142" t="s">
        <v>361</v>
      </c>
      <c r="C48" s="172" t="s">
        <v>362</v>
      </c>
      <c r="D48" s="173">
        <v>42000</v>
      </c>
      <c r="E48" s="481"/>
      <c r="I48" s="41"/>
      <c r="K48" s="41"/>
    </row>
    <row r="49" spans="2:11" ht="12.75" hidden="1" outlineLevel="1">
      <c r="B49" s="142" t="s">
        <v>363</v>
      </c>
      <c r="C49" s="172" t="s">
        <v>364</v>
      </c>
      <c r="D49" s="173">
        <v>72280.64</v>
      </c>
      <c r="E49" s="481">
        <v>111464.98</v>
      </c>
      <c r="I49" s="41"/>
      <c r="K49" s="41"/>
    </row>
    <row r="50" spans="2:11" ht="12.75" hidden="1" outlineLevel="1">
      <c r="B50" s="142" t="s">
        <v>365</v>
      </c>
      <c r="C50" s="172" t="s">
        <v>366</v>
      </c>
      <c r="D50" s="173">
        <v>28500</v>
      </c>
      <c r="E50" s="481">
        <v>2077</v>
      </c>
      <c r="I50" s="41"/>
      <c r="K50" s="41"/>
    </row>
    <row r="51" spans="2:11" ht="12.75" hidden="1" outlineLevel="1">
      <c r="B51" s="144">
        <v>6383</v>
      </c>
      <c r="C51" s="172" t="s">
        <v>9</v>
      </c>
      <c r="D51" s="173">
        <v>2220</v>
      </c>
      <c r="E51" s="481"/>
      <c r="I51" s="41"/>
      <c r="K51" s="41"/>
    </row>
    <row r="52" spans="2:11" ht="12.75" hidden="1" outlineLevel="1">
      <c r="B52" s="144">
        <v>6384</v>
      </c>
      <c r="C52" s="172" t="s">
        <v>151</v>
      </c>
      <c r="D52" s="173"/>
      <c r="E52" s="481">
        <v>5400</v>
      </c>
      <c r="I52" s="41"/>
      <c r="K52" s="41"/>
    </row>
    <row r="53" spans="2:11" ht="12.75" hidden="1" outlineLevel="1">
      <c r="B53" s="144">
        <v>652</v>
      </c>
      <c r="C53" s="172" t="s">
        <v>150</v>
      </c>
      <c r="D53" s="173">
        <v>4877000.95</v>
      </c>
      <c r="E53" s="481">
        <v>1250000</v>
      </c>
      <c r="I53" s="41"/>
      <c r="K53" s="41"/>
    </row>
    <row r="54" spans="2:11" ht="12.75" hidden="1" outlineLevel="1">
      <c r="B54" s="144">
        <v>654</v>
      </c>
      <c r="C54" s="172" t="s">
        <v>149</v>
      </c>
      <c r="D54" s="173"/>
      <c r="E54" s="481"/>
      <c r="H54" s="47"/>
      <c r="I54" s="41"/>
      <c r="K54" s="41"/>
    </row>
    <row r="55" spans="2:11" ht="12.75" hidden="1" outlineLevel="1">
      <c r="B55" s="142" t="s">
        <v>367</v>
      </c>
      <c r="C55" s="172" t="s">
        <v>368</v>
      </c>
      <c r="D55" s="173">
        <v>69969.11</v>
      </c>
      <c r="E55" s="481">
        <v>40274</v>
      </c>
      <c r="I55" s="41"/>
      <c r="K55" s="41"/>
    </row>
    <row r="56" spans="2:11" ht="12.75" hidden="1" outlineLevel="1">
      <c r="B56" s="144">
        <v>668</v>
      </c>
      <c r="C56" s="172" t="s">
        <v>154</v>
      </c>
      <c r="D56" s="173">
        <v>886096.83</v>
      </c>
      <c r="E56" s="481">
        <v>924710.04</v>
      </c>
      <c r="I56" s="41"/>
      <c r="K56" s="41"/>
    </row>
    <row r="57" spans="2:11" ht="12.75" hidden="1" outlineLevel="1">
      <c r="B57" s="144">
        <v>681</v>
      </c>
      <c r="C57" s="173" t="s">
        <v>453</v>
      </c>
      <c r="D57" s="173">
        <v>906280</v>
      </c>
      <c r="E57" s="481">
        <v>1227818</v>
      </c>
      <c r="I57" s="41"/>
      <c r="K57" s="41"/>
    </row>
    <row r="58" spans="2:11" ht="18" customHeight="1" collapsed="1">
      <c r="B58" s="153">
        <v>8</v>
      </c>
      <c r="C58" s="161" t="s">
        <v>369</v>
      </c>
      <c r="D58" s="11">
        <f>+D27-D28-D30+D34-D36</f>
        <v>103277.59000000078</v>
      </c>
      <c r="E58" s="120">
        <v>-4408933.19</v>
      </c>
      <c r="I58" s="41"/>
      <c r="K58" s="41"/>
    </row>
    <row r="59" spans="1:11" ht="18" customHeight="1">
      <c r="A59" s="44" t="s">
        <v>371</v>
      </c>
      <c r="B59" s="153">
        <v>9</v>
      </c>
      <c r="C59" s="136" t="s">
        <v>370</v>
      </c>
      <c r="D59" s="10"/>
      <c r="E59" s="117"/>
      <c r="I59" s="41"/>
      <c r="K59" s="41"/>
    </row>
    <row r="60" spans="1:11" ht="18.75" customHeight="1">
      <c r="A60" s="44" t="s">
        <v>373</v>
      </c>
      <c r="B60" s="153">
        <v>10</v>
      </c>
      <c r="C60" s="136" t="s">
        <v>372</v>
      </c>
      <c r="D60" s="10"/>
      <c r="E60" s="117"/>
      <c r="I60" s="41"/>
      <c r="K60" s="41"/>
    </row>
    <row r="61" spans="1:5" ht="20.25" customHeight="1">
      <c r="A61" s="44" t="s">
        <v>377</v>
      </c>
      <c r="B61" s="153">
        <v>11</v>
      </c>
      <c r="C61" s="136" t="s">
        <v>374</v>
      </c>
      <c r="D61" s="10"/>
      <c r="E61" s="117"/>
    </row>
    <row r="62" spans="1:11" ht="24" customHeight="1">
      <c r="A62" s="44" t="s">
        <v>380</v>
      </c>
      <c r="B62" s="153" t="s">
        <v>375</v>
      </c>
      <c r="C62" s="136" t="s">
        <v>376</v>
      </c>
      <c r="D62" s="10"/>
      <c r="E62" s="117">
        <v>610701</v>
      </c>
      <c r="I62" s="41"/>
      <c r="K62" s="41"/>
    </row>
    <row r="63" spans="1:11" ht="21" customHeight="1">
      <c r="A63" s="44" t="s">
        <v>380</v>
      </c>
      <c r="B63" s="153" t="s">
        <v>378</v>
      </c>
      <c r="C63" s="136" t="s">
        <v>379</v>
      </c>
      <c r="D63" s="10">
        <f>+D64-D65</f>
        <v>-2.1800000000000006</v>
      </c>
      <c r="E63" s="117">
        <v>-48996.41</v>
      </c>
      <c r="I63" s="41"/>
      <c r="K63" s="41"/>
    </row>
    <row r="64" spans="2:11" ht="12.75" hidden="1" outlineLevel="1">
      <c r="B64" s="142" t="s">
        <v>381</v>
      </c>
      <c r="C64" s="172" t="s">
        <v>382</v>
      </c>
      <c r="D64" s="173">
        <v>7.89</v>
      </c>
      <c r="E64" s="479">
        <v>478.74</v>
      </c>
      <c r="I64" s="41"/>
      <c r="K64" s="41"/>
    </row>
    <row r="65" spans="2:11" ht="12.75" hidden="1" outlineLevel="1">
      <c r="B65" s="144">
        <v>667</v>
      </c>
      <c r="C65" s="174" t="s">
        <v>383</v>
      </c>
      <c r="D65" s="173">
        <v>10.07</v>
      </c>
      <c r="E65" s="479">
        <v>49475.15</v>
      </c>
      <c r="H65" s="47"/>
      <c r="I65" s="41"/>
      <c r="K65" s="41"/>
    </row>
    <row r="66" spans="1:11" ht="22.5" customHeight="1" collapsed="1">
      <c r="A66" s="46" t="s">
        <v>386</v>
      </c>
      <c r="B66" s="153" t="s">
        <v>384</v>
      </c>
      <c r="C66" s="136" t="s">
        <v>385</v>
      </c>
      <c r="D66" s="173"/>
      <c r="E66" s="480"/>
      <c r="I66" s="41"/>
      <c r="K66" s="41"/>
    </row>
    <row r="67" spans="2:11" ht="12.75" hidden="1" outlineLevel="1">
      <c r="B67" s="142" t="s">
        <v>387</v>
      </c>
      <c r="C67" s="172" t="s">
        <v>388</v>
      </c>
      <c r="D67" s="173">
        <v>1215.87</v>
      </c>
      <c r="E67" s="479">
        <v>38719.02</v>
      </c>
      <c r="I67" s="41"/>
      <c r="K67" s="41"/>
    </row>
    <row r="68" spans="2:11" ht="12.75" hidden="1" outlineLevel="1">
      <c r="B68" s="144">
        <v>669</v>
      </c>
      <c r="C68" s="172" t="s">
        <v>146</v>
      </c>
      <c r="D68" s="173">
        <v>38837.83</v>
      </c>
      <c r="E68" s="479">
        <v>227.25</v>
      </c>
      <c r="I68" s="41"/>
      <c r="K68" s="41"/>
    </row>
    <row r="69" spans="1:11" ht="22.5" customHeight="1" collapsed="1">
      <c r="A69" s="44" t="s">
        <v>391</v>
      </c>
      <c r="B69" s="156" t="s">
        <v>389</v>
      </c>
      <c r="C69" s="136" t="s">
        <v>390</v>
      </c>
      <c r="D69" s="10">
        <f>D67-D68</f>
        <v>-37621.96</v>
      </c>
      <c r="E69" s="117">
        <v>38491.77</v>
      </c>
      <c r="I69" s="41"/>
      <c r="K69" s="41"/>
    </row>
    <row r="70" spans="2:11" ht="25.5" customHeight="1">
      <c r="B70" s="157"/>
      <c r="C70" s="140" t="s">
        <v>392</v>
      </c>
      <c r="D70" s="10">
        <f>+D69+D66+D63+D62</f>
        <v>-37624.14</v>
      </c>
      <c r="E70" s="117">
        <v>600196.36</v>
      </c>
      <c r="I70" s="41"/>
      <c r="K70" s="41"/>
    </row>
    <row r="71" spans="2:11" ht="30.75" customHeight="1">
      <c r="B71" s="153">
        <v>12</v>
      </c>
      <c r="C71" s="159" t="s">
        <v>393</v>
      </c>
      <c r="D71" s="10">
        <f>+D70+D61+D60+D59</f>
        <v>-37624.14</v>
      </c>
      <c r="E71" s="117">
        <v>600196.36</v>
      </c>
      <c r="I71" s="41"/>
      <c r="K71" s="41"/>
    </row>
    <row r="72" spans="2:11" ht="19.5" customHeight="1">
      <c r="B72" s="153">
        <v>13</v>
      </c>
      <c r="C72" s="160" t="s">
        <v>394</v>
      </c>
      <c r="D72" s="11">
        <f>+D58+D71</f>
        <v>65653.45000000078</v>
      </c>
      <c r="E72" s="120">
        <v>-3808736.8300000005</v>
      </c>
      <c r="I72" s="42"/>
      <c r="K72" s="42"/>
    </row>
    <row r="73" spans="1:11" ht="28.5" customHeight="1">
      <c r="A73" s="45">
        <v>69</v>
      </c>
      <c r="B73" s="153">
        <v>14</v>
      </c>
      <c r="C73" s="136" t="s">
        <v>395</v>
      </c>
      <c r="D73" s="10">
        <f>(D72+D55+81156.32)*10%</f>
        <v>21677.88800000008</v>
      </c>
      <c r="E73" s="117"/>
      <c r="I73" s="42"/>
      <c r="K73" s="42"/>
    </row>
    <row r="74" spans="2:11" ht="22.5" customHeight="1" thickBot="1">
      <c r="B74" s="158">
        <v>15</v>
      </c>
      <c r="C74" s="147" t="s">
        <v>396</v>
      </c>
      <c r="D74" s="170">
        <f>+D72-D73</f>
        <v>43975.562000000704</v>
      </c>
      <c r="E74" s="171">
        <v>-3808736.8300000005</v>
      </c>
      <c r="I74" s="42"/>
      <c r="K74" s="42"/>
    </row>
    <row r="75" spans="2:5" ht="12.75">
      <c r="B75" s="150"/>
      <c r="C75" s="134"/>
      <c r="D75" s="134"/>
      <c r="E75" s="134"/>
    </row>
    <row r="76" spans="2:5" ht="12.75">
      <c r="B76" s="150"/>
      <c r="C76" s="134"/>
      <c r="D76" s="134"/>
      <c r="E76" s="134"/>
    </row>
    <row r="77" spans="2:5" ht="12.75">
      <c r="B77" s="150"/>
      <c r="C77" s="134"/>
      <c r="D77" s="478"/>
      <c r="E77" s="134"/>
    </row>
    <row r="78" spans="2:5" ht="12.75">
      <c r="B78" s="150"/>
      <c r="C78" s="134"/>
      <c r="D78" s="134"/>
      <c r="E78" s="134"/>
    </row>
    <row r="79" spans="2:5" ht="12.75">
      <c r="B79" s="150"/>
      <c r="C79" s="134"/>
      <c r="D79" s="134"/>
      <c r="E79" s="134"/>
    </row>
    <row r="80" spans="2:5" ht="12.75">
      <c r="B80" s="150"/>
      <c r="C80" s="134"/>
      <c r="D80" s="134"/>
      <c r="E80" s="134"/>
    </row>
    <row r="81" spans="2:5" ht="12.75">
      <c r="B81" s="150"/>
      <c r="C81" s="134"/>
      <c r="D81" s="134"/>
      <c r="E81" s="134"/>
    </row>
    <row r="82" spans="2:5" ht="12.75">
      <c r="B82" s="150"/>
      <c r="C82" s="134"/>
      <c r="D82" s="134"/>
      <c r="E82" s="134"/>
    </row>
    <row r="83" spans="2:5" ht="12.75">
      <c r="B83" s="150"/>
      <c r="C83" s="134"/>
      <c r="D83" s="134"/>
      <c r="E83" s="134"/>
    </row>
    <row r="84" spans="2:5" ht="12.75">
      <c r="B84" s="150"/>
      <c r="C84" s="134"/>
      <c r="D84" s="134"/>
      <c r="E84" s="134"/>
    </row>
    <row r="85" spans="2:5" ht="12.75">
      <c r="B85" s="150"/>
      <c r="C85" s="134"/>
      <c r="D85" s="134"/>
      <c r="E85" s="134"/>
    </row>
    <row r="86" spans="2:5" ht="12.75">
      <c r="B86" s="150"/>
      <c r="C86" s="134"/>
      <c r="D86" s="134"/>
      <c r="E86" s="134"/>
    </row>
  </sheetData>
  <sheetProtection/>
  <mergeCells count="6">
    <mergeCell ref="C10:C11"/>
    <mergeCell ref="D10:D11"/>
    <mergeCell ref="E10:E11"/>
    <mergeCell ref="C5:D5"/>
    <mergeCell ref="C6:D6"/>
    <mergeCell ref="B8:E8"/>
  </mergeCells>
  <printOptions/>
  <pageMargins left="0.69" right="0.15748031496062992" top="0.25" bottom="0.984251968503937" header="0.32" footer="0.5118110236220472"/>
  <pageSetup horizontalDpi="600" verticalDpi="600" orientation="portrait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0"/>
  <sheetViews>
    <sheetView zoomScalePageLayoutView="0" workbookViewId="0" topLeftCell="A1">
      <selection activeCell="A1" sqref="A1"/>
    </sheetView>
  </sheetViews>
  <sheetFormatPr defaultColWidth="17.7109375" defaultRowHeight="12.75"/>
  <cols>
    <col min="1" max="1" width="5.8515625" style="0" customWidth="1"/>
    <col min="2" max="2" width="3.7109375" style="0" customWidth="1"/>
    <col min="3" max="3" width="31.28125" style="0" customWidth="1"/>
    <col min="4" max="4" width="14.8515625" style="0" bestFit="1" customWidth="1"/>
    <col min="5" max="5" width="13.00390625" style="0" customWidth="1"/>
    <col min="6" max="6" width="14.00390625" style="0" bestFit="1" customWidth="1"/>
    <col min="7" max="7" width="17.140625" style="0" customWidth="1"/>
    <col min="8" max="8" width="18.140625" style="0" bestFit="1" customWidth="1"/>
    <col min="9" max="9" width="12.140625" style="0" customWidth="1"/>
    <col min="10" max="10" width="11.421875" style="0" customWidth="1"/>
  </cols>
  <sheetData>
    <row r="2" ht="15">
      <c r="C2" s="50"/>
    </row>
    <row r="3" ht="6.75" customHeight="1"/>
    <row r="4" spans="2:9" ht="25.5" customHeight="1">
      <c r="B4" s="582" t="s">
        <v>23</v>
      </c>
      <c r="C4" s="582"/>
      <c r="D4" s="582"/>
      <c r="E4" s="582"/>
      <c r="F4" s="582"/>
      <c r="G4" s="582"/>
      <c r="H4" s="582"/>
      <c r="I4" s="582"/>
    </row>
    <row r="5" spans="3:8" ht="12.75" customHeight="1">
      <c r="C5" s="51" t="s">
        <v>412</v>
      </c>
      <c r="H5" s="518"/>
    </row>
    <row r="6" spans="3:8" ht="21" customHeight="1" thickBot="1">
      <c r="C6" s="51"/>
      <c r="H6" s="52"/>
    </row>
    <row r="7" spans="2:9" s="53" customFormat="1" ht="24.75" customHeight="1" thickTop="1">
      <c r="B7" s="69"/>
      <c r="C7" s="70"/>
      <c r="D7" s="70" t="s">
        <v>227</v>
      </c>
      <c r="E7" s="70" t="s">
        <v>413</v>
      </c>
      <c r="F7" s="71" t="s">
        <v>414</v>
      </c>
      <c r="G7" s="71" t="s">
        <v>415</v>
      </c>
      <c r="H7" s="70" t="s">
        <v>416</v>
      </c>
      <c r="I7" s="72" t="s">
        <v>403</v>
      </c>
    </row>
    <row r="8" spans="2:9" s="58" customFormat="1" ht="30" customHeight="1">
      <c r="B8" s="54" t="s">
        <v>164</v>
      </c>
      <c r="C8" s="55" t="s">
        <v>142</v>
      </c>
      <c r="D8" s="56">
        <v>100000</v>
      </c>
      <c r="E8" s="56">
        <v>0</v>
      </c>
      <c r="F8" s="56">
        <v>0</v>
      </c>
      <c r="G8" s="56">
        <v>0</v>
      </c>
      <c r="H8" s="56">
        <f>'PASIV '!G81</f>
        <v>-7538163</v>
      </c>
      <c r="I8" s="57">
        <f>SUM(D8:H8)</f>
        <v>-7438163</v>
      </c>
    </row>
    <row r="9" spans="2:9" s="58" customFormat="1" ht="19.5" customHeight="1">
      <c r="B9" s="59" t="s">
        <v>404</v>
      </c>
      <c r="C9" s="60" t="s">
        <v>405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7">
        <v>0</v>
      </c>
    </row>
    <row r="10" spans="2:9" s="58" customFormat="1" ht="19.5" customHeight="1">
      <c r="B10" s="54" t="s">
        <v>406</v>
      </c>
      <c r="C10" s="55" t="s">
        <v>407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7">
        <v>0</v>
      </c>
    </row>
    <row r="11" spans="2:9" s="58" customFormat="1" ht="19.5" customHeight="1">
      <c r="B11" s="61">
        <v>1</v>
      </c>
      <c r="C11" s="62" t="s">
        <v>409</v>
      </c>
      <c r="D11" s="56">
        <v>0</v>
      </c>
      <c r="E11" s="56">
        <v>0</v>
      </c>
      <c r="F11" s="56">
        <v>0</v>
      </c>
      <c r="G11" s="56">
        <v>0</v>
      </c>
      <c r="H11" s="297">
        <f>'PASIV '!G83</f>
        <v>-3808736.8300000005</v>
      </c>
      <c r="I11" s="57">
        <v>0</v>
      </c>
    </row>
    <row r="12" spans="2:9" s="58" customFormat="1" ht="19.5" customHeight="1">
      <c r="B12" s="61">
        <v>2</v>
      </c>
      <c r="C12" s="62" t="s">
        <v>408</v>
      </c>
      <c r="D12" s="56">
        <v>0</v>
      </c>
      <c r="E12" s="56">
        <v>0</v>
      </c>
      <c r="F12" s="56">
        <v>0</v>
      </c>
      <c r="G12" s="56">
        <v>0</v>
      </c>
      <c r="H12" s="56">
        <v>0</v>
      </c>
      <c r="I12" s="57">
        <v>0</v>
      </c>
    </row>
    <row r="13" spans="2:9" s="58" customFormat="1" ht="19.5" customHeight="1">
      <c r="B13" s="61">
        <v>3</v>
      </c>
      <c r="C13" s="62" t="s">
        <v>417</v>
      </c>
      <c r="D13" s="56">
        <v>0</v>
      </c>
      <c r="E13" s="56">
        <v>0</v>
      </c>
      <c r="F13" s="56">
        <v>0</v>
      </c>
      <c r="G13" s="56">
        <v>0</v>
      </c>
      <c r="H13" s="56">
        <v>0</v>
      </c>
      <c r="I13" s="57">
        <v>0</v>
      </c>
    </row>
    <row r="14" spans="2:9" s="58" customFormat="1" ht="19.5" customHeight="1">
      <c r="B14" s="61">
        <v>4</v>
      </c>
      <c r="C14" s="62" t="s">
        <v>418</v>
      </c>
      <c r="D14" s="56">
        <v>0</v>
      </c>
      <c r="E14" s="56">
        <v>0</v>
      </c>
      <c r="F14" s="56">
        <v>0</v>
      </c>
      <c r="G14" s="56">
        <v>0</v>
      </c>
      <c r="H14" s="56">
        <v>0</v>
      </c>
      <c r="I14" s="57">
        <v>0</v>
      </c>
    </row>
    <row r="15" spans="2:9" s="58" customFormat="1" ht="30" customHeight="1">
      <c r="B15" s="54" t="s">
        <v>188</v>
      </c>
      <c r="C15" s="55" t="s">
        <v>541</v>
      </c>
      <c r="D15" s="56">
        <v>100000</v>
      </c>
      <c r="E15" s="56">
        <v>0</v>
      </c>
      <c r="F15" s="56">
        <v>0</v>
      </c>
      <c r="G15" s="56">
        <v>0</v>
      </c>
      <c r="H15" s="56">
        <f>SUM(H8:H14)</f>
        <v>-11346899.83</v>
      </c>
      <c r="I15" s="64">
        <f aca="true" t="shared" si="0" ref="I15:I20">SUM(D15:H15)</f>
        <v>-11246899.83</v>
      </c>
    </row>
    <row r="16" spans="2:9" s="58" customFormat="1" ht="19.5" customHeight="1">
      <c r="B16" s="59">
        <v>1</v>
      </c>
      <c r="C16" s="62" t="s">
        <v>409</v>
      </c>
      <c r="D16" s="63"/>
      <c r="E16" s="63">
        <v>0</v>
      </c>
      <c r="F16" s="63">
        <v>0</v>
      </c>
      <c r="G16" s="63">
        <v>0</v>
      </c>
      <c r="H16" s="63">
        <f>'PASIV '!F83</f>
        <v>43975.562000000704</v>
      </c>
      <c r="I16" s="64">
        <f t="shared" si="0"/>
        <v>43975.562000000704</v>
      </c>
    </row>
    <row r="17" spans="2:9" s="58" customFormat="1" ht="19.5" customHeight="1">
      <c r="B17" s="59">
        <v>2</v>
      </c>
      <c r="C17" s="62" t="s">
        <v>408</v>
      </c>
      <c r="D17" s="63">
        <v>0</v>
      </c>
      <c r="E17" s="63">
        <v>0</v>
      </c>
      <c r="F17" s="63">
        <v>0</v>
      </c>
      <c r="G17" s="63">
        <v>0</v>
      </c>
      <c r="H17" s="63">
        <v>0</v>
      </c>
      <c r="I17" s="64">
        <f t="shared" si="0"/>
        <v>0</v>
      </c>
    </row>
    <row r="18" spans="2:9" s="58" customFormat="1" ht="19.5" customHeight="1">
      <c r="B18" s="59">
        <v>3</v>
      </c>
      <c r="C18" s="62" t="s">
        <v>419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4">
        <f t="shared" si="0"/>
        <v>0</v>
      </c>
    </row>
    <row r="19" spans="2:9" s="58" customFormat="1" ht="19.5" customHeight="1">
      <c r="B19" s="59">
        <v>4</v>
      </c>
      <c r="C19" s="62" t="s">
        <v>410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4">
        <f t="shared" si="0"/>
        <v>0</v>
      </c>
    </row>
    <row r="20" spans="2:9" s="58" customFormat="1" ht="30" customHeight="1" thickBot="1">
      <c r="B20" s="65" t="s">
        <v>411</v>
      </c>
      <c r="C20" s="66" t="s">
        <v>24</v>
      </c>
      <c r="D20" s="67">
        <f>SUM(D15:D19)</f>
        <v>100000</v>
      </c>
      <c r="E20" s="67">
        <f>SUM(E15:E19)</f>
        <v>0</v>
      </c>
      <c r="F20" s="67">
        <f>SUM(F15:F19)</f>
        <v>0</v>
      </c>
      <c r="G20" s="67">
        <f>SUM(G15:G19)</f>
        <v>0</v>
      </c>
      <c r="H20" s="67">
        <f>SUM(H15:H19)</f>
        <v>-11302924.268</v>
      </c>
      <c r="I20" s="68">
        <f t="shared" si="0"/>
        <v>-11202924.268</v>
      </c>
    </row>
    <row r="21" ht="13.5" customHeight="1" thickTop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">
    <mergeCell ref="B4:I4"/>
  </mergeCells>
  <printOptions horizontalCentered="1"/>
  <pageMargins left="0" right="0.17" top="0.3937007874015748" bottom="0.3937007874015748" header="0.5118110236220472" footer="0.5118110236220472"/>
  <pageSetup horizontalDpi="600" verticalDpi="600" orientation="landscape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E59"/>
  <sheetViews>
    <sheetView zoomScalePageLayoutView="0" workbookViewId="0" topLeftCell="B1">
      <selection activeCell="A1" sqref="A1"/>
    </sheetView>
  </sheetViews>
  <sheetFormatPr defaultColWidth="4.7109375" defaultRowHeight="12.75"/>
  <cols>
    <col min="1" max="1" width="9.140625" style="202" hidden="1" customWidth="1"/>
    <col min="2" max="2" width="4.57421875" style="202" customWidth="1"/>
    <col min="3" max="3" width="7.421875" style="202" customWidth="1"/>
    <col min="4" max="4" width="78.28125" style="202" customWidth="1"/>
    <col min="5" max="5" width="4.8515625" style="202" customWidth="1"/>
    <col min="6" max="6" width="1.57421875" style="202" customWidth="1"/>
    <col min="7" max="16384" width="4.7109375" style="202" customWidth="1"/>
  </cols>
  <sheetData>
    <row r="2" spans="2:5" ht="12.75">
      <c r="B2" s="199"/>
      <c r="C2" s="200"/>
      <c r="D2" s="200"/>
      <c r="E2" s="201"/>
    </row>
    <row r="3" spans="2:5" s="203" customFormat="1" ht="33" customHeight="1">
      <c r="B3" s="583" t="s">
        <v>420</v>
      </c>
      <c r="C3" s="584"/>
      <c r="D3" s="584"/>
      <c r="E3" s="585"/>
    </row>
    <row r="4" spans="2:5" s="208" customFormat="1" ht="12.75">
      <c r="B4" s="204"/>
      <c r="C4" s="205" t="s">
        <v>421</v>
      </c>
      <c r="D4" s="206"/>
      <c r="E4" s="207"/>
    </row>
    <row r="5" spans="2:5" s="208" customFormat="1" ht="11.25">
      <c r="B5" s="204"/>
      <c r="C5" s="209"/>
      <c r="D5" s="210" t="s">
        <v>460</v>
      </c>
      <c r="E5" s="207"/>
    </row>
    <row r="6" spans="2:5" s="208" customFormat="1" ht="11.25">
      <c r="B6" s="204"/>
      <c r="C6" s="209"/>
      <c r="D6" s="210" t="s">
        <v>461</v>
      </c>
      <c r="E6" s="207"/>
    </row>
    <row r="7" spans="2:5" s="208" customFormat="1" ht="11.25">
      <c r="B7" s="204"/>
      <c r="C7" s="209" t="s">
        <v>424</v>
      </c>
      <c r="D7" s="211"/>
      <c r="E7" s="207"/>
    </row>
    <row r="8" spans="2:5" s="208" customFormat="1" ht="11.25">
      <c r="B8" s="204"/>
      <c r="C8" s="209"/>
      <c r="D8" s="210" t="s">
        <v>462</v>
      </c>
      <c r="E8" s="207"/>
    </row>
    <row r="9" spans="2:5" s="208" customFormat="1" ht="11.25">
      <c r="B9" s="204"/>
      <c r="C9" s="212"/>
      <c r="D9" s="210" t="s">
        <v>463</v>
      </c>
      <c r="E9" s="207"/>
    </row>
    <row r="10" spans="2:5" s="208" customFormat="1" ht="11.25">
      <c r="B10" s="204"/>
      <c r="C10" s="213"/>
      <c r="D10" s="214" t="s">
        <v>464</v>
      </c>
      <c r="E10" s="207"/>
    </row>
    <row r="11" spans="2:5" ht="5.25" customHeight="1">
      <c r="B11" s="215"/>
      <c r="C11" s="216"/>
      <c r="D11" s="216"/>
      <c r="E11" s="217"/>
    </row>
    <row r="12" spans="2:5" ht="15.75">
      <c r="B12" s="215"/>
      <c r="C12" s="218" t="s">
        <v>465</v>
      </c>
      <c r="D12" s="219" t="s">
        <v>466</v>
      </c>
      <c r="E12" s="217"/>
    </row>
    <row r="13" spans="2:5" ht="6" customHeight="1">
      <c r="B13" s="215"/>
      <c r="C13" s="220"/>
      <c r="E13" s="217"/>
    </row>
    <row r="14" spans="2:5" ht="12.75">
      <c r="B14" s="215"/>
      <c r="C14" s="221">
        <v>1</v>
      </c>
      <c r="D14" s="222" t="s">
        <v>467</v>
      </c>
      <c r="E14" s="217"/>
    </row>
    <row r="15" spans="2:5" ht="12.75">
      <c r="B15" s="215"/>
      <c r="C15" s="221">
        <v>2</v>
      </c>
      <c r="D15" s="223" t="s">
        <v>515</v>
      </c>
      <c r="E15" s="217"/>
    </row>
    <row r="16" spans="2:5" ht="12.75">
      <c r="B16" s="215"/>
      <c r="C16" s="224">
        <v>3</v>
      </c>
      <c r="D16" s="223" t="s">
        <v>468</v>
      </c>
      <c r="E16" s="217"/>
    </row>
    <row r="17" spans="2:5" s="223" customFormat="1" ht="12.75">
      <c r="B17" s="225"/>
      <c r="C17" s="224">
        <v>4</v>
      </c>
      <c r="D17" s="224" t="s">
        <v>469</v>
      </c>
      <c r="E17" s="226"/>
    </row>
    <row r="18" spans="2:5" s="223" customFormat="1" ht="12.75">
      <c r="B18" s="225"/>
      <c r="C18" s="224"/>
      <c r="D18" s="222" t="s">
        <v>470</v>
      </c>
      <c r="E18" s="226"/>
    </row>
    <row r="19" spans="2:5" s="223" customFormat="1" ht="12.75">
      <c r="B19" s="225"/>
      <c r="C19" s="224" t="s">
        <v>471</v>
      </c>
      <c r="D19" s="224"/>
      <c r="E19" s="226"/>
    </row>
    <row r="20" spans="2:5" s="223" customFormat="1" ht="12.75">
      <c r="B20" s="225"/>
      <c r="C20" s="224"/>
      <c r="D20" s="222" t="s">
        <v>472</v>
      </c>
      <c r="E20" s="226"/>
    </row>
    <row r="21" spans="2:5" s="223" customFormat="1" ht="12.75">
      <c r="B21" s="225"/>
      <c r="C21" s="224" t="s">
        <v>473</v>
      </c>
      <c r="D21" s="224"/>
      <c r="E21" s="226"/>
    </row>
    <row r="22" spans="2:5" s="223" customFormat="1" ht="12.75">
      <c r="B22" s="225"/>
      <c r="C22" s="224"/>
      <c r="D22" s="222" t="s">
        <v>474</v>
      </c>
      <c r="E22" s="226"/>
    </row>
    <row r="23" spans="2:5" s="223" customFormat="1" ht="12.75">
      <c r="B23" s="225"/>
      <c r="C23" s="224" t="s">
        <v>475</v>
      </c>
      <c r="D23" s="224"/>
      <c r="E23" s="226"/>
    </row>
    <row r="24" spans="2:5" s="223" customFormat="1" ht="12.75">
      <c r="B24" s="225"/>
      <c r="C24" s="224"/>
      <c r="D24" s="224" t="s">
        <v>476</v>
      </c>
      <c r="E24" s="226"/>
    </row>
    <row r="25" spans="2:5" s="223" customFormat="1" ht="12.75">
      <c r="B25" s="225"/>
      <c r="C25" s="224" t="s">
        <v>477</v>
      </c>
      <c r="D25" s="224"/>
      <c r="E25" s="226"/>
    </row>
    <row r="26" spans="2:5" s="223" customFormat="1" ht="12.75">
      <c r="B26" s="225"/>
      <c r="C26" s="222" t="s">
        <v>478</v>
      </c>
      <c r="D26" s="224"/>
      <c r="E26" s="226"/>
    </row>
    <row r="27" spans="2:5" s="223" customFormat="1" ht="12.75">
      <c r="B27" s="225"/>
      <c r="C27" s="224"/>
      <c r="D27" s="224" t="s">
        <v>479</v>
      </c>
      <c r="E27" s="226"/>
    </row>
    <row r="28" spans="2:5" s="223" customFormat="1" ht="12.75">
      <c r="B28" s="225"/>
      <c r="C28" s="222" t="s">
        <v>480</v>
      </c>
      <c r="D28" s="224"/>
      <c r="E28" s="226"/>
    </row>
    <row r="29" spans="2:5" s="223" customFormat="1" ht="12.75">
      <c r="B29" s="225"/>
      <c r="C29" s="224"/>
      <c r="D29" s="224" t="s">
        <v>481</v>
      </c>
      <c r="E29" s="226"/>
    </row>
    <row r="30" spans="2:5" s="223" customFormat="1" ht="12.75">
      <c r="B30" s="225"/>
      <c r="C30" s="222" t="s">
        <v>482</v>
      </c>
      <c r="D30" s="224"/>
      <c r="E30" s="226"/>
    </row>
    <row r="31" spans="2:5" s="223" customFormat="1" ht="12.75">
      <c r="B31" s="225"/>
      <c r="C31" s="224" t="s">
        <v>483</v>
      </c>
      <c r="D31" s="224" t="s">
        <v>484</v>
      </c>
      <c r="E31" s="226"/>
    </row>
    <row r="32" spans="2:5" s="223" customFormat="1" ht="12.75">
      <c r="B32" s="225"/>
      <c r="C32" s="224"/>
      <c r="D32" s="222" t="s">
        <v>485</v>
      </c>
      <c r="E32" s="226"/>
    </row>
    <row r="33" spans="2:5" s="223" customFormat="1" ht="12.75">
      <c r="B33" s="225"/>
      <c r="C33" s="224"/>
      <c r="D33" s="222" t="s">
        <v>486</v>
      </c>
      <c r="E33" s="226"/>
    </row>
    <row r="34" spans="2:5" s="223" customFormat="1" ht="12.75">
      <c r="B34" s="225"/>
      <c r="C34" s="224"/>
      <c r="D34" s="222" t="s">
        <v>487</v>
      </c>
      <c r="E34" s="226"/>
    </row>
    <row r="35" spans="2:5" s="223" customFormat="1" ht="12.75">
      <c r="B35" s="225"/>
      <c r="C35" s="224"/>
      <c r="D35" s="222" t="s">
        <v>488</v>
      </c>
      <c r="E35" s="226"/>
    </row>
    <row r="36" spans="2:5" s="223" customFormat="1" ht="12.75">
      <c r="B36" s="225"/>
      <c r="C36" s="224"/>
      <c r="D36" s="222" t="s">
        <v>489</v>
      </c>
      <c r="E36" s="226"/>
    </row>
    <row r="37" spans="2:5" s="223" customFormat="1" ht="12.75">
      <c r="B37" s="225"/>
      <c r="C37" s="224"/>
      <c r="D37" s="222" t="s">
        <v>490</v>
      </c>
      <c r="E37" s="226"/>
    </row>
    <row r="38" spans="2:5" s="223" customFormat="1" ht="11.25" customHeight="1">
      <c r="B38" s="225"/>
      <c r="C38" s="224"/>
      <c r="D38" s="224"/>
      <c r="E38" s="226"/>
    </row>
    <row r="39" spans="2:5" s="223" customFormat="1" ht="15.75">
      <c r="B39" s="225"/>
      <c r="C39" s="218" t="s">
        <v>491</v>
      </c>
      <c r="D39" s="219" t="s">
        <v>492</v>
      </c>
      <c r="E39" s="226"/>
    </row>
    <row r="40" spans="2:5" s="223" customFormat="1" ht="12" customHeight="1">
      <c r="B40" s="225"/>
      <c r="C40" s="224"/>
      <c r="D40" s="224"/>
      <c r="E40" s="226"/>
    </row>
    <row r="41" spans="2:5" s="223" customFormat="1" ht="12.75">
      <c r="B41" s="225"/>
      <c r="C41" s="224"/>
      <c r="D41" s="222" t="s">
        <v>506</v>
      </c>
      <c r="E41" s="226"/>
    </row>
    <row r="42" spans="2:5" s="223" customFormat="1" ht="12.75">
      <c r="B42" s="225"/>
      <c r="C42" s="224"/>
      <c r="D42" s="224" t="s">
        <v>493</v>
      </c>
      <c r="E42" s="226"/>
    </row>
    <row r="43" spans="2:5" s="223" customFormat="1" ht="12.75">
      <c r="B43" s="225"/>
      <c r="C43" s="224" t="s">
        <v>494</v>
      </c>
      <c r="D43" s="224"/>
      <c r="E43" s="226"/>
    </row>
    <row r="44" spans="2:5" s="223" customFormat="1" ht="12.75">
      <c r="B44" s="225"/>
      <c r="C44" s="224"/>
      <c r="D44" s="224" t="s">
        <v>495</v>
      </c>
      <c r="E44" s="226"/>
    </row>
    <row r="45" spans="2:5" s="223" customFormat="1" ht="12.75">
      <c r="B45" s="225"/>
      <c r="C45" s="224" t="s">
        <v>496</v>
      </c>
      <c r="D45" s="224"/>
      <c r="E45" s="226"/>
    </row>
    <row r="46" spans="2:5" s="223" customFormat="1" ht="12.75">
      <c r="B46" s="225"/>
      <c r="C46" s="224"/>
      <c r="D46" s="224" t="s">
        <v>497</v>
      </c>
      <c r="E46" s="226"/>
    </row>
    <row r="47" spans="2:5" s="223" customFormat="1" ht="12.75">
      <c r="B47" s="225"/>
      <c r="C47" s="224" t="s">
        <v>498</v>
      </c>
      <c r="D47" s="224"/>
      <c r="E47" s="226"/>
    </row>
    <row r="48" spans="2:5" s="223" customFormat="1" ht="12.75">
      <c r="B48" s="225"/>
      <c r="D48" s="223" t="s">
        <v>499</v>
      </c>
      <c r="E48" s="226"/>
    </row>
    <row r="49" spans="2:5" s="223" customFormat="1" ht="12.75">
      <c r="B49" s="225"/>
      <c r="C49" s="223" t="s">
        <v>500</v>
      </c>
      <c r="E49" s="226"/>
    </row>
    <row r="50" spans="2:5" s="223" customFormat="1" ht="12.75">
      <c r="B50" s="225"/>
      <c r="C50" s="223" t="s">
        <v>501</v>
      </c>
      <c r="E50" s="226"/>
    </row>
    <row r="51" spans="2:5" s="223" customFormat="1" ht="12.75">
      <c r="B51" s="225"/>
      <c r="C51" s="223" t="s">
        <v>502</v>
      </c>
      <c r="D51" s="224"/>
      <c r="E51" s="226"/>
    </row>
    <row r="52" spans="2:5" s="223" customFormat="1" ht="12.75">
      <c r="B52" s="225"/>
      <c r="C52" s="224"/>
      <c r="D52" s="223" t="s">
        <v>503</v>
      </c>
      <c r="E52" s="226"/>
    </row>
    <row r="53" spans="2:5" s="223" customFormat="1" ht="12.75">
      <c r="B53" s="225"/>
      <c r="C53" s="224"/>
      <c r="D53" s="224" t="s">
        <v>504</v>
      </c>
      <c r="E53" s="226"/>
    </row>
    <row r="54" spans="2:5" s="223" customFormat="1" ht="12.75">
      <c r="B54" s="225"/>
      <c r="C54" s="224"/>
      <c r="D54" s="224" t="s">
        <v>505</v>
      </c>
      <c r="E54" s="226"/>
    </row>
    <row r="55" spans="2:5" ht="12.75">
      <c r="B55" s="215"/>
      <c r="C55" s="223"/>
      <c r="D55" s="223"/>
      <c r="E55" s="217"/>
    </row>
    <row r="56" spans="2:5" ht="12.75">
      <c r="B56" s="215"/>
      <c r="C56" s="223"/>
      <c r="D56" s="223"/>
      <c r="E56" s="217"/>
    </row>
    <row r="57" spans="2:5" ht="12.75">
      <c r="B57" s="215"/>
      <c r="C57" s="223"/>
      <c r="D57" s="223"/>
      <c r="E57" s="217"/>
    </row>
    <row r="58" spans="2:5" ht="12.75">
      <c r="B58" s="215"/>
      <c r="C58" s="223"/>
      <c r="D58" s="223"/>
      <c r="E58" s="227">
        <v>1</v>
      </c>
    </row>
    <row r="59" spans="2:5" ht="12.75">
      <c r="B59" s="228"/>
      <c r="C59" s="229"/>
      <c r="D59" s="229"/>
      <c r="E59" s="230"/>
    </row>
  </sheetData>
  <sheetProtection/>
  <mergeCells count="1">
    <mergeCell ref="B3:E3"/>
  </mergeCells>
  <printOptions horizontalCentered="1" verticalCentered="1"/>
  <pageMargins left="0" right="0" top="0" bottom="0" header="0.18" footer="0.18"/>
  <pageSetup horizontalDpi="300" verticalDpi="300" orientation="portrait" paperSize="1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L50"/>
  <sheetViews>
    <sheetView zoomScalePageLayoutView="0" workbookViewId="0" topLeftCell="A1">
      <selection activeCell="A1" sqref="A1"/>
    </sheetView>
  </sheetViews>
  <sheetFormatPr defaultColWidth="4.7109375" defaultRowHeight="12.75"/>
  <cols>
    <col min="1" max="1" width="7.57421875" style="0" customWidth="1"/>
    <col min="2" max="2" width="4.57421875" style="0" customWidth="1"/>
    <col min="3" max="3" width="5.28125" style="0" customWidth="1"/>
    <col min="4" max="4" width="3.57421875" style="0" customWidth="1"/>
    <col min="5" max="5" width="13.7109375" style="0" customWidth="1"/>
    <col min="6" max="7" width="8.7109375" style="0" customWidth="1"/>
    <col min="8" max="8" width="9.28125" style="0" customWidth="1"/>
    <col min="9" max="9" width="29.00390625" style="0" customWidth="1"/>
    <col min="10" max="10" width="6.00390625" style="0" customWidth="1"/>
    <col min="11" max="11" width="10.28125" style="0" customWidth="1"/>
    <col min="12" max="12" width="2.140625" style="0" customWidth="1"/>
  </cols>
  <sheetData>
    <row r="2" spans="2:11" ht="12.75">
      <c r="B2" s="73"/>
      <c r="C2" s="74"/>
      <c r="D2" s="74"/>
      <c r="E2" s="74"/>
      <c r="F2" s="74"/>
      <c r="G2" s="74"/>
      <c r="H2" s="74"/>
      <c r="I2" s="74"/>
      <c r="J2" s="74"/>
      <c r="K2" s="75"/>
    </row>
    <row r="3" spans="2:11" ht="12.75">
      <c r="B3" s="76"/>
      <c r="C3" s="32"/>
      <c r="D3" s="32"/>
      <c r="E3" s="32"/>
      <c r="F3" s="32"/>
      <c r="G3" s="32"/>
      <c r="H3" s="32"/>
      <c r="I3" s="233"/>
      <c r="J3" s="32"/>
      <c r="K3" s="77"/>
    </row>
    <row r="4" spans="2:11" s="78" customFormat="1" ht="33" customHeight="1">
      <c r="B4" s="587" t="s">
        <v>420</v>
      </c>
      <c r="C4" s="588"/>
      <c r="D4" s="588"/>
      <c r="E4" s="588"/>
      <c r="F4" s="588"/>
      <c r="G4" s="588"/>
      <c r="H4" s="588"/>
      <c r="I4" s="588"/>
      <c r="J4" s="588"/>
      <c r="K4" s="589"/>
    </row>
    <row r="5" spans="2:11" s="85" customFormat="1" ht="12.75">
      <c r="B5" s="79"/>
      <c r="C5" s="80" t="s">
        <v>421</v>
      </c>
      <c r="D5" s="81"/>
      <c r="E5" s="81"/>
      <c r="F5" s="81"/>
      <c r="G5" s="82"/>
      <c r="H5" s="82"/>
      <c r="I5" s="83"/>
      <c r="J5" s="87"/>
      <c r="K5" s="84"/>
    </row>
    <row r="6" spans="2:11" s="85" customFormat="1" ht="11.25">
      <c r="B6" s="79"/>
      <c r="C6" s="86"/>
      <c r="D6" s="87" t="s">
        <v>422</v>
      </c>
      <c r="E6" s="87"/>
      <c r="F6" s="87"/>
      <c r="G6" s="87"/>
      <c r="H6" s="87"/>
      <c r="I6" s="88"/>
      <c r="J6" s="87"/>
      <c r="K6" s="84"/>
    </row>
    <row r="7" spans="2:11" s="85" customFormat="1" ht="11.25">
      <c r="B7" s="79"/>
      <c r="C7" s="86"/>
      <c r="D7" s="87" t="s">
        <v>423</v>
      </c>
      <c r="E7" s="87"/>
      <c r="F7" s="87"/>
      <c r="G7" s="87"/>
      <c r="H7" s="87"/>
      <c r="I7" s="88"/>
      <c r="J7" s="87"/>
      <c r="K7" s="84"/>
    </row>
    <row r="8" spans="2:11" s="85" customFormat="1" ht="11.25">
      <c r="B8" s="79"/>
      <c r="C8" s="86" t="s">
        <v>424</v>
      </c>
      <c r="D8" s="89"/>
      <c r="E8" s="89"/>
      <c r="F8" s="89"/>
      <c r="G8" s="89"/>
      <c r="H8" s="89"/>
      <c r="I8" s="88"/>
      <c r="J8" s="87"/>
      <c r="K8" s="84"/>
    </row>
    <row r="9" spans="2:11" s="85" customFormat="1" ht="11.25">
      <c r="B9" s="79"/>
      <c r="C9" s="86"/>
      <c r="D9" s="87"/>
      <c r="E9" s="87" t="s">
        <v>425</v>
      </c>
      <c r="F9" s="87"/>
      <c r="G9" s="89"/>
      <c r="H9" s="89"/>
      <c r="I9" s="88"/>
      <c r="J9" s="87"/>
      <c r="K9" s="84"/>
    </row>
    <row r="10" spans="2:11" s="85" customFormat="1" ht="11.25">
      <c r="B10" s="79"/>
      <c r="C10" s="90"/>
      <c r="D10" s="91"/>
      <c r="E10" s="87" t="s">
        <v>426</v>
      </c>
      <c r="F10" s="87"/>
      <c r="G10" s="89"/>
      <c r="H10" s="89"/>
      <c r="I10" s="88"/>
      <c r="J10" s="87"/>
      <c r="K10" s="84"/>
    </row>
    <row r="11" spans="2:11" s="85" customFormat="1" ht="11.25">
      <c r="B11" s="79"/>
      <c r="C11" s="92"/>
      <c r="D11" s="93"/>
      <c r="E11" s="93" t="s">
        <v>427</v>
      </c>
      <c r="F11" s="93"/>
      <c r="G11" s="93"/>
      <c r="H11" s="93"/>
      <c r="I11" s="94"/>
      <c r="J11" s="87"/>
      <c r="K11" s="84"/>
    </row>
    <row r="12" spans="2:11" ht="12.75">
      <c r="B12" s="76"/>
      <c r="C12" s="32"/>
      <c r="D12" s="32"/>
      <c r="E12" s="32"/>
      <c r="F12" s="32"/>
      <c r="G12" s="32"/>
      <c r="H12" s="32"/>
      <c r="I12" s="32"/>
      <c r="J12" s="32"/>
      <c r="K12" s="77"/>
    </row>
    <row r="13" spans="2:11" ht="15.75">
      <c r="B13" s="76"/>
      <c r="C13" s="218" t="s">
        <v>507</v>
      </c>
      <c r="D13" s="219" t="s">
        <v>508</v>
      </c>
      <c r="E13" s="32"/>
      <c r="F13" s="32"/>
      <c r="G13" s="32"/>
      <c r="H13" s="32"/>
      <c r="I13" s="32"/>
      <c r="J13" s="32"/>
      <c r="K13" s="77"/>
    </row>
    <row r="14" spans="2:11" ht="12.75">
      <c r="B14" s="76"/>
      <c r="C14" s="220"/>
      <c r="D14" s="202"/>
      <c r="E14" s="231"/>
      <c r="F14" s="95"/>
      <c r="G14" s="590"/>
      <c r="H14" s="590"/>
      <c r="I14" s="590"/>
      <c r="J14" s="95"/>
      <c r="K14" s="77"/>
    </row>
    <row r="15" spans="2:11" s="99" customFormat="1" ht="12.75">
      <c r="B15" s="96"/>
      <c r="C15" s="221">
        <v>1</v>
      </c>
      <c r="D15" s="232" t="s">
        <v>15</v>
      </c>
      <c r="E15" s="232"/>
      <c r="F15" s="95"/>
      <c r="G15" s="95"/>
      <c r="H15" s="95"/>
      <c r="I15" s="95"/>
      <c r="J15" s="95"/>
      <c r="K15" s="98"/>
    </row>
    <row r="16" spans="2:11" s="99" customFormat="1" ht="12.75">
      <c r="B16" s="96"/>
      <c r="C16" s="221"/>
      <c r="D16" s="232" t="s">
        <v>16</v>
      </c>
      <c r="E16" s="232"/>
      <c r="F16" s="95"/>
      <c r="G16" s="95"/>
      <c r="H16" s="95"/>
      <c r="I16" s="95"/>
      <c r="J16" s="95"/>
      <c r="K16" s="98"/>
    </row>
    <row r="17" spans="2:11" s="99" customFormat="1" ht="12.75">
      <c r="B17" s="96"/>
      <c r="C17" s="221"/>
      <c r="D17" s="232"/>
      <c r="E17" s="232"/>
      <c r="F17" s="95"/>
      <c r="G17" s="95"/>
      <c r="H17" s="95"/>
      <c r="I17" s="95"/>
      <c r="J17" s="95"/>
      <c r="K17" s="98"/>
    </row>
    <row r="18" spans="2:11" s="99" customFormat="1" ht="12.75">
      <c r="B18" s="96"/>
      <c r="C18" s="221">
        <v>2</v>
      </c>
      <c r="D18" s="97" t="s">
        <v>511</v>
      </c>
      <c r="E18" s="97"/>
      <c r="F18" s="87"/>
      <c r="G18" s="87"/>
      <c r="H18" s="87"/>
      <c r="I18" s="87"/>
      <c r="J18" s="87"/>
      <c r="K18" s="98"/>
    </row>
    <row r="19" spans="2:11" s="99" customFormat="1" ht="12.75">
      <c r="B19" s="96"/>
      <c r="C19" s="224"/>
      <c r="D19" s="97" t="s">
        <v>17</v>
      </c>
      <c r="E19" s="97"/>
      <c r="F19" s="87"/>
      <c r="G19" s="87"/>
      <c r="H19" s="87"/>
      <c r="I19" s="87"/>
      <c r="J19" s="87"/>
      <c r="K19" s="98"/>
    </row>
    <row r="20" spans="2:11" s="99" customFormat="1" ht="12.75">
      <c r="B20" s="96"/>
      <c r="C20" s="224"/>
      <c r="D20" s="97"/>
      <c r="E20" s="97"/>
      <c r="F20" s="87"/>
      <c r="G20" s="87"/>
      <c r="H20" s="87"/>
      <c r="I20" s="87"/>
      <c r="J20" s="87"/>
      <c r="K20" s="98"/>
    </row>
    <row r="21" spans="2:11" s="99" customFormat="1" ht="12.75">
      <c r="B21" s="96"/>
      <c r="C21" s="224">
        <v>3</v>
      </c>
      <c r="D21" s="224" t="s">
        <v>580</v>
      </c>
      <c r="E21" s="97"/>
      <c r="F21" s="87"/>
      <c r="G21" s="87"/>
      <c r="H21" s="87"/>
      <c r="I21" s="87"/>
      <c r="J21" s="87"/>
      <c r="K21" s="98"/>
    </row>
    <row r="22" spans="2:11" s="99" customFormat="1" ht="12.75">
      <c r="B22" s="96"/>
      <c r="C22" s="224"/>
      <c r="D22" s="222" t="s">
        <v>581</v>
      </c>
      <c r="E22" s="97"/>
      <c r="F22" s="97"/>
      <c r="G22" s="97"/>
      <c r="H22" s="97"/>
      <c r="I22" s="97"/>
      <c r="J22" s="97"/>
      <c r="K22" s="98"/>
    </row>
    <row r="23" spans="2:11" s="99" customFormat="1" ht="12.75">
      <c r="B23" s="96"/>
      <c r="C23" s="224"/>
      <c r="D23" s="222" t="s">
        <v>21</v>
      </c>
      <c r="E23" s="97"/>
      <c r="F23" s="97"/>
      <c r="G23" s="97"/>
      <c r="H23" s="97"/>
      <c r="I23" s="97"/>
      <c r="J23" s="97"/>
      <c r="K23" s="98"/>
    </row>
    <row r="24" spans="2:11" s="99" customFormat="1" ht="12.75">
      <c r="B24" s="96"/>
      <c r="C24" s="224"/>
      <c r="D24" s="222" t="s">
        <v>25</v>
      </c>
      <c r="E24" s="97"/>
      <c r="F24" s="97"/>
      <c r="G24" s="97"/>
      <c r="H24" s="97"/>
      <c r="I24" s="97"/>
      <c r="J24" s="97"/>
      <c r="K24" s="98"/>
    </row>
    <row r="25" spans="2:11" s="99" customFormat="1" ht="12.75">
      <c r="B25" s="96"/>
      <c r="C25" s="224"/>
      <c r="D25" s="224"/>
      <c r="E25" s="97"/>
      <c r="F25" s="97"/>
      <c r="G25" s="97"/>
      <c r="H25" s="97"/>
      <c r="I25" s="97"/>
      <c r="J25" s="97"/>
      <c r="K25" s="98"/>
    </row>
    <row r="26" spans="2:11" s="99" customFormat="1" ht="12.75">
      <c r="B26" s="96"/>
      <c r="C26" s="224">
        <v>4</v>
      </c>
      <c r="D26" s="222" t="s">
        <v>18</v>
      </c>
      <c r="E26" s="97"/>
      <c r="F26" s="97"/>
      <c r="G26" s="97"/>
      <c r="H26" s="97"/>
      <c r="I26" s="97"/>
      <c r="J26" s="97"/>
      <c r="K26" s="98"/>
    </row>
    <row r="27" spans="2:11" s="99" customFormat="1" ht="12.75">
      <c r="B27" s="96"/>
      <c r="C27" s="224"/>
      <c r="D27" s="224" t="s">
        <v>19</v>
      </c>
      <c r="E27" s="97"/>
      <c r="F27" s="97"/>
      <c r="G27" s="97"/>
      <c r="H27" s="97"/>
      <c r="I27" s="97"/>
      <c r="J27" s="97"/>
      <c r="K27" s="98"/>
    </row>
    <row r="28" spans="2:11" s="99" customFormat="1" ht="12.75">
      <c r="B28" s="96"/>
      <c r="C28" s="224"/>
      <c r="D28" s="224" t="s">
        <v>22</v>
      </c>
      <c r="E28" s="97"/>
      <c r="F28" s="97"/>
      <c r="G28" s="97"/>
      <c r="H28" s="97"/>
      <c r="I28" s="97"/>
      <c r="J28" s="97"/>
      <c r="K28" s="98"/>
    </row>
    <row r="29" spans="2:11" s="99" customFormat="1" ht="12.75">
      <c r="B29" s="96"/>
      <c r="C29" s="224">
        <v>5</v>
      </c>
      <c r="D29" s="224" t="s">
        <v>20</v>
      </c>
      <c r="E29" s="97"/>
      <c r="F29" s="97"/>
      <c r="G29" s="97"/>
      <c r="H29" s="97"/>
      <c r="I29" s="97"/>
      <c r="J29" s="97"/>
      <c r="K29" s="98"/>
    </row>
    <row r="30" spans="2:11" ht="12.75">
      <c r="B30" s="76"/>
      <c r="C30" s="224"/>
      <c r="D30" s="224"/>
      <c r="E30" s="32"/>
      <c r="F30" s="32"/>
      <c r="G30" s="32"/>
      <c r="H30" s="32"/>
      <c r="I30" s="32"/>
      <c r="J30" s="32"/>
      <c r="K30" s="77"/>
    </row>
    <row r="31" spans="2:11" ht="12.75">
      <c r="B31" s="76"/>
      <c r="C31" s="224"/>
      <c r="D31" s="233"/>
      <c r="E31" s="97" t="s">
        <v>512</v>
      </c>
      <c r="F31" s="32"/>
      <c r="G31" s="32"/>
      <c r="H31" s="32"/>
      <c r="I31" s="32"/>
      <c r="J31" s="32"/>
      <c r="K31" s="77"/>
    </row>
    <row r="32" spans="2:11" ht="12.75">
      <c r="B32" s="76"/>
      <c r="C32" s="222"/>
      <c r="D32" s="97" t="s">
        <v>514</v>
      </c>
      <c r="E32" s="97"/>
      <c r="F32" s="32"/>
      <c r="G32" s="32"/>
      <c r="H32" s="32"/>
      <c r="I32" s="32"/>
      <c r="J32" s="32"/>
      <c r="K32" s="77"/>
    </row>
    <row r="33" spans="2:11" ht="12.75">
      <c r="B33" s="76"/>
      <c r="C33" s="224"/>
      <c r="D33" s="97"/>
      <c r="E33" s="97" t="s">
        <v>513</v>
      </c>
      <c r="F33" s="32"/>
      <c r="G33" s="32"/>
      <c r="H33" s="32"/>
      <c r="I33" s="32"/>
      <c r="J33" s="32"/>
      <c r="K33" s="77"/>
    </row>
    <row r="34" spans="2:11" ht="12.75">
      <c r="B34" s="76"/>
      <c r="C34" s="222"/>
      <c r="D34" s="97" t="s">
        <v>138</v>
      </c>
      <c r="E34" s="97"/>
      <c r="F34" s="32"/>
      <c r="G34" s="32"/>
      <c r="H34" s="32"/>
      <c r="I34" s="32"/>
      <c r="J34" s="32"/>
      <c r="K34" s="77"/>
    </row>
    <row r="35" spans="2:11" ht="12.75">
      <c r="B35" s="76"/>
      <c r="C35" s="224"/>
      <c r="D35" s="224"/>
      <c r="E35" s="32"/>
      <c r="F35" s="32"/>
      <c r="G35" s="32"/>
      <c r="H35" s="32"/>
      <c r="I35" s="32"/>
      <c r="J35" s="32"/>
      <c r="K35" s="77"/>
    </row>
    <row r="36" spans="2:11" ht="12.75">
      <c r="B36" s="76"/>
      <c r="C36" s="222"/>
      <c r="D36" s="224"/>
      <c r="E36" s="32"/>
      <c r="F36" s="32"/>
      <c r="G36" s="32"/>
      <c r="H36" s="32"/>
      <c r="I36" s="32"/>
      <c r="J36" s="32"/>
      <c r="K36" s="77"/>
    </row>
    <row r="37" spans="2:11" ht="12.75">
      <c r="B37" s="76"/>
      <c r="C37" s="224"/>
      <c r="D37" s="224"/>
      <c r="E37" s="32"/>
      <c r="F37" s="32"/>
      <c r="G37" s="32"/>
      <c r="H37" s="32"/>
      <c r="I37" s="32"/>
      <c r="J37" s="32"/>
      <c r="K37" s="77"/>
    </row>
    <row r="38" spans="2:11" ht="12.75">
      <c r="B38" s="76"/>
      <c r="C38" s="224"/>
      <c r="D38" s="222"/>
      <c r="E38" s="32"/>
      <c r="F38" s="32"/>
      <c r="G38" s="32"/>
      <c r="H38" s="32"/>
      <c r="I38" s="32"/>
      <c r="J38" s="32"/>
      <c r="K38" s="77"/>
    </row>
    <row r="39" spans="2:11" ht="12.75">
      <c r="B39" s="76"/>
      <c r="C39" s="224"/>
      <c r="D39" s="222"/>
      <c r="E39" s="32"/>
      <c r="F39" s="32"/>
      <c r="G39" s="32"/>
      <c r="H39" s="32"/>
      <c r="I39" s="32"/>
      <c r="J39" s="32"/>
      <c r="K39" s="77"/>
    </row>
    <row r="40" spans="2:11" ht="12.75">
      <c r="B40" s="76"/>
      <c r="C40" s="224"/>
      <c r="D40" s="222"/>
      <c r="E40" s="32"/>
      <c r="F40" s="32"/>
      <c r="G40" s="32"/>
      <c r="H40" s="32"/>
      <c r="I40" s="32"/>
      <c r="J40" s="32"/>
      <c r="K40" s="77"/>
    </row>
    <row r="41" spans="2:11" s="99" customFormat="1" ht="15">
      <c r="B41" s="96"/>
      <c r="C41" s="223"/>
      <c r="D41" s="224"/>
      <c r="E41" s="100"/>
      <c r="F41" s="100"/>
      <c r="G41" s="100"/>
      <c r="H41" s="100"/>
      <c r="I41" s="100"/>
      <c r="J41" s="100"/>
      <c r="K41" s="98"/>
    </row>
    <row r="42" spans="2:11" s="99" customFormat="1" ht="15">
      <c r="B42" s="96"/>
      <c r="C42" s="224"/>
      <c r="D42" s="223"/>
      <c r="E42" s="100"/>
      <c r="F42" s="100"/>
      <c r="G42" s="100"/>
      <c r="H42" s="100"/>
      <c r="I42" s="100"/>
      <c r="J42" s="100"/>
      <c r="K42" s="98"/>
    </row>
    <row r="43" spans="2:11" s="99" customFormat="1" ht="15">
      <c r="B43" s="96"/>
      <c r="C43" s="224"/>
      <c r="D43" s="224"/>
      <c r="E43" s="100"/>
      <c r="F43" s="100"/>
      <c r="G43" s="586"/>
      <c r="H43" s="586"/>
      <c r="I43" s="586"/>
      <c r="J43" s="303"/>
      <c r="K43" s="98"/>
    </row>
    <row r="44" spans="2:11" s="99" customFormat="1" ht="15.75">
      <c r="B44" s="96"/>
      <c r="C44" s="224"/>
      <c r="D44" s="224"/>
      <c r="E44" s="101"/>
      <c r="F44" s="235" t="s">
        <v>428</v>
      </c>
      <c r="G44" s="234"/>
      <c r="H44" s="234"/>
      <c r="I44" s="234"/>
      <c r="J44" s="234"/>
      <c r="K44" s="237"/>
    </row>
    <row r="45" spans="2:12" s="99" customFormat="1" ht="15">
      <c r="B45" s="96"/>
      <c r="C45" s="32"/>
      <c r="D45" s="32"/>
      <c r="E45" s="32"/>
      <c r="F45" s="32"/>
      <c r="G45" s="300"/>
      <c r="H45" s="236"/>
      <c r="I45" s="236"/>
      <c r="J45" s="236"/>
      <c r="K45" s="238"/>
      <c r="L45" s="236"/>
    </row>
    <row r="46" spans="2:11" s="99" customFormat="1" ht="12.75">
      <c r="B46" s="96"/>
      <c r="C46" s="32"/>
      <c r="D46" s="32"/>
      <c r="E46" s="32"/>
      <c r="F46" s="32"/>
      <c r="G46" s="301" t="s">
        <v>582</v>
      </c>
      <c r="H46" s="32"/>
      <c r="I46" s="32"/>
      <c r="J46" s="32"/>
      <c r="K46" s="98"/>
    </row>
    <row r="47" spans="2:11" ht="12.75">
      <c r="B47" s="76"/>
      <c r="C47" s="32"/>
      <c r="D47" s="32"/>
      <c r="E47" s="32"/>
      <c r="F47" s="32"/>
      <c r="G47" s="32"/>
      <c r="H47" s="32"/>
      <c r="I47" s="32"/>
      <c r="J47" s="32"/>
      <c r="K47" s="77"/>
    </row>
    <row r="48" spans="2:11" ht="12.75">
      <c r="B48" s="76"/>
      <c r="C48" s="32"/>
      <c r="D48" s="32"/>
      <c r="E48" s="32"/>
      <c r="F48" s="32"/>
      <c r="G48" s="32"/>
      <c r="H48" s="32"/>
      <c r="I48" s="32"/>
      <c r="J48" s="32"/>
      <c r="K48" s="77"/>
    </row>
    <row r="49" spans="2:11" ht="12.75">
      <c r="B49" s="76"/>
      <c r="C49" s="32"/>
      <c r="D49" s="32"/>
      <c r="E49" s="32"/>
      <c r="F49" s="32"/>
      <c r="G49" s="32"/>
      <c r="H49" s="32"/>
      <c r="I49" s="32"/>
      <c r="J49" s="32"/>
      <c r="K49" s="302"/>
    </row>
    <row r="50" spans="2:11" ht="12.75">
      <c r="B50" s="102"/>
      <c r="C50" s="103"/>
      <c r="D50" s="103"/>
      <c r="E50" s="103"/>
      <c r="F50" s="103"/>
      <c r="G50" s="103"/>
      <c r="H50" s="103"/>
      <c r="I50" s="103"/>
      <c r="J50" s="103"/>
      <c r="K50" s="104"/>
    </row>
  </sheetData>
  <sheetProtection/>
  <mergeCells count="3">
    <mergeCell ref="G43:I43"/>
    <mergeCell ref="B4:K4"/>
    <mergeCell ref="G14:I14"/>
  </mergeCells>
  <printOptions horizontalCentered="1" verticalCentered="1"/>
  <pageMargins left="0" right="0" top="0.393700787401575" bottom="0.393700787401575" header="0.511811023622047" footer="0.511811023622047"/>
  <pageSetup horizontalDpi="600" verticalDpi="600" orientation="portrait" paperSiz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28125" style="240" customWidth="1"/>
    <col min="2" max="2" width="5.421875" style="240" customWidth="1"/>
    <col min="3" max="3" width="48.28125" style="240" customWidth="1"/>
    <col min="4" max="4" width="16.00390625" style="332" customWidth="1"/>
    <col min="5" max="5" width="14.7109375" style="332" customWidth="1"/>
    <col min="6" max="6" width="9.140625" style="240" customWidth="1"/>
    <col min="7" max="7" width="10.8515625" style="240" bestFit="1" customWidth="1"/>
    <col min="8" max="16384" width="9.140625" style="240" customWidth="1"/>
  </cols>
  <sheetData>
    <row r="2" spans="2:3" ht="18">
      <c r="B2" s="239"/>
      <c r="C2" s="239"/>
    </row>
    <row r="4" spans="3:5" ht="15" customHeight="1">
      <c r="C4" s="591" t="s">
        <v>14</v>
      </c>
      <c r="D4" s="591"/>
      <c r="E4" s="591"/>
    </row>
    <row r="5" ht="15" customHeight="1">
      <c r="C5" s="522"/>
    </row>
    <row r="6" spans="3:5" s="241" customFormat="1" ht="15" customHeight="1">
      <c r="C6" s="592" t="s">
        <v>432</v>
      </c>
      <c r="D6" s="593" t="s">
        <v>433</v>
      </c>
      <c r="E6" s="593" t="s">
        <v>434</v>
      </c>
    </row>
    <row r="7" spans="3:5" ht="15" customHeight="1">
      <c r="C7" s="592"/>
      <c r="D7" s="593"/>
      <c r="E7" s="593"/>
    </row>
    <row r="8" spans="3:5" ht="15" customHeight="1">
      <c r="C8" s="523" t="s">
        <v>435</v>
      </c>
      <c r="D8" s="524"/>
      <c r="E8" s="524"/>
    </row>
    <row r="9" spans="3:5" ht="15" customHeight="1">
      <c r="C9" s="242" t="s">
        <v>436</v>
      </c>
      <c r="D9" s="290">
        <f>-'ARDHURA&amp;SHPENZIME (FORMATI 2)'!H15+D19</f>
        <v>7584172.02</v>
      </c>
      <c r="E9" s="290">
        <v>2316373</v>
      </c>
    </row>
    <row r="10" spans="3:5" ht="15" customHeight="1">
      <c r="C10" s="242" t="s">
        <v>437</v>
      </c>
      <c r="D10" s="290">
        <f>-('PASIV '!G20-'PASIV '!F20)</f>
        <v>-926306.0700000003</v>
      </c>
      <c r="E10" s="290">
        <v>-3208431.3999999985</v>
      </c>
    </row>
    <row r="11" spans="3:5" ht="15" customHeight="1">
      <c r="C11" s="242" t="s">
        <v>438</v>
      </c>
      <c r="D11" s="290">
        <f>-('AKTIV '!G45-'AKTIV '!F45)-161859</f>
        <v>-1085617.73</v>
      </c>
      <c r="E11" s="290">
        <v>-645911.69</v>
      </c>
    </row>
    <row r="12" spans="3:5" ht="15" customHeight="1">
      <c r="C12" s="242" t="s">
        <v>399</v>
      </c>
      <c r="D12" s="290">
        <f>-('ARDHURA&amp;SHPENZIME (FORMATI 2)'!D56)</f>
        <v>-886096.83</v>
      </c>
      <c r="E12" s="290">
        <v>-924710.04</v>
      </c>
    </row>
    <row r="13" spans="3:5" ht="15" customHeight="1">
      <c r="C13" s="242" t="s">
        <v>400</v>
      </c>
      <c r="D13" s="290"/>
      <c r="E13" s="290">
        <v>0</v>
      </c>
    </row>
    <row r="14" spans="3:5" ht="15" customHeight="1">
      <c r="C14" s="525" t="s">
        <v>439</v>
      </c>
      <c r="D14" s="526">
        <f>SUM(D9:D13)</f>
        <v>4686151.389999999</v>
      </c>
      <c r="E14" s="526">
        <v>-2462680.1299999985</v>
      </c>
    </row>
    <row r="15" spans="3:5" ht="15" customHeight="1">
      <c r="C15" s="525"/>
      <c r="D15" s="290"/>
      <c r="E15" s="290"/>
    </row>
    <row r="16" spans="3:5" ht="15" customHeight="1">
      <c r="C16" s="523" t="s">
        <v>440</v>
      </c>
      <c r="D16" s="290"/>
      <c r="E16" s="290"/>
    </row>
    <row r="17" spans="3:7" ht="15" customHeight="1">
      <c r="C17" s="242" t="s">
        <v>441</v>
      </c>
      <c r="D17" s="290"/>
      <c r="E17" s="290"/>
      <c r="G17" s="521"/>
    </row>
    <row r="18" spans="3:5" ht="15" customHeight="1">
      <c r="C18" s="242" t="s">
        <v>401</v>
      </c>
      <c r="D18" s="290">
        <f>-aktivet!E10+aktivet!E13</f>
        <v>-3107349.25</v>
      </c>
      <c r="E18" s="290">
        <v>-474164</v>
      </c>
    </row>
    <row r="19" spans="3:5" ht="15" customHeight="1">
      <c r="C19" s="242" t="s">
        <v>442</v>
      </c>
      <c r="D19" s="290">
        <f>'ARDHURA&amp;SHPENZIME (FORMATI 2)'!D16</f>
        <v>7584172.02</v>
      </c>
      <c r="E19" s="290">
        <v>1250000</v>
      </c>
    </row>
    <row r="20" spans="3:5" ht="15" customHeight="1">
      <c r="C20" s="242" t="s">
        <v>443</v>
      </c>
      <c r="D20" s="290"/>
      <c r="E20" s="290"/>
    </row>
    <row r="21" spans="3:5" ht="15" customHeight="1">
      <c r="C21" s="242" t="s">
        <v>444</v>
      </c>
      <c r="D21" s="290"/>
      <c r="E21" s="290"/>
    </row>
    <row r="22" spans="3:5" ht="15" customHeight="1">
      <c r="C22" s="525" t="s">
        <v>445</v>
      </c>
      <c r="D22" s="527">
        <f>SUM(D17:D21)</f>
        <v>4476822.77</v>
      </c>
      <c r="E22" s="324">
        <v>775836</v>
      </c>
    </row>
    <row r="23" spans="3:5" ht="15" customHeight="1">
      <c r="C23" s="525"/>
      <c r="D23" s="290"/>
      <c r="E23" s="290"/>
    </row>
    <row r="24" spans="3:5" ht="15" customHeight="1">
      <c r="C24" s="523" t="s">
        <v>402</v>
      </c>
      <c r="D24" s="290"/>
      <c r="E24" s="290"/>
    </row>
    <row r="25" spans="3:5" ht="15" customHeight="1">
      <c r="C25" s="242" t="s">
        <v>155</v>
      </c>
      <c r="D25" s="290">
        <f>'PASIV '!F41-'PASIV '!G41</f>
        <v>2025129.0700000003</v>
      </c>
      <c r="E25" s="290">
        <v>1772461.1500000004</v>
      </c>
    </row>
    <row r="26" spans="3:5" ht="15" customHeight="1">
      <c r="C26" s="242" t="s">
        <v>446</v>
      </c>
      <c r="D26" s="290">
        <f>'PASIV '!F45-'PASIV '!G45+'PASIV '!F14</f>
        <v>1334687.17</v>
      </c>
      <c r="E26" s="290">
        <v>110606.62999999989</v>
      </c>
    </row>
    <row r="27" spans="3:7" ht="15" customHeight="1">
      <c r="C27" s="242" t="s">
        <v>447</v>
      </c>
      <c r="D27" s="290"/>
      <c r="E27" s="290"/>
      <c r="G27" s="520"/>
    </row>
    <row r="28" spans="3:5" ht="15" customHeight="1">
      <c r="C28" s="242" t="s">
        <v>448</v>
      </c>
      <c r="D28" s="290"/>
      <c r="E28" s="290"/>
    </row>
    <row r="29" spans="3:5" ht="15" customHeight="1">
      <c r="C29" s="525" t="s">
        <v>449</v>
      </c>
      <c r="D29" s="527">
        <f>SUM(D25:D28)</f>
        <v>3359816.24</v>
      </c>
      <c r="E29" s="324">
        <v>1883067.7800000003</v>
      </c>
    </row>
    <row r="30" spans="3:5" ht="15" customHeight="1">
      <c r="C30" s="525"/>
      <c r="D30" s="290"/>
      <c r="E30" s="290"/>
    </row>
    <row r="31" spans="3:5" ht="15" customHeight="1">
      <c r="C31" s="523" t="s">
        <v>450</v>
      </c>
      <c r="D31" s="324">
        <f>D29+D22+D14</f>
        <v>12522790.399999999</v>
      </c>
      <c r="E31" s="324">
        <v>196223.65000000177</v>
      </c>
    </row>
    <row r="32" spans="3:5" ht="15" customHeight="1">
      <c r="C32" s="523" t="s">
        <v>451</v>
      </c>
      <c r="D32" s="324">
        <f>E33</f>
        <v>68267.15</v>
      </c>
      <c r="E32" s="324">
        <v>264491</v>
      </c>
    </row>
    <row r="33" spans="3:5" ht="15" customHeight="1">
      <c r="C33" s="523" t="s">
        <v>452</v>
      </c>
      <c r="D33" s="324">
        <f>'AKTIV '!F14</f>
        <v>114882.56</v>
      </c>
      <c r="E33" s="324">
        <v>68267.15</v>
      </c>
    </row>
    <row r="34" ht="15" customHeight="1">
      <c r="C34" s="522"/>
    </row>
    <row r="35" ht="15" customHeight="1"/>
    <row r="36" ht="15" customHeight="1">
      <c r="F36" s="520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4">
    <mergeCell ref="C4:E4"/>
    <mergeCell ref="C6:C7"/>
    <mergeCell ref="D6:D7"/>
    <mergeCell ref="E6:E7"/>
  </mergeCells>
  <printOptions/>
  <pageMargins left="0.28" right="0.7480314960629921" top="0.984251968503937" bottom="3.35" header="0.5118110236220472" footer="0.5118110236220472"/>
  <pageSetup horizontalDpi="600" verticalDpi="600" orientation="portrait" paperSize="1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1" spans="2:5" ht="12.75">
      <c r="B1" s="365" t="s">
        <v>133</v>
      </c>
      <c r="C1" s="386"/>
      <c r="D1" s="386"/>
      <c r="E1" s="99"/>
    </row>
    <row r="2" spans="2:6" ht="12.75">
      <c r="B2" s="365" t="s">
        <v>134</v>
      </c>
      <c r="C2" s="386"/>
      <c r="D2" s="386"/>
      <c r="E2" s="99"/>
      <c r="F2" s="336"/>
    </row>
    <row r="3" ht="12.75">
      <c r="B3" s="365"/>
    </row>
    <row r="4" spans="2:7" ht="15.75">
      <c r="B4" s="595" t="s">
        <v>11</v>
      </c>
      <c r="C4" s="595"/>
      <c r="D4" s="595"/>
      <c r="E4" s="595"/>
      <c r="F4" s="595"/>
      <c r="G4" s="595"/>
    </row>
    <row r="6" spans="1:7" ht="12.75">
      <c r="A6" s="596" t="s">
        <v>543</v>
      </c>
      <c r="B6" s="598" t="s">
        <v>311</v>
      </c>
      <c r="C6" s="596" t="s">
        <v>544</v>
      </c>
      <c r="D6" s="366" t="s">
        <v>545</v>
      </c>
      <c r="E6" s="596" t="s">
        <v>546</v>
      </c>
      <c r="F6" s="596" t="s">
        <v>547</v>
      </c>
      <c r="G6" s="366" t="s">
        <v>545</v>
      </c>
    </row>
    <row r="7" spans="1:9" ht="12.75">
      <c r="A7" s="597"/>
      <c r="B7" s="599"/>
      <c r="C7" s="597"/>
      <c r="D7" s="367">
        <v>40544</v>
      </c>
      <c r="E7" s="597"/>
      <c r="F7" s="597"/>
      <c r="G7" s="367">
        <v>40908</v>
      </c>
      <c r="H7" s="32"/>
      <c r="I7" s="32"/>
    </row>
    <row r="8" spans="1:9" ht="12.75">
      <c r="A8" s="163">
        <v>1</v>
      </c>
      <c r="B8" s="85" t="s">
        <v>195</v>
      </c>
      <c r="C8" s="163"/>
      <c r="D8" s="368"/>
      <c r="E8" s="368"/>
      <c r="F8" s="368"/>
      <c r="G8" s="368">
        <f aca="true" t="shared" si="0" ref="G8:G16">D8+E8-F8</f>
        <v>0</v>
      </c>
      <c r="H8" s="32"/>
      <c r="I8" s="32"/>
    </row>
    <row r="9" spans="1:9" ht="12.75">
      <c r="A9" s="163">
        <v>2</v>
      </c>
      <c r="B9" s="85" t="s">
        <v>548</v>
      </c>
      <c r="C9" s="163"/>
      <c r="D9" s="368"/>
      <c r="E9" s="368"/>
      <c r="F9" s="368"/>
      <c r="G9" s="368">
        <f t="shared" si="0"/>
        <v>0</v>
      </c>
      <c r="H9" s="369"/>
      <c r="I9" s="370"/>
    </row>
    <row r="10" spans="1:9" ht="12.75">
      <c r="A10" s="163">
        <v>3</v>
      </c>
      <c r="B10" s="371" t="s">
        <v>549</v>
      </c>
      <c r="C10" s="163"/>
      <c r="D10" s="368">
        <v>40963862.45</v>
      </c>
      <c r="E10" s="368">
        <v>3141151.25</v>
      </c>
      <c r="F10" s="368">
        <v>4877000.94</v>
      </c>
      <c r="G10" s="368">
        <f t="shared" si="0"/>
        <v>39228012.760000005</v>
      </c>
      <c r="H10" s="369"/>
      <c r="I10" s="370"/>
    </row>
    <row r="11" spans="1:9" ht="12.75">
      <c r="A11" s="163">
        <v>4</v>
      </c>
      <c r="B11" s="371" t="s">
        <v>429</v>
      </c>
      <c r="C11" s="163"/>
      <c r="D11" s="368">
        <v>1365000</v>
      </c>
      <c r="E11" s="368"/>
      <c r="F11" s="368"/>
      <c r="G11" s="368">
        <f t="shared" si="0"/>
        <v>1365000</v>
      </c>
      <c r="H11" s="369"/>
      <c r="I11" s="370"/>
    </row>
    <row r="12" spans="1:9" ht="12.75">
      <c r="A12" s="163">
        <v>5</v>
      </c>
      <c r="B12" s="371" t="s">
        <v>550</v>
      </c>
      <c r="C12" s="163"/>
      <c r="E12" s="368"/>
      <c r="F12" s="368"/>
      <c r="G12" s="368">
        <f t="shared" si="0"/>
        <v>0</v>
      </c>
      <c r="H12" s="369"/>
      <c r="I12" s="370"/>
    </row>
    <row r="13" spans="1:9" ht="12.75">
      <c r="A13" s="163">
        <v>1</v>
      </c>
      <c r="B13" s="371" t="s">
        <v>551</v>
      </c>
      <c r="C13" s="163"/>
      <c r="D13" s="368">
        <f>264610.67+14667</f>
        <v>279277.67</v>
      </c>
      <c r="E13" s="368">
        <f>15113+18689</f>
        <v>33802</v>
      </c>
      <c r="F13" s="368"/>
      <c r="G13" s="368">
        <f t="shared" si="0"/>
        <v>313079.67</v>
      </c>
      <c r="H13" s="369"/>
      <c r="I13" s="370"/>
    </row>
    <row r="14" spans="1:9" ht="12.75">
      <c r="A14" s="163">
        <v>2</v>
      </c>
      <c r="B14" s="162"/>
      <c r="C14" s="163"/>
      <c r="D14" s="368"/>
      <c r="E14" s="368"/>
      <c r="F14" s="368"/>
      <c r="G14" s="368">
        <f t="shared" si="0"/>
        <v>0</v>
      </c>
      <c r="H14" s="32"/>
      <c r="I14" s="32"/>
    </row>
    <row r="15" spans="1:9" ht="12.75">
      <c r="A15" s="163">
        <v>3</v>
      </c>
      <c r="B15" s="162"/>
      <c r="C15" s="163"/>
      <c r="D15" s="368"/>
      <c r="E15" s="368"/>
      <c r="F15" s="368"/>
      <c r="G15" s="368">
        <f t="shared" si="0"/>
        <v>0</v>
      </c>
      <c r="H15" s="32"/>
      <c r="I15" s="32"/>
    </row>
    <row r="16" spans="1:9" ht="13.5" thickBot="1">
      <c r="A16" s="373">
        <v>4</v>
      </c>
      <c r="B16" s="374"/>
      <c r="C16" s="373"/>
      <c r="D16" s="375"/>
      <c r="E16" s="375"/>
      <c r="F16" s="375"/>
      <c r="G16" s="368">
        <f t="shared" si="0"/>
        <v>0</v>
      </c>
      <c r="H16" s="32"/>
      <c r="I16" s="32"/>
    </row>
    <row r="17" spans="1:9" ht="13.5" thickBot="1">
      <c r="A17" s="376"/>
      <c r="B17" s="377" t="s">
        <v>552</v>
      </c>
      <c r="C17" s="378"/>
      <c r="D17" s="379">
        <f>SUM(D8:D16)</f>
        <v>42608140.120000005</v>
      </c>
      <c r="E17" s="379">
        <f>SUM(E8:E16)</f>
        <v>3174953.25</v>
      </c>
      <c r="F17" s="379">
        <f>SUM(F8:F16)</f>
        <v>4877000.94</v>
      </c>
      <c r="G17" s="380">
        <f>SUM(G8:G16)</f>
        <v>40906092.43000001</v>
      </c>
      <c r="I17" s="381"/>
    </row>
    <row r="20" spans="2:9" ht="15.75">
      <c r="B20" s="595" t="s">
        <v>12</v>
      </c>
      <c r="C20" s="595"/>
      <c r="D20" s="595"/>
      <c r="E20" s="595"/>
      <c r="F20" s="595"/>
      <c r="G20" s="595"/>
      <c r="I20" s="381"/>
    </row>
    <row r="22" spans="1:7" ht="12.75">
      <c r="A22" s="596" t="s">
        <v>543</v>
      </c>
      <c r="B22" s="598" t="s">
        <v>311</v>
      </c>
      <c r="C22" s="596" t="s">
        <v>544</v>
      </c>
      <c r="D22" s="366" t="s">
        <v>545</v>
      </c>
      <c r="E22" s="596" t="s">
        <v>546</v>
      </c>
      <c r="F22" s="596" t="s">
        <v>547</v>
      </c>
      <c r="G22" s="366" t="s">
        <v>545</v>
      </c>
    </row>
    <row r="23" spans="1:7" ht="12.75">
      <c r="A23" s="597"/>
      <c r="B23" s="599"/>
      <c r="C23" s="597"/>
      <c r="D23" s="367">
        <v>40544</v>
      </c>
      <c r="E23" s="597"/>
      <c r="F23" s="597"/>
      <c r="G23" s="367">
        <v>40908</v>
      </c>
    </row>
    <row r="24" spans="1:9" ht="12.75">
      <c r="A24" s="163">
        <v>1</v>
      </c>
      <c r="B24" s="85" t="s">
        <v>195</v>
      </c>
      <c r="C24" s="163"/>
      <c r="D24" s="368">
        <v>0</v>
      </c>
      <c r="E24" s="368">
        <v>0</v>
      </c>
      <c r="F24" s="368"/>
      <c r="G24" s="368">
        <f aca="true" t="shared" si="1" ref="G24:G32">D24+E24</f>
        <v>0</v>
      </c>
      <c r="I24" s="381"/>
    </row>
    <row r="25" spans="1:9" ht="12.75">
      <c r="A25" s="163">
        <v>2</v>
      </c>
      <c r="B25" s="85" t="s">
        <v>548</v>
      </c>
      <c r="C25" s="163"/>
      <c r="D25" s="368"/>
      <c r="E25" s="368"/>
      <c r="F25" s="368"/>
      <c r="G25" s="368">
        <f t="shared" si="1"/>
        <v>0</v>
      </c>
      <c r="I25" s="99"/>
    </row>
    <row r="26" spans="1:7" ht="12.75">
      <c r="A26" s="163">
        <v>3</v>
      </c>
      <c r="B26" s="371" t="s">
        <v>553</v>
      </c>
      <c r="C26" s="163"/>
      <c r="D26" s="368">
        <v>8662052</v>
      </c>
      <c r="E26" s="368">
        <v>698079</v>
      </c>
      <c r="F26" s="368"/>
      <c r="G26" s="368">
        <f t="shared" si="1"/>
        <v>9360131</v>
      </c>
    </row>
    <row r="27" spans="1:9" ht="12.75">
      <c r="A27" s="163">
        <v>4</v>
      </c>
      <c r="B27" s="371" t="s">
        <v>429</v>
      </c>
      <c r="C27" s="163"/>
      <c r="D27" s="506">
        <v>499041</v>
      </c>
      <c r="E27" s="368">
        <v>177742</v>
      </c>
      <c r="F27" s="368"/>
      <c r="G27" s="368">
        <f t="shared" si="1"/>
        <v>676783</v>
      </c>
      <c r="I27" s="381"/>
    </row>
    <row r="28" spans="1:7" ht="12.75">
      <c r="A28" s="163">
        <v>5</v>
      </c>
      <c r="B28" s="371" t="s">
        <v>550</v>
      </c>
      <c r="C28" s="163"/>
      <c r="E28" s="382"/>
      <c r="F28" s="368"/>
      <c r="G28" s="368">
        <f t="shared" si="1"/>
        <v>0</v>
      </c>
    </row>
    <row r="29" spans="1:7" ht="12.75">
      <c r="A29" s="163">
        <v>1</v>
      </c>
      <c r="B29" s="371" t="s">
        <v>551</v>
      </c>
      <c r="C29" s="163"/>
      <c r="D29" s="368">
        <v>37190</v>
      </c>
      <c r="E29" s="368">
        <v>30459</v>
      </c>
      <c r="F29" s="368"/>
      <c r="G29" s="368">
        <f t="shared" si="1"/>
        <v>67649</v>
      </c>
    </row>
    <row r="30" spans="1:7" ht="12.75">
      <c r="A30" s="163">
        <v>2</v>
      </c>
      <c r="B30" s="162"/>
      <c r="C30" s="163"/>
      <c r="D30" s="368"/>
      <c r="E30" s="368"/>
      <c r="F30" s="368"/>
      <c r="G30" s="368">
        <f t="shared" si="1"/>
        <v>0</v>
      </c>
    </row>
    <row r="31" spans="1:7" ht="12.75">
      <c r="A31" s="163">
        <v>3</v>
      </c>
      <c r="B31" s="162"/>
      <c r="C31" s="163"/>
      <c r="D31" s="368"/>
      <c r="E31" s="368"/>
      <c r="F31" s="368"/>
      <c r="G31" s="368">
        <f t="shared" si="1"/>
        <v>0</v>
      </c>
    </row>
    <row r="32" spans="1:7" ht="13.5" thickBot="1">
      <c r="A32" s="373">
        <v>4</v>
      </c>
      <c r="B32" s="374"/>
      <c r="C32" s="373"/>
      <c r="D32" s="375"/>
      <c r="E32" s="375"/>
      <c r="F32" s="375"/>
      <c r="G32" s="368">
        <f t="shared" si="1"/>
        <v>0</v>
      </c>
    </row>
    <row r="33" spans="1:10" ht="13.5" thickBot="1">
      <c r="A33" s="376"/>
      <c r="B33" s="377" t="s">
        <v>552</v>
      </c>
      <c r="C33" s="378"/>
      <c r="D33" s="379">
        <f>SUM(D24:D32)</f>
        <v>9198283</v>
      </c>
      <c r="E33" s="379">
        <f>SUM(E24:E32)</f>
        <v>906280</v>
      </c>
      <c r="F33" s="379">
        <f>SUM(F24:F32)</f>
        <v>0</v>
      </c>
      <c r="G33" s="380">
        <f>SUM(G24:G32)</f>
        <v>10104563</v>
      </c>
      <c r="H33" s="383"/>
      <c r="I33" s="381"/>
      <c r="J33" s="381"/>
    </row>
    <row r="34" ht="12.75">
      <c r="G34" s="383"/>
    </row>
    <row r="36" spans="2:7" ht="15.75">
      <c r="B36" s="595" t="s">
        <v>13</v>
      </c>
      <c r="C36" s="595"/>
      <c r="D36" s="595"/>
      <c r="E36" s="595"/>
      <c r="F36" s="595"/>
      <c r="G36" s="595"/>
    </row>
    <row r="38" spans="1:7" ht="12.75">
      <c r="A38" s="596" t="s">
        <v>543</v>
      </c>
      <c r="B38" s="598" t="s">
        <v>311</v>
      </c>
      <c r="C38" s="596" t="s">
        <v>544</v>
      </c>
      <c r="D38" s="366" t="s">
        <v>545</v>
      </c>
      <c r="E38" s="596" t="s">
        <v>546</v>
      </c>
      <c r="F38" s="596" t="s">
        <v>547</v>
      </c>
      <c r="G38" s="366" t="s">
        <v>545</v>
      </c>
    </row>
    <row r="39" spans="1:7" ht="12.75">
      <c r="A39" s="597"/>
      <c r="B39" s="599"/>
      <c r="C39" s="597"/>
      <c r="D39" s="367">
        <v>40544</v>
      </c>
      <c r="E39" s="597"/>
      <c r="F39" s="597"/>
      <c r="G39" s="367">
        <v>40908</v>
      </c>
    </row>
    <row r="40" spans="1:7" ht="12.75">
      <c r="A40" s="163">
        <v>1</v>
      </c>
      <c r="B40" s="85" t="s">
        <v>195</v>
      </c>
      <c r="C40" s="163"/>
      <c r="D40" s="368">
        <v>0</v>
      </c>
      <c r="E40" s="368"/>
      <c r="F40" s="368">
        <v>0</v>
      </c>
      <c r="G40" s="368">
        <f aca="true" t="shared" si="2" ref="G40:G48">D40+E40-F40</f>
        <v>0</v>
      </c>
    </row>
    <row r="41" spans="1:14" ht="12.75">
      <c r="A41" s="163">
        <v>2</v>
      </c>
      <c r="B41" s="371" t="s">
        <v>548</v>
      </c>
      <c r="C41" s="163"/>
      <c r="D41" s="368"/>
      <c r="E41" s="368"/>
      <c r="F41" s="368"/>
      <c r="G41" s="368">
        <f t="shared" si="2"/>
        <v>0</v>
      </c>
      <c r="M41" s="32"/>
      <c r="N41" s="32"/>
    </row>
    <row r="42" spans="1:14" ht="12.75">
      <c r="A42" s="163">
        <v>3</v>
      </c>
      <c r="B42" s="371" t="s">
        <v>553</v>
      </c>
      <c r="C42" s="163"/>
      <c r="D42" s="368">
        <f>D10-D26</f>
        <v>32301810.450000003</v>
      </c>
      <c r="E42" s="383"/>
      <c r="F42" s="368"/>
      <c r="G42" s="368">
        <f t="shared" si="2"/>
        <v>32301810.450000003</v>
      </c>
      <c r="M42" s="32"/>
      <c r="N42" s="32"/>
    </row>
    <row r="43" spans="1:14" ht="12.75">
      <c r="A43" s="163">
        <v>4</v>
      </c>
      <c r="B43" s="371" t="s">
        <v>429</v>
      </c>
      <c r="C43" s="163"/>
      <c r="D43" s="368">
        <f>D11-D27</f>
        <v>865959</v>
      </c>
      <c r="E43" s="368"/>
      <c r="F43" s="368"/>
      <c r="G43" s="368">
        <f t="shared" si="2"/>
        <v>865959</v>
      </c>
      <c r="M43" s="32"/>
      <c r="N43" s="32"/>
    </row>
    <row r="44" spans="1:14" ht="12.75">
      <c r="A44" s="163">
        <v>5</v>
      </c>
      <c r="B44" s="371" t="s">
        <v>550</v>
      </c>
      <c r="C44" s="163"/>
      <c r="D44" s="368">
        <f>D12-D28</f>
        <v>0</v>
      </c>
      <c r="E44" s="368"/>
      <c r="F44" s="368"/>
      <c r="G44" s="368">
        <f t="shared" si="2"/>
        <v>0</v>
      </c>
      <c r="M44" s="32"/>
      <c r="N44" s="32"/>
    </row>
    <row r="45" spans="1:14" ht="12.75">
      <c r="A45" s="163">
        <v>1</v>
      </c>
      <c r="B45" s="371" t="s">
        <v>551</v>
      </c>
      <c r="C45" s="163"/>
      <c r="D45" s="368">
        <f>D13-D29</f>
        <v>242087.66999999998</v>
      </c>
      <c r="E45" s="368"/>
      <c r="F45" s="368"/>
      <c r="G45" s="368">
        <f t="shared" si="2"/>
        <v>242087.66999999998</v>
      </c>
      <c r="M45" s="32"/>
      <c r="N45" s="32"/>
    </row>
    <row r="46" spans="1:14" ht="12.75">
      <c r="A46" s="163">
        <v>2</v>
      </c>
      <c r="B46" s="371"/>
      <c r="C46" s="163"/>
      <c r="D46" s="368">
        <f>D14-D30</f>
        <v>0</v>
      </c>
      <c r="E46" s="368"/>
      <c r="F46" s="368"/>
      <c r="G46" s="368">
        <f t="shared" si="2"/>
        <v>0</v>
      </c>
      <c r="M46" s="32"/>
      <c r="N46" s="32"/>
    </row>
    <row r="47" spans="1:14" ht="12.75">
      <c r="A47" s="163">
        <v>3</v>
      </c>
      <c r="B47" s="162"/>
      <c r="C47" s="163"/>
      <c r="D47" s="368"/>
      <c r="E47" s="368"/>
      <c r="F47" s="368"/>
      <c r="G47" s="368">
        <f t="shared" si="2"/>
        <v>0</v>
      </c>
      <c r="M47" s="32"/>
      <c r="N47" s="32"/>
    </row>
    <row r="48" spans="1:14" ht="13.5" thickBot="1">
      <c r="A48" s="373">
        <v>4</v>
      </c>
      <c r="B48" s="374"/>
      <c r="C48" s="373"/>
      <c r="D48" s="375"/>
      <c r="E48" s="375"/>
      <c r="F48" s="375"/>
      <c r="G48" s="375">
        <f t="shared" si="2"/>
        <v>0</v>
      </c>
      <c r="M48" s="32"/>
      <c r="N48" s="32"/>
    </row>
    <row r="49" spans="1:14" ht="13.5" thickBot="1">
      <c r="A49" s="376"/>
      <c r="B49" s="377" t="s">
        <v>552</v>
      </c>
      <c r="C49" s="378"/>
      <c r="D49" s="379">
        <f>SUM(D40:D48)</f>
        <v>33409857.120000005</v>
      </c>
      <c r="E49" s="379">
        <f>SUM(E40:E48)</f>
        <v>0</v>
      </c>
      <c r="F49" s="379">
        <f>SUM(F40:F48)</f>
        <v>0</v>
      </c>
      <c r="G49" s="380">
        <f>SUM(G40:G48)</f>
        <v>33409857.120000005</v>
      </c>
      <c r="I49" s="383"/>
      <c r="J49" s="381"/>
      <c r="M49" s="165"/>
      <c r="N49" s="32"/>
    </row>
    <row r="50" spans="6:10" s="32" customFormat="1" ht="12.75">
      <c r="F50" s="370"/>
      <c r="G50" s="384"/>
      <c r="J50" s="370"/>
    </row>
    <row r="51" spans="4:14" ht="12.75">
      <c r="D51" s="381"/>
      <c r="G51" s="381"/>
      <c r="I51" s="383"/>
      <c r="M51" s="32"/>
      <c r="N51" s="32"/>
    </row>
    <row r="52" spans="4:14" ht="12.75">
      <c r="D52" s="381"/>
      <c r="G52" s="381"/>
      <c r="I52" s="381"/>
      <c r="M52" s="32"/>
      <c r="N52" s="32"/>
    </row>
    <row r="53" spans="5:14" ht="15.75">
      <c r="E53" s="582" t="s">
        <v>554</v>
      </c>
      <c r="F53" s="582"/>
      <c r="G53" s="582"/>
      <c r="M53" s="32"/>
      <c r="N53" s="32"/>
    </row>
    <row r="54" spans="5:7" ht="12.75">
      <c r="E54" s="594" t="s">
        <v>140</v>
      </c>
      <c r="F54" s="594"/>
      <c r="G54" s="594"/>
    </row>
  </sheetData>
  <sheetProtection/>
  <mergeCells count="20">
    <mergeCell ref="B4:G4"/>
    <mergeCell ref="A6:A7"/>
    <mergeCell ref="B6:B7"/>
    <mergeCell ref="C6:C7"/>
    <mergeCell ref="E6:E7"/>
    <mergeCell ref="F6:F7"/>
    <mergeCell ref="B20:G20"/>
    <mergeCell ref="A22:A23"/>
    <mergeCell ref="B22:B23"/>
    <mergeCell ref="C22:C23"/>
    <mergeCell ref="E22:E23"/>
    <mergeCell ref="F22:F23"/>
    <mergeCell ref="E53:G53"/>
    <mergeCell ref="E54:G54"/>
    <mergeCell ref="B36:G36"/>
    <mergeCell ref="A38:A39"/>
    <mergeCell ref="B38:B39"/>
    <mergeCell ref="C38:C39"/>
    <mergeCell ref="E38:E39"/>
    <mergeCell ref="F38:F39"/>
  </mergeCells>
  <printOptions/>
  <pageMargins left="0.7" right="0.7" top="0.52" bottom="0.4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crc</cp:lastModifiedBy>
  <cp:lastPrinted>2012-07-13T09:37:13Z</cp:lastPrinted>
  <dcterms:created xsi:type="dcterms:W3CDTF">2008-02-26T13:09:03Z</dcterms:created>
  <dcterms:modified xsi:type="dcterms:W3CDTF">2012-07-24T08:41:09Z</dcterms:modified>
  <cp:category/>
  <cp:version/>
  <cp:contentType/>
  <cp:contentStatus/>
</cp:coreProperties>
</file>