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tabRatio="949" activeTab="14"/>
  </bookViews>
  <sheets>
    <sheet name="faq1" sheetId="1" r:id="rId1"/>
    <sheet name="Ardh shpenz alpha" sheetId="2" state="hidden" r:id="rId2"/>
    <sheet name="Bilanci Alpha" sheetId="3" state="hidden" r:id="rId3"/>
    <sheet name="BK" sheetId="4" r:id="rId4"/>
    <sheet name="ardh-shpenz" sheetId="5" r:id="rId5"/>
    <sheet name="cash-flow" sheetId="6" r:id="rId6"/>
    <sheet name="kap vet" sheetId="7" r:id="rId7"/>
    <sheet name="Aq&amp;AM" sheetId="8" r:id="rId8"/>
    <sheet name="tjera" sheetId="9" state="hidden" r:id="rId9"/>
    <sheet name="aktivet sips udhez" sheetId="10" r:id="rId10"/>
    <sheet name="aneks sips udhe p1.2" sheetId="11" r:id="rId11"/>
    <sheet name="an udh p3" sheetId="12" r:id="rId12"/>
    <sheet name="deklarata" sheetId="13" r:id="rId13"/>
    <sheet name="inv auto" sheetId="14" r:id="rId14"/>
    <sheet name="inv mall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<sst xmlns="http://schemas.openxmlformats.org/spreadsheetml/2006/main" count="1324" uniqueCount="845">
  <si>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</si>
  <si>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</si>
  <si>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</si>
  <si>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</si>
  <si>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</si>
  <si>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</si>
  <si>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</si>
  <si>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</si>
  <si>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</si>
  <si>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</si>
  <si>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</si>
  <si>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</si>
  <si>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</si>
  <si>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</si>
  <si>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</si>
  <si>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</si>
  <si>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</si>
  <si>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</si>
  <si>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</si>
  <si>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</si>
  <si>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</si>
  <si>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</si>
  <si>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</si>
  <si>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</si>
  <si>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</si>
  <si>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</si>
  <si>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</si>
  <si>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</si>
  <si>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</si>
  <si>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</si>
  <si>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</si>
  <si>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</si>
  <si>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</si>
  <si>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</si>
  <si>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</si>
  <si>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</si>
  <si>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</si>
  <si>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</si>
  <si>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</si>
  <si>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</si>
  <si>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</si>
  <si>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</si>
  <si>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</si>
  <si>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</si>
  <si>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</si>
  <si>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</si>
  <si>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</si>
  <si>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</si>
  <si>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</si>
  <si>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</si>
  <si>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</si>
  <si>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</si>
  <si>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</si>
  <si>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</si>
  <si>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</si>
  <si>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</si>
  <si>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</si>
  <si>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</si>
  <si>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</si>
  <si>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</si>
  <si>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</si>
  <si>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</si>
  <si>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</si>
  <si>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</si>
  <si>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</si>
  <si>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</si>
  <si>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</si>
  <si>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</si>
  <si>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</si>
  <si>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</si>
  <si>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</si>
  <si>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</si>
  <si>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</si>
  <si>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</si>
  <si>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</si>
  <si>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</si>
  <si>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</si>
  <si>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</si>
  <si>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</si>
  <si>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</si>
  <si>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</si>
  <si>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</si>
  <si>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</si>
  <si>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</si>
  <si>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</si>
  <si>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</si>
  <si>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</si>
  <si>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</si>
  <si>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Viti 2008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</si>
  <si>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</si>
  <si>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</si>
  <si>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</si>
  <si>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</si>
  <si>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Kapitali aksionar</t>
  </si>
  <si>
    <t>VITI 2008</t>
  </si>
  <si>
    <t>Te tjera detyrime</t>
  </si>
  <si>
    <t>VITI 2007</t>
  </si>
  <si>
    <t>(shumat ne Leke)</t>
  </si>
  <si>
    <t>Dif Konvertimi</t>
  </si>
  <si>
    <t>TE TJERA SHENIMET</t>
  </si>
  <si>
    <t>31 Dhjetor 2007</t>
  </si>
  <si>
    <t>Para ne dore</t>
  </si>
  <si>
    <t>Para ne Banka</t>
  </si>
  <si>
    <t>Magazinat</t>
  </si>
  <si>
    <t>Klientet</t>
  </si>
  <si>
    <t>Furnitoret</t>
  </si>
  <si>
    <t>Tatim Page</t>
  </si>
  <si>
    <t>Tatim Fitimi</t>
  </si>
  <si>
    <t>TVSH</t>
  </si>
  <si>
    <t>Sigurime shoqerore</t>
  </si>
  <si>
    <t>31 Dhjetor 2008</t>
  </si>
  <si>
    <t>Pasivet Afatshkurter</t>
  </si>
  <si>
    <t xml:space="preserve">Paga  </t>
  </si>
  <si>
    <t>Te tjera</t>
  </si>
  <si>
    <t>Fitim nga kembime valutore</t>
  </si>
  <si>
    <t>Te ardhura te tjera</t>
  </si>
  <si>
    <t>Shpenzim nga kembime valutore</t>
  </si>
  <si>
    <t>Shpenzime te tjera</t>
  </si>
  <si>
    <t>Fitim Bruto</t>
  </si>
  <si>
    <t>Shpenzime te pa njohura</t>
  </si>
  <si>
    <t>Baza llogaritjes Tatimit</t>
  </si>
  <si>
    <t>% e tatim Fitimit</t>
  </si>
  <si>
    <t>Fitimi NETO</t>
  </si>
  <si>
    <t>Ortake</t>
  </si>
  <si>
    <t>Diferenca nga kembimi</t>
  </si>
  <si>
    <t>Punonjes</t>
  </si>
  <si>
    <t>Shpenzime interesa huaje</t>
  </si>
  <si>
    <t>Te ardhura nga interesat</t>
  </si>
  <si>
    <t>Produkte te Gatshme</t>
  </si>
  <si>
    <t>Totali i kapitalit</t>
  </si>
  <si>
    <t>Rritie/renie ne tepricen e detyrimeve, per t'u paguar nga aktiviteti</t>
  </si>
  <si>
    <t>Para neto e verdorur ne aktivitetet financiare</t>
  </si>
  <si>
    <t>Hua bankare</t>
  </si>
  <si>
    <t>Kerkesa te arketueshme</t>
  </si>
  <si>
    <t>1</t>
  </si>
  <si>
    <t>2</t>
  </si>
  <si>
    <t>3</t>
  </si>
  <si>
    <t>4</t>
  </si>
  <si>
    <t>5</t>
  </si>
  <si>
    <t xml:space="preserve">Detyrimet afatshkurtra </t>
  </si>
  <si>
    <t>Te Tjera</t>
  </si>
  <si>
    <t>Produkte dhe mallra</t>
  </si>
  <si>
    <t>Sherbime bankare</t>
  </si>
  <si>
    <t>Provizione per rreziqe</t>
  </si>
  <si>
    <t>I</t>
  </si>
  <si>
    <t>II</t>
  </si>
  <si>
    <t>6</t>
  </si>
  <si>
    <t>7</t>
  </si>
  <si>
    <t>8</t>
  </si>
  <si>
    <t>a</t>
  </si>
  <si>
    <t>b</t>
  </si>
  <si>
    <t>c</t>
  </si>
  <si>
    <t>9</t>
  </si>
  <si>
    <t>d</t>
  </si>
  <si>
    <t>e</t>
  </si>
  <si>
    <t>III</t>
  </si>
  <si>
    <t>10</t>
  </si>
  <si>
    <t>11</t>
  </si>
  <si>
    <t>12</t>
  </si>
  <si>
    <t>13</t>
  </si>
  <si>
    <t>14</t>
  </si>
  <si>
    <t>IV</t>
  </si>
  <si>
    <t>V</t>
  </si>
  <si>
    <t>f</t>
  </si>
  <si>
    <t>BILANCI</t>
  </si>
  <si>
    <t>AKTIVI</t>
  </si>
  <si>
    <t>Nr</t>
  </si>
  <si>
    <t>A</t>
  </si>
  <si>
    <t>KAPITALI I NESHKRUAR I PAKERKUAR</t>
  </si>
  <si>
    <t>B</t>
  </si>
  <si>
    <t>AKTIVE TE QENDRUESHME</t>
  </si>
  <si>
    <t>Te Pa Trupezuara</t>
  </si>
  <si>
    <t>Shpenzime te nisjes dhe te zgjerimit</t>
  </si>
  <si>
    <t>Shpenzime per kerkime te aplikuara e zhvillime</t>
  </si>
  <si>
    <t>Te tjera ne Shfrytezim</t>
  </si>
  <si>
    <t>Pagesa pjesore te derdhura</t>
  </si>
  <si>
    <t>Amortizime (-)</t>
  </si>
  <si>
    <t>h</t>
  </si>
  <si>
    <t>Provizione per zhvleresim (-)</t>
  </si>
  <si>
    <t>TE TRUPEZUARA</t>
  </si>
  <si>
    <t>Toka, troje, terrene, ndertime e inst. te pergj</t>
  </si>
  <si>
    <t>Instalime teknike, makineri, pajisje, vegla pune</t>
  </si>
  <si>
    <t>Te tjera ne shfrytezim</t>
  </si>
  <si>
    <t>Ne proces dhe pagesa pjesore</t>
  </si>
  <si>
    <t>15</t>
  </si>
  <si>
    <t>16</t>
  </si>
  <si>
    <t>FINANCIARE</t>
  </si>
  <si>
    <t>17</t>
  </si>
  <si>
    <t>Pjesemarrje dhe tituj financiare te tjere</t>
  </si>
  <si>
    <t>18</t>
  </si>
  <si>
    <t>Kerkesa debitore te lidhura me pjesemarrjet</t>
  </si>
  <si>
    <t>19</t>
  </si>
  <si>
    <t>Kredi te dhena</t>
  </si>
  <si>
    <t>20</t>
  </si>
  <si>
    <t>Provizione per zhvleresime (-)</t>
  </si>
  <si>
    <t>21</t>
  </si>
  <si>
    <t>AQ te Tjera</t>
  </si>
  <si>
    <t>21/1</t>
  </si>
  <si>
    <t>C</t>
  </si>
  <si>
    <t>AKTIVE QARKULLUESE</t>
  </si>
  <si>
    <t>22</t>
  </si>
  <si>
    <t>GJENDJE E INVENTARIT DHE NE PROCES</t>
  </si>
  <si>
    <t>23</t>
  </si>
  <si>
    <t>Materiale te para dhe materiale te tjera</t>
  </si>
  <si>
    <t>24</t>
  </si>
  <si>
    <t>Prodhime, punime, sherbime ne proces</t>
  </si>
  <si>
    <t>25</t>
  </si>
  <si>
    <t>26</t>
  </si>
  <si>
    <t>Te tjera gjendje inventari</t>
  </si>
  <si>
    <t>27</t>
  </si>
  <si>
    <t>28</t>
  </si>
  <si>
    <t>KERKESA PER ARKETIM MBI DEBITORET</t>
  </si>
  <si>
    <t>29</t>
  </si>
  <si>
    <t>Nga keto me afat pas me shume se nje vit</t>
  </si>
  <si>
    <t>Kliente per shitje, sherbime</t>
  </si>
  <si>
    <t>30</t>
  </si>
  <si>
    <t>Ortake kapital i paderdhur</t>
  </si>
  <si>
    <t>31</t>
  </si>
  <si>
    <t>32</t>
  </si>
  <si>
    <t>33</t>
  </si>
  <si>
    <t>34</t>
  </si>
  <si>
    <t>LETRA ME VLERE TE VENDOSJES PERKOHSHME</t>
  </si>
  <si>
    <t>35</t>
  </si>
  <si>
    <t>Aksione, obligacione, bono thesari e te ngjashme</t>
  </si>
  <si>
    <t>36</t>
  </si>
  <si>
    <t>37</t>
  </si>
  <si>
    <t>LIKUIDITETE DHE VLERA ARKE TE TJERA</t>
  </si>
  <si>
    <t>38</t>
  </si>
  <si>
    <t>Depozita ne banke dhe ne llogari te tjera</t>
  </si>
  <si>
    <t>39</t>
  </si>
  <si>
    <t>Para ne dore (arke)</t>
  </si>
  <si>
    <t>40</t>
  </si>
  <si>
    <t>Vlera arke te tjera</t>
  </si>
  <si>
    <t>41</t>
  </si>
  <si>
    <t>SHPENZIME PAGUAR OSE REGJISTRUAR AVANC</t>
  </si>
  <si>
    <t>42</t>
  </si>
  <si>
    <t>Ne keto mbi nje vit</t>
  </si>
  <si>
    <t>D</t>
  </si>
  <si>
    <t>LLOGARI TE TJERA</t>
  </si>
  <si>
    <t>43</t>
  </si>
  <si>
    <t>Shpenzime (kosto) per tu shperndare.</t>
  </si>
  <si>
    <t>44</t>
  </si>
  <si>
    <t>Diferenca konvertimi Aktive</t>
  </si>
  <si>
    <t>45</t>
  </si>
  <si>
    <t>45/1</t>
  </si>
  <si>
    <t>TOTALI I AKTIVIT</t>
  </si>
  <si>
    <t>46</t>
  </si>
  <si>
    <t>E</t>
  </si>
  <si>
    <t>LLOGARI JASHTE BILANCIT</t>
  </si>
  <si>
    <t>47</t>
  </si>
  <si>
    <t>Aktive te Qendrueshme te Marra me Qira</t>
  </si>
  <si>
    <t>48</t>
  </si>
  <si>
    <t>Pasuri te Tjera te te Treteve</t>
  </si>
  <si>
    <t>49</t>
  </si>
  <si>
    <t>Te tjera Llogari Jashte Bilancit</t>
  </si>
  <si>
    <t>50</t>
  </si>
  <si>
    <t>KAPITALET E VETA</t>
  </si>
  <si>
    <t>51</t>
  </si>
  <si>
    <t>KAPITALI THEMELTAR, REZERVAT, FITME/HUMBJE</t>
  </si>
  <si>
    <t>52</t>
  </si>
  <si>
    <t>Nga ky i derdhur</t>
  </si>
  <si>
    <t>Kapital i Nenshkruar</t>
  </si>
  <si>
    <t>53</t>
  </si>
  <si>
    <t>Prime te lidhura me Kapitalin</t>
  </si>
  <si>
    <t>54</t>
  </si>
  <si>
    <t>Diferenca nga Rivleresimi</t>
  </si>
  <si>
    <t>55</t>
  </si>
  <si>
    <t>Rezervat</t>
  </si>
  <si>
    <t>56</t>
  </si>
  <si>
    <t>Rezervat Ligjore</t>
  </si>
  <si>
    <t>57</t>
  </si>
  <si>
    <t>Rezervat Statutore</t>
  </si>
  <si>
    <t>58</t>
  </si>
  <si>
    <t>Rezervat te Tjera</t>
  </si>
  <si>
    <t>59</t>
  </si>
  <si>
    <t>Fitime ose Humbje te Mbartura (Humbjet -)</t>
  </si>
  <si>
    <t>60</t>
  </si>
  <si>
    <t>Fitime ose Humbje te Ushtrimit (Humbjet -)</t>
  </si>
  <si>
    <t>61</t>
  </si>
  <si>
    <t>Te Tjera qe lidhen me Kapitalin</t>
  </si>
  <si>
    <t>61/1</t>
  </si>
  <si>
    <t>FONDE TE TJERA TE VETAT(Nder. Shteterore)</t>
  </si>
  <si>
    <t>62</t>
  </si>
  <si>
    <t>Fondi (Rezerva) i Zhvillimit</t>
  </si>
  <si>
    <t>63</t>
  </si>
  <si>
    <t>Fondi i Shperblimit Suplementar te Punonjesve</t>
  </si>
  <si>
    <t>64</t>
  </si>
  <si>
    <t>Fondi i Ndihmave te Menjehershme</t>
  </si>
  <si>
    <t>65</t>
  </si>
  <si>
    <t>Fonde te Tjera</t>
  </si>
  <si>
    <t>66</t>
  </si>
  <si>
    <t>SUBVENCIONE PER INVENSTIME</t>
  </si>
  <si>
    <t>67</t>
  </si>
  <si>
    <t>PROVIZIONE PER RREZIQE E SHPENZIME</t>
  </si>
  <si>
    <t>68</t>
  </si>
  <si>
    <t>Provizoine per Rreziqe</t>
  </si>
  <si>
    <t>69</t>
  </si>
  <si>
    <t>Provizione per Shpenzime</t>
  </si>
  <si>
    <t>70</t>
  </si>
  <si>
    <t>DETYRIME</t>
  </si>
  <si>
    <t>71</t>
  </si>
  <si>
    <t>Detyrime te Kerkueshme Pas Me Shume Se nje Vit</t>
  </si>
  <si>
    <t>72</t>
  </si>
  <si>
    <t>Huara nga Bankat dhe Institutet e Kreditit</t>
  </si>
  <si>
    <t>73</t>
  </si>
  <si>
    <t>Huara te Tjera</t>
  </si>
  <si>
    <t>74</t>
  </si>
  <si>
    <t>Shuma te Arketuara per Porosi</t>
  </si>
  <si>
    <t>75</t>
  </si>
  <si>
    <t>Furnitore per Blerje e Sherbime</t>
  </si>
  <si>
    <t>76</t>
  </si>
  <si>
    <t>Shteti</t>
  </si>
  <si>
    <t>77</t>
  </si>
  <si>
    <t>78</t>
  </si>
  <si>
    <t>Te tjera Detyrime</t>
  </si>
  <si>
    <t>79</t>
  </si>
  <si>
    <t>DETYRIME TE KERKUESHME DERI NE NJE VIT</t>
  </si>
  <si>
    <t>80</t>
  </si>
  <si>
    <t>81</t>
  </si>
  <si>
    <t>82</t>
  </si>
  <si>
    <t>Shuma te Arketuara me Porosi</t>
  </si>
  <si>
    <t>83</t>
  </si>
  <si>
    <t>84</t>
  </si>
  <si>
    <t>Personeli</t>
  </si>
  <si>
    <t>85</t>
  </si>
  <si>
    <t>Sigurime Shoqerore dhe te Ngjashme</t>
  </si>
  <si>
    <t>86</t>
  </si>
  <si>
    <t>Shteti - Tatime dhe Taksa</t>
  </si>
  <si>
    <t>87</t>
  </si>
  <si>
    <t>g</t>
  </si>
  <si>
    <t>88</t>
  </si>
  <si>
    <t>i</t>
  </si>
  <si>
    <t>Te Tjera Detyrime</t>
  </si>
  <si>
    <t>89</t>
  </si>
  <si>
    <t>Te Ardhura Te Marra Ose Te Regjistruara Avance</t>
  </si>
  <si>
    <t>90</t>
  </si>
  <si>
    <t>91</t>
  </si>
  <si>
    <t>Diferenca Konvertimi Pasive</t>
  </si>
  <si>
    <t>92</t>
  </si>
  <si>
    <t>93</t>
  </si>
  <si>
    <t>TOTALI I PASIVIT</t>
  </si>
  <si>
    <t>94</t>
  </si>
  <si>
    <t>95</t>
  </si>
  <si>
    <t>Llogari jashte bilancit</t>
  </si>
  <si>
    <t>96</t>
  </si>
  <si>
    <t>Llogari te Sendeve me Qira</t>
  </si>
  <si>
    <t>97</t>
  </si>
  <si>
    <t>Te Tjera Jashte Bilancit</t>
  </si>
  <si>
    <t>98</t>
  </si>
  <si>
    <t>99</t>
  </si>
  <si>
    <t>Makineri Pajisje</t>
  </si>
  <si>
    <t>Te Ardhurat e Shpenzimet</t>
  </si>
  <si>
    <t>( Llogaria e Fitimimeve dhe e Humbjeve )</t>
  </si>
  <si>
    <t>Numri</t>
  </si>
  <si>
    <t>TE ARDHURAT</t>
  </si>
  <si>
    <t>TE ARDHURA QE HYJNE NE SHIFREN E AFARIZMIT</t>
  </si>
  <si>
    <t>Nga Shitja e Produkteve te Prodhimit te Vete</t>
  </si>
  <si>
    <t>Nga Kryerja e Sherbimeve</t>
  </si>
  <si>
    <t>Nga Shitja e Mallrave</t>
  </si>
  <si>
    <t>Te Tjera Shitje e Sherbime</t>
  </si>
  <si>
    <t>TOTALI I SHIFRA NETO E AFARIZEM</t>
  </si>
  <si>
    <t>NGA TOTALI PER EKSPORT</t>
  </si>
  <si>
    <t>TE ARDHURA TE TJERA ( PERVEC ATYRE FINANCIARE )</t>
  </si>
  <si>
    <t>Shtesa e Gjendjeve te Prodhimit te Vete</t>
  </si>
  <si>
    <t>Prodhimi i Aktiveve te Qendrueshme</t>
  </si>
  <si>
    <t>Subvencione te Shfrytezimit</t>
  </si>
  <si>
    <t>Te Ardhura te Tjera Rrjedhese</t>
  </si>
  <si>
    <t>Çmimi i Shitjes se aktiveve te qendrueshme</t>
  </si>
  <si>
    <t>Arketimi i debitoreve te shlyer</t>
  </si>
  <si>
    <t>Rimarrje Amortizimi dhe Provizionesh</t>
  </si>
  <si>
    <t>Rimarrje amortizimi per aktivet e qendrushme</t>
  </si>
  <si>
    <t>Rimarrje provizionesh per aktivet e qendrueshme</t>
  </si>
  <si>
    <t>Rimarrje provizionesh per aktivet qarkulluese</t>
  </si>
  <si>
    <t>Rimarrje provizionesh per rreziqe e shpenzime</t>
  </si>
  <si>
    <t>Rimarrje te tjera</t>
  </si>
  <si>
    <t>TOTALI  ( I + II )</t>
  </si>
  <si>
    <t>TE ARDHURA FINANCIARE</t>
  </si>
  <si>
    <t>Interesa te Fituara dhe te Ngjajshme</t>
  </si>
  <si>
    <t>PlusVlera e Shitjes Letrave me Vlere te Vends.</t>
  </si>
  <si>
    <t>Diferenca pozitive nga Kembimi</t>
  </si>
  <si>
    <t>Rimarrje Provizionesh per Aktivet Financiare</t>
  </si>
  <si>
    <t>Te Tjera te Ardhura Financiare</t>
  </si>
  <si>
    <t>TOTALI ( I + II + III )</t>
  </si>
  <si>
    <t>REZULTATI NGA VEPRIMET E ZAKONSHME</t>
  </si>
  <si>
    <t>- HUMBJE</t>
  </si>
  <si>
    <t>TE ARDHURA TE JASHTEZAKONSHME</t>
  </si>
  <si>
    <t>REZULTATI I JASHTEZAKONSHEM</t>
  </si>
  <si>
    <t>REZULTATI I BILANCIT</t>
  </si>
  <si>
    <t>SHPENZIMET</t>
  </si>
  <si>
    <t>PAKESIMI I GJENDJES TE PRODHIMIT</t>
  </si>
  <si>
    <t>SHPENZIME SHFRYTEZIMI E TE TJERA RRJEDHESE</t>
  </si>
  <si>
    <t>Materiale te Para dhe Materiale te Tjera</t>
  </si>
  <si>
    <t>Blerje gjate ushtimit</t>
  </si>
  <si>
    <t>Ndryshimi i Gjendjeve (+ -)</t>
  </si>
  <si>
    <t>Mallra</t>
  </si>
  <si>
    <t>Blerje gjate ushtrimit</t>
  </si>
  <si>
    <t>Nryshimi i Gjendjeve (+ -)</t>
  </si>
  <si>
    <t>Furnitura, Nentrajtime dhe Sherbime</t>
  </si>
  <si>
    <t>Shpenzime per Personelin</t>
  </si>
  <si>
    <t>Pagat</t>
  </si>
  <si>
    <t>Trajtime dhe shperblime te tjera</t>
  </si>
  <si>
    <t>Sigurime shoqerore dhe te ngjashme</t>
  </si>
  <si>
    <t>Tatime, Taksa e Derdhje te Ngjashme</t>
  </si>
  <si>
    <t>Shpenzime te Tjera Rrjedhese</t>
  </si>
  <si>
    <t>Vlera kontabel e A.Q te shitura</t>
  </si>
  <si>
    <t>Humbje nga mos arketimi i debitoreve</t>
  </si>
  <si>
    <t>Amortizime dhe Provizione</t>
  </si>
  <si>
    <t>Amortizimi i A.Q.</t>
  </si>
  <si>
    <t>Provizione te zhvleresimit te aktiveve te qend</t>
  </si>
  <si>
    <t>Provisione zhvleresimi te aktiveve qarkullimi</t>
  </si>
  <si>
    <t>Kuota e shpenzimeve per shperndarje</t>
  </si>
  <si>
    <t>SHPENZIME FINANCIARE</t>
  </si>
  <si>
    <t>Interesa te Paguara dhe per t'u Paguar</t>
  </si>
  <si>
    <t>Minusvlera nga Shitja e Letra me Vlere te Vendos.</t>
  </si>
  <si>
    <t>Diferenca Negative nga Shkembimi</t>
  </si>
  <si>
    <t>Provizione e Aktive Financiare te Qendrue. Qark.</t>
  </si>
  <si>
    <t>Te tjera Shpenzime Financiare</t>
  </si>
  <si>
    <t>TOTALI  ( I + II + III )</t>
  </si>
  <si>
    <t>REZULTATI NGA VEPRIMTARIA E ZAKONSHME</t>
  </si>
  <si>
    <t>SHPENZIME TE JASHTEZAKONSHME</t>
  </si>
  <si>
    <t>FITIMI PARA TATIMIT</t>
  </si>
  <si>
    <t>VI</t>
  </si>
  <si>
    <t>TATIMI MBI FITIMIN DHE TE NGJASHME</t>
  </si>
  <si>
    <t>Tatim mbi Fitimin</t>
  </si>
  <si>
    <t>-Per fitimin nga veprimtaria e zakonshme</t>
  </si>
  <si>
    <t>Zbritje te Tjera</t>
  </si>
  <si>
    <t>VII</t>
  </si>
  <si>
    <t>FITIMI NETO (ose i Bilancit) V - VI</t>
  </si>
  <si>
    <t>( Monedha:LEK)</t>
  </si>
  <si>
    <t>Primi kapitalit</t>
  </si>
  <si>
    <t>Kliente</t>
  </si>
  <si>
    <t>Shuma te arketuara per porosi</t>
  </si>
  <si>
    <t>Diferenca konvertimi</t>
  </si>
  <si>
    <t>Hua Bankare</t>
  </si>
  <si>
    <t>Hua afatgjata</t>
  </si>
  <si>
    <t>Shpenzimet e shtyra</t>
  </si>
  <si>
    <t>Te ardhura nga shitja e AQ</t>
  </si>
  <si>
    <t>Blerje mallra dhe te tjera</t>
  </si>
  <si>
    <t>Mallra dhe te ardhura nga sherbime</t>
  </si>
  <si>
    <t>3.c</t>
  </si>
  <si>
    <t>3.b</t>
  </si>
  <si>
    <t>3.a</t>
  </si>
  <si>
    <t>3.d</t>
  </si>
  <si>
    <t>3.e</t>
  </si>
  <si>
    <t>5.a</t>
  </si>
  <si>
    <t>5.b</t>
  </si>
  <si>
    <t>5.c</t>
  </si>
  <si>
    <t>5.d</t>
  </si>
  <si>
    <t>5.e</t>
  </si>
  <si>
    <t>Shenime</t>
  </si>
  <si>
    <t>Viti 2007  (riklasifikuar)</t>
  </si>
  <si>
    <t>ADMINISTRATORI</t>
  </si>
  <si>
    <t>KONTABILISTE</t>
  </si>
  <si>
    <t>Vlefta 2008</t>
  </si>
  <si>
    <t>Kapitali aksionar që i përket aksionarëve të shoqërisë mëmë</t>
  </si>
  <si>
    <t>Primi I aksioni</t>
  </si>
  <si>
    <t>Aksionet e thesarit</t>
  </si>
  <si>
    <t>Rezerva statusore dhe  ligjore</t>
  </si>
  <si>
    <t>Rezerva të konvertimit të  monedhave të huaja</t>
  </si>
  <si>
    <t>Fitimi I Pashpërndarë</t>
  </si>
  <si>
    <t>Zotërimet e aksionarëve të pakicës</t>
  </si>
  <si>
    <t>Efekti i ndryshimeve në politikat  kontabël</t>
  </si>
  <si>
    <t>Pozicioni i rregulluar</t>
  </si>
  <si>
    <t>Efektet e ndryshimit të kurseve të këmbimit gjatë konsolidimit</t>
  </si>
  <si>
    <t>Totali i të ardhuraveapo I shpenzimeve, që nuk janë njohur  në pasqyrën e të ardhurave dhe  shpenzimeve</t>
  </si>
  <si>
    <t>Fitimi neto i vitit financiar</t>
  </si>
  <si>
    <t>Dividendët e paguar</t>
  </si>
  <si>
    <t>Transferime në rezervën e detyrueshme statusore</t>
  </si>
  <si>
    <t xml:space="preserve">Emetim i kapitalit aksionar </t>
  </si>
  <si>
    <t>Efekte të ndryshime të kurseve të këmbimit gjatë konsolidimit</t>
  </si>
  <si>
    <t>Totali i të ardhurave apo  shpenzimeve, që nuk janë njohur  në pasqyrën e të ardhurave dhe  shpenzimeve</t>
  </si>
  <si>
    <t>Fitimi neto për periudhën kontabël</t>
  </si>
  <si>
    <t>Emetim i kapitalit aksionar</t>
  </si>
  <si>
    <t>Aksione të thesarit të riblera</t>
  </si>
  <si>
    <t xml:space="preserve">I </t>
  </si>
  <si>
    <t>Pershkrimi</t>
  </si>
  <si>
    <t>Toka</t>
  </si>
  <si>
    <t>Ndertesat</t>
  </si>
  <si>
    <t>Automjetet</t>
  </si>
  <si>
    <t>Ne Proces</t>
  </si>
  <si>
    <t>TOTAL</t>
  </si>
  <si>
    <t>Kontroll 
me FS</t>
  </si>
  <si>
    <t>Opening bal</t>
  </si>
  <si>
    <t>Gross value</t>
  </si>
  <si>
    <t>AQT Vlera Bruto</t>
  </si>
  <si>
    <t>+</t>
  </si>
  <si>
    <t>Amortization</t>
  </si>
  <si>
    <t>Amortiz Akumul</t>
  </si>
  <si>
    <t>Provision</t>
  </si>
  <si>
    <t>Provizione</t>
  </si>
  <si>
    <t>Inflow</t>
  </si>
  <si>
    <t>Vlera Bruto</t>
  </si>
  <si>
    <t>Outflow</t>
  </si>
  <si>
    <t>-</t>
  </si>
  <si>
    <t>Restructuration</t>
  </si>
  <si>
    <t>flow</t>
  </si>
  <si>
    <t>Riklasifikim i Aktiveve</t>
  </si>
  <si>
    <t>+ / -</t>
  </si>
  <si>
    <t>Provizionet</t>
  </si>
  <si>
    <t>Depreciation</t>
  </si>
  <si>
    <t>Amortizimi i Vitit Ushtrimor</t>
  </si>
  <si>
    <t>Reversal</t>
  </si>
  <si>
    <t xml:space="preserve">Rimarje e Amortizimit </t>
  </si>
  <si>
    <t>Rimarje e Provizioneve</t>
  </si>
  <si>
    <t>Flow</t>
  </si>
  <si>
    <t>Riklasifikim i Amortizimeve</t>
  </si>
  <si>
    <t>Closing balance</t>
  </si>
  <si>
    <t>gross value</t>
  </si>
  <si>
    <t>amortization</t>
  </si>
  <si>
    <t>provision</t>
  </si>
  <si>
    <t>AQT Vlera Neto</t>
  </si>
  <si>
    <t>Likujditete</t>
  </si>
  <si>
    <t>Intersa Garancie 2009 Bkt</t>
  </si>
  <si>
    <t>Leje Agjensise Spedicionere 2009-2010-2011</t>
  </si>
  <si>
    <t>Interesa Konvertimi Aktive</t>
  </si>
  <si>
    <t>Sigal sha</t>
  </si>
  <si>
    <t>Kredi Usd -Fondi Amerikan Nderrmarrjeve</t>
  </si>
  <si>
    <t>Page Punonjesh</t>
  </si>
  <si>
    <t>Kerkese mbi debitoret Shteti</t>
  </si>
  <si>
    <t>Te ardhura nga kryerja e sherbimeve</t>
  </si>
  <si>
    <t>Te Ardhurat</t>
  </si>
  <si>
    <t>Bl.energji,avull,uje</t>
  </si>
  <si>
    <t>Qira</t>
  </si>
  <si>
    <t>Mirembajtje dhe riparime</t>
  </si>
  <si>
    <t>Personel nga jashte ndermarjes</t>
  </si>
  <si>
    <t>Reklame, publicitet</t>
  </si>
  <si>
    <t>Shpz.postare e telekom.</t>
  </si>
  <si>
    <t>Te tjera tatime e taksa</t>
  </si>
  <si>
    <t>Penalitete,gjoba,demshperblime</t>
  </si>
  <si>
    <t>Blerje Kancelari dhe shtypshkrime doganore</t>
  </si>
  <si>
    <t>Blerje karburante automjetet</t>
  </si>
  <si>
    <t>Amortizime dhe provizione</t>
  </si>
  <si>
    <t>Amortizimi AQT</t>
  </si>
  <si>
    <t>Shpenzime Siguracione Agjenise doganore dhe te tj</t>
  </si>
  <si>
    <t>Viti 2006  (riklasifikuar)</t>
  </si>
  <si>
    <t>Pasqyra e Aktiveve dhe Amortizimeve</t>
  </si>
  <si>
    <t xml:space="preserve">Emërtimi   dhe   Forma ligjore </t>
  </si>
  <si>
    <t>NIPT-i</t>
  </si>
  <si>
    <t>Adresa e Selisë</t>
  </si>
  <si>
    <t xml:space="preserve">Data    e   krijimit   </t>
  </si>
  <si>
    <t xml:space="preserve">Nr.  i   Regjistrit  tregtar   </t>
  </si>
  <si>
    <r>
      <t>Veprimtaria Kryesore</t>
    </r>
    <r>
      <rPr>
        <b/>
        <u val="single"/>
        <sz val="12"/>
        <rFont val="Arial Narrow"/>
        <family val="2"/>
      </rPr>
      <t xml:space="preserve"> </t>
    </r>
  </si>
  <si>
    <t>Pasqyrat Financiare janë individuale</t>
  </si>
  <si>
    <t xml:space="preserve">Pasqyrat Financiare janë të shprehura </t>
  </si>
  <si>
    <t>në vlerë reale leku</t>
  </si>
  <si>
    <t xml:space="preserve">Periudha Kontabël e Pasqyrave Financiare </t>
  </si>
  <si>
    <t xml:space="preserve">Data e mbylljes së Pasqyrave Financiare </t>
  </si>
  <si>
    <t xml:space="preserve">Rr.Abdyl Frashëri,Pall I Ri Jeshil 2/2- Tirana </t>
  </si>
  <si>
    <r>
      <t>Lendet e para</t>
    </r>
    <r>
      <rPr>
        <i/>
        <sz val="12"/>
        <rFont val="Times New Roman"/>
        <family val="1"/>
      </rPr>
      <t xml:space="preserve"> </t>
    </r>
  </si>
  <si>
    <t>Vlefta 2009</t>
  </si>
  <si>
    <t>Viti 2009</t>
  </si>
  <si>
    <t>VITI 2009</t>
  </si>
  <si>
    <t>31 Dhjetor 2009</t>
  </si>
  <si>
    <t xml:space="preserve"> </t>
  </si>
  <si>
    <t>Ortaku</t>
  </si>
  <si>
    <t>Pozicioni më 31 dhjetor 2009</t>
  </si>
  <si>
    <t>Ngurtesim Banke</t>
  </si>
  <si>
    <t>Te tjera kerkesa te arketueshme(Tatim Fitimi),orkaku</t>
  </si>
  <si>
    <t>Overdraft Euro-Alpha  Bank</t>
  </si>
  <si>
    <t>Pajisje zyre</t>
  </si>
  <si>
    <t>dhe te tjera</t>
  </si>
  <si>
    <t>PERSHKRIM</t>
  </si>
  <si>
    <t>Nga 01.01.2010 deri 31.12.2010</t>
  </si>
  <si>
    <t>31.12.2010</t>
  </si>
  <si>
    <t>Periudha kontabel     01 Janar - 31 Dhjetor 2010</t>
  </si>
  <si>
    <t>Bilanci i Celjes     01.01.2010</t>
  </si>
  <si>
    <t>Hyrjet  2010</t>
  </si>
  <si>
    <t>Daljet  2010</t>
  </si>
  <si>
    <t>Bilanci i Mbylljes 31.12.2010</t>
  </si>
  <si>
    <t>Vlefta 2010</t>
  </si>
  <si>
    <t>Bilanci   Kontabel  me  31 Dhjetor 2010</t>
  </si>
  <si>
    <t>Viti 2010</t>
  </si>
  <si>
    <t>Llogaria te Ardhura &amp; Shpenzime per vitin e mbyllur me 31 Dhjetor 2010</t>
  </si>
  <si>
    <t>VITI 2010</t>
  </si>
  <si>
    <t>Pasqyra e levizjes se kapitaleve te veta  me 1 Janar 2008 - 31 Dhjetor 2010</t>
  </si>
  <si>
    <t>Pozicioni më 1 Janar   2008</t>
  </si>
  <si>
    <t>Pozicioni më 31 dhjetor 2010</t>
  </si>
  <si>
    <t>Periudha kontabel     01 Janar-31 Dhjetor 2010</t>
  </si>
  <si>
    <t>31 Dhjetor 2010</t>
  </si>
  <si>
    <t>Aktivet Afatgjata Materiale  me vlere fillestare   2010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</si>
  <si>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</si>
  <si>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</si>
  <si>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</si>
  <si>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</si>
  <si>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</si>
  <si>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</si>
  <si>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</si>
  <si>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</si>
  <si>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 xml:space="preserve">             TOTALI</t>
  </si>
  <si>
    <t>Amortizimi A.A.Materiale   2010</t>
  </si>
  <si>
    <t>Makineri,paisje,vegla</t>
  </si>
  <si>
    <t>Vlera Kontabel Neto e A.A.Materiale  2010</t>
  </si>
  <si>
    <t>Administratori</t>
  </si>
  <si>
    <t>Pasqyre Nr.1</t>
  </si>
  <si>
    <t>Në ooo/Lekë</t>
  </si>
  <si>
    <t>ANEKS STATISTIKOR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</si>
  <si>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</si>
  <si>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</si>
  <si>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</si>
  <si>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</si>
  <si>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</si>
  <si>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</si>
  <si>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</si>
  <si>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</si>
  <si>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</si>
  <si>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</si>
  <si>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</si>
  <si>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</si>
  <si>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</si>
  <si>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</si>
  <si>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</si>
  <si>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</si>
  <si>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</si>
  <si>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</si>
  <si>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</si>
  <si>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</si>
  <si>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</si>
  <si>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</si>
  <si>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</si>
  <si>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</si>
  <si>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</si>
  <si>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</si>
  <si>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</si>
  <si>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</si>
  <si>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</si>
  <si>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</si>
  <si>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</si>
  <si>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</si>
  <si>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</si>
  <si>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</si>
  <si>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</si>
  <si>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</si>
  <si>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</si>
  <si>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</si>
  <si>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</si>
  <si>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</si>
  <si>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</si>
  <si>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</si>
  <si>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</si>
  <si>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</si>
  <si>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</si>
  <si>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</si>
  <si>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</si>
  <si>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</si>
  <si>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</si>
  <si>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</si>
  <si>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</si>
  <si>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</si>
  <si>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</si>
  <si>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</si>
  <si>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</si>
  <si>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</si>
  <si>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</si>
  <si>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</si>
  <si>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</si>
  <si>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</si>
  <si>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</si>
  <si>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</si>
  <si>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</si>
  <si>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</si>
  <si>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</si>
  <si>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</si>
  <si>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</si>
  <si>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</si>
  <si>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</si>
  <si>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</si>
  <si>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</si>
  <si>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</si>
  <si>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</si>
  <si>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</si>
  <si>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</si>
  <si>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</si>
  <si>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</si>
  <si>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</si>
  <si>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</si>
  <si>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</si>
  <si>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</si>
  <si>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</si>
  <si>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</si>
  <si>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</si>
  <si>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</si>
  <si>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</si>
  <si>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</si>
  <si>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</si>
  <si>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</si>
  <si>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</si>
  <si>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</si>
  <si>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</si>
  <si>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</si>
  <si>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</si>
  <si>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</si>
  <si>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</si>
  <si>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</si>
  <si>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</si>
  <si>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</si>
  <si>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</si>
  <si>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</si>
  <si>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</si>
  <si>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</si>
  <si>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</si>
  <si>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</si>
  <si>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</si>
  <si>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</si>
  <si>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</si>
  <si>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</si>
  <si>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</si>
  <si>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</si>
  <si>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</si>
  <si>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</si>
  <si>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</si>
  <si>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</si>
  <si>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</si>
  <si>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</si>
  <si>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</si>
  <si>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</si>
  <si>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</si>
  <si>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</si>
  <si>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</si>
  <si>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</si>
  <si>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</si>
  <si>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</si>
  <si>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</si>
  <si>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</si>
  <si>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</si>
  <si>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</si>
  <si>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</si>
  <si>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</si>
  <si>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</si>
  <si>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</si>
  <si>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</si>
  <si>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</si>
  <si>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</si>
  <si>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</si>
  <si>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</si>
  <si>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</si>
  <si>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</si>
  <si>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</si>
  <si>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</si>
  <si>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</si>
  <si>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</si>
  <si>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</si>
  <si>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</si>
  <si>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</si>
  <si>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</si>
  <si>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</si>
  <si>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</si>
  <si>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</si>
  <si>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</si>
  <si>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</si>
  <si>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Date,28/03/2011</t>
  </si>
  <si>
    <r>
      <t>1-Z  .</t>
    </r>
    <r>
      <rPr>
        <b/>
        <u val="single"/>
        <sz val="14"/>
        <rFont val="Arial"/>
        <family val="2"/>
      </rPr>
      <t xml:space="preserve">ARBEN  PETTO </t>
    </r>
    <r>
      <rPr>
        <sz val="14"/>
        <rFont val="Arial"/>
        <family val="2"/>
      </rPr>
      <t xml:space="preserve"> perqindja e pjesmarrjes  </t>
    </r>
    <r>
      <rPr>
        <b/>
        <u val="single"/>
        <sz val="14"/>
        <rFont val="Arial"/>
        <family val="2"/>
      </rPr>
      <t>100 %</t>
    </r>
  </si>
  <si>
    <t xml:space="preserve">ka hartuar pasqyrat financiare te vitit 2010  komform standarteve kombetare </t>
  </si>
  <si>
    <t>Administratori I Shoqerise</t>
  </si>
  <si>
    <t xml:space="preserve">Arben Petto </t>
  </si>
  <si>
    <t>D E K L A R A T E</t>
  </si>
  <si>
    <r>
      <t xml:space="preserve">Z/    </t>
    </r>
    <r>
      <rPr>
        <u val="single"/>
        <sz val="14"/>
        <rFont val="Arial"/>
        <family val="2"/>
      </rPr>
      <t>ARBEN  PETTO</t>
    </r>
    <r>
      <rPr>
        <sz val="14"/>
        <rFont val="Arial"/>
        <family val="2"/>
      </rPr>
      <t xml:space="preserve">  dhe   aksionere  :</t>
    </r>
  </si>
  <si>
    <t>Hartuesi I pasqyrave  financiare  eshte :</t>
  </si>
  <si>
    <t>te kontabilitetit.</t>
  </si>
  <si>
    <t>kompjuterike,zyre,etj</t>
  </si>
  <si>
    <t>Arben Petto</t>
  </si>
  <si>
    <t>Albania Mobile Communications</t>
  </si>
  <si>
    <t>Te ndryshme dhe trajtime te pergjithshme</t>
  </si>
  <si>
    <t xml:space="preserve">Inventari   i   automjeteve  ne  pronesi   te  Subjektit </t>
  </si>
  <si>
    <t>rend</t>
  </si>
  <si>
    <t xml:space="preserve">Lloji   I   automjetit </t>
  </si>
  <si>
    <t>Kapaciteti</t>
  </si>
  <si>
    <t xml:space="preserve">Targa </t>
  </si>
  <si>
    <t xml:space="preserve">Vlera </t>
  </si>
  <si>
    <t>Per Drejtimin e Shoqerise</t>
  </si>
  <si>
    <t xml:space="preserve">I N V E N T A R I  i </t>
  </si>
  <si>
    <t xml:space="preserve">Mallrave </t>
  </si>
  <si>
    <t>31,12,2010</t>
  </si>
  <si>
    <t>Nr.</t>
  </si>
  <si>
    <t>Artikulli</t>
  </si>
  <si>
    <t>Nj / M</t>
  </si>
  <si>
    <t>Kosto</t>
  </si>
  <si>
    <t>Vlera</t>
  </si>
  <si>
    <t>Shuma</t>
  </si>
  <si>
    <t xml:space="preserve">Per Drejtimin e Shoqerise </t>
  </si>
  <si>
    <t>V.O.Kjo pasqyre do te plotesohet e vecante per</t>
  </si>
  <si>
    <t>Lenden e Pare ; Mallrat ; Produktin e Gateshem dhe Prodhimin ne Proces</t>
  </si>
  <si>
    <r>
      <t xml:space="preserve">Telefoni  </t>
    </r>
    <r>
      <rPr>
        <b/>
        <u val="single"/>
        <sz val="12"/>
        <rFont val="Arial"/>
        <family val="2"/>
      </rPr>
      <t>2248309</t>
    </r>
    <r>
      <rPr>
        <sz val="12"/>
        <rFont val="Arial"/>
        <family val="2"/>
      </rPr>
      <t xml:space="preserve"> </t>
    </r>
  </si>
  <si>
    <r>
      <t xml:space="preserve">Adresa Vep. </t>
    </r>
    <r>
      <rPr>
        <u val="single"/>
        <sz val="14"/>
        <rFont val="Arial"/>
        <family val="2"/>
      </rPr>
      <t xml:space="preserve"> Abdyl Frasheri,Pall I Ri Jeshil 2/2</t>
    </r>
  </si>
  <si>
    <t xml:space="preserve">Instituti Studimeve Projektimeve Pyjore, Shoqëri  me   përgjegjesi  të  kufizuar </t>
  </si>
  <si>
    <t>K 71627019 V</t>
  </si>
  <si>
    <t>23 Mars 2007</t>
  </si>
  <si>
    <t>Studime dhe projektime ne fushen e pyjeve zbatim I punimeve pyjore,</t>
  </si>
  <si>
    <t>ndertim zbatim etj.</t>
  </si>
  <si>
    <t xml:space="preserve">                 PASQYRAT         FINANCIARE</t>
  </si>
  <si>
    <t xml:space="preserve">                             (Në zbatim të Standartit Kombetar të Kontabilitetit nr.2                                                                            dhe ligjit Nr. 9228, datë 29.04.2004 "Për Kontabilitetin dhe Pasqyrat Financiare")</t>
  </si>
  <si>
    <t>Ushtrimi i Mbyllur 10</t>
  </si>
  <si>
    <t>Ushtrimi i Mbyllur 09</t>
  </si>
  <si>
    <t>Ushtrimi i Mbyllur 08</t>
  </si>
  <si>
    <t>Personeli dhe personat</t>
  </si>
  <si>
    <t xml:space="preserve"> Shoqeria  "I.S.P.P."    sh p k </t>
  </si>
  <si>
    <t xml:space="preserve"> Shoqeria  "I.S.P.P. "    sh p k </t>
  </si>
  <si>
    <t>KONTABILIST</t>
  </si>
  <si>
    <t>Al-Beton shpk</t>
  </si>
  <si>
    <t>Benimpex&amp;Co</t>
  </si>
  <si>
    <t>Bestra shpk</t>
  </si>
  <si>
    <t>City Park</t>
  </si>
  <si>
    <t>DSHP Kolonje</t>
  </si>
  <si>
    <t>DSHP Gjirokaster</t>
  </si>
  <si>
    <t>DSHP Kukes</t>
  </si>
  <si>
    <t>DSHP Korce</t>
  </si>
  <si>
    <t>EMXH</t>
  </si>
  <si>
    <t>Florina shpk</t>
  </si>
  <si>
    <t>Bi-Investments</t>
  </si>
  <si>
    <t xml:space="preserve">Kelti </t>
  </si>
  <si>
    <t>Komuna Qender Skrapar</t>
  </si>
  <si>
    <t>Salillari shpk</t>
  </si>
  <si>
    <t>Alpine Bau GMBH</t>
  </si>
  <si>
    <r>
      <t xml:space="preserve">Shoqeria </t>
    </r>
    <r>
      <rPr>
        <b/>
        <i/>
        <u val="single"/>
        <sz val="12"/>
        <rFont val="Arial"/>
        <family val="2"/>
      </rPr>
      <t>I.S.P.P shpk</t>
    </r>
  </si>
  <si>
    <r>
      <t xml:space="preserve">NIPTI </t>
    </r>
    <r>
      <rPr>
        <b/>
        <i/>
        <u val="single"/>
        <sz val="10"/>
        <rFont val="Arial"/>
        <family val="2"/>
      </rPr>
      <t>K71627019V</t>
    </r>
  </si>
  <si>
    <t>Subjekti  I.S.P.P. SHPK</t>
  </si>
  <si>
    <t>Aktiviteti   Studim, projektim ne fushen e pyjeve, ndertim</t>
  </si>
  <si>
    <r>
      <t xml:space="preserve">NIPT   </t>
    </r>
    <r>
      <rPr>
        <u val="single"/>
        <sz val="14"/>
        <rFont val="Arial"/>
        <family val="2"/>
      </rPr>
      <t>K71627019V</t>
    </r>
  </si>
  <si>
    <r>
      <t xml:space="preserve">Firma  </t>
    </r>
    <r>
      <rPr>
        <u val="single"/>
        <sz val="14"/>
        <rFont val="Arial"/>
        <family val="2"/>
      </rPr>
      <t>I.S.P.P shpk</t>
    </r>
  </si>
  <si>
    <t>SHOQERIA  I.S.P.P. shpk</t>
  </si>
  <si>
    <r>
      <t xml:space="preserve">NIPTI   </t>
    </r>
    <r>
      <rPr>
        <b/>
        <u val="single"/>
        <sz val="14"/>
        <rFont val="Arial"/>
        <family val="2"/>
      </rPr>
      <t>K71627019 V</t>
    </r>
  </si>
  <si>
    <r>
      <t xml:space="preserve">Deklaroj se Shoqeria   </t>
    </r>
    <r>
      <rPr>
        <u val="single"/>
        <sz val="14"/>
        <rFont val="Arial"/>
        <family val="2"/>
      </rPr>
      <t xml:space="preserve">I.S.P.P. shpk </t>
    </r>
    <r>
      <rPr>
        <sz val="14"/>
        <rFont val="Arial"/>
        <family val="2"/>
      </rPr>
      <t xml:space="preserve"> me NIPT   </t>
    </r>
    <r>
      <rPr>
        <u val="single"/>
        <sz val="14"/>
        <rFont val="Arial"/>
        <family val="2"/>
      </rPr>
      <t>K71627019V</t>
    </r>
    <r>
      <rPr>
        <sz val="14"/>
        <rFont val="Arial"/>
        <family val="2"/>
      </rPr>
      <t xml:space="preserve">  me administrator</t>
    </r>
  </si>
  <si>
    <t>Z/.Enea QERAMA      (ekonomist I punesuar prane shoqerise)/</t>
  </si>
  <si>
    <r>
      <t xml:space="preserve">Shoqeria </t>
    </r>
    <r>
      <rPr>
        <b/>
        <i/>
        <u val="single"/>
        <sz val="12"/>
        <rFont val="Arial"/>
        <family val="2"/>
      </rPr>
      <t>I.S.P.P. SHPK</t>
    </r>
  </si>
  <si>
    <t>ALB - Impex sha</t>
  </si>
  <si>
    <t>Autovizion</t>
  </si>
  <si>
    <t>Bolena</t>
  </si>
  <si>
    <t>Bozo &amp; Associates</t>
  </si>
  <si>
    <t>Nushi shpk</t>
  </si>
  <si>
    <t>Ital - Lubrificanti</t>
  </si>
  <si>
    <t>Europetrol 2005</t>
  </si>
  <si>
    <t>Vil Oil sha</t>
  </si>
  <si>
    <t>GPG</t>
  </si>
  <si>
    <t>Flabens Oil</t>
  </si>
  <si>
    <t>Marinela shpk</t>
  </si>
  <si>
    <t>TOT Trading shpk</t>
  </si>
  <si>
    <t>Uzina Mekanike Elbasan</t>
  </si>
  <si>
    <t>BenIpex &amp; Co</t>
  </si>
  <si>
    <t>Atlantis</t>
  </si>
  <si>
    <t>Raiffaisen Leasing</t>
  </si>
  <si>
    <t>Te tjera kerkesa ( tvsh ) tat fit. Dogane</t>
  </si>
  <si>
    <t>Per periudhen: 01/01/2010deri:31/12/2010</t>
  </si>
  <si>
    <t>Kamion Iveco</t>
  </si>
  <si>
    <t>18t</t>
  </si>
  <si>
    <t>TR5921S</t>
  </si>
  <si>
    <t>3 rula te medhenj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</si>
</sst>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);\-#,##0.00"/>
    <numFmt numFmtId="183" formatCode="_(* #,##0_);_(* \(#,##0\);_(* &quot;-&quot;??_);_(@_)"/>
    <numFmt numFmtId="184" formatCode="#,##0.0_);\(#,##0.0\)"/>
    <numFmt numFmtId="185" formatCode="dd/mm/yyyy"/>
    <numFmt numFmtId="186" formatCode="dd/\ mm/\ yyyy"/>
    <numFmt numFmtId="187" formatCode="#,##0.00000000"/>
    <numFmt numFmtId="188" formatCode="#,##0.000000000_);\(#,##0.000000000\)"/>
    <numFmt numFmtId="189" formatCode="_(* #,##0.000_);_(* \(#,##0.000\);_(* &quot;-&quot;??_);_(@_)"/>
    <numFmt numFmtId="190" formatCode="_(* #,##0.0_);_(* \(#,##0.0\);_(* &quot;-&quot;??_);_(@_)"/>
    <numFmt numFmtId="191" formatCode="0.00_);\(0.00\)"/>
    <numFmt numFmtId="192" formatCode="0.0"/>
    <numFmt numFmtId="193" formatCode="#,##0.00_ ;\-#,##0.00\ "/>
    <numFmt numFmtId="194" formatCode="0.000000000"/>
    <numFmt numFmtId="195" formatCode="0.0000000000"/>
    <numFmt numFmtId="196" formatCode="&quot; &quot;#,##0&quot; &quot;;\(#,##0\)"/>
    <numFmt numFmtId="197" formatCode="_-* #,##0\ _€_-;\-* #,##0\ _€_-;_-* &quot;-&quot;??\ _€_-;_-@_-"/>
    <numFmt numFmtId="198" formatCode="_-* #,##0.00\ _€_-;\-* #,##0.00\ _€_-;_-* &quot;-&quot;??\ _€_-;_-@_-"/>
  </numFmts>
  <fonts count="109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3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Garamond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11.05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sz val="1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sz val="10"/>
      <color indexed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 val="single"/>
      <sz val="16"/>
      <name val="Times New Roman"/>
      <family val="1"/>
    </font>
    <font>
      <b/>
      <sz val="8"/>
      <name val="Times New Roman"/>
      <family val="1"/>
    </font>
    <font>
      <sz val="12"/>
      <color indexed="8"/>
      <name val="Arial Narrow"/>
      <family val="2"/>
    </font>
    <font>
      <b/>
      <sz val="20"/>
      <color indexed="8"/>
      <name val="Arial Narrow"/>
      <family val="2"/>
    </font>
    <font>
      <b/>
      <i/>
      <sz val="13.45"/>
      <color indexed="8"/>
      <name val="Times New Roman"/>
      <family val="0"/>
    </font>
    <font>
      <b/>
      <i/>
      <sz val="10.7"/>
      <color indexed="8"/>
      <name val="Times New Roman"/>
      <family val="0"/>
    </font>
    <font>
      <b/>
      <i/>
      <sz val="12.6"/>
      <color indexed="8"/>
      <name val="Arial"/>
      <family val="0"/>
    </font>
    <font>
      <sz val="9.85"/>
      <color indexed="8"/>
      <name val="Times New Roman"/>
      <family val="0"/>
    </font>
    <font>
      <b/>
      <i/>
      <sz val="8.9"/>
      <color indexed="8"/>
      <name val="Arial"/>
      <family val="0"/>
    </font>
    <font>
      <b/>
      <i/>
      <sz val="9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medium"/>
      <right style="medium"/>
      <top style="thin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hair"/>
    </border>
    <border>
      <left/>
      <right style="medium"/>
      <top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>
        <color indexed="63"/>
      </right>
      <top/>
      <bottom style="hair"/>
    </border>
    <border>
      <left style="thin"/>
      <right style="medium"/>
      <top/>
      <bottom style="hair"/>
    </border>
    <border>
      <left style="medium"/>
      <right style="medium"/>
      <top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30" borderId="1" applyNumberFormat="0" applyAlignment="0" applyProtection="0"/>
    <xf numFmtId="0" fontId="103" fillId="0" borderId="6" applyNumberFormat="0" applyFill="0" applyAlignment="0" applyProtection="0"/>
    <xf numFmtId="0" fontId="104" fillId="31" borderId="0" applyNumberFormat="0" applyBorder="0" applyAlignment="0" applyProtection="0"/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105" fillId="27" borderId="8" applyNumberFormat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6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justify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3" fontId="1" fillId="0" borderId="0" xfId="42" applyFont="1" applyAlignment="1">
      <alignment/>
    </xf>
    <xf numFmtId="43" fontId="1" fillId="0" borderId="10" xfId="42" applyFont="1" applyBorder="1" applyAlignment="1">
      <alignment/>
    </xf>
    <xf numFmtId="43" fontId="1" fillId="0" borderId="0" xfId="42" applyFont="1" applyBorder="1" applyAlignment="1">
      <alignment/>
    </xf>
    <xf numFmtId="0" fontId="4" fillId="0" borderId="0" xfId="0" applyFont="1" applyAlignment="1">
      <alignment/>
    </xf>
    <xf numFmtId="43" fontId="7" fillId="0" borderId="0" xfId="42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40" fontId="1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39" fontId="7" fillId="0" borderId="0" xfId="0" applyNumberFormat="1" applyFont="1" applyAlignment="1">
      <alignment/>
    </xf>
    <xf numFmtId="43" fontId="7" fillId="0" borderId="0" xfId="42" applyFont="1" applyAlignment="1">
      <alignment/>
    </xf>
    <xf numFmtId="43" fontId="3" fillId="0" borderId="11" xfId="42" applyFont="1" applyBorder="1" applyAlignment="1">
      <alignment horizontal="center"/>
    </xf>
    <xf numFmtId="43" fontId="7" fillId="0" borderId="0" xfId="0" applyNumberFormat="1" applyFont="1" applyAlignment="1">
      <alignment/>
    </xf>
    <xf numFmtId="40" fontId="7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7" fillId="0" borderId="0" xfId="0" applyNumberFormat="1" applyFont="1" applyFill="1" applyAlignment="1">
      <alignment/>
    </xf>
    <xf numFmtId="39" fontId="10" fillId="0" borderId="0" xfId="0" applyNumberFormat="1" applyFont="1" applyAlignment="1">
      <alignment/>
    </xf>
    <xf numFmtId="39" fontId="8" fillId="0" borderId="0" xfId="0" applyNumberFormat="1" applyFont="1" applyAlignment="1">
      <alignment horizontal="center"/>
    </xf>
    <xf numFmtId="39" fontId="10" fillId="0" borderId="0" xfId="0" applyNumberFormat="1" applyFont="1" applyAlignment="1">
      <alignment horizontal="center"/>
    </xf>
    <xf numFmtId="39" fontId="11" fillId="0" borderId="0" xfId="0" applyNumberFormat="1" applyFont="1" applyAlignment="1">
      <alignment/>
    </xf>
    <xf numFmtId="43" fontId="1" fillId="0" borderId="0" xfId="42" applyFont="1" applyFill="1" applyAlignment="1">
      <alignment/>
    </xf>
    <xf numFmtId="0" fontId="1" fillId="0" borderId="0" xfId="0" applyFont="1" applyFill="1" applyAlignment="1">
      <alignment/>
    </xf>
    <xf numFmtId="4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9" fontId="7" fillId="0" borderId="0" xfId="0" applyNumberFormat="1" applyFont="1" applyFill="1" applyAlignment="1">
      <alignment/>
    </xf>
    <xf numFmtId="0" fontId="0" fillId="0" borderId="0" xfId="0" applyNumberFormat="1" applyFill="1" applyBorder="1" applyAlignment="1" applyProtection="1">
      <alignment/>
      <protection/>
    </xf>
    <xf numFmtId="182" fontId="13" fillId="0" borderId="0" xfId="0" applyNumberFormat="1" applyFont="1" applyFill="1" applyAlignment="1">
      <alignment horizontal="right" vertical="center"/>
    </xf>
    <xf numFmtId="43" fontId="11" fillId="0" borderId="0" xfId="0" applyNumberFormat="1" applyFont="1" applyAlignment="1">
      <alignment/>
    </xf>
    <xf numFmtId="43" fontId="11" fillId="0" borderId="0" xfId="42" applyFont="1" applyAlignment="1">
      <alignment/>
    </xf>
    <xf numFmtId="182" fontId="14" fillId="0" borderId="0" xfId="0" applyNumberFormat="1" applyFont="1" applyFill="1" applyAlignment="1">
      <alignment horizontal="right" vertical="center"/>
    </xf>
    <xf numFmtId="0" fontId="15" fillId="0" borderId="0" xfId="0" applyFont="1" applyAlignment="1">
      <alignment/>
    </xf>
    <xf numFmtId="43" fontId="11" fillId="0" borderId="0" xfId="42" applyFont="1" applyBorder="1" applyAlignment="1">
      <alignment/>
    </xf>
    <xf numFmtId="182" fontId="18" fillId="0" borderId="0" xfId="0" applyNumberFormat="1" applyFont="1" applyFill="1" applyAlignment="1">
      <alignment horizontal="right" vertical="center"/>
    </xf>
    <xf numFmtId="182" fontId="17" fillId="0" borderId="0" xfId="0" applyNumberFormat="1" applyFont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185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82" fontId="13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182" fontId="21" fillId="0" borderId="0" xfId="0" applyNumberFormat="1" applyFont="1" applyFill="1" applyAlignment="1">
      <alignment horizontal="right" vertical="center"/>
    </xf>
    <xf numFmtId="43" fontId="1" fillId="0" borderId="0" xfId="0" applyNumberFormat="1" applyFont="1" applyFill="1" applyAlignment="1">
      <alignment/>
    </xf>
    <xf numFmtId="0" fontId="12" fillId="0" borderId="0" xfId="61" applyNumberFormat="1" applyFill="1" applyBorder="1" applyAlignment="1" applyProtection="1">
      <alignment/>
      <protection/>
    </xf>
    <xf numFmtId="0" fontId="12" fillId="0" borderId="0" xfId="59" applyNumberFormat="1" applyFill="1" applyBorder="1" applyAlignment="1" applyProtection="1">
      <alignment/>
      <protection/>
    </xf>
    <xf numFmtId="0" fontId="12" fillId="33" borderId="0" xfId="61" applyNumberFormat="1" applyFill="1" applyBorder="1" applyAlignment="1" applyProtection="1">
      <alignment/>
      <protection/>
    </xf>
    <xf numFmtId="43" fontId="7" fillId="34" borderId="0" xfId="42" applyFont="1" applyFill="1" applyAlignment="1">
      <alignment/>
    </xf>
    <xf numFmtId="0" fontId="22" fillId="0" borderId="0" xfId="0" applyFont="1" applyAlignment="1">
      <alignment/>
    </xf>
    <xf numFmtId="39" fontId="10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39" fontId="22" fillId="0" borderId="0" xfId="0" applyNumberFormat="1" applyFont="1" applyAlignment="1">
      <alignment/>
    </xf>
    <xf numFmtId="0" fontId="7" fillId="34" borderId="0" xfId="0" applyFont="1" applyFill="1" applyAlignment="1">
      <alignment/>
    </xf>
    <xf numFmtId="39" fontId="8" fillId="34" borderId="12" xfId="0" applyNumberFormat="1" applyFont="1" applyFill="1" applyBorder="1" applyAlignment="1">
      <alignment horizontal="center"/>
    </xf>
    <xf numFmtId="39" fontId="7" fillId="34" borderId="0" xfId="0" applyNumberFormat="1" applyFont="1" applyFill="1" applyAlignment="1">
      <alignment/>
    </xf>
    <xf numFmtId="43" fontId="1" fillId="34" borderId="0" xfId="42" applyFont="1" applyFill="1" applyAlignment="1">
      <alignment/>
    </xf>
    <xf numFmtId="0" fontId="10" fillId="34" borderId="0" xfId="0" applyFont="1" applyFill="1" applyAlignment="1">
      <alignment horizontal="center"/>
    </xf>
    <xf numFmtId="43" fontId="7" fillId="34" borderId="10" xfId="42" applyFont="1" applyFill="1" applyBorder="1" applyAlignment="1">
      <alignment/>
    </xf>
    <xf numFmtId="182" fontId="16" fillId="34" borderId="0" xfId="0" applyNumberFormat="1" applyFont="1" applyFill="1" applyAlignment="1">
      <alignment horizontal="right" vertical="center"/>
    </xf>
    <xf numFmtId="0" fontId="7" fillId="34" borderId="0" xfId="0" applyFont="1" applyFill="1" applyAlignment="1">
      <alignment horizontal="center"/>
    </xf>
    <xf numFmtId="39" fontId="7" fillId="34" borderId="0" xfId="0" applyNumberFormat="1" applyFont="1" applyFill="1" applyAlignment="1">
      <alignment horizontal="center"/>
    </xf>
    <xf numFmtId="0" fontId="7" fillId="34" borderId="0" xfId="0" applyFont="1" applyFill="1" applyAlignment="1">
      <alignment horizontal="left"/>
    </xf>
    <xf numFmtId="43" fontId="7" fillId="34" borderId="0" xfId="42" applyFont="1" applyFill="1" applyAlignment="1">
      <alignment horizontal="right"/>
    </xf>
    <xf numFmtId="43" fontId="7" fillId="34" borderId="10" xfId="42" applyFont="1" applyFill="1" applyBorder="1" applyAlignment="1">
      <alignment horizontal="center"/>
    </xf>
    <xf numFmtId="43" fontId="7" fillId="34" borderId="0" xfId="42" applyFont="1" applyFill="1" applyAlignment="1">
      <alignment horizontal="center"/>
    </xf>
    <xf numFmtId="39" fontId="7" fillId="34" borderId="0" xfId="42" applyNumberFormat="1" applyFont="1" applyFill="1" applyAlignment="1">
      <alignment/>
    </xf>
    <xf numFmtId="0" fontId="13" fillId="34" borderId="0" xfId="0" applyFont="1" applyFill="1" applyAlignment="1">
      <alignment vertical="center"/>
    </xf>
    <xf numFmtId="39" fontId="10" fillId="34" borderId="0" xfId="0" applyNumberFormat="1" applyFont="1" applyFill="1" applyAlignment="1">
      <alignment horizontal="center"/>
    </xf>
    <xf numFmtId="39" fontId="10" fillId="34" borderId="10" xfId="0" applyNumberFormat="1" applyFont="1" applyFill="1" applyBorder="1" applyAlignment="1">
      <alignment/>
    </xf>
    <xf numFmtId="39" fontId="10" fillId="34" borderId="0" xfId="0" applyNumberFormat="1" applyFont="1" applyFill="1" applyAlignment="1">
      <alignment/>
    </xf>
    <xf numFmtId="43" fontId="7" fillId="34" borderId="0" xfId="0" applyNumberFormat="1" applyFont="1" applyFill="1" applyAlignment="1">
      <alignment/>
    </xf>
    <xf numFmtId="43" fontId="7" fillId="34" borderId="0" xfId="42" applyNumberFormat="1" applyFont="1" applyFill="1" applyAlignment="1">
      <alignment horizontal="right"/>
    </xf>
    <xf numFmtId="39" fontId="8" fillId="34" borderId="11" xfId="0" applyNumberFormat="1" applyFont="1" applyFill="1" applyBorder="1" applyAlignment="1">
      <alignment horizontal="center"/>
    </xf>
    <xf numFmtId="39" fontId="11" fillId="34" borderId="0" xfId="0" applyNumberFormat="1" applyFont="1" applyFill="1" applyAlignment="1">
      <alignment horizontal="center"/>
    </xf>
    <xf numFmtId="43" fontId="7" fillId="34" borderId="0" xfId="42" applyNumberFormat="1" applyFont="1" applyFill="1" applyAlignment="1">
      <alignment/>
    </xf>
    <xf numFmtId="43" fontId="11" fillId="34" borderId="0" xfId="42" applyNumberFormat="1" applyFont="1" applyFill="1" applyAlignment="1">
      <alignment horizontal="right"/>
    </xf>
    <xf numFmtId="39" fontId="22" fillId="34" borderId="0" xfId="0" applyNumberFormat="1" applyFont="1" applyFill="1" applyAlignment="1">
      <alignment/>
    </xf>
    <xf numFmtId="43" fontId="3" fillId="0" borderId="11" xfId="42" applyFont="1" applyBorder="1" applyAlignment="1">
      <alignment horizontal="center" wrapText="1"/>
    </xf>
    <xf numFmtId="43" fontId="7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43" fontId="10" fillId="0" borderId="0" xfId="0" applyNumberFormat="1" applyFont="1" applyFill="1" applyAlignment="1">
      <alignment horizontal="center"/>
    </xf>
    <xf numFmtId="2" fontId="12" fillId="0" borderId="0" xfId="61" applyNumberForma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wrapText="1"/>
      <protection/>
    </xf>
    <xf numFmtId="3" fontId="1" fillId="0" borderId="1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2" fontId="0" fillId="34" borderId="0" xfId="0" applyNumberFormat="1" applyFill="1" applyAlignment="1">
      <alignment/>
    </xf>
    <xf numFmtId="37" fontId="10" fillId="34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3" fontId="0" fillId="34" borderId="0" xfId="0" applyNumberFormat="1" applyFill="1" applyAlignment="1">
      <alignment/>
    </xf>
    <xf numFmtId="0" fontId="27" fillId="0" borderId="14" xfId="0" applyFont="1" applyBorder="1" applyAlignment="1">
      <alignment/>
    </xf>
    <xf numFmtId="0" fontId="26" fillId="0" borderId="0" xfId="0" applyFont="1" applyAlignment="1">
      <alignment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8" fillId="0" borderId="14" xfId="0" applyFont="1" applyBorder="1" applyAlignment="1">
      <alignment/>
    </xf>
    <xf numFmtId="0" fontId="27" fillId="0" borderId="0" xfId="0" applyFont="1" applyBorder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0" fontId="27" fillId="0" borderId="18" xfId="0" applyFont="1" applyBorder="1" applyAlignment="1">
      <alignment horizontal="left"/>
    </xf>
    <xf numFmtId="0" fontId="27" fillId="0" borderId="19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0" xfId="0" applyFont="1" applyAlignment="1">
      <alignment/>
    </xf>
    <xf numFmtId="0" fontId="32" fillId="0" borderId="0" xfId="0" applyFont="1" applyBorder="1" applyAlignment="1">
      <alignment horizontal="left"/>
    </xf>
    <xf numFmtId="182" fontId="12" fillId="0" borderId="0" xfId="61" applyNumberFormat="1" applyFill="1" applyBorder="1" applyAlignment="1" applyProtection="1">
      <alignment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Fill="1" applyBorder="1" applyAlignment="1">
      <alignment horizontal="center" wrapText="1"/>
    </xf>
    <xf numFmtId="43" fontId="33" fillId="0" borderId="0" xfId="42" applyFont="1" applyFill="1" applyAlignment="1">
      <alignment/>
    </xf>
    <xf numFmtId="43" fontId="35" fillId="0" borderId="0" xfId="42" applyFont="1" applyFill="1" applyAlignment="1">
      <alignment horizontal="right" vertical="center"/>
    </xf>
    <xf numFmtId="43" fontId="33" fillId="0" borderId="0" xfId="0" applyNumberFormat="1" applyFont="1" applyFill="1" applyAlignment="1">
      <alignment/>
    </xf>
    <xf numFmtId="43" fontId="33" fillId="0" borderId="21" xfId="42" applyFont="1" applyFill="1" applyBorder="1" applyAlignment="1">
      <alignment/>
    </xf>
    <xf numFmtId="182" fontId="35" fillId="0" borderId="0" xfId="0" applyNumberFormat="1" applyFont="1" applyFill="1" applyAlignment="1">
      <alignment horizontal="right" vertical="center"/>
    </xf>
    <xf numFmtId="40" fontId="33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43" fontId="33" fillId="0" borderId="10" xfId="42" applyFont="1" applyFill="1" applyBorder="1" applyAlignment="1">
      <alignment/>
    </xf>
    <xf numFmtId="43" fontId="15" fillId="0" borderId="0" xfId="42" applyFont="1" applyFill="1" applyAlignment="1">
      <alignment/>
    </xf>
    <xf numFmtId="39" fontId="33" fillId="0" borderId="10" xfId="42" applyNumberFormat="1" applyFont="1" applyFill="1" applyBorder="1" applyAlignment="1">
      <alignment/>
    </xf>
    <xf numFmtId="43" fontId="33" fillId="0" borderId="0" xfId="0" applyNumberFormat="1" applyFont="1" applyAlignment="1">
      <alignment/>
    </xf>
    <xf numFmtId="43" fontId="33" fillId="0" borderId="0" xfId="42" applyFont="1" applyFill="1" applyBorder="1" applyAlignment="1">
      <alignment/>
    </xf>
    <xf numFmtId="0" fontId="15" fillId="0" borderId="0" xfId="0" applyFont="1" applyFill="1" applyAlignment="1">
      <alignment/>
    </xf>
    <xf numFmtId="43" fontId="15" fillId="0" borderId="0" xfId="0" applyNumberFormat="1" applyFont="1" applyFill="1" applyAlignment="1">
      <alignment horizontal="center"/>
    </xf>
    <xf numFmtId="43" fontId="33" fillId="0" borderId="0" xfId="0" applyNumberFormat="1" applyFont="1" applyFill="1" applyAlignment="1">
      <alignment horizontal="center"/>
    </xf>
    <xf numFmtId="0" fontId="33" fillId="0" borderId="0" xfId="0" applyFont="1" applyFill="1" applyBorder="1" applyAlignment="1">
      <alignment/>
    </xf>
    <xf numFmtId="39" fontId="33" fillId="0" borderId="0" xfId="0" applyNumberFormat="1" applyFont="1" applyFill="1" applyAlignment="1">
      <alignment/>
    </xf>
    <xf numFmtId="4" fontId="33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0" fontId="34" fillId="0" borderId="0" xfId="0" applyFont="1" applyBorder="1" applyAlignment="1">
      <alignment/>
    </xf>
    <xf numFmtId="39" fontId="33" fillId="0" borderId="0" xfId="0" applyNumberFormat="1" applyFont="1" applyFill="1" applyBorder="1" applyAlignment="1">
      <alignment/>
    </xf>
    <xf numFmtId="4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left" wrapText="1"/>
    </xf>
    <xf numFmtId="39" fontId="33" fillId="0" borderId="0" xfId="0" applyNumberFormat="1" applyFont="1" applyFill="1" applyBorder="1" applyAlignment="1">
      <alignment horizontal="left" wrapText="1"/>
    </xf>
    <xf numFmtId="39" fontId="15" fillId="0" borderId="11" xfId="0" applyNumberFormat="1" applyFont="1" applyFill="1" applyBorder="1" applyAlignment="1">
      <alignment horizontal="center" wrapText="1"/>
    </xf>
    <xf numFmtId="39" fontId="33" fillId="0" borderId="0" xfId="0" applyNumberFormat="1" applyFont="1" applyFill="1" applyBorder="1" applyAlignment="1">
      <alignment horizontal="right" wrapText="1"/>
    </xf>
    <xf numFmtId="0" fontId="33" fillId="0" borderId="0" xfId="0" applyFont="1" applyAlignment="1">
      <alignment horizontal="left" vertical="justify"/>
    </xf>
    <xf numFmtId="4" fontId="33" fillId="0" borderId="0" xfId="0" applyNumberFormat="1" applyFont="1" applyFill="1" applyBorder="1" applyAlignment="1">
      <alignment/>
    </xf>
    <xf numFmtId="4" fontId="33" fillId="0" borderId="0" xfId="0" applyNumberFormat="1" applyFont="1" applyBorder="1" applyAlignment="1">
      <alignment horizontal="left" wrapText="1"/>
    </xf>
    <xf numFmtId="4" fontId="33" fillId="0" borderId="0" xfId="0" applyNumberFormat="1" applyFont="1" applyFill="1" applyBorder="1" applyAlignment="1">
      <alignment horizontal="right" wrapText="1"/>
    </xf>
    <xf numFmtId="39" fontId="33" fillId="0" borderId="12" xfId="0" applyNumberFormat="1" applyFont="1" applyFill="1" applyBorder="1" applyAlignment="1">
      <alignment horizontal="right" wrapText="1"/>
    </xf>
    <xf numFmtId="4" fontId="33" fillId="0" borderId="0" xfId="0" applyNumberFormat="1" applyFont="1" applyBorder="1" applyAlignment="1">
      <alignment horizontal="right" wrapText="1"/>
    </xf>
    <xf numFmtId="39" fontId="33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39" fontId="33" fillId="0" borderId="12" xfId="0" applyNumberFormat="1" applyFont="1" applyFill="1" applyBorder="1" applyAlignment="1">
      <alignment/>
    </xf>
    <xf numFmtId="43" fontId="33" fillId="0" borderId="0" xfId="42" applyFont="1" applyFill="1" applyBorder="1" applyAlignment="1">
      <alignment horizontal="center" wrapText="1"/>
    </xf>
    <xf numFmtId="43" fontId="33" fillId="0" borderId="0" xfId="0" applyNumberFormat="1" applyFont="1" applyFill="1" applyBorder="1" applyAlignment="1">
      <alignment/>
    </xf>
    <xf numFmtId="39" fontId="33" fillId="0" borderId="21" xfId="0" applyNumberFormat="1" applyFont="1" applyFill="1" applyBorder="1" applyAlignment="1">
      <alignment horizontal="right" wrapText="1"/>
    </xf>
    <xf numFmtId="39" fontId="15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Border="1" applyAlignment="1">
      <alignment horizontal="left" wrapText="1"/>
    </xf>
    <xf numFmtId="39" fontId="15" fillId="0" borderId="0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/>
    </xf>
    <xf numFmtId="0" fontId="24" fillId="0" borderId="22" xfId="0" applyNumberFormat="1" applyFont="1" applyFill="1" applyBorder="1" applyAlignment="1" applyProtection="1">
      <alignment horizontal="center" vertical="center" wrapText="1"/>
      <protection/>
    </xf>
    <xf numFmtId="3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24" fillId="0" borderId="24" xfId="0" applyNumberFormat="1" applyFont="1" applyFill="1" applyBorder="1" applyAlignment="1" applyProtection="1">
      <alignment horizontal="center" vertical="center" wrapText="1"/>
      <protection/>
    </xf>
    <xf numFmtId="3" fontId="1" fillId="0" borderId="25" xfId="0" applyNumberFormat="1" applyFont="1" applyFill="1" applyBorder="1" applyAlignment="1" applyProtection="1">
      <alignment/>
      <protection/>
    </xf>
    <xf numFmtId="3" fontId="3" fillId="0" borderId="25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 wrapText="1"/>
      <protection/>
    </xf>
    <xf numFmtId="3" fontId="1" fillId="0" borderId="23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/>
      <protection/>
    </xf>
    <xf numFmtId="3" fontId="1" fillId="0" borderId="26" xfId="0" applyNumberFormat="1" applyFont="1" applyFill="1" applyBorder="1" applyAlignment="1" applyProtection="1">
      <alignment/>
      <protection/>
    </xf>
    <xf numFmtId="0" fontId="24" fillId="0" borderId="27" xfId="0" applyNumberFormat="1" applyFont="1" applyFill="1" applyBorder="1" applyAlignment="1" applyProtection="1">
      <alignment wrapText="1"/>
      <protection/>
    </xf>
    <xf numFmtId="3" fontId="1" fillId="0" borderId="28" xfId="0" applyNumberFormat="1" applyFont="1" applyFill="1" applyBorder="1" applyAlignment="1" applyProtection="1">
      <alignment/>
      <protection/>
    </xf>
    <xf numFmtId="3" fontId="1" fillId="0" borderId="29" xfId="0" applyNumberFormat="1" applyFont="1" applyFill="1" applyBorder="1" applyAlignment="1" applyProtection="1">
      <alignment/>
      <protection/>
    </xf>
    <xf numFmtId="3" fontId="3" fillId="0" borderId="3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9" fontId="8" fillId="0" borderId="0" xfId="0" applyNumberFormat="1" applyFont="1" applyFill="1" applyBorder="1" applyAlignment="1">
      <alignment horizontal="center"/>
    </xf>
    <xf numFmtId="43" fontId="7" fillId="0" borderId="0" xfId="42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96" fontId="3" fillId="0" borderId="31" xfId="63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1" fillId="0" borderId="0" xfId="63" applyFont="1" applyBorder="1" applyAlignment="1">
      <alignment horizontal="left"/>
      <protection/>
    </xf>
    <xf numFmtId="0" fontId="38" fillId="0" borderId="0" xfId="0" applyFont="1" applyAlignment="1">
      <alignment/>
    </xf>
    <xf numFmtId="0" fontId="1" fillId="0" borderId="0" xfId="63" applyFont="1" applyBorder="1">
      <alignment/>
      <protection/>
    </xf>
    <xf numFmtId="196" fontId="3" fillId="0" borderId="0" xfId="62" applyNumberFormat="1" applyFont="1" applyFill="1" applyBorder="1" applyAlignment="1">
      <alignment horizontal="center" vertical="center"/>
      <protection/>
    </xf>
    <xf numFmtId="196" fontId="3" fillId="0" borderId="32" xfId="62" applyNumberFormat="1" applyFont="1" applyFill="1" applyBorder="1" applyAlignment="1">
      <alignment horizontal="center" vertical="center"/>
      <protection/>
    </xf>
    <xf numFmtId="0" fontId="39" fillId="0" borderId="33" xfId="0" applyNumberFormat="1" applyFont="1" applyFill="1" applyBorder="1" applyAlignment="1" applyProtection="1">
      <alignment/>
      <protection/>
    </xf>
    <xf numFmtId="196" fontId="1" fillId="0" borderId="0" xfId="62" applyNumberFormat="1" applyFont="1" applyFill="1" applyBorder="1" applyAlignment="1" applyProtection="1">
      <alignment horizontal="center" vertical="center"/>
      <protection/>
    </xf>
    <xf numFmtId="196" fontId="3" fillId="0" borderId="34" xfId="63" applyNumberFormat="1" applyFont="1" applyFill="1" applyBorder="1" applyAlignment="1" applyProtection="1">
      <alignment horizontal="center" vertical="center"/>
      <protection locked="0"/>
    </xf>
    <xf numFmtId="196" fontId="3" fillId="0" borderId="35" xfId="63" applyNumberFormat="1" applyFont="1" applyFill="1" applyBorder="1" applyAlignment="1" applyProtection="1">
      <alignment horizontal="center" vertical="center"/>
      <protection locked="0"/>
    </xf>
    <xf numFmtId="196" fontId="3" fillId="0" borderId="35" xfId="63" applyNumberFormat="1" applyFont="1" applyFill="1" applyBorder="1" applyAlignment="1" applyProtection="1">
      <alignment horizontal="center" vertical="center" wrapText="1"/>
      <protection locked="0"/>
    </xf>
    <xf numFmtId="196" fontId="3" fillId="0" borderId="36" xfId="63" applyNumberFormat="1" applyFont="1" applyFill="1" applyBorder="1" applyAlignment="1" applyProtection="1">
      <alignment horizontal="center" vertical="center" wrapText="1"/>
      <protection locked="0"/>
    </xf>
    <xf numFmtId="196" fontId="3" fillId="0" borderId="31" xfId="62" applyNumberFormat="1" applyFont="1" applyFill="1" applyBorder="1" applyAlignment="1" applyProtection="1">
      <alignment horizontal="center" vertical="center"/>
      <protection locked="0"/>
    </xf>
    <xf numFmtId="196" fontId="3" fillId="0" borderId="0" xfId="62" applyNumberFormat="1" applyFont="1" applyFill="1" applyBorder="1" applyAlignment="1" applyProtection="1">
      <alignment horizontal="center" vertical="center"/>
      <protection locked="0"/>
    </xf>
    <xf numFmtId="0" fontId="1" fillId="0" borderId="0" xfId="63" applyFont="1" applyBorder="1" applyAlignment="1">
      <alignment horizontal="center" vertical="center"/>
      <protection/>
    </xf>
    <xf numFmtId="0" fontId="39" fillId="0" borderId="37" xfId="0" applyNumberFormat="1" applyFont="1" applyFill="1" applyBorder="1" applyAlignment="1" applyProtection="1">
      <alignment/>
      <protection/>
    </xf>
    <xf numFmtId="0" fontId="39" fillId="0" borderId="38" xfId="0" applyNumberFormat="1" applyFont="1" applyFill="1" applyBorder="1" applyAlignment="1" applyProtection="1">
      <alignment/>
      <protection/>
    </xf>
    <xf numFmtId="0" fontId="39" fillId="0" borderId="39" xfId="0" applyNumberFormat="1" applyFont="1" applyFill="1" applyBorder="1" applyAlignment="1" applyProtection="1">
      <alignment/>
      <protection/>
    </xf>
    <xf numFmtId="0" fontId="39" fillId="0" borderId="40" xfId="0" applyNumberFormat="1" applyFont="1" applyFill="1" applyBorder="1" applyAlignment="1" applyProtection="1">
      <alignment/>
      <protection/>
    </xf>
    <xf numFmtId="0" fontId="39" fillId="0" borderId="41" xfId="0" applyNumberFormat="1" applyFont="1" applyFill="1" applyBorder="1" applyAlignment="1" applyProtection="1">
      <alignment/>
      <protection/>
    </xf>
    <xf numFmtId="196" fontId="3" fillId="0" borderId="0" xfId="63" applyNumberFormat="1" applyFont="1" applyFill="1" applyBorder="1" applyAlignment="1" applyProtection="1">
      <alignment horizontal="center" vertical="center"/>
      <protection locked="0"/>
    </xf>
    <xf numFmtId="196" fontId="3" fillId="0" borderId="0" xfId="63" applyNumberFormat="1" applyFont="1" applyFill="1" applyBorder="1" applyAlignment="1" applyProtection="1">
      <alignment horizontal="center" vertical="center" wrapText="1"/>
      <protection locked="0"/>
    </xf>
    <xf numFmtId="196" fontId="40" fillId="0" borderId="0" xfId="62" applyNumberFormat="1" applyFont="1" applyBorder="1" applyAlignment="1" applyProtection="1">
      <alignment horizontal="center" vertical="center" wrapText="1"/>
      <protection locked="0"/>
    </xf>
    <xf numFmtId="196" fontId="3" fillId="0" borderId="42" xfId="62" applyNumberFormat="1" applyFont="1" applyFill="1" applyBorder="1" applyAlignment="1">
      <alignment horizontal="center" vertical="center"/>
      <protection/>
    </xf>
    <xf numFmtId="196" fontId="3" fillId="0" borderId="43" xfId="62" applyNumberFormat="1" applyFont="1" applyFill="1" applyBorder="1" applyAlignment="1">
      <alignment horizontal="center" vertical="center"/>
      <protection/>
    </xf>
    <xf numFmtId="196" fontId="3" fillId="0" borderId="44" xfId="63" applyNumberFormat="1" applyFont="1" applyFill="1" applyBorder="1" applyAlignment="1" applyProtection="1">
      <alignment horizontal="center" vertical="center"/>
      <protection locked="0"/>
    </xf>
    <xf numFmtId="196" fontId="3" fillId="0" borderId="45" xfId="63" applyNumberFormat="1" applyFont="1" applyFill="1" applyBorder="1" applyAlignment="1" applyProtection="1">
      <alignment horizontal="center" vertical="center"/>
      <protection locked="0"/>
    </xf>
    <xf numFmtId="196" fontId="3" fillId="0" borderId="46" xfId="63" applyNumberFormat="1" applyFont="1" applyFill="1" applyBorder="1" applyAlignment="1" applyProtection="1">
      <alignment horizontal="center" vertical="center" wrapText="1"/>
      <protection locked="0"/>
    </xf>
    <xf numFmtId="196" fontId="3" fillId="0" borderId="45" xfId="63" applyNumberFormat="1" applyFont="1" applyFill="1" applyBorder="1" applyAlignment="1" applyProtection="1">
      <alignment horizontal="center" vertical="center" wrapText="1"/>
      <protection locked="0"/>
    </xf>
    <xf numFmtId="196" fontId="3" fillId="0" borderId="47" xfId="62" applyNumberFormat="1" applyFont="1" applyFill="1" applyBorder="1" applyAlignment="1" applyProtection="1">
      <alignment horizontal="center" vertical="center"/>
      <protection locked="0"/>
    </xf>
    <xf numFmtId="196" fontId="3" fillId="0" borderId="47" xfId="62" applyNumberFormat="1" applyFont="1" applyBorder="1" applyAlignment="1" applyProtection="1">
      <alignment horizontal="center" vertical="center" wrapText="1"/>
      <protection locked="0"/>
    </xf>
    <xf numFmtId="196" fontId="3" fillId="0" borderId="48" xfId="62" applyNumberFormat="1" applyFont="1" applyFill="1" applyBorder="1" applyAlignment="1">
      <alignment horizontal="center" vertical="center"/>
      <protection/>
    </xf>
    <xf numFmtId="196" fontId="3" fillId="0" borderId="49" xfId="62" applyNumberFormat="1" applyFont="1" applyFill="1" applyBorder="1" applyAlignment="1">
      <alignment horizontal="center" vertical="center"/>
      <protection/>
    </xf>
    <xf numFmtId="196" fontId="3" fillId="0" borderId="50" xfId="63" applyNumberFormat="1" applyFont="1" applyFill="1" applyBorder="1" applyAlignment="1" applyProtection="1">
      <alignment horizontal="center" vertical="center"/>
      <protection locked="0"/>
    </xf>
    <xf numFmtId="196" fontId="3" fillId="0" borderId="51" xfId="63" applyNumberFormat="1" applyFont="1" applyFill="1" applyBorder="1" applyAlignment="1" applyProtection="1">
      <alignment horizontal="center" vertical="center"/>
      <protection locked="0"/>
    </xf>
    <xf numFmtId="196" fontId="3" fillId="0" borderId="52" xfId="63" applyNumberFormat="1" applyFont="1" applyFill="1" applyBorder="1" applyAlignment="1" applyProtection="1">
      <alignment horizontal="center" vertical="center" wrapText="1"/>
      <protection locked="0"/>
    </xf>
    <xf numFmtId="196" fontId="3" fillId="0" borderId="51" xfId="63" applyNumberFormat="1" applyFont="1" applyFill="1" applyBorder="1" applyAlignment="1" applyProtection="1">
      <alignment horizontal="center" vertical="center" wrapText="1"/>
      <protection locked="0"/>
    </xf>
    <xf numFmtId="196" fontId="3" fillId="0" borderId="53" xfId="62" applyNumberFormat="1" applyFont="1" applyFill="1" applyBorder="1" applyAlignment="1" applyProtection="1">
      <alignment horizontal="center" vertical="center"/>
      <protection locked="0"/>
    </xf>
    <xf numFmtId="196" fontId="3" fillId="0" borderId="53" xfId="62" applyNumberFormat="1" applyFont="1" applyBorder="1" applyAlignment="1" applyProtection="1">
      <alignment horizontal="center" vertical="center" wrapText="1"/>
      <protection locked="0"/>
    </xf>
    <xf numFmtId="196" fontId="1" fillId="0" borderId="0" xfId="62" applyNumberFormat="1" applyFont="1" applyFill="1" applyBorder="1" applyAlignment="1" applyProtection="1">
      <alignment horizontal="center" vertical="center"/>
      <protection locked="0"/>
    </xf>
    <xf numFmtId="196" fontId="3" fillId="0" borderId="54" xfId="63" applyNumberFormat="1" applyFont="1" applyFill="1" applyBorder="1" applyAlignment="1" applyProtection="1">
      <alignment horizontal="center" vertical="center"/>
      <protection locked="0"/>
    </xf>
    <xf numFmtId="196" fontId="3" fillId="0" borderId="55" xfId="63" applyNumberFormat="1" applyFont="1" applyFill="1" applyBorder="1" applyAlignment="1" applyProtection="1">
      <alignment horizontal="center" vertical="center"/>
      <protection locked="0"/>
    </xf>
    <xf numFmtId="196" fontId="3" fillId="0" borderId="56" xfId="63" applyNumberFormat="1" applyFont="1" applyFill="1" applyBorder="1" applyAlignment="1" applyProtection="1">
      <alignment horizontal="center" vertical="center" wrapText="1"/>
      <protection locked="0"/>
    </xf>
    <xf numFmtId="196" fontId="3" fillId="0" borderId="55" xfId="63" applyNumberFormat="1" applyFont="1" applyFill="1" applyBorder="1" applyAlignment="1" applyProtection="1">
      <alignment horizontal="center" vertical="center" wrapText="1"/>
      <protection locked="0"/>
    </xf>
    <xf numFmtId="196" fontId="3" fillId="0" borderId="57" xfId="62" applyNumberFormat="1" applyFont="1" applyFill="1" applyBorder="1" applyAlignment="1" applyProtection="1">
      <alignment horizontal="center" vertical="center"/>
      <protection locked="0"/>
    </xf>
    <xf numFmtId="196" fontId="3" fillId="0" borderId="57" xfId="62" applyNumberFormat="1" applyFont="1" applyBorder="1" applyAlignment="1" applyProtection="1">
      <alignment horizontal="center" vertical="center"/>
      <protection locked="0"/>
    </xf>
    <xf numFmtId="196" fontId="3" fillId="0" borderId="0" xfId="62" applyNumberFormat="1" applyFont="1" applyFill="1" applyBorder="1" applyAlignment="1">
      <alignment horizontal="left"/>
      <protection/>
    </xf>
    <xf numFmtId="196" fontId="3" fillId="0" borderId="58" xfId="62" applyNumberFormat="1" applyFont="1" applyFill="1" applyBorder="1" applyAlignment="1">
      <alignment horizontal="left"/>
      <protection/>
    </xf>
    <xf numFmtId="196" fontId="3" fillId="0" borderId="59" xfId="62" applyNumberFormat="1" applyFont="1" applyFill="1" applyBorder="1" applyAlignment="1">
      <alignment horizontal="left"/>
      <protection/>
    </xf>
    <xf numFmtId="196" fontId="41" fillId="0" borderId="0" xfId="62" applyNumberFormat="1" applyFont="1" applyFill="1" applyBorder="1" applyAlignment="1" quotePrefix="1">
      <alignment horizontal="center"/>
      <protection/>
    </xf>
    <xf numFmtId="196" fontId="3" fillId="0" borderId="60" xfId="62" applyNumberFormat="1" applyFont="1" applyFill="1" applyBorder="1" applyAlignment="1" applyProtection="1">
      <alignment horizontal="right"/>
      <protection/>
    </xf>
    <xf numFmtId="196" fontId="3" fillId="0" borderId="0" xfId="62" applyNumberFormat="1" applyFont="1" applyFill="1" applyBorder="1" applyAlignment="1" applyProtection="1">
      <alignment horizontal="right"/>
      <protection/>
    </xf>
    <xf numFmtId="0" fontId="1" fillId="0" borderId="0" xfId="63" applyFont="1" applyFill="1" applyBorder="1">
      <alignment/>
      <protection/>
    </xf>
    <xf numFmtId="196" fontId="3" fillId="0" borderId="0" xfId="62" applyNumberFormat="1" applyFont="1" applyFill="1" applyBorder="1" applyAlignment="1">
      <alignment horizontal="left" vertical="top"/>
      <protection/>
    </xf>
    <xf numFmtId="196" fontId="3" fillId="0" borderId="50" xfId="62" applyNumberFormat="1" applyFont="1" applyFill="1" applyBorder="1" applyAlignment="1">
      <alignment horizontal="left" vertical="top"/>
      <protection/>
    </xf>
    <xf numFmtId="196" fontId="3" fillId="0" borderId="61" xfId="62" applyNumberFormat="1" applyFont="1" applyFill="1" applyBorder="1" applyAlignment="1">
      <alignment horizontal="left" vertical="top"/>
      <protection/>
    </xf>
    <xf numFmtId="196" fontId="3" fillId="0" borderId="53" xfId="62" applyNumberFormat="1" applyFont="1" applyFill="1" applyBorder="1" applyAlignment="1" applyProtection="1">
      <alignment horizontal="right"/>
      <protection/>
    </xf>
    <xf numFmtId="196" fontId="3" fillId="0" borderId="62" xfId="62" applyNumberFormat="1" applyFont="1" applyFill="1" applyBorder="1" applyAlignment="1">
      <alignment horizontal="left" vertical="top"/>
      <protection/>
    </xf>
    <xf numFmtId="196" fontId="3" fillId="0" borderId="63" xfId="62" applyNumberFormat="1" applyFont="1" applyFill="1" applyBorder="1" applyAlignment="1">
      <alignment horizontal="left" vertical="top"/>
      <protection/>
    </xf>
    <xf numFmtId="196" fontId="3" fillId="0" borderId="64" xfId="62" applyNumberFormat="1" applyFont="1" applyFill="1" applyBorder="1" applyAlignment="1" applyProtection="1">
      <alignment horizontal="right"/>
      <protection/>
    </xf>
    <xf numFmtId="196" fontId="1" fillId="0" borderId="0" xfId="0" applyNumberFormat="1" applyFont="1" applyFill="1" applyBorder="1" applyAlignment="1" applyProtection="1">
      <alignment/>
      <protection/>
    </xf>
    <xf numFmtId="196" fontId="3" fillId="0" borderId="65" xfId="62" applyNumberFormat="1" applyFont="1" applyFill="1" applyBorder="1" applyAlignment="1">
      <alignment horizontal="left" vertical="top"/>
      <protection/>
    </xf>
    <xf numFmtId="196" fontId="3" fillId="0" borderId="66" xfId="62" applyNumberFormat="1" applyFont="1" applyFill="1" applyBorder="1" applyAlignment="1">
      <alignment horizontal="left" vertical="top"/>
      <protection/>
    </xf>
    <xf numFmtId="196" fontId="1" fillId="0" borderId="65" xfId="62" applyNumberFormat="1" applyFont="1" applyFill="1" applyBorder="1" applyAlignment="1" applyProtection="1">
      <alignment/>
      <protection locked="0"/>
    </xf>
    <xf numFmtId="196" fontId="1" fillId="0" borderId="67" xfId="62" applyNumberFormat="1" applyFont="1" applyFill="1" applyBorder="1" applyAlignment="1" applyProtection="1">
      <alignment/>
      <protection locked="0"/>
    </xf>
    <xf numFmtId="196" fontId="1" fillId="0" borderId="68" xfId="62" applyNumberFormat="1" applyFont="1" applyFill="1" applyBorder="1" applyAlignment="1" applyProtection="1">
      <alignment wrapText="1"/>
      <protection locked="0"/>
    </xf>
    <xf numFmtId="196" fontId="1" fillId="0" borderId="69" xfId="62" applyNumberFormat="1" applyFont="1" applyFill="1" applyBorder="1" applyAlignment="1" applyProtection="1">
      <alignment/>
      <protection locked="0"/>
    </xf>
    <xf numFmtId="196" fontId="1" fillId="0" borderId="70" xfId="62" applyNumberFormat="1" applyFont="1" applyFill="1" applyBorder="1" applyAlignment="1" applyProtection="1">
      <alignment/>
      <protection locked="0"/>
    </xf>
    <xf numFmtId="196" fontId="1" fillId="0" borderId="71" xfId="62" applyNumberFormat="1" applyFont="1" applyFill="1" applyBorder="1" applyAlignment="1" applyProtection="1">
      <alignment horizontal="right"/>
      <protection/>
    </xf>
    <xf numFmtId="196" fontId="1" fillId="0" borderId="0" xfId="62" applyNumberFormat="1" applyFont="1" applyFill="1" applyBorder="1" applyAlignment="1" applyProtection="1">
      <alignment horizontal="right"/>
      <protection/>
    </xf>
    <xf numFmtId="196" fontId="3" fillId="0" borderId="50" xfId="62" applyNumberFormat="1" applyFont="1" applyFill="1" applyBorder="1" applyAlignment="1">
      <alignment horizontal="left"/>
      <protection/>
    </xf>
    <xf numFmtId="196" fontId="3" fillId="0" borderId="61" xfId="62" applyNumberFormat="1" applyFont="1" applyFill="1" applyBorder="1" applyAlignment="1">
      <alignment horizontal="left"/>
      <protection/>
    </xf>
    <xf numFmtId="196" fontId="1" fillId="0" borderId="50" xfId="62" applyNumberFormat="1" applyFont="1" applyFill="1" applyBorder="1" applyAlignment="1" applyProtection="1">
      <alignment/>
      <protection locked="0"/>
    </xf>
    <xf numFmtId="196" fontId="1" fillId="0" borderId="51" xfId="62" applyNumberFormat="1" applyFont="1" applyFill="1" applyBorder="1" applyAlignment="1" applyProtection="1">
      <alignment/>
      <protection locked="0"/>
    </xf>
    <xf numFmtId="196" fontId="1" fillId="0" borderId="52" xfId="62" applyNumberFormat="1" applyFont="1" applyFill="1" applyBorder="1" applyAlignment="1" applyProtection="1">
      <alignment wrapText="1"/>
      <protection locked="0"/>
    </xf>
    <xf numFmtId="196" fontId="1" fillId="0" borderId="72" xfId="62" applyNumberFormat="1" applyFont="1" applyFill="1" applyBorder="1" applyAlignment="1" applyProtection="1">
      <alignment/>
      <protection locked="0"/>
    </xf>
    <xf numFmtId="196" fontId="1" fillId="0" borderId="73" xfId="62" applyNumberFormat="1" applyFont="1" applyFill="1" applyBorder="1" applyAlignment="1" applyProtection="1">
      <alignment/>
      <protection locked="0"/>
    </xf>
    <xf numFmtId="196" fontId="1" fillId="0" borderId="53" xfId="62" applyNumberFormat="1" applyFont="1" applyFill="1" applyBorder="1" applyAlignment="1" applyProtection="1">
      <alignment horizontal="right"/>
      <protection/>
    </xf>
    <xf numFmtId="3" fontId="1" fillId="0" borderId="73" xfId="62" applyNumberFormat="1" applyFont="1" applyFill="1" applyBorder="1" applyAlignment="1" applyProtection="1">
      <alignment/>
      <protection locked="0"/>
    </xf>
    <xf numFmtId="196" fontId="3" fillId="0" borderId="48" xfId="62" applyNumberFormat="1" applyFont="1" applyFill="1" applyBorder="1" applyAlignment="1">
      <alignment horizontal="left"/>
      <protection/>
    </xf>
    <xf numFmtId="196" fontId="3" fillId="0" borderId="49" xfId="62" applyNumberFormat="1" applyFont="1" applyFill="1" applyBorder="1" applyAlignment="1">
      <alignment horizontal="left"/>
      <protection/>
    </xf>
    <xf numFmtId="196" fontId="1" fillId="0" borderId="37" xfId="62" applyNumberFormat="1" applyFont="1" applyFill="1" applyBorder="1" applyAlignment="1" applyProtection="1">
      <alignment/>
      <protection locked="0"/>
    </xf>
    <xf numFmtId="196" fontId="1" fillId="0" borderId="40" xfId="62" applyNumberFormat="1" applyFont="1" applyFill="1" applyBorder="1" applyAlignment="1" applyProtection="1">
      <alignment/>
      <protection locked="0"/>
    </xf>
    <xf numFmtId="196" fontId="1" fillId="0" borderId="74" xfId="62" applyNumberFormat="1" applyFont="1" applyFill="1" applyBorder="1" applyAlignment="1" applyProtection="1">
      <alignment wrapText="1"/>
      <protection locked="0"/>
    </xf>
    <xf numFmtId="196" fontId="1" fillId="0" borderId="75" xfId="62" applyNumberFormat="1" applyFont="1" applyFill="1" applyBorder="1" applyAlignment="1" applyProtection="1">
      <alignment/>
      <protection locked="0"/>
    </xf>
    <xf numFmtId="196" fontId="1" fillId="0" borderId="76" xfId="62" applyNumberFormat="1" applyFont="1" applyFill="1" applyBorder="1" applyAlignment="1" applyProtection="1">
      <alignment/>
      <protection locked="0"/>
    </xf>
    <xf numFmtId="196" fontId="1" fillId="0" borderId="64" xfId="62" applyNumberFormat="1" applyFont="1" applyFill="1" applyBorder="1" applyAlignment="1" applyProtection="1">
      <alignment horizontal="right"/>
      <protection/>
    </xf>
    <xf numFmtId="196" fontId="3" fillId="0" borderId="32" xfId="62" applyNumberFormat="1" applyFont="1" applyFill="1" applyBorder="1" applyAlignment="1">
      <alignment horizontal="left"/>
      <protection/>
    </xf>
    <xf numFmtId="196" fontId="3" fillId="0" borderId="33" xfId="62" applyNumberFormat="1" applyFont="1" applyFill="1" applyBorder="1" applyAlignment="1">
      <alignment horizontal="left"/>
      <protection/>
    </xf>
    <xf numFmtId="196" fontId="41" fillId="0" borderId="0" xfId="62" applyNumberFormat="1" applyFont="1" applyFill="1" applyBorder="1" applyAlignment="1">
      <alignment horizontal="center"/>
      <protection/>
    </xf>
    <xf numFmtId="196" fontId="3" fillId="0" borderId="77" xfId="62" applyNumberFormat="1" applyFont="1" applyFill="1" applyBorder="1" applyAlignment="1" applyProtection="1">
      <alignment/>
      <protection/>
    </xf>
    <xf numFmtId="196" fontId="3" fillId="0" borderId="78" xfId="62" applyNumberFormat="1" applyFont="1" applyFill="1" applyBorder="1" applyAlignment="1" applyProtection="1">
      <alignment/>
      <protection/>
    </xf>
    <xf numFmtId="196" fontId="3" fillId="0" borderId="79" xfId="62" applyNumberFormat="1" applyFont="1" applyFill="1" applyBorder="1" applyAlignment="1" applyProtection="1">
      <alignment/>
      <protection/>
    </xf>
    <xf numFmtId="196" fontId="3" fillId="0" borderId="80" xfId="62" applyNumberFormat="1" applyFont="1" applyFill="1" applyBorder="1" applyAlignment="1" applyProtection="1">
      <alignment/>
      <protection/>
    </xf>
    <xf numFmtId="196" fontId="3" fillId="0" borderId="48" xfId="62" applyNumberFormat="1" applyFont="1" applyFill="1" applyBorder="1" applyAlignment="1">
      <alignment horizontal="left" vertical="top"/>
      <protection/>
    </xf>
    <xf numFmtId="196" fontId="3" fillId="0" borderId="81" xfId="62" applyNumberFormat="1" applyFont="1" applyFill="1" applyBorder="1" applyAlignment="1" applyProtection="1">
      <alignment/>
      <protection/>
    </xf>
    <xf numFmtId="196" fontId="3" fillId="0" borderId="51" xfId="62" applyNumberFormat="1" applyFont="1" applyFill="1" applyBorder="1" applyAlignment="1" applyProtection="1">
      <alignment/>
      <protection/>
    </xf>
    <xf numFmtId="196" fontId="3" fillId="0" borderId="72" xfId="62" applyNumberFormat="1" applyFont="1" applyFill="1" applyBorder="1" applyAlignment="1" applyProtection="1">
      <alignment/>
      <protection/>
    </xf>
    <xf numFmtId="196" fontId="3" fillId="0" borderId="73" xfId="62" applyNumberFormat="1" applyFont="1" applyFill="1" applyBorder="1" applyAlignment="1" applyProtection="1">
      <alignment/>
      <protection/>
    </xf>
    <xf numFmtId="196" fontId="3" fillId="0" borderId="0" xfId="62" applyNumberFormat="1" applyFont="1" applyFill="1" applyBorder="1" applyAlignment="1" applyProtection="1">
      <alignment horizontal="left"/>
      <protection locked="0"/>
    </xf>
    <xf numFmtId="196" fontId="3" fillId="0" borderId="37" xfId="62" applyNumberFormat="1" applyFont="1" applyFill="1" applyBorder="1" applyAlignment="1">
      <alignment horizontal="left" vertical="top"/>
      <protection/>
    </xf>
    <xf numFmtId="196" fontId="3" fillId="0" borderId="38" xfId="62" applyNumberFormat="1" applyFont="1" applyFill="1" applyBorder="1" applyAlignment="1">
      <alignment horizontal="left"/>
      <protection/>
    </xf>
    <xf numFmtId="196" fontId="1" fillId="0" borderId="0" xfId="62" applyNumberFormat="1" applyFont="1" applyFill="1" applyBorder="1">
      <alignment/>
      <protection/>
    </xf>
    <xf numFmtId="196" fontId="3" fillId="0" borderId="82" xfId="62" applyNumberFormat="1" applyFont="1" applyFill="1" applyBorder="1" applyAlignment="1" applyProtection="1">
      <alignment/>
      <protection/>
    </xf>
    <xf numFmtId="196" fontId="3" fillId="0" borderId="83" xfId="62" applyNumberFormat="1" applyFont="1" applyFill="1" applyBorder="1" applyAlignment="1" applyProtection="1">
      <alignment/>
      <protection/>
    </xf>
    <xf numFmtId="196" fontId="3" fillId="0" borderId="84" xfId="62" applyNumberFormat="1" applyFont="1" applyFill="1" applyBorder="1" applyAlignment="1" applyProtection="1">
      <alignment/>
      <protection/>
    </xf>
    <xf numFmtId="196" fontId="3" fillId="0" borderId="85" xfId="62" applyNumberFormat="1" applyFont="1" applyFill="1" applyBorder="1" applyAlignment="1" applyProtection="1">
      <alignment/>
      <protection/>
    </xf>
    <xf numFmtId="0" fontId="1" fillId="0" borderId="0" xfId="63" applyFont="1" applyFill="1" applyBorder="1" applyAlignment="1">
      <alignment horizontal="left"/>
      <protection/>
    </xf>
    <xf numFmtId="196" fontId="1" fillId="0" borderId="0" xfId="63" applyNumberFormat="1" applyFont="1" applyFill="1" applyBorder="1">
      <alignment/>
      <protection/>
    </xf>
    <xf numFmtId="196" fontId="1" fillId="0" borderId="0" xfId="63" applyNumberFormat="1" applyFont="1" applyBorder="1">
      <alignment/>
      <protection/>
    </xf>
    <xf numFmtId="0" fontId="24" fillId="0" borderId="76" xfId="0" applyNumberFormat="1" applyFont="1" applyFill="1" applyBorder="1" applyAlignment="1" applyProtection="1">
      <alignment horizontal="center"/>
      <protection/>
    </xf>
    <xf numFmtId="0" fontId="22" fillId="34" borderId="0" xfId="0" applyFont="1" applyFill="1" applyAlignment="1">
      <alignment/>
    </xf>
    <xf numFmtId="0" fontId="42" fillId="34" borderId="0" xfId="0" applyFont="1" applyFill="1" applyBorder="1" applyAlignment="1">
      <alignment horizontal="center"/>
    </xf>
    <xf numFmtId="43" fontId="7" fillId="34" borderId="0" xfId="42" applyFont="1" applyFill="1" applyBorder="1" applyAlignment="1">
      <alignment/>
    </xf>
    <xf numFmtId="43" fontId="0" fillId="34" borderId="0" xfId="0" applyNumberFormat="1" applyFill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196" fontId="3" fillId="0" borderId="86" xfId="62" applyNumberFormat="1" applyFont="1" applyFill="1" applyBorder="1" applyAlignment="1" applyProtection="1">
      <alignment/>
      <protection locked="0"/>
    </xf>
    <xf numFmtId="196" fontId="3" fillId="0" borderId="86" xfId="62" applyNumberFormat="1" applyFont="1" applyFill="1" applyBorder="1" applyAlignment="1" applyProtection="1">
      <alignment wrapText="1"/>
      <protection locked="0"/>
    </xf>
    <xf numFmtId="196" fontId="3" fillId="0" borderId="87" xfId="62" applyNumberFormat="1" applyFont="1" applyFill="1" applyBorder="1" applyAlignment="1" applyProtection="1">
      <alignment/>
      <protection locked="0"/>
    </xf>
    <xf numFmtId="197" fontId="3" fillId="0" borderId="88" xfId="45" applyNumberFormat="1" applyFont="1" applyFill="1" applyBorder="1" applyAlignment="1" applyProtection="1">
      <alignment/>
      <protection locked="0"/>
    </xf>
    <xf numFmtId="196" fontId="3" fillId="0" borderId="88" xfId="62" applyNumberFormat="1" applyFont="1" applyFill="1" applyBorder="1" applyAlignment="1" applyProtection="1">
      <alignment wrapText="1"/>
      <protection locked="0"/>
    </xf>
    <xf numFmtId="196" fontId="3" fillId="0" borderId="88" xfId="62" applyNumberFormat="1" applyFont="1" applyFill="1" applyBorder="1" applyAlignment="1" applyProtection="1">
      <alignment/>
      <protection locked="0"/>
    </xf>
    <xf numFmtId="196" fontId="3" fillId="0" borderId="89" xfId="62" applyNumberFormat="1" applyFont="1" applyFill="1" applyBorder="1" applyAlignment="1" applyProtection="1">
      <alignment/>
      <protection locked="0"/>
    </xf>
    <xf numFmtId="196" fontId="3" fillId="0" borderId="90" xfId="62" applyNumberFormat="1" applyFont="1" applyFill="1" applyBorder="1" applyAlignment="1" applyProtection="1">
      <alignment/>
      <protection locked="0"/>
    </xf>
    <xf numFmtId="196" fontId="3" fillId="0" borderId="91" xfId="62" applyNumberFormat="1" applyFont="1" applyFill="1" applyBorder="1" applyAlignment="1" applyProtection="1">
      <alignment/>
      <protection locked="0"/>
    </xf>
    <xf numFmtId="196" fontId="3" fillId="0" borderId="91" xfId="62" applyNumberFormat="1" applyFont="1" applyFill="1" applyBorder="1" applyAlignment="1" applyProtection="1">
      <alignment wrapText="1"/>
      <protection locked="0"/>
    </xf>
    <xf numFmtId="196" fontId="3" fillId="0" borderId="92" xfId="62" applyNumberFormat="1" applyFont="1" applyFill="1" applyBorder="1" applyAlignment="1" applyProtection="1">
      <alignment/>
      <protection locked="0"/>
    </xf>
    <xf numFmtId="196" fontId="3" fillId="0" borderId="93" xfId="62" applyNumberFormat="1" applyFont="1" applyFill="1" applyBorder="1" applyAlignment="1" applyProtection="1">
      <alignment/>
      <protection locked="0"/>
    </xf>
    <xf numFmtId="196" fontId="3" fillId="0" borderId="94" xfId="62" applyNumberFormat="1" applyFont="1" applyFill="1" applyBorder="1" applyAlignment="1" applyProtection="1">
      <alignment/>
      <protection locked="0"/>
    </xf>
    <xf numFmtId="196" fontId="3" fillId="0" borderId="64" xfId="62" applyNumberFormat="1" applyFont="1" applyFill="1" applyBorder="1" applyAlignment="1" applyProtection="1">
      <alignment wrapText="1"/>
      <protection locked="0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14" fontId="0" fillId="0" borderId="9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0" xfId="0" applyFont="1" applyAlignment="1">
      <alignment/>
    </xf>
    <xf numFmtId="3" fontId="0" fillId="0" borderId="13" xfId="44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3" xfId="0" applyFont="1" applyBorder="1" applyAlignment="1">
      <alignment/>
    </xf>
    <xf numFmtId="0" fontId="4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3" fontId="0" fillId="0" borderId="23" xfId="44" applyNumberFormat="1" applyBorder="1" applyAlignment="1">
      <alignment/>
    </xf>
    <xf numFmtId="0" fontId="0" fillId="0" borderId="27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7" fillId="0" borderId="28" xfId="0" applyFont="1" applyBorder="1" applyAlignment="1">
      <alignment horizontal="center" vertical="center"/>
    </xf>
    <xf numFmtId="3" fontId="47" fillId="0" borderId="28" xfId="44" applyNumberFormat="1" applyFont="1" applyBorder="1" applyAlignment="1">
      <alignment vertical="center"/>
    </xf>
    <xf numFmtId="3" fontId="47" fillId="0" borderId="96" xfId="44" applyNumberFormat="1" applyFont="1" applyBorder="1" applyAlignment="1">
      <alignment vertic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2" fillId="0" borderId="0" xfId="0" applyFont="1" applyBorder="1" applyAlignment="1">
      <alignment/>
    </xf>
    <xf numFmtId="3" fontId="0" fillId="0" borderId="0" xfId="44" applyNumberFormat="1" applyFill="1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right"/>
    </xf>
    <xf numFmtId="2" fontId="15" fillId="0" borderId="0" xfId="60" applyNumberFormat="1" applyFont="1" applyBorder="1" applyAlignment="1">
      <alignment wrapText="1"/>
      <protection/>
    </xf>
    <xf numFmtId="0" fontId="42" fillId="0" borderId="23" xfId="60" applyFont="1" applyBorder="1" applyAlignment="1">
      <alignment horizontal="center"/>
      <protection/>
    </xf>
    <xf numFmtId="2" fontId="50" fillId="0" borderId="14" xfId="60" applyNumberFormat="1" applyFont="1" applyBorder="1" applyAlignment="1">
      <alignment horizontal="center" wrapText="1"/>
      <protection/>
    </xf>
    <xf numFmtId="0" fontId="51" fillId="0" borderId="97" xfId="60" applyFont="1" applyBorder="1" applyAlignment="1">
      <alignment horizontal="center" vertical="center" wrapText="1"/>
      <protection/>
    </xf>
    <xf numFmtId="0" fontId="42" fillId="0" borderId="34" xfId="60" applyFont="1" applyBorder="1" applyAlignment="1">
      <alignment horizontal="center"/>
      <protection/>
    </xf>
    <xf numFmtId="0" fontId="42" fillId="0" borderId="98" xfId="60" applyFont="1" applyBorder="1" applyAlignment="1">
      <alignment horizontal="left" wrapText="1"/>
      <protection/>
    </xf>
    <xf numFmtId="0" fontId="0" fillId="0" borderId="99" xfId="60" applyFont="1" applyBorder="1" applyAlignment="1">
      <alignment horizontal="center"/>
      <protection/>
    </xf>
    <xf numFmtId="0" fontId="0" fillId="0" borderId="100" xfId="60" applyFont="1" applyBorder="1" applyAlignment="1">
      <alignment horizontal="left" wrapText="1"/>
      <protection/>
    </xf>
    <xf numFmtId="0" fontId="42" fillId="0" borderId="13" xfId="60" applyFont="1" applyBorder="1" applyAlignment="1">
      <alignment horizontal="left"/>
      <protection/>
    </xf>
    <xf numFmtId="0" fontId="42" fillId="0" borderId="101" xfId="60" applyFont="1" applyBorder="1" applyAlignment="1">
      <alignment horizontal="left"/>
      <protection/>
    </xf>
    <xf numFmtId="0" fontId="0" fillId="0" borderId="102" xfId="60" applyFont="1" applyBorder="1" applyAlignment="1">
      <alignment horizontal="center"/>
      <protection/>
    </xf>
    <xf numFmtId="0" fontId="47" fillId="0" borderId="100" xfId="60" applyFont="1" applyBorder="1" applyAlignment="1">
      <alignment horizontal="left" wrapText="1"/>
      <protection/>
    </xf>
    <xf numFmtId="0" fontId="42" fillId="0" borderId="103" xfId="60" applyFont="1" applyBorder="1" applyAlignment="1">
      <alignment horizontal="center"/>
      <protection/>
    </xf>
    <xf numFmtId="0" fontId="42" fillId="0" borderId="100" xfId="60" applyFont="1" applyBorder="1" applyAlignment="1">
      <alignment horizontal="left" wrapText="1"/>
      <protection/>
    </xf>
    <xf numFmtId="0" fontId="0" fillId="0" borderId="95" xfId="60" applyFont="1" applyBorder="1" applyAlignment="1">
      <alignment horizontal="left" wrapText="1"/>
      <protection/>
    </xf>
    <xf numFmtId="0" fontId="0" fillId="0" borderId="104" xfId="60" applyFont="1" applyBorder="1" applyAlignment="1">
      <alignment horizontal="center"/>
      <protection/>
    </xf>
    <xf numFmtId="0" fontId="0" fillId="0" borderId="20" xfId="60" applyFont="1" applyBorder="1" applyAlignment="1">
      <alignment horizontal="left" wrapText="1"/>
      <protection/>
    </xf>
    <xf numFmtId="0" fontId="42" fillId="0" borderId="103" xfId="60" applyFont="1" applyBorder="1" applyAlignment="1">
      <alignment horizontal="center" vertical="center"/>
      <protection/>
    </xf>
    <xf numFmtId="0" fontId="42" fillId="0" borderId="102" xfId="60" applyFont="1" applyBorder="1" applyAlignment="1">
      <alignment horizontal="center" vertical="center"/>
      <protection/>
    </xf>
    <xf numFmtId="0" fontId="0" fillId="0" borderId="100" xfId="60" applyFont="1" applyBorder="1" applyAlignment="1">
      <alignment horizontal="center" wrapText="1"/>
      <protection/>
    </xf>
    <xf numFmtId="0" fontId="42" fillId="0" borderId="99" xfId="60" applyFont="1" applyBorder="1" applyAlignment="1">
      <alignment horizontal="center"/>
      <protection/>
    </xf>
    <xf numFmtId="0" fontId="44" fillId="0" borderId="13" xfId="60" applyFont="1" applyBorder="1" applyAlignment="1">
      <alignment horizontal="left" wrapText="1"/>
      <protection/>
    </xf>
    <xf numFmtId="0" fontId="4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2" fillId="0" borderId="102" xfId="60" applyFont="1" applyBorder="1" applyAlignment="1">
      <alignment horizontal="center"/>
      <protection/>
    </xf>
    <xf numFmtId="0" fontId="42" fillId="0" borderId="13" xfId="60" applyFont="1" applyBorder="1" applyAlignment="1">
      <alignment horizontal="left" wrapText="1"/>
      <protection/>
    </xf>
    <xf numFmtId="0" fontId="42" fillId="0" borderId="104" xfId="60" applyFont="1" applyBorder="1" applyAlignment="1">
      <alignment horizontal="center"/>
      <protection/>
    </xf>
    <xf numFmtId="0" fontId="42" fillId="0" borderId="95" xfId="60" applyFont="1" applyBorder="1" applyAlignment="1">
      <alignment horizontal="left" wrapText="1"/>
      <protection/>
    </xf>
    <xf numFmtId="0" fontId="42" fillId="0" borderId="105" xfId="60" applyFont="1" applyBorder="1" applyAlignment="1">
      <alignment horizontal="center"/>
      <protection/>
    </xf>
    <xf numFmtId="0" fontId="42" fillId="0" borderId="106" xfId="60" applyFont="1" applyBorder="1" applyAlignment="1">
      <alignment horizontal="left" wrapText="1"/>
      <protection/>
    </xf>
    <xf numFmtId="0" fontId="42" fillId="0" borderId="0" xfId="60" applyFont="1" applyBorder="1" applyAlignment="1">
      <alignment horizontal="center"/>
      <protection/>
    </xf>
    <xf numFmtId="0" fontId="42" fillId="0" borderId="0" xfId="60" applyFont="1" applyBorder="1" applyAlignment="1">
      <alignment horizontal="left" wrapText="1"/>
      <protection/>
    </xf>
    <xf numFmtId="0" fontId="42" fillId="0" borderId="0" xfId="60" applyFont="1" applyBorder="1" applyAlignment="1">
      <alignment horizontal="left"/>
      <protection/>
    </xf>
    <xf numFmtId="0" fontId="2" fillId="0" borderId="103" xfId="60" applyFont="1" applyBorder="1" applyAlignment="1">
      <alignment horizontal="left"/>
      <protection/>
    </xf>
    <xf numFmtId="0" fontId="2" fillId="0" borderId="13" xfId="64" applyFont="1" applyFill="1" applyBorder="1" applyAlignment="1">
      <alignment horizontal="left" wrapText="1"/>
      <protection/>
    </xf>
    <xf numFmtId="0" fontId="51" fillId="0" borderId="13" xfId="60" applyFont="1" applyBorder="1" applyAlignment="1">
      <alignment horizontal="left"/>
      <protection/>
    </xf>
    <xf numFmtId="0" fontId="2" fillId="0" borderId="13" xfId="60" applyFont="1" applyBorder="1" applyAlignment="1">
      <alignment horizontal="left" wrapText="1"/>
      <protection/>
    </xf>
    <xf numFmtId="0" fontId="51" fillId="0" borderId="103" xfId="60" applyFont="1" applyBorder="1" applyAlignment="1">
      <alignment horizontal="center"/>
      <protection/>
    </xf>
    <xf numFmtId="0" fontId="51" fillId="0" borderId="13" xfId="60" applyFont="1" applyBorder="1" applyAlignment="1">
      <alignment horizontal="left" wrapText="1"/>
      <protection/>
    </xf>
    <xf numFmtId="0" fontId="2" fillId="0" borderId="103" xfId="60" applyFont="1" applyBorder="1" applyAlignment="1">
      <alignment horizontal="center"/>
      <protection/>
    </xf>
    <xf numFmtId="0" fontId="2" fillId="0" borderId="13" xfId="60" applyFont="1" applyBorder="1" applyAlignment="1">
      <alignment horizontal="left"/>
      <protection/>
    </xf>
    <xf numFmtId="0" fontId="2" fillId="0" borderId="103" xfId="60" applyFont="1" applyFill="1" applyBorder="1" applyAlignment="1">
      <alignment horizontal="center"/>
      <protection/>
    </xf>
    <xf numFmtId="0" fontId="2" fillId="0" borderId="48" xfId="0" applyFont="1" applyBorder="1" applyAlignment="1">
      <alignment/>
    </xf>
    <xf numFmtId="0" fontId="5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1" fillId="0" borderId="103" xfId="60" applyFont="1" applyBorder="1">
      <alignment/>
      <protection/>
    </xf>
    <xf numFmtId="0" fontId="2" fillId="0" borderId="103" xfId="0" applyFont="1" applyBorder="1" applyAlignment="1">
      <alignment/>
    </xf>
    <xf numFmtId="0" fontId="2" fillId="0" borderId="103" xfId="60" applyFont="1" applyBorder="1">
      <alignment/>
      <protection/>
    </xf>
    <xf numFmtId="0" fontId="2" fillId="0" borderId="105" xfId="60" applyFont="1" applyBorder="1">
      <alignment/>
      <protection/>
    </xf>
    <xf numFmtId="0" fontId="51" fillId="0" borderId="106" xfId="60" applyFont="1" applyBorder="1" applyAlignment="1">
      <alignment horizontal="left"/>
      <protection/>
    </xf>
    <xf numFmtId="0" fontId="2" fillId="0" borderId="106" xfId="60" applyFont="1" applyBorder="1" applyAlignment="1">
      <alignment horizontal="left"/>
      <protection/>
    </xf>
    <xf numFmtId="0" fontId="51" fillId="0" borderId="0" xfId="60" applyFont="1" applyBorder="1" applyAlignment="1">
      <alignment horizontal="left"/>
      <protection/>
    </xf>
    <xf numFmtId="0" fontId="48" fillId="0" borderId="0" xfId="60" applyFont="1" applyBorder="1" applyAlignment="1">
      <alignment horizontal="left"/>
      <protection/>
    </xf>
    <xf numFmtId="0" fontId="0" fillId="0" borderId="0" xfId="60" applyFont="1">
      <alignment/>
      <protection/>
    </xf>
    <xf numFmtId="0" fontId="0" fillId="0" borderId="13" xfId="0" applyFont="1" applyBorder="1" applyAlignment="1">
      <alignment/>
    </xf>
    <xf numFmtId="0" fontId="0" fillId="0" borderId="97" xfId="0" applyFont="1" applyFill="1" applyBorder="1" applyAlignment="1">
      <alignment/>
    </xf>
    <xf numFmtId="0" fontId="0" fillId="0" borderId="13" xfId="0" applyFill="1" applyBorder="1" applyAlignment="1">
      <alignment/>
    </xf>
    <xf numFmtId="3" fontId="42" fillId="0" borderId="13" xfId="0" applyNumberFormat="1" applyFont="1" applyBorder="1" applyAlignment="1">
      <alignment/>
    </xf>
    <xf numFmtId="0" fontId="42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100" xfId="0" applyBorder="1" applyAlignment="1">
      <alignment/>
    </xf>
    <xf numFmtId="0" fontId="0" fillId="0" borderId="95" xfId="0" applyBorder="1" applyAlignment="1">
      <alignment/>
    </xf>
    <xf numFmtId="0" fontId="0" fillId="0" borderId="23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100" xfId="0" applyFont="1" applyBorder="1" applyAlignment="1">
      <alignment/>
    </xf>
    <xf numFmtId="0" fontId="53" fillId="0" borderId="0" xfId="0" applyFont="1" applyAlignment="1">
      <alignment/>
    </xf>
    <xf numFmtId="0" fontId="53" fillId="0" borderId="17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2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3" xfId="44" applyNumberFormat="1" applyBorder="1" applyAlignment="1">
      <alignment/>
    </xf>
    <xf numFmtId="43" fontId="42" fillId="0" borderId="101" xfId="60" applyNumberFormat="1" applyFont="1" applyBorder="1" applyAlignment="1">
      <alignment horizontal="left"/>
      <protection/>
    </xf>
    <xf numFmtId="43" fontId="42" fillId="0" borderId="13" xfId="60" applyNumberFormat="1" applyFont="1" applyBorder="1" applyAlignment="1">
      <alignment horizontal="left"/>
      <protection/>
    </xf>
    <xf numFmtId="41" fontId="42" fillId="0" borderId="98" xfId="60" applyNumberFormat="1" applyFont="1" applyBorder="1" applyAlignment="1">
      <alignment horizontal="left"/>
      <protection/>
    </xf>
    <xf numFmtId="41" fontId="42" fillId="0" borderId="13" xfId="60" applyNumberFormat="1" applyFont="1" applyBorder="1" applyAlignment="1">
      <alignment horizontal="left"/>
      <protection/>
    </xf>
    <xf numFmtId="41" fontId="42" fillId="0" borderId="101" xfId="60" applyNumberFormat="1" applyFont="1" applyBorder="1" applyAlignment="1">
      <alignment horizontal="left"/>
      <protection/>
    </xf>
    <xf numFmtId="41" fontId="42" fillId="0" borderId="106" xfId="60" applyNumberFormat="1" applyFont="1" applyBorder="1" applyAlignment="1">
      <alignment horizontal="left"/>
      <protection/>
    </xf>
    <xf numFmtId="41" fontId="51" fillId="0" borderId="13" xfId="60" applyNumberFormat="1" applyFont="1" applyBorder="1" applyAlignment="1">
      <alignment horizontal="left"/>
      <protection/>
    </xf>
    <xf numFmtId="0" fontId="51" fillId="0" borderId="104" xfId="60" applyFont="1" applyBorder="1" applyAlignment="1">
      <alignment horizontal="center"/>
      <protection/>
    </xf>
    <xf numFmtId="0" fontId="51" fillId="0" borderId="95" xfId="60" applyFont="1" applyBorder="1" applyAlignment="1">
      <alignment horizontal="left" wrapText="1"/>
      <protection/>
    </xf>
    <xf numFmtId="0" fontId="2" fillId="0" borderId="27" xfId="60" applyFont="1" applyBorder="1">
      <alignment/>
      <protection/>
    </xf>
    <xf numFmtId="2" fontId="50" fillId="0" borderId="28" xfId="60" applyNumberFormat="1" applyFont="1" applyBorder="1" applyAlignment="1">
      <alignment horizontal="center" wrapText="1"/>
      <protection/>
    </xf>
    <xf numFmtId="0" fontId="51" fillId="0" borderId="28" xfId="60" applyFont="1" applyBorder="1" applyAlignment="1">
      <alignment horizontal="center" vertical="center" wrapText="1"/>
      <protection/>
    </xf>
    <xf numFmtId="0" fontId="51" fillId="0" borderId="96" xfId="60" applyFont="1" applyBorder="1" applyAlignment="1">
      <alignment horizontal="center" vertical="center" wrapText="1"/>
      <protection/>
    </xf>
    <xf numFmtId="41" fontId="51" fillId="0" borderId="95" xfId="60" applyNumberFormat="1" applyFont="1" applyBorder="1" applyAlignment="1">
      <alignment horizontal="left"/>
      <protection/>
    </xf>
    <xf numFmtId="41" fontId="51" fillId="0" borderId="13" xfId="60" applyNumberFormat="1" applyFont="1" applyBorder="1" applyAlignment="1">
      <alignment horizontal="left" wrapText="1"/>
      <protection/>
    </xf>
    <xf numFmtId="41" fontId="0" fillId="0" borderId="0" xfId="0" applyNumberFormat="1" applyAlignment="1">
      <alignment/>
    </xf>
    <xf numFmtId="41" fontId="51" fillId="0" borderId="95" xfId="60" applyNumberFormat="1" applyFont="1" applyBorder="1" applyAlignment="1">
      <alignment horizontal="center" vertical="center" wrapText="1"/>
      <protection/>
    </xf>
    <xf numFmtId="41" fontId="51" fillId="0" borderId="107" xfId="60" applyNumberFormat="1" applyFont="1" applyBorder="1" applyAlignment="1">
      <alignment horizontal="center" vertical="center" wrapText="1"/>
      <protection/>
    </xf>
    <xf numFmtId="41" fontId="51" fillId="0" borderId="101" xfId="60" applyNumberFormat="1" applyFont="1" applyBorder="1" applyAlignment="1">
      <alignment horizontal="left"/>
      <protection/>
    </xf>
    <xf numFmtId="41" fontId="51" fillId="0" borderId="106" xfId="60" applyNumberFormat="1" applyFont="1" applyBorder="1" applyAlignment="1">
      <alignment horizontal="left"/>
      <protection/>
    </xf>
    <xf numFmtId="0" fontId="59" fillId="0" borderId="0" xfId="0" applyNumberFormat="1" applyFont="1" applyAlignment="1">
      <alignment horizontal="left" vertical="top"/>
    </xf>
    <xf numFmtId="43" fontId="10" fillId="34" borderId="10" xfId="42" applyFont="1" applyFill="1" applyBorder="1" applyAlignment="1">
      <alignment horizontal="center"/>
    </xf>
    <xf numFmtId="43" fontId="10" fillId="34" borderId="10" xfId="42" applyFont="1" applyFill="1" applyBorder="1" applyAlignment="1">
      <alignment/>
    </xf>
    <xf numFmtId="39" fontId="7" fillId="35" borderId="0" xfId="0" applyNumberFormat="1" applyFont="1" applyFill="1" applyAlignment="1">
      <alignment/>
    </xf>
    <xf numFmtId="41" fontId="0" fillId="34" borderId="0" xfId="0" applyNumberFormat="1" applyFill="1" applyAlignment="1">
      <alignment/>
    </xf>
    <xf numFmtId="43" fontId="3" fillId="34" borderId="0" xfId="0" applyNumberFormat="1" applyFont="1" applyFill="1" applyAlignment="1">
      <alignment horizontal="center"/>
    </xf>
    <xf numFmtId="43" fontId="1" fillId="34" borderId="10" xfId="42" applyNumberFormat="1" applyFont="1" applyFill="1" applyBorder="1" applyAlignment="1">
      <alignment/>
    </xf>
    <xf numFmtId="43" fontId="60" fillId="35" borderId="0" xfId="0" applyNumberFormat="1" applyFont="1" applyFill="1" applyAlignment="1">
      <alignment horizontal="left" vertical="top"/>
    </xf>
    <xf numFmtId="43" fontId="60" fillId="35" borderId="0" xfId="0" applyNumberFormat="1" applyFont="1" applyFill="1" applyAlignment="1">
      <alignment horizontal="right" vertical="top"/>
    </xf>
    <xf numFmtId="2" fontId="0" fillId="34" borderId="0" xfId="0" applyNumberFormat="1" applyFont="1" applyFill="1" applyAlignment="1">
      <alignment/>
    </xf>
    <xf numFmtId="0" fontId="42" fillId="0" borderId="0" xfId="0" applyFont="1" applyAlignment="1">
      <alignment horizontal="center"/>
    </xf>
    <xf numFmtId="37" fontId="7" fillId="0" borderId="13" xfId="0" applyNumberFormat="1" applyFont="1" applyFill="1" applyBorder="1" applyAlignment="1">
      <alignment/>
    </xf>
    <xf numFmtId="0" fontId="60" fillId="0" borderId="13" xfId="0" applyNumberFormat="1" applyFont="1" applyFill="1" applyBorder="1" applyAlignment="1">
      <alignment horizontal="left" vertical="top"/>
    </xf>
    <xf numFmtId="39" fontId="7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43" fontId="22" fillId="0" borderId="13" xfId="42" applyFont="1" applyFill="1" applyBorder="1" applyAlignment="1">
      <alignment/>
    </xf>
    <xf numFmtId="0" fontId="48" fillId="0" borderId="0" xfId="0" applyFont="1" applyAlignment="1">
      <alignment horizontal="center"/>
    </xf>
    <xf numFmtId="0" fontId="46" fillId="0" borderId="0" xfId="0" applyFont="1" applyAlignment="1">
      <alignment/>
    </xf>
    <xf numFmtId="0" fontId="55" fillId="0" borderId="0" xfId="0" applyFont="1" applyAlignment="1">
      <alignment/>
    </xf>
    <xf numFmtId="0" fontId="46" fillId="0" borderId="23" xfId="0" applyFont="1" applyBorder="1" applyAlignment="1">
      <alignment horizontal="center"/>
    </xf>
    <xf numFmtId="0" fontId="46" fillId="0" borderId="23" xfId="0" applyFont="1" applyBorder="1" applyAlignment="1">
      <alignment/>
    </xf>
    <xf numFmtId="0" fontId="46" fillId="0" borderId="95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86" xfId="0" applyBorder="1" applyAlignment="1">
      <alignment/>
    </xf>
    <xf numFmtId="0" fontId="61" fillId="0" borderId="0" xfId="0" applyFont="1" applyAlignment="1">
      <alignment horizontal="center"/>
    </xf>
    <xf numFmtId="0" fontId="53" fillId="0" borderId="0" xfId="0" applyFont="1" applyAlignment="1">
      <alignment/>
    </xf>
    <xf numFmtId="0" fontId="56" fillId="0" borderId="12" xfId="0" applyFont="1" applyBorder="1" applyAlignment="1">
      <alignment/>
    </xf>
    <xf numFmtId="0" fontId="45" fillId="0" borderId="0" xfId="0" applyFont="1" applyAlignment="1">
      <alignment/>
    </xf>
    <xf numFmtId="0" fontId="62" fillId="0" borderId="27" xfId="0" applyFont="1" applyBorder="1" applyAlignment="1">
      <alignment horizontal="center" wrapText="1"/>
    </xf>
    <xf numFmtId="0" fontId="62" fillId="0" borderId="28" xfId="0" applyFont="1" applyBorder="1" applyAlignment="1">
      <alignment horizontal="center" wrapText="1"/>
    </xf>
    <xf numFmtId="0" fontId="46" fillId="0" borderId="96" xfId="0" applyFont="1" applyBorder="1" applyAlignment="1">
      <alignment horizontal="right" vertical="top" wrapText="1"/>
    </xf>
    <xf numFmtId="0" fontId="60" fillId="0" borderId="95" xfId="0" applyFont="1" applyBorder="1" applyAlignment="1">
      <alignment horizontal="center" wrapText="1"/>
    </xf>
    <xf numFmtId="0" fontId="0" fillId="0" borderId="19" xfId="0" applyBorder="1" applyAlignment="1">
      <alignment/>
    </xf>
    <xf numFmtId="41" fontId="60" fillId="0" borderId="95" xfId="0" applyNumberFormat="1" applyFont="1" applyBorder="1" applyAlignment="1">
      <alignment horizontal="right" wrapText="1"/>
    </xf>
    <xf numFmtId="0" fontId="60" fillId="0" borderId="13" xfId="0" applyFont="1" applyBorder="1" applyAlignment="1">
      <alignment horizontal="center" wrapText="1"/>
    </xf>
    <xf numFmtId="0" fontId="46" fillId="0" borderId="13" xfId="0" applyFont="1" applyBorder="1" applyAlignment="1">
      <alignment horizontal="center" vertical="top" wrapText="1"/>
    </xf>
    <xf numFmtId="41" fontId="60" fillId="0" borderId="13" xfId="0" applyNumberFormat="1" applyFont="1" applyBorder="1" applyAlignment="1">
      <alignment horizontal="right" wrapText="1"/>
    </xf>
    <xf numFmtId="0" fontId="60" fillId="0" borderId="23" xfId="0" applyFont="1" applyBorder="1" applyAlignment="1">
      <alignment horizontal="center" wrapText="1"/>
    </xf>
    <xf numFmtId="0" fontId="46" fillId="0" borderId="23" xfId="0" applyFont="1" applyBorder="1" applyAlignment="1">
      <alignment horizontal="center" vertical="top" wrapText="1"/>
    </xf>
    <xf numFmtId="41" fontId="60" fillId="0" borderId="23" xfId="0" applyNumberFormat="1" applyFont="1" applyBorder="1" applyAlignment="1">
      <alignment horizontal="right" wrapText="1"/>
    </xf>
    <xf numFmtId="0" fontId="48" fillId="0" borderId="27" xfId="0" applyFont="1" applyBorder="1" applyAlignment="1">
      <alignment horizontal="center" vertical="top" wrapText="1"/>
    </xf>
    <xf numFmtId="0" fontId="63" fillId="0" borderId="28" xfId="0" applyFont="1" applyBorder="1" applyAlignment="1">
      <alignment horizontal="center" wrapText="1"/>
    </xf>
    <xf numFmtId="0" fontId="48" fillId="0" borderId="28" xfId="0" applyFont="1" applyBorder="1" applyAlignment="1">
      <alignment horizontal="center" vertical="top" wrapText="1"/>
    </xf>
    <xf numFmtId="41" fontId="64" fillId="0" borderId="96" xfId="0" applyNumberFormat="1" applyFont="1" applyBorder="1" applyAlignment="1">
      <alignment horizontal="right"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41" fontId="0" fillId="0" borderId="113" xfId="0" applyNumberFormat="1" applyBorder="1" applyAlignment="1">
      <alignment/>
    </xf>
    <xf numFmtId="41" fontId="0" fillId="0" borderId="114" xfId="0" applyNumberFormat="1" applyBorder="1" applyAlignment="1">
      <alignment/>
    </xf>
    <xf numFmtId="41" fontId="0" fillId="0" borderId="115" xfId="0" applyNumberFormat="1" applyBorder="1" applyAlignment="1">
      <alignment/>
    </xf>
    <xf numFmtId="0" fontId="67" fillId="0" borderId="0" xfId="0" applyNumberFormat="1" applyFont="1" applyFill="1" applyBorder="1" applyAlignment="1" applyProtection="1">
      <alignment/>
      <protection/>
    </xf>
    <xf numFmtId="0" fontId="69" fillId="0" borderId="0" xfId="59" applyFont="1" applyAlignment="1">
      <alignment horizontal="center" vertical="center"/>
      <protection/>
    </xf>
    <xf numFmtId="0" fontId="70" fillId="0" borderId="0" xfId="59" applyFont="1" applyAlignment="1">
      <alignment horizontal="center" vertical="center"/>
      <protection/>
    </xf>
    <xf numFmtId="0" fontId="20" fillId="0" borderId="0" xfId="59" applyFont="1" applyAlignment="1">
      <alignment horizontal="center" vertical="center"/>
      <protection/>
    </xf>
    <xf numFmtId="0" fontId="19" fillId="0" borderId="0" xfId="59" applyFont="1" applyAlignment="1">
      <alignment horizontal="center" vertical="center"/>
      <protection/>
    </xf>
    <xf numFmtId="0" fontId="13" fillId="0" borderId="0" xfId="59" applyFont="1" applyAlignment="1">
      <alignment horizontal="center" vertical="center"/>
      <protection/>
    </xf>
    <xf numFmtId="0" fontId="13" fillId="0" borderId="0" xfId="59" applyFont="1" applyAlignment="1">
      <alignment vertical="center"/>
      <protection/>
    </xf>
    <xf numFmtId="182" fontId="21" fillId="0" borderId="0" xfId="59" applyNumberFormat="1" applyFont="1" applyAlignment="1">
      <alignment horizontal="right" vertical="center"/>
      <protection/>
    </xf>
    <xf numFmtId="182" fontId="13" fillId="0" borderId="0" xfId="59" applyNumberFormat="1" applyFont="1" applyAlignment="1">
      <alignment horizontal="right" vertical="center"/>
      <protection/>
    </xf>
    <xf numFmtId="182" fontId="13" fillId="36" borderId="0" xfId="59" applyNumberFormat="1" applyFont="1" applyFill="1" applyAlignment="1">
      <alignment horizontal="right" vertical="center"/>
      <protection/>
    </xf>
    <xf numFmtId="0" fontId="20" fillId="0" borderId="0" xfId="59" applyFont="1" applyAlignment="1">
      <alignment vertical="center"/>
      <protection/>
    </xf>
    <xf numFmtId="0" fontId="71" fillId="0" borderId="0" xfId="61" applyFont="1" applyAlignment="1">
      <alignment horizontal="left" vertical="center"/>
      <protection/>
    </xf>
    <xf numFmtId="0" fontId="72" fillId="0" borderId="0" xfId="61" applyFont="1" applyAlignment="1">
      <alignment vertical="center"/>
      <protection/>
    </xf>
    <xf numFmtId="0" fontId="20" fillId="0" borderId="0" xfId="61" applyFont="1" applyAlignment="1">
      <alignment horizontal="left" vertical="center"/>
      <protection/>
    </xf>
    <xf numFmtId="0" fontId="73" fillId="0" borderId="0" xfId="61" applyFont="1" applyAlignment="1">
      <alignment horizontal="left" vertical="center"/>
      <protection/>
    </xf>
    <xf numFmtId="0" fontId="19" fillId="33" borderId="0" xfId="61" applyFont="1" applyFill="1" applyAlignment="1">
      <alignment horizontal="center" vertical="center"/>
      <protection/>
    </xf>
    <xf numFmtId="0" fontId="20" fillId="0" borderId="0" xfId="61" applyFont="1" applyAlignment="1">
      <alignment horizontal="center" vertical="center"/>
      <protection/>
    </xf>
    <xf numFmtId="0" fontId="13" fillId="0" borderId="0" xfId="61" applyFont="1" applyAlignment="1">
      <alignment horizontal="center" vertical="center"/>
      <protection/>
    </xf>
    <xf numFmtId="0" fontId="13" fillId="0" borderId="0" xfId="61" applyFont="1" applyAlignment="1">
      <alignment vertical="center"/>
      <protection/>
    </xf>
    <xf numFmtId="182" fontId="21" fillId="0" borderId="0" xfId="61" applyNumberFormat="1" applyFont="1" applyAlignment="1">
      <alignment horizontal="right" vertical="center"/>
      <protection/>
    </xf>
    <xf numFmtId="182" fontId="13" fillId="0" borderId="0" xfId="61" applyNumberFormat="1" applyFont="1" applyAlignment="1">
      <alignment horizontal="right" vertical="center"/>
      <protection/>
    </xf>
    <xf numFmtId="0" fontId="21" fillId="33" borderId="0" xfId="61" applyFont="1" applyFill="1" applyAlignment="1">
      <alignment vertical="center"/>
      <protection/>
    </xf>
    <xf numFmtId="182" fontId="13" fillId="33" borderId="0" xfId="61" applyNumberFormat="1" applyFont="1" applyFill="1" applyAlignment="1">
      <alignment horizontal="right" vertical="center"/>
      <protection/>
    </xf>
    <xf numFmtId="0" fontId="74" fillId="0" borderId="0" xfId="61" applyFont="1" applyAlignment="1">
      <alignment vertical="center"/>
      <protection/>
    </xf>
    <xf numFmtId="39" fontId="8" fillId="34" borderId="0" xfId="0" applyNumberFormat="1" applyFont="1" applyFill="1" applyBorder="1" applyAlignment="1">
      <alignment horizontal="right"/>
    </xf>
    <xf numFmtId="43" fontId="0" fillId="34" borderId="0" xfId="0" applyNumberFormat="1" applyFill="1" applyBorder="1" applyAlignment="1">
      <alignment horizontal="right"/>
    </xf>
    <xf numFmtId="182" fontId="12" fillId="0" borderId="0" xfId="59" applyNumberFormat="1" applyFill="1" applyBorder="1" applyAlignment="1" applyProtection="1">
      <alignment/>
      <protection/>
    </xf>
    <xf numFmtId="2" fontId="12" fillId="0" borderId="0" xfId="59" applyNumberFormat="1" applyFill="1" applyBorder="1" applyAlignment="1" applyProtection="1">
      <alignment/>
      <protection/>
    </xf>
    <xf numFmtId="195" fontId="12" fillId="0" borderId="0" xfId="59" applyNumberFormat="1" applyFill="1" applyBorder="1" applyAlignment="1" applyProtection="1">
      <alignment/>
      <protection/>
    </xf>
    <xf numFmtId="41" fontId="33" fillId="0" borderId="0" xfId="0" applyNumberFormat="1" applyFont="1" applyFill="1" applyAlignment="1">
      <alignment/>
    </xf>
    <xf numFmtId="41" fontId="15" fillId="0" borderId="11" xfId="0" applyNumberFormat="1" applyFont="1" applyFill="1" applyBorder="1" applyAlignment="1">
      <alignment horizontal="center"/>
    </xf>
    <xf numFmtId="41" fontId="33" fillId="0" borderId="0" xfId="42" applyNumberFormat="1" applyFont="1" applyFill="1" applyAlignment="1">
      <alignment/>
    </xf>
    <xf numFmtId="41" fontId="35" fillId="0" borderId="0" xfId="42" applyNumberFormat="1" applyFont="1" applyFill="1" applyAlignment="1">
      <alignment horizontal="right" vertical="center"/>
    </xf>
    <xf numFmtId="41" fontId="33" fillId="0" borderId="21" xfId="42" applyNumberFormat="1" applyFont="1" applyFill="1" applyBorder="1" applyAlignment="1">
      <alignment/>
    </xf>
    <xf numFmtId="41" fontId="35" fillId="0" borderId="0" xfId="0" applyNumberFormat="1" applyFont="1" applyFill="1" applyAlignment="1">
      <alignment horizontal="right" vertical="center"/>
    </xf>
    <xf numFmtId="41" fontId="33" fillId="0" borderId="10" xfId="42" applyNumberFormat="1" applyFont="1" applyFill="1" applyBorder="1" applyAlignment="1">
      <alignment/>
    </xf>
    <xf numFmtId="41" fontId="15" fillId="0" borderId="0" xfId="42" applyNumberFormat="1" applyFont="1" applyFill="1" applyAlignment="1">
      <alignment/>
    </xf>
    <xf numFmtId="41" fontId="15" fillId="0" borderId="0" xfId="0" applyNumberFormat="1" applyFont="1" applyFill="1" applyAlignment="1">
      <alignment/>
    </xf>
    <xf numFmtId="41" fontId="33" fillId="0" borderId="0" xfId="0" applyNumberFormat="1" applyFont="1" applyFill="1" applyBorder="1" applyAlignment="1">
      <alignment/>
    </xf>
    <xf numFmtId="41" fontId="1" fillId="0" borderId="0" xfId="42" applyNumberFormat="1" applyFont="1" applyAlignment="1">
      <alignment/>
    </xf>
    <xf numFmtId="41" fontId="3" fillId="0" borderId="11" xfId="42" applyNumberFormat="1" applyFont="1" applyBorder="1" applyAlignment="1">
      <alignment horizontal="center"/>
    </xf>
    <xf numFmtId="41" fontId="1" fillId="0" borderId="0" xfId="42" applyNumberFormat="1" applyFont="1" applyFill="1" applyAlignment="1">
      <alignment/>
    </xf>
    <xf numFmtId="41" fontId="1" fillId="0" borderId="10" xfId="42" applyNumberFormat="1" applyFont="1" applyBorder="1" applyAlignment="1">
      <alignment/>
    </xf>
    <xf numFmtId="41" fontId="1" fillId="0" borderId="0" xfId="42" applyNumberFormat="1" applyFont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Border="1" applyAlignment="1">
      <alignment/>
    </xf>
    <xf numFmtId="41" fontId="10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3" fontId="42" fillId="0" borderId="13" xfId="60" applyNumberFormat="1" applyFont="1" applyBorder="1" applyAlignment="1">
      <alignment horizontal="right"/>
      <protection/>
    </xf>
    <xf numFmtId="43" fontId="0" fillId="0" borderId="0" xfId="0" applyNumberFormat="1" applyFont="1" applyAlignment="1">
      <alignment/>
    </xf>
    <xf numFmtId="3" fontId="12" fillId="0" borderId="0" xfId="59" applyNumberFormat="1" applyFill="1" applyBorder="1" applyAlignment="1" applyProtection="1">
      <alignment/>
      <protection/>
    </xf>
    <xf numFmtId="0" fontId="42" fillId="0" borderId="101" xfId="60" applyFont="1" applyBorder="1" applyAlignment="1">
      <alignment horizontal="right"/>
      <protection/>
    </xf>
    <xf numFmtId="39" fontId="8" fillId="0" borderId="11" xfId="0" applyNumberFormat="1" applyFont="1" applyFill="1" applyBorder="1" applyAlignment="1">
      <alignment horizontal="center"/>
    </xf>
    <xf numFmtId="39" fontId="8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9" fontId="7" fillId="0" borderId="0" xfId="0" applyNumberFormat="1" applyFont="1" applyFill="1" applyAlignment="1">
      <alignment horizontal="right"/>
    </xf>
    <xf numFmtId="39" fontId="7" fillId="0" borderId="0" xfId="0" applyNumberFormat="1" applyFont="1" applyFill="1" applyBorder="1" applyAlignment="1">
      <alignment horizontal="left"/>
    </xf>
    <xf numFmtId="39" fontId="10" fillId="0" borderId="0" xfId="0" applyNumberFormat="1" applyFont="1" applyFill="1" applyAlignment="1">
      <alignment horizontal="center"/>
    </xf>
    <xf numFmtId="39" fontId="10" fillId="0" borderId="10" xfId="0" applyNumberFormat="1" applyFont="1" applyFill="1" applyBorder="1" applyAlignment="1">
      <alignment/>
    </xf>
    <xf numFmtId="39" fontId="10" fillId="0" borderId="0" xfId="0" applyNumberFormat="1" applyFont="1" applyFill="1" applyAlignment="1">
      <alignment/>
    </xf>
    <xf numFmtId="39" fontId="11" fillId="0" borderId="0" xfId="0" applyNumberFormat="1" applyFont="1" applyFill="1" applyAlignment="1">
      <alignment/>
    </xf>
    <xf numFmtId="43" fontId="1" fillId="0" borderId="0" xfId="42" applyFont="1" applyFill="1" applyAlignment="1">
      <alignment horizontal="right"/>
    </xf>
    <xf numFmtId="39" fontId="7" fillId="0" borderId="21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Alignment="1">
      <alignment horizontal="center"/>
    </xf>
    <xf numFmtId="41" fontId="10" fillId="0" borderId="0" xfId="0" applyNumberFormat="1" applyFont="1" applyFill="1" applyAlignment="1">
      <alignment horizontal="right"/>
    </xf>
    <xf numFmtId="41" fontId="7" fillId="0" borderId="0" xfId="0" applyNumberFormat="1" applyFont="1" applyFill="1" applyAlignment="1">
      <alignment horizontal="right"/>
    </xf>
    <xf numFmtId="41" fontId="1" fillId="0" borderId="0" xfId="0" applyNumberFormat="1" applyFont="1" applyAlignment="1">
      <alignment/>
    </xf>
    <xf numFmtId="0" fontId="68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13" xfId="0" applyNumberFormat="1" applyFont="1" applyFill="1" applyBorder="1" applyAlignment="1" applyProtection="1">
      <alignment horizontal="center" vertical="center"/>
      <protection/>
    </xf>
    <xf numFmtId="196" fontId="40" fillId="0" borderId="31" xfId="62" applyNumberFormat="1" applyFont="1" applyBorder="1" applyAlignment="1" applyProtection="1">
      <alignment horizontal="center" vertical="center" wrapText="1"/>
      <protection locked="0"/>
    </xf>
    <xf numFmtId="0" fontId="1" fillId="0" borderId="41" xfId="0" applyNumberFormat="1" applyFont="1" applyFill="1" applyBorder="1" applyAlignment="1" applyProtection="1">
      <alignment/>
      <protection/>
    </xf>
    <xf numFmtId="196" fontId="3" fillId="0" borderId="0" xfId="62" applyNumberFormat="1" applyFont="1" applyFill="1" applyBorder="1" applyAlignment="1">
      <alignment horizontal="center" vertical="center"/>
      <protection/>
    </xf>
    <xf numFmtId="4" fontId="60" fillId="0" borderId="13" xfId="0" applyNumberFormat="1" applyFont="1" applyFill="1" applyBorder="1" applyAlignment="1">
      <alignment horizontal="right" vertical="top"/>
    </xf>
    <xf numFmtId="0" fontId="4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95" xfId="0" applyFont="1" applyBorder="1" applyAlignment="1">
      <alignment horizontal="center" vertical="center"/>
    </xf>
    <xf numFmtId="0" fontId="51" fillId="0" borderId="13" xfId="60" applyFont="1" applyBorder="1" applyAlignment="1">
      <alignment horizontal="left"/>
      <protection/>
    </xf>
    <xf numFmtId="0" fontId="2" fillId="0" borderId="13" xfId="60" applyFont="1" applyBorder="1" applyAlignment="1">
      <alignment horizontal="left"/>
      <protection/>
    </xf>
    <xf numFmtId="0" fontId="52" fillId="0" borderId="13" xfId="60" applyFont="1" applyBorder="1" applyAlignment="1">
      <alignment horizontal="left"/>
      <protection/>
    </xf>
    <xf numFmtId="0" fontId="52" fillId="0" borderId="106" xfId="60" applyFont="1" applyBorder="1" applyAlignment="1">
      <alignment horizontal="left"/>
      <protection/>
    </xf>
    <xf numFmtId="0" fontId="2" fillId="0" borderId="13" xfId="64" applyFont="1" applyFill="1" applyBorder="1" applyAlignment="1">
      <alignment horizontal="left" wrapText="1"/>
      <protection/>
    </xf>
    <xf numFmtId="0" fontId="51" fillId="0" borderId="13" xfId="60" applyFont="1" applyBorder="1" applyAlignment="1">
      <alignment horizontal="left" wrapText="1"/>
      <protection/>
    </xf>
    <xf numFmtId="0" fontId="52" fillId="0" borderId="13" xfId="64" applyFont="1" applyFill="1" applyBorder="1" applyAlignment="1">
      <alignment horizontal="left" wrapText="1"/>
      <protection/>
    </xf>
    <xf numFmtId="0" fontId="51" fillId="0" borderId="13" xfId="64" applyFont="1" applyFill="1" applyBorder="1" applyAlignment="1">
      <alignment horizontal="left" wrapText="1"/>
      <protection/>
    </xf>
    <xf numFmtId="0" fontId="2" fillId="0" borderId="13" xfId="60" applyFont="1" applyBorder="1" applyAlignment="1">
      <alignment horizontal="left" wrapText="1"/>
      <protection/>
    </xf>
    <xf numFmtId="0" fontId="47" fillId="0" borderId="100" xfId="60" applyFont="1" applyBorder="1" applyAlignment="1">
      <alignment horizontal="left" wrapText="1"/>
      <protection/>
    </xf>
    <xf numFmtId="0" fontId="47" fillId="0" borderId="13" xfId="60" applyFont="1" applyBorder="1" applyAlignment="1">
      <alignment horizontal="left" wrapText="1"/>
      <protection/>
    </xf>
    <xf numFmtId="0" fontId="42" fillId="0" borderId="100" xfId="60" applyFont="1" applyBorder="1" applyAlignment="1">
      <alignment horizontal="left" wrapText="1"/>
      <protection/>
    </xf>
    <xf numFmtId="0" fontId="42" fillId="0" borderId="13" xfId="60" applyFont="1" applyBorder="1" applyAlignment="1">
      <alignment horizontal="left" wrapText="1"/>
      <protection/>
    </xf>
    <xf numFmtId="0" fontId="42" fillId="0" borderId="106" xfId="60" applyFont="1" applyBorder="1" applyAlignment="1">
      <alignment horizontal="left" wrapText="1"/>
      <protection/>
    </xf>
    <xf numFmtId="2" fontId="42" fillId="0" borderId="15" xfId="60" applyNumberFormat="1" applyFont="1" applyBorder="1" applyAlignment="1">
      <alignment horizontal="center" wrapText="1"/>
      <protection/>
    </xf>
    <xf numFmtId="2" fontId="42" fillId="0" borderId="16" xfId="60" applyNumberFormat="1" applyFont="1" applyBorder="1" applyAlignment="1">
      <alignment horizontal="center" wrapText="1"/>
      <protection/>
    </xf>
    <xf numFmtId="2" fontId="42" fillId="0" borderId="17" xfId="60" applyNumberFormat="1" applyFont="1" applyBorder="1" applyAlignment="1">
      <alignment horizontal="center" wrapText="1"/>
      <protection/>
    </xf>
    <xf numFmtId="0" fontId="50" fillId="0" borderId="29" xfId="60" applyFont="1" applyBorder="1" applyAlignment="1">
      <alignment horizontal="center" wrapText="1"/>
      <protection/>
    </xf>
    <xf numFmtId="0" fontId="50" fillId="0" borderId="116" xfId="60" applyFont="1" applyBorder="1" applyAlignment="1">
      <alignment horizontal="center" wrapText="1"/>
      <protection/>
    </xf>
    <xf numFmtId="0" fontId="50" fillId="0" borderId="117" xfId="60" applyFont="1" applyBorder="1" applyAlignment="1">
      <alignment horizontal="center" wrapText="1"/>
      <protection/>
    </xf>
    <xf numFmtId="0" fontId="51" fillId="0" borderId="20" xfId="60" applyFont="1" applyBorder="1" applyAlignment="1">
      <alignment horizontal="left" wrapText="1"/>
      <protection/>
    </xf>
    <xf numFmtId="0" fontId="51" fillId="0" borderId="95" xfId="60" applyFont="1" applyBorder="1" applyAlignment="1">
      <alignment horizontal="left" wrapText="1"/>
      <protection/>
    </xf>
    <xf numFmtId="0" fontId="42" fillId="0" borderId="21" xfId="60" applyFont="1" applyBorder="1" applyAlignment="1">
      <alignment horizontal="left" wrapText="1"/>
      <protection/>
    </xf>
    <xf numFmtId="0" fontId="0" fillId="0" borderId="21" xfId="60" applyFont="1" applyBorder="1" applyAlignment="1">
      <alignment horizontal="left" wrapText="1"/>
      <protection/>
    </xf>
    <xf numFmtId="0" fontId="0" fillId="0" borderId="100" xfId="60" applyFont="1" applyBorder="1" applyAlignment="1">
      <alignment horizontal="left" wrapText="1"/>
      <protection/>
    </xf>
    <xf numFmtId="0" fontId="0" fillId="0" borderId="21" xfId="60" applyFont="1" applyBorder="1" applyAlignment="1">
      <alignment horizontal="center" wrapText="1"/>
      <protection/>
    </xf>
    <xf numFmtId="0" fontId="0" fillId="0" borderId="100" xfId="60" applyFont="1" applyBorder="1" applyAlignment="1">
      <alignment horizontal="center" wrapText="1"/>
      <protection/>
    </xf>
    <xf numFmtId="2" fontId="42" fillId="0" borderId="22" xfId="60" applyNumberFormat="1" applyFont="1" applyBorder="1" applyAlignment="1">
      <alignment horizontal="center" wrapText="1"/>
      <protection/>
    </xf>
    <xf numFmtId="2" fontId="42" fillId="0" borderId="21" xfId="60" applyNumberFormat="1" applyFont="1" applyBorder="1" applyAlignment="1">
      <alignment horizontal="center" wrapText="1"/>
      <protection/>
    </xf>
    <xf numFmtId="2" fontId="42" fillId="0" borderId="100" xfId="60" applyNumberFormat="1" applyFont="1" applyBorder="1" applyAlignment="1">
      <alignment horizontal="center" wrapText="1"/>
      <protection/>
    </xf>
    <xf numFmtId="2" fontId="50" fillId="0" borderId="0" xfId="60" applyNumberFormat="1" applyFont="1" applyBorder="1" applyAlignment="1">
      <alignment horizontal="center" wrapText="1"/>
      <protection/>
    </xf>
    <xf numFmtId="2" fontId="50" fillId="0" borderId="14" xfId="60" applyNumberFormat="1" applyFont="1" applyBorder="1" applyAlignment="1">
      <alignment horizontal="center" wrapText="1"/>
      <protection/>
    </xf>
    <xf numFmtId="0" fontId="42" fillId="0" borderId="118" xfId="60" applyFont="1" applyBorder="1" applyAlignment="1">
      <alignment horizontal="left" wrapText="1"/>
      <protection/>
    </xf>
    <xf numFmtId="0" fontId="42" fillId="0" borderId="98" xfId="60" applyFont="1" applyBorder="1" applyAlignment="1">
      <alignment horizontal="left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omma_Levizja e Mjeteve Kryesore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ardhshpe cact" xfId="59"/>
    <cellStyle name="Normal_asn_2009 Propozimet" xfId="60"/>
    <cellStyle name="Normal_bilanc cact" xfId="61"/>
    <cellStyle name="Normal_Documents C1 à C8 ENGLISH" xfId="62"/>
    <cellStyle name="Normal_Levizja e Mjeteve Kryesore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qerama.BIDIGROUP\Desktop\shteti%20inventar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ntar 2009"/>
      <sheetName val="Sheet1"/>
    </sheetNames>
    <sheetDataSet>
      <sheetData sheetId="0">
        <row r="8">
          <cell r="B8" t="str">
            <v>Finitrice super 1800</v>
          </cell>
          <cell r="F8">
            <v>30135000</v>
          </cell>
        </row>
        <row r="9">
          <cell r="F9">
            <v>23985000</v>
          </cell>
        </row>
        <row r="10">
          <cell r="B10" t="str">
            <v>Rul I vogel</v>
          </cell>
          <cell r="F10">
            <v>2460000</v>
          </cell>
        </row>
        <row r="12">
          <cell r="F12">
            <v>7864800</v>
          </cell>
        </row>
        <row r="15">
          <cell r="F15">
            <v>13343331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.421875" style="35" customWidth="1"/>
    <col min="2" max="2" width="1.7109375" style="35" customWidth="1"/>
    <col min="3" max="3" width="11.140625" style="35" customWidth="1"/>
    <col min="4" max="4" width="9.140625" style="35" customWidth="1"/>
    <col min="5" max="5" width="5.57421875" style="35" customWidth="1"/>
    <col min="6" max="9" width="9.140625" style="35" customWidth="1"/>
    <col min="10" max="10" width="34.00390625" style="35" customWidth="1"/>
    <col min="11" max="16384" width="9.140625" style="35" customWidth="1"/>
  </cols>
  <sheetData>
    <row r="2" spans="1:10" ht="14.25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6.5">
      <c r="A3" s="103"/>
      <c r="B3" s="104"/>
      <c r="C3" s="105"/>
      <c r="D3" s="105"/>
      <c r="E3" s="105"/>
      <c r="F3" s="105"/>
      <c r="G3" s="105"/>
      <c r="H3" s="105"/>
      <c r="I3" s="105"/>
      <c r="J3" s="106"/>
    </row>
    <row r="4" spans="1:10" ht="16.5">
      <c r="A4" s="103"/>
      <c r="B4" s="107"/>
      <c r="C4" s="108" t="s">
        <v>536</v>
      </c>
      <c r="D4" s="108"/>
      <c r="E4" s="108"/>
      <c r="F4" s="118" t="s">
        <v>783</v>
      </c>
      <c r="G4" s="109"/>
      <c r="H4" s="109"/>
      <c r="I4" s="109"/>
      <c r="J4" s="110"/>
    </row>
    <row r="5" spans="1:10" ht="16.5">
      <c r="A5" s="103"/>
      <c r="B5" s="107"/>
      <c r="C5" s="108" t="s">
        <v>537</v>
      </c>
      <c r="D5" s="108"/>
      <c r="E5" s="108"/>
      <c r="F5" s="500" t="s">
        <v>784</v>
      </c>
      <c r="G5" s="109"/>
      <c r="H5" s="109"/>
      <c r="I5" s="109"/>
      <c r="J5" s="110"/>
    </row>
    <row r="6" spans="1:10" ht="16.5">
      <c r="A6" s="103"/>
      <c r="B6" s="107"/>
      <c r="C6" s="108" t="s">
        <v>538</v>
      </c>
      <c r="D6" s="108"/>
      <c r="E6" s="108"/>
      <c r="F6" s="109" t="s">
        <v>547</v>
      </c>
      <c r="G6" s="109"/>
      <c r="H6" s="109"/>
      <c r="I6" s="109"/>
      <c r="J6" s="110"/>
    </row>
    <row r="7" spans="1:10" ht="16.5">
      <c r="A7" s="103"/>
      <c r="B7" s="107"/>
      <c r="C7" s="108"/>
      <c r="D7" s="108"/>
      <c r="E7" s="108"/>
      <c r="F7" s="109"/>
      <c r="G7" s="109"/>
      <c r="H7" s="109"/>
      <c r="I7" s="109"/>
      <c r="J7" s="110"/>
    </row>
    <row r="8" spans="1:10" ht="16.5">
      <c r="A8" s="103"/>
      <c r="B8" s="107"/>
      <c r="C8" s="108" t="s">
        <v>539</v>
      </c>
      <c r="D8" s="108"/>
      <c r="E8" s="108"/>
      <c r="F8" s="109" t="s">
        <v>785</v>
      </c>
      <c r="G8" s="109"/>
      <c r="H8" s="109"/>
      <c r="I8" s="109"/>
      <c r="J8" s="110"/>
    </row>
    <row r="9" spans="1:10" ht="16.5">
      <c r="A9" s="103"/>
      <c r="B9" s="107"/>
      <c r="C9" s="109" t="s">
        <v>540</v>
      </c>
      <c r="D9" s="108"/>
      <c r="E9" s="108"/>
      <c r="F9" s="109">
        <v>37803</v>
      </c>
      <c r="G9" s="109"/>
      <c r="H9" s="109"/>
      <c r="I9" s="109"/>
      <c r="J9" s="110"/>
    </row>
    <row r="10" spans="1:10" ht="16.5">
      <c r="A10" s="103"/>
      <c r="B10" s="107"/>
      <c r="C10" s="108" t="s">
        <v>541</v>
      </c>
      <c r="D10" s="108"/>
      <c r="E10" s="108"/>
      <c r="F10" s="109" t="s">
        <v>786</v>
      </c>
      <c r="G10" s="109"/>
      <c r="H10" s="109"/>
      <c r="I10" s="109"/>
      <c r="J10" s="110"/>
    </row>
    <row r="11" spans="1:10" ht="16.5">
      <c r="A11" s="103"/>
      <c r="B11" s="107"/>
      <c r="C11" s="111"/>
      <c r="D11" s="111"/>
      <c r="E11" s="111"/>
      <c r="F11" s="109" t="s">
        <v>787</v>
      </c>
      <c r="G11" s="109"/>
      <c r="H11" s="109"/>
      <c r="I11" s="109"/>
      <c r="J11" s="102"/>
    </row>
    <row r="12" spans="1:10" ht="16.5">
      <c r="A12" s="103"/>
      <c r="B12" s="107"/>
      <c r="C12" s="112"/>
      <c r="D12" s="111"/>
      <c r="E12" s="111"/>
      <c r="F12" s="112"/>
      <c r="G12" s="109"/>
      <c r="H12" s="109"/>
      <c r="I12" s="109"/>
      <c r="J12" s="102"/>
    </row>
    <row r="13" spans="1:10" ht="16.5">
      <c r="A13" s="103"/>
      <c r="B13" s="113"/>
      <c r="C13" s="112"/>
      <c r="D13" s="111"/>
      <c r="E13" s="111"/>
      <c r="F13" s="111"/>
      <c r="G13" s="111"/>
      <c r="H13" s="111"/>
      <c r="I13" s="111"/>
      <c r="J13" s="102"/>
    </row>
    <row r="14" spans="1:10" ht="16.5">
      <c r="A14" s="103"/>
      <c r="B14" s="107"/>
      <c r="C14" s="111"/>
      <c r="D14" s="111"/>
      <c r="E14" s="111"/>
      <c r="F14" s="111"/>
      <c r="G14" s="111"/>
      <c r="H14" s="111"/>
      <c r="I14" s="111"/>
      <c r="J14" s="102"/>
    </row>
    <row r="15" spans="1:10" ht="16.5">
      <c r="A15" s="103"/>
      <c r="B15" s="107"/>
      <c r="C15" s="111"/>
      <c r="D15" s="111"/>
      <c r="E15" s="111"/>
      <c r="F15" s="111"/>
      <c r="G15" s="111"/>
      <c r="H15" s="111"/>
      <c r="I15" s="111"/>
      <c r="J15" s="102"/>
    </row>
    <row r="16" spans="1:10" ht="16.5">
      <c r="A16" s="103"/>
      <c r="B16" s="107"/>
      <c r="C16" s="111"/>
      <c r="D16" s="111"/>
      <c r="E16" s="111"/>
      <c r="F16" s="111"/>
      <c r="G16" s="111"/>
      <c r="H16" s="111"/>
      <c r="I16" s="111"/>
      <c r="J16" s="102"/>
    </row>
    <row r="17" spans="1:10" ht="25.5">
      <c r="A17" s="103"/>
      <c r="B17" s="107"/>
      <c r="C17" s="569" t="s">
        <v>788</v>
      </c>
      <c r="D17" s="569"/>
      <c r="E17" s="569"/>
      <c r="F17" s="569"/>
      <c r="G17" s="569"/>
      <c r="H17" s="569"/>
      <c r="I17" s="569"/>
      <c r="J17" s="102"/>
    </row>
    <row r="18" spans="1:10" ht="16.5">
      <c r="A18" s="103"/>
      <c r="B18" s="107"/>
      <c r="C18" s="570" t="s">
        <v>789</v>
      </c>
      <c r="D18" s="570"/>
      <c r="E18" s="570"/>
      <c r="F18" s="570"/>
      <c r="G18" s="570"/>
      <c r="H18" s="570"/>
      <c r="I18" s="570"/>
      <c r="J18" s="102"/>
    </row>
    <row r="19" spans="1:10" ht="16.5">
      <c r="A19" s="103"/>
      <c r="B19" s="107"/>
      <c r="C19" s="111"/>
      <c r="D19" s="111"/>
      <c r="E19" s="111"/>
      <c r="F19" s="111"/>
      <c r="G19" s="111"/>
      <c r="H19" s="111"/>
      <c r="I19" s="111"/>
      <c r="J19" s="102"/>
    </row>
    <row r="20" spans="1:10" ht="25.5">
      <c r="A20" s="103"/>
      <c r="B20" s="107"/>
      <c r="C20" s="112"/>
      <c r="D20" s="111"/>
      <c r="E20" s="111"/>
      <c r="F20" s="568" t="s">
        <v>573</v>
      </c>
      <c r="G20" s="568"/>
      <c r="H20" s="568"/>
      <c r="I20" s="111"/>
      <c r="J20" s="102"/>
    </row>
    <row r="21" spans="1:10" ht="16.5">
      <c r="A21" s="103"/>
      <c r="B21" s="107"/>
      <c r="C21" s="111"/>
      <c r="D21" s="111"/>
      <c r="E21" s="111"/>
      <c r="F21" s="111"/>
      <c r="G21" s="111"/>
      <c r="H21" s="111"/>
      <c r="I21" s="111"/>
      <c r="J21" s="102"/>
    </row>
    <row r="22" spans="1:10" ht="16.5">
      <c r="A22" s="103"/>
      <c r="B22" s="107"/>
      <c r="C22" s="111"/>
      <c r="D22" s="111"/>
      <c r="E22" s="111"/>
      <c r="F22" s="111"/>
      <c r="G22" s="111"/>
      <c r="H22" s="111"/>
      <c r="I22" s="111"/>
      <c r="J22" s="102"/>
    </row>
    <row r="23" spans="1:10" ht="16.5">
      <c r="A23" s="103"/>
      <c r="B23" s="107"/>
      <c r="C23" s="111"/>
      <c r="D23" s="111"/>
      <c r="E23" s="111"/>
      <c r="F23" s="111"/>
      <c r="G23" s="111"/>
      <c r="H23" s="111"/>
      <c r="I23" s="111"/>
      <c r="J23" s="102"/>
    </row>
    <row r="24" spans="1:10" ht="16.5">
      <c r="A24" s="103"/>
      <c r="B24" s="107"/>
      <c r="C24" s="111"/>
      <c r="D24" s="111"/>
      <c r="E24" s="111"/>
      <c r="F24" s="111"/>
      <c r="G24" s="111"/>
      <c r="H24" s="111"/>
      <c r="I24" s="111"/>
      <c r="J24" s="102"/>
    </row>
    <row r="25" spans="1:10" ht="16.5">
      <c r="A25" s="103"/>
      <c r="B25" s="107"/>
      <c r="C25" s="111"/>
      <c r="D25" s="111"/>
      <c r="E25" s="111"/>
      <c r="F25" s="111"/>
      <c r="G25" s="111"/>
      <c r="H25" s="111"/>
      <c r="I25" s="111"/>
      <c r="J25" s="102"/>
    </row>
    <row r="26" spans="1:10" ht="16.5">
      <c r="A26" s="103"/>
      <c r="B26" s="107"/>
      <c r="C26" s="111"/>
      <c r="D26" s="112"/>
      <c r="E26" s="112"/>
      <c r="F26" s="112"/>
      <c r="G26" s="112"/>
      <c r="H26" s="112"/>
      <c r="I26" s="112"/>
      <c r="J26" s="102"/>
    </row>
    <row r="27" spans="1:10" ht="16.5">
      <c r="A27" s="103"/>
      <c r="B27" s="107"/>
      <c r="C27" s="111"/>
      <c r="D27" s="112"/>
      <c r="E27" s="112"/>
      <c r="F27" s="112"/>
      <c r="G27" s="112"/>
      <c r="H27" s="112"/>
      <c r="I27" s="112"/>
      <c r="J27" s="102"/>
    </row>
    <row r="28" spans="1:10" ht="16.5">
      <c r="A28" s="103"/>
      <c r="B28" s="107"/>
      <c r="C28" s="111"/>
      <c r="D28" s="112"/>
      <c r="E28" s="112"/>
      <c r="F28" s="112"/>
      <c r="G28" s="112"/>
      <c r="H28" s="112"/>
      <c r="I28" s="112"/>
      <c r="J28" s="102"/>
    </row>
    <row r="29" spans="1:10" ht="16.5">
      <c r="A29" s="103"/>
      <c r="B29" s="107"/>
      <c r="C29" s="111"/>
      <c r="D29" s="112"/>
      <c r="E29" s="112"/>
      <c r="F29" s="112"/>
      <c r="G29" s="112"/>
      <c r="H29" s="112"/>
      <c r="I29" s="112"/>
      <c r="J29" s="102"/>
    </row>
    <row r="30" spans="1:10" ht="16.5">
      <c r="A30" s="103"/>
      <c r="B30" s="107"/>
      <c r="D30" s="111" t="s">
        <v>542</v>
      </c>
      <c r="E30" s="112"/>
      <c r="F30" s="112"/>
      <c r="G30" s="112"/>
      <c r="H30" s="112"/>
      <c r="I30" s="112"/>
      <c r="J30" s="102"/>
    </row>
    <row r="31" spans="1:10" ht="16.5">
      <c r="A31" s="103"/>
      <c r="B31" s="107"/>
      <c r="D31" s="111"/>
      <c r="E31" s="112"/>
      <c r="F31" s="112"/>
      <c r="G31" s="112"/>
      <c r="H31" s="112"/>
      <c r="I31" s="112"/>
      <c r="J31" s="102"/>
    </row>
    <row r="32" spans="1:10" ht="16.5">
      <c r="A32" s="103"/>
      <c r="B32" s="107"/>
      <c r="D32" s="111" t="s">
        <v>543</v>
      </c>
      <c r="E32" s="112"/>
      <c r="F32" s="112"/>
      <c r="H32" s="112" t="s">
        <v>544</v>
      </c>
      <c r="I32" s="112"/>
      <c r="J32" s="102"/>
    </row>
    <row r="33" spans="1:10" ht="16.5">
      <c r="A33" s="103"/>
      <c r="B33" s="107"/>
      <c r="D33" s="111"/>
      <c r="E33" s="112"/>
      <c r="F33" s="112"/>
      <c r="G33" s="112"/>
      <c r="H33" s="112"/>
      <c r="I33" s="112"/>
      <c r="J33" s="102"/>
    </row>
    <row r="34" spans="1:10" ht="16.5">
      <c r="A34" s="103"/>
      <c r="B34" s="107"/>
      <c r="D34" s="111" t="s">
        <v>545</v>
      </c>
      <c r="E34" s="112"/>
      <c r="F34" s="112"/>
      <c r="G34" s="112" t="s">
        <v>562</v>
      </c>
      <c r="H34" s="112"/>
      <c r="I34" s="112"/>
      <c r="J34" s="102"/>
    </row>
    <row r="35" spans="1:10" ht="16.5">
      <c r="A35" s="103"/>
      <c r="B35" s="107"/>
      <c r="D35" s="111"/>
      <c r="E35" s="112"/>
      <c r="F35" s="112"/>
      <c r="G35" s="112"/>
      <c r="H35" s="112"/>
      <c r="I35" s="112"/>
      <c r="J35" s="102"/>
    </row>
    <row r="36" spans="1:10" ht="16.5">
      <c r="A36" s="103"/>
      <c r="B36" s="107"/>
      <c r="D36" s="111" t="s">
        <v>546</v>
      </c>
      <c r="E36" s="112"/>
      <c r="F36" s="112"/>
      <c r="H36" s="112" t="s">
        <v>563</v>
      </c>
      <c r="I36" s="112"/>
      <c r="J36" s="102"/>
    </row>
    <row r="37" spans="1:10" ht="16.5">
      <c r="A37" s="103"/>
      <c r="B37" s="107"/>
      <c r="C37" s="111"/>
      <c r="D37" s="112"/>
      <c r="E37" s="112"/>
      <c r="F37" s="112"/>
      <c r="G37" s="112"/>
      <c r="H37" s="112"/>
      <c r="I37" s="112"/>
      <c r="J37" s="102"/>
    </row>
    <row r="38" spans="1:10" ht="16.5">
      <c r="A38" s="103"/>
      <c r="B38" s="107"/>
      <c r="C38" s="111"/>
      <c r="D38" s="111"/>
      <c r="E38" s="111"/>
      <c r="F38" s="111"/>
      <c r="G38" s="111"/>
      <c r="H38" s="111"/>
      <c r="I38" s="111"/>
      <c r="J38" s="102"/>
    </row>
    <row r="39" spans="1:10" ht="16.5">
      <c r="A39" s="103"/>
      <c r="B39" s="114"/>
      <c r="C39" s="115"/>
      <c r="D39" s="115"/>
      <c r="E39" s="115"/>
      <c r="F39" s="115"/>
      <c r="G39" s="115"/>
      <c r="H39" s="115"/>
      <c r="I39" s="115"/>
      <c r="J39" s="116"/>
    </row>
    <row r="40" spans="1:10" ht="16.5">
      <c r="A40" s="103"/>
      <c r="B40" s="117"/>
      <c r="C40" s="117"/>
      <c r="D40" s="117"/>
      <c r="E40" s="117"/>
      <c r="F40" s="117"/>
      <c r="G40" s="117"/>
      <c r="H40" s="117"/>
      <c r="I40" s="117"/>
      <c r="J40" s="117"/>
    </row>
  </sheetData>
  <sheetProtection/>
  <mergeCells count="3">
    <mergeCell ref="F20:H20"/>
    <mergeCell ref="C17:I17"/>
    <mergeCell ref="C18:I18"/>
  </mergeCells>
  <printOptions/>
  <pageMargins left="0.25" right="0.3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J39" sqref="J39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2.14062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ht="15">
      <c r="B1" s="319" t="s">
        <v>812</v>
      </c>
    </row>
    <row r="2" ht="12.75">
      <c r="B2" s="320" t="s">
        <v>813</v>
      </c>
    </row>
    <row r="3" ht="12.75">
      <c r="B3" s="320"/>
    </row>
    <row r="4" spans="2:7" ht="15.75">
      <c r="B4" s="579" t="s">
        <v>579</v>
      </c>
      <c r="C4" s="579"/>
      <c r="D4" s="579"/>
      <c r="E4" s="579"/>
      <c r="F4" s="579"/>
      <c r="G4" s="579"/>
    </row>
    <row r="6" spans="1:7" ht="12.75">
      <c r="A6" s="580" t="s">
        <v>166</v>
      </c>
      <c r="B6" s="582" t="s">
        <v>580</v>
      </c>
      <c r="C6" s="580" t="s">
        <v>581</v>
      </c>
      <c r="D6" s="321" t="s">
        <v>582</v>
      </c>
      <c r="E6" s="580" t="s">
        <v>583</v>
      </c>
      <c r="F6" s="580" t="s">
        <v>584</v>
      </c>
      <c r="G6" s="321" t="s">
        <v>582</v>
      </c>
    </row>
    <row r="7" spans="1:9" ht="12.75">
      <c r="A7" s="581"/>
      <c r="B7" s="583"/>
      <c r="C7" s="581"/>
      <c r="D7" s="322">
        <v>40179</v>
      </c>
      <c r="E7" s="581"/>
      <c r="F7" s="581"/>
      <c r="G7" s="322">
        <v>40543</v>
      </c>
      <c r="H7" s="323"/>
      <c r="I7" s="323"/>
    </row>
    <row r="8" spans="1:9" ht="12.75">
      <c r="A8" s="324">
        <v>1</v>
      </c>
      <c r="B8" s="325" t="s">
        <v>476</v>
      </c>
      <c r="C8" s="324"/>
      <c r="D8" s="326"/>
      <c r="E8" s="326"/>
      <c r="F8" s="326"/>
      <c r="G8" s="326">
        <f aca="true" t="shared" si="0" ref="G8:G16">D8+E8-F8</f>
        <v>0</v>
      </c>
      <c r="H8" s="323"/>
      <c r="I8" s="323"/>
    </row>
    <row r="9" spans="1:9" ht="12.75">
      <c r="A9" s="324">
        <v>2</v>
      </c>
      <c r="B9" s="325" t="s">
        <v>585</v>
      </c>
      <c r="C9" s="324"/>
      <c r="D9" s="326"/>
      <c r="E9" s="326"/>
      <c r="F9" s="326"/>
      <c r="G9" s="326">
        <f t="shared" si="0"/>
        <v>0</v>
      </c>
      <c r="H9" s="327"/>
      <c r="I9" s="328"/>
    </row>
    <row r="10" spans="1:9" ht="12.75">
      <c r="A10" s="324">
        <v>3</v>
      </c>
      <c r="B10" s="329" t="s">
        <v>586</v>
      </c>
      <c r="C10" s="324"/>
      <c r="D10" s="326">
        <f>+'Aq&amp;AM'!H13</f>
        <v>9815949</v>
      </c>
      <c r="E10" s="326">
        <f>+'Aq&amp;AM'!H17</f>
        <v>0</v>
      </c>
      <c r="F10" s="326">
        <f>+'[1]inventar 2009'!$F$12</f>
        <v>7864800</v>
      </c>
      <c r="G10" s="326">
        <f t="shared" si="0"/>
        <v>1951149</v>
      </c>
      <c r="H10" s="327"/>
      <c r="I10" s="328"/>
    </row>
    <row r="11" spans="1:9" ht="12.75">
      <c r="A11" s="324">
        <v>4</v>
      </c>
      <c r="B11" s="329" t="s">
        <v>587</v>
      </c>
      <c r="C11" s="324"/>
      <c r="D11" s="326">
        <f>+'Aq&amp;AM'!I13</f>
        <v>69923331</v>
      </c>
      <c r="E11" s="326">
        <f>+'Aq&amp;AM'!I17</f>
        <v>0</v>
      </c>
      <c r="F11" s="326">
        <f>+'Aq&amp;AM'!I18</f>
        <v>0</v>
      </c>
      <c r="G11" s="326">
        <f t="shared" si="0"/>
        <v>69923331</v>
      </c>
      <c r="H11" s="327"/>
      <c r="I11" s="328"/>
    </row>
    <row r="12" spans="1:9" ht="12.75">
      <c r="A12" s="324">
        <v>5</v>
      </c>
      <c r="B12" s="329" t="s">
        <v>758</v>
      </c>
      <c r="C12" s="324"/>
      <c r="D12" s="326">
        <f>+'Aq&amp;AM'!J13</f>
        <v>3037131</v>
      </c>
      <c r="E12" s="423">
        <f>+'Aq&amp;AM'!J17</f>
        <v>321583</v>
      </c>
      <c r="F12" s="326">
        <f>+'Aq&amp;AM'!J18</f>
        <v>0</v>
      </c>
      <c r="G12" s="326">
        <f t="shared" si="0"/>
        <v>3358714</v>
      </c>
      <c r="H12" s="327"/>
      <c r="I12" s="328"/>
    </row>
    <row r="13" spans="1:9" ht="12.75">
      <c r="A13" s="324">
        <v>1</v>
      </c>
      <c r="B13" s="329"/>
      <c r="C13" s="324"/>
      <c r="D13" s="326"/>
      <c r="E13" s="326"/>
      <c r="F13" s="326"/>
      <c r="G13" s="326">
        <f t="shared" si="0"/>
        <v>0</v>
      </c>
      <c r="H13" s="327"/>
      <c r="I13" s="328"/>
    </row>
    <row r="14" spans="1:9" ht="12.75">
      <c r="A14" s="324">
        <v>2</v>
      </c>
      <c r="B14" s="331"/>
      <c r="C14" s="324"/>
      <c r="D14" s="326"/>
      <c r="E14" s="326"/>
      <c r="F14" s="326"/>
      <c r="G14" s="326">
        <f t="shared" si="0"/>
        <v>0</v>
      </c>
      <c r="H14" s="323"/>
      <c r="I14" s="323"/>
    </row>
    <row r="15" spans="1:9" ht="12.75">
      <c r="A15" s="324">
        <v>3</v>
      </c>
      <c r="B15" s="331"/>
      <c r="C15" s="324"/>
      <c r="D15" s="326"/>
      <c r="E15" s="326"/>
      <c r="F15" s="326"/>
      <c r="G15" s="326">
        <f t="shared" si="0"/>
        <v>0</v>
      </c>
      <c r="H15" s="323"/>
      <c r="I15" s="323"/>
    </row>
    <row r="16" spans="1:9" ht="13.5" thickBot="1">
      <c r="A16" s="332">
        <v>4</v>
      </c>
      <c r="B16" s="333"/>
      <c r="C16" s="332"/>
      <c r="D16" s="334"/>
      <c r="E16" s="334"/>
      <c r="F16" s="334"/>
      <c r="G16" s="334">
        <f t="shared" si="0"/>
        <v>0</v>
      </c>
      <c r="H16" s="323"/>
      <c r="I16" s="323"/>
    </row>
    <row r="17" spans="1:9" ht="13.5" thickBot="1">
      <c r="A17" s="335"/>
      <c r="B17" s="336" t="s">
        <v>588</v>
      </c>
      <c r="C17" s="337"/>
      <c r="D17" s="338">
        <f>SUM(D8:D16)</f>
        <v>82776411</v>
      </c>
      <c r="E17" s="338">
        <f>SUM(E8:E16)</f>
        <v>321583</v>
      </c>
      <c r="F17" s="338">
        <f>SUM(F8:F16)</f>
        <v>7864800</v>
      </c>
      <c r="G17" s="339">
        <f>SUM(G8:G16)</f>
        <v>75233194</v>
      </c>
      <c r="I17" s="340"/>
    </row>
    <row r="20" spans="2:9" ht="15.75">
      <c r="B20" s="579" t="s">
        <v>589</v>
      </c>
      <c r="C20" s="579"/>
      <c r="D20" s="579"/>
      <c r="E20" s="579"/>
      <c r="F20" s="579"/>
      <c r="G20" s="579"/>
      <c r="I20" s="340"/>
    </row>
    <row r="22" spans="1:7" ht="12.75">
      <c r="A22" s="580" t="s">
        <v>166</v>
      </c>
      <c r="B22" s="582" t="s">
        <v>580</v>
      </c>
      <c r="C22" s="580" t="s">
        <v>581</v>
      </c>
      <c r="D22" s="321" t="s">
        <v>582</v>
      </c>
      <c r="E22" s="580" t="s">
        <v>583</v>
      </c>
      <c r="F22" s="580" t="s">
        <v>584</v>
      </c>
      <c r="G22" s="321" t="s">
        <v>582</v>
      </c>
    </row>
    <row r="23" spans="1:7" ht="12.75">
      <c r="A23" s="581"/>
      <c r="B23" s="583"/>
      <c r="C23" s="581"/>
      <c r="D23" s="322">
        <v>40179</v>
      </c>
      <c r="E23" s="581"/>
      <c r="F23" s="581"/>
      <c r="G23" s="322">
        <v>40543</v>
      </c>
    </row>
    <row r="24" spans="1:7" ht="12.75">
      <c r="A24" s="324">
        <v>1</v>
      </c>
      <c r="B24" s="325" t="s">
        <v>476</v>
      </c>
      <c r="C24" s="324"/>
      <c r="D24" s="326">
        <v>0</v>
      </c>
      <c r="E24" s="326">
        <v>0</v>
      </c>
      <c r="F24" s="326"/>
      <c r="G24" s="326">
        <f>D24+E24</f>
        <v>0</v>
      </c>
    </row>
    <row r="25" spans="1:7" ht="12.75">
      <c r="A25" s="324">
        <v>2</v>
      </c>
      <c r="B25" s="325" t="s">
        <v>585</v>
      </c>
      <c r="C25" s="324"/>
      <c r="D25" s="326"/>
      <c r="E25" s="326"/>
      <c r="F25" s="326"/>
      <c r="G25" s="326">
        <f>D25+E25</f>
        <v>0</v>
      </c>
    </row>
    <row r="26" spans="1:7" ht="12.75">
      <c r="A26" s="324">
        <v>3</v>
      </c>
      <c r="B26" s="329" t="s">
        <v>590</v>
      </c>
      <c r="C26" s="324"/>
      <c r="D26" s="326">
        <f>+'Aq&amp;AM'!H14</f>
        <v>86025</v>
      </c>
      <c r="E26" s="424">
        <f>+'Aq&amp;AM'!H22</f>
        <v>390229.80000000005</v>
      </c>
      <c r="F26" s="326"/>
      <c r="G26" s="326">
        <f>D26+E26-F26</f>
        <v>476254.80000000005</v>
      </c>
    </row>
    <row r="27" spans="1:7" ht="12.75">
      <c r="A27" s="324">
        <v>4</v>
      </c>
      <c r="B27" s="329" t="s">
        <v>587</v>
      </c>
      <c r="C27" s="324"/>
      <c r="D27" s="326">
        <f>+'Aq&amp;AM'!I14</f>
        <v>8433249</v>
      </c>
      <c r="E27" s="425">
        <f>+'Aq&amp;AM'!I22</f>
        <v>13984666.200000001</v>
      </c>
      <c r="F27" s="326"/>
      <c r="G27" s="326">
        <f>D27+E27</f>
        <v>22417915.200000003</v>
      </c>
    </row>
    <row r="28" spans="1:7" ht="12.75">
      <c r="A28" s="324">
        <v>5</v>
      </c>
      <c r="B28" s="329" t="s">
        <v>758</v>
      </c>
      <c r="C28" s="324"/>
      <c r="D28" s="326">
        <f>+'Aq&amp;AM'!J14</f>
        <v>253927</v>
      </c>
      <c r="E28" s="424">
        <f>+'Aq&amp;AM'!J22</f>
        <v>607426.2000000001</v>
      </c>
      <c r="F28" s="326"/>
      <c r="G28" s="326">
        <f>D28+E28</f>
        <v>861353.2000000001</v>
      </c>
    </row>
    <row r="29" spans="1:7" ht="12.75">
      <c r="A29" s="324">
        <v>1</v>
      </c>
      <c r="B29" s="329"/>
      <c r="C29" s="324"/>
      <c r="D29" s="326"/>
      <c r="E29" s="326"/>
      <c r="F29" s="326"/>
      <c r="G29" s="326"/>
    </row>
    <row r="30" spans="1:7" ht="12.75">
      <c r="A30" s="324">
        <v>2</v>
      </c>
      <c r="B30" s="331"/>
      <c r="C30" s="324"/>
      <c r="D30" s="326"/>
      <c r="E30" s="326"/>
      <c r="F30" s="326"/>
      <c r="G30" s="326">
        <f>D30+E30-F30</f>
        <v>0</v>
      </c>
    </row>
    <row r="31" spans="1:7" ht="12.75">
      <c r="A31" s="324">
        <v>3</v>
      </c>
      <c r="B31" s="331"/>
      <c r="C31" s="324"/>
      <c r="D31" s="326"/>
      <c r="E31" s="326"/>
      <c r="F31" s="326"/>
      <c r="G31" s="326">
        <f>D31+E31-F31</f>
        <v>0</v>
      </c>
    </row>
    <row r="32" spans="1:7" ht="13.5" thickBot="1">
      <c r="A32" s="332">
        <v>4</v>
      </c>
      <c r="B32" s="333"/>
      <c r="C32" s="332"/>
      <c r="D32" s="334"/>
      <c r="E32" s="334"/>
      <c r="F32" s="334"/>
      <c r="G32" s="334">
        <f>D32+E32-F32</f>
        <v>0</v>
      </c>
    </row>
    <row r="33" spans="1:10" ht="13.5" thickBot="1">
      <c r="A33" s="335"/>
      <c r="B33" s="336" t="s">
        <v>588</v>
      </c>
      <c r="C33" s="337"/>
      <c r="D33" s="338">
        <f>SUM(D24:D32)</f>
        <v>8773201</v>
      </c>
      <c r="E33" s="338">
        <f>SUM(E24:E32)</f>
        <v>14982322.200000001</v>
      </c>
      <c r="F33" s="338">
        <f>SUM(F24:F32)</f>
        <v>0</v>
      </c>
      <c r="G33" s="339">
        <f>SUM(G24:G32)</f>
        <v>23755523.200000003</v>
      </c>
      <c r="H33" s="341"/>
      <c r="I33" s="340"/>
      <c r="J33" s="340"/>
    </row>
    <row r="34" ht="12.75">
      <c r="G34" s="341"/>
    </row>
    <row r="36" spans="2:7" ht="15.75">
      <c r="B36" s="579" t="s">
        <v>591</v>
      </c>
      <c r="C36" s="579"/>
      <c r="D36" s="579"/>
      <c r="E36" s="579"/>
      <c r="F36" s="579"/>
      <c r="G36" s="579"/>
    </row>
    <row r="38" spans="1:7" ht="12.75">
      <c r="A38" s="580" t="s">
        <v>166</v>
      </c>
      <c r="B38" s="582" t="s">
        <v>580</v>
      </c>
      <c r="C38" s="580" t="s">
        <v>581</v>
      </c>
      <c r="D38" s="321" t="s">
        <v>582</v>
      </c>
      <c r="E38" s="580" t="s">
        <v>583</v>
      </c>
      <c r="F38" s="580" t="s">
        <v>584</v>
      </c>
      <c r="G38" s="321" t="s">
        <v>582</v>
      </c>
    </row>
    <row r="39" spans="1:7" ht="12.75">
      <c r="A39" s="581"/>
      <c r="B39" s="583"/>
      <c r="C39" s="581"/>
      <c r="D39" s="322">
        <v>40179</v>
      </c>
      <c r="E39" s="581"/>
      <c r="F39" s="581"/>
      <c r="G39" s="322">
        <v>40543</v>
      </c>
    </row>
    <row r="40" spans="1:7" ht="12.75">
      <c r="A40" s="324">
        <v>1</v>
      </c>
      <c r="B40" s="325" t="s">
        <v>476</v>
      </c>
      <c r="C40" s="324"/>
      <c r="D40" s="326">
        <v>0</v>
      </c>
      <c r="E40" s="326"/>
      <c r="F40" s="326">
        <v>0</v>
      </c>
      <c r="G40" s="326">
        <f aca="true" t="shared" si="1" ref="G40:G48">D40+E40-F40</f>
        <v>0</v>
      </c>
    </row>
    <row r="41" spans="1:14" ht="12.75">
      <c r="A41" s="324">
        <v>2</v>
      </c>
      <c r="B41" s="329" t="s">
        <v>585</v>
      </c>
      <c r="C41" s="324"/>
      <c r="D41" s="326"/>
      <c r="E41" s="326"/>
      <c r="F41" s="326"/>
      <c r="G41" s="326">
        <f t="shared" si="1"/>
        <v>0</v>
      </c>
      <c r="M41" s="323"/>
      <c r="N41" s="323"/>
    </row>
    <row r="42" spans="1:14" ht="12.75">
      <c r="A42" s="324">
        <v>3</v>
      </c>
      <c r="B42" s="329" t="s">
        <v>590</v>
      </c>
      <c r="C42" s="324"/>
      <c r="D42" s="425">
        <f>+D10-D26</f>
        <v>9729924</v>
      </c>
      <c r="E42" s="424">
        <f>+E10-E26</f>
        <v>-390229.80000000005</v>
      </c>
      <c r="F42" s="425">
        <f>+F10-F26</f>
        <v>7864800</v>
      </c>
      <c r="G42" s="326">
        <f t="shared" si="1"/>
        <v>1474894.1999999993</v>
      </c>
      <c r="M42" s="323"/>
      <c r="N42" s="323"/>
    </row>
    <row r="43" spans="1:14" ht="12.75">
      <c r="A43" s="324">
        <v>4</v>
      </c>
      <c r="B43" s="329" t="s">
        <v>587</v>
      </c>
      <c r="C43" s="324"/>
      <c r="D43" s="425">
        <f aca="true" t="shared" si="2" ref="D43:F44">+D11-D27</f>
        <v>61490082</v>
      </c>
      <c r="E43" s="424">
        <f t="shared" si="2"/>
        <v>-13984666.200000001</v>
      </c>
      <c r="F43" s="425">
        <f t="shared" si="2"/>
        <v>0</v>
      </c>
      <c r="G43" s="326">
        <f t="shared" si="1"/>
        <v>47505415.8</v>
      </c>
      <c r="M43" s="323"/>
      <c r="N43" s="323"/>
    </row>
    <row r="44" spans="1:14" ht="12.75">
      <c r="A44" s="324">
        <v>5</v>
      </c>
      <c r="B44" s="329" t="s">
        <v>758</v>
      </c>
      <c r="C44" s="324"/>
      <c r="D44" s="425">
        <f t="shared" si="2"/>
        <v>2783204</v>
      </c>
      <c r="E44" s="424">
        <f t="shared" si="2"/>
        <v>-285843.20000000007</v>
      </c>
      <c r="F44" s="425">
        <f t="shared" si="2"/>
        <v>0</v>
      </c>
      <c r="G44" s="326">
        <f t="shared" si="1"/>
        <v>2497360.8</v>
      </c>
      <c r="M44" s="323"/>
      <c r="N44" s="323"/>
    </row>
    <row r="45" spans="1:14" ht="12.75">
      <c r="A45" s="324">
        <v>1</v>
      </c>
      <c r="B45" s="329"/>
      <c r="C45" s="324"/>
      <c r="D45" s="326"/>
      <c r="E45" s="326"/>
      <c r="F45" s="326"/>
      <c r="G45" s="326">
        <f t="shared" si="1"/>
        <v>0</v>
      </c>
      <c r="M45" s="323"/>
      <c r="N45" s="323"/>
    </row>
    <row r="46" spans="1:14" ht="12.75">
      <c r="A46" s="324">
        <v>2</v>
      </c>
      <c r="B46" s="329"/>
      <c r="C46" s="324"/>
      <c r="D46" s="326"/>
      <c r="E46" s="326"/>
      <c r="F46" s="326"/>
      <c r="G46" s="326">
        <f t="shared" si="1"/>
        <v>0</v>
      </c>
      <c r="M46" s="323"/>
      <c r="N46" s="323"/>
    </row>
    <row r="47" spans="1:14" ht="12.75">
      <c r="A47" s="324">
        <v>3</v>
      </c>
      <c r="B47" s="331"/>
      <c r="C47" s="324"/>
      <c r="D47" s="326"/>
      <c r="E47" s="326"/>
      <c r="F47" s="326"/>
      <c r="G47" s="326">
        <f t="shared" si="1"/>
        <v>0</v>
      </c>
      <c r="M47" s="323"/>
      <c r="N47" s="323"/>
    </row>
    <row r="48" spans="1:14" ht="13.5" thickBot="1">
      <c r="A48" s="332">
        <v>4</v>
      </c>
      <c r="B48" s="333"/>
      <c r="C48" s="332"/>
      <c r="D48" s="334"/>
      <c r="E48" s="334"/>
      <c r="F48" s="334"/>
      <c r="G48" s="334">
        <f t="shared" si="1"/>
        <v>0</v>
      </c>
      <c r="M48" s="323"/>
      <c r="N48" s="323"/>
    </row>
    <row r="49" spans="1:14" ht="13.5" thickBot="1">
      <c r="A49" s="335"/>
      <c r="B49" s="336" t="s">
        <v>588</v>
      </c>
      <c r="C49" s="337"/>
      <c r="D49" s="338">
        <f>SUM(D40:D48)</f>
        <v>74003210</v>
      </c>
      <c r="E49" s="338">
        <f>SUM(E40:E48)</f>
        <v>-14660739.200000001</v>
      </c>
      <c r="F49" s="338">
        <f>SUM(F40:F48)</f>
        <v>7864800</v>
      </c>
      <c r="G49" s="339">
        <f>SUM(G40:G48)</f>
        <v>51477670.8</v>
      </c>
      <c r="I49" s="341"/>
      <c r="J49" s="340"/>
      <c r="M49" s="342"/>
      <c r="N49" s="323"/>
    </row>
    <row r="50" spans="6:10" s="323" customFormat="1" ht="12.75">
      <c r="F50" s="328"/>
      <c r="G50" s="343"/>
      <c r="J50" s="328"/>
    </row>
    <row r="51" spans="4:14" ht="12.75">
      <c r="D51" s="340"/>
      <c r="G51" s="340"/>
      <c r="I51" s="341"/>
      <c r="M51" s="323"/>
      <c r="N51" s="323"/>
    </row>
    <row r="52" spans="4:14" ht="12.75">
      <c r="D52" s="340"/>
      <c r="G52" s="340"/>
      <c r="I52" s="340"/>
      <c r="M52" s="323"/>
      <c r="N52" s="323"/>
    </row>
    <row r="53" spans="5:14" ht="15.75">
      <c r="E53" s="577" t="s">
        <v>592</v>
      </c>
      <c r="F53" s="577"/>
      <c r="G53" s="577"/>
      <c r="M53" s="323"/>
      <c r="N53" s="323"/>
    </row>
    <row r="54" spans="5:7" ht="12.75">
      <c r="E54" s="578" t="s">
        <v>759</v>
      </c>
      <c r="F54" s="578"/>
      <c r="G54" s="578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7" right="0.7" top="0.43" bottom="0.75" header="0.24" footer="0.3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82"/>
  <sheetViews>
    <sheetView zoomScalePageLayoutView="0" workbookViewId="0" topLeftCell="A19">
      <selection activeCell="G33" sqref="G33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0.42578125" style="0" customWidth="1"/>
    <col min="7" max="7" width="12.00390625" style="0" customWidth="1"/>
    <col min="8" max="8" width="10.00390625" style="0" customWidth="1"/>
    <col min="9" max="9" width="15.8515625" style="0" customWidth="1"/>
    <col min="10" max="10" width="12.57421875" style="0" customWidth="1"/>
    <col min="11" max="11" width="4.7109375" style="0" customWidth="1"/>
    <col min="15" max="15" width="11.28125" style="0" bestFit="1" customWidth="1"/>
    <col min="16" max="16" width="53.421875" style="0" customWidth="1"/>
  </cols>
  <sheetData>
    <row r="1" spans="1:10" ht="15">
      <c r="A1" s="344"/>
      <c r="B1" s="319" t="s">
        <v>812</v>
      </c>
      <c r="C1" s="345"/>
      <c r="D1" s="345"/>
      <c r="E1" s="344"/>
      <c r="F1" s="344"/>
      <c r="G1" s="344"/>
      <c r="H1" s="344"/>
      <c r="I1" s="344"/>
      <c r="J1" s="344"/>
    </row>
    <row r="2" spans="1:10" ht="12.75">
      <c r="A2" s="344"/>
      <c r="B2" s="320" t="s">
        <v>813</v>
      </c>
      <c r="C2" s="345"/>
      <c r="D2" s="345"/>
      <c r="E2" s="344"/>
      <c r="F2" s="344"/>
      <c r="G2" s="344"/>
      <c r="H2" s="344"/>
      <c r="I2" s="344"/>
      <c r="J2" s="344"/>
    </row>
    <row r="3" spans="1:10" ht="12.75">
      <c r="A3" s="344"/>
      <c r="B3" s="346"/>
      <c r="C3" s="344"/>
      <c r="D3" s="344"/>
      <c r="E3" s="344"/>
      <c r="F3" s="344"/>
      <c r="G3" s="344"/>
      <c r="H3" s="344"/>
      <c r="I3" s="346" t="s">
        <v>593</v>
      </c>
      <c r="J3" s="344"/>
    </row>
    <row r="4" spans="1:10" ht="12.75">
      <c r="A4" s="344"/>
      <c r="B4" s="346"/>
      <c r="C4" s="344"/>
      <c r="D4" s="344"/>
      <c r="E4" s="344"/>
      <c r="F4" s="344"/>
      <c r="G4" s="344"/>
      <c r="H4" s="344"/>
      <c r="I4" s="344"/>
      <c r="J4" s="344"/>
    </row>
    <row r="5" spans="1:16" ht="12.75">
      <c r="A5" s="347"/>
      <c r="B5" s="347"/>
      <c r="C5" s="347"/>
      <c r="D5" s="347"/>
      <c r="E5" s="347"/>
      <c r="F5" s="347"/>
      <c r="G5" s="347"/>
      <c r="H5" s="347"/>
      <c r="I5" s="348"/>
      <c r="J5" s="349" t="s">
        <v>594</v>
      </c>
      <c r="K5" s="323"/>
      <c r="L5" s="323"/>
      <c r="M5" s="323"/>
      <c r="N5" s="323"/>
      <c r="O5" s="323"/>
      <c r="P5" s="323"/>
    </row>
    <row r="6" spans="1:16" ht="15.75" customHeight="1">
      <c r="A6" s="611" t="s">
        <v>595</v>
      </c>
      <c r="B6" s="612"/>
      <c r="C6" s="612"/>
      <c r="D6" s="612"/>
      <c r="E6" s="612"/>
      <c r="F6" s="612"/>
      <c r="G6" s="612"/>
      <c r="H6" s="612"/>
      <c r="I6" s="612"/>
      <c r="J6" s="613"/>
      <c r="K6" s="350"/>
      <c r="L6" s="350"/>
      <c r="M6" s="350"/>
      <c r="N6" s="350"/>
      <c r="O6" s="350"/>
      <c r="P6" s="350"/>
    </row>
    <row r="7" spans="1:10" ht="26.25" customHeight="1" thickBot="1">
      <c r="A7" s="351"/>
      <c r="B7" s="614" t="s">
        <v>354</v>
      </c>
      <c r="C7" s="614"/>
      <c r="D7" s="614"/>
      <c r="E7" s="614"/>
      <c r="F7" s="615"/>
      <c r="G7" s="352" t="s">
        <v>596</v>
      </c>
      <c r="H7" s="352" t="s">
        <v>597</v>
      </c>
      <c r="I7" s="353" t="s">
        <v>571</v>
      </c>
      <c r="J7" s="353" t="s">
        <v>550</v>
      </c>
    </row>
    <row r="8" spans="1:10" ht="16.5" customHeight="1">
      <c r="A8" s="354">
        <v>1</v>
      </c>
      <c r="B8" s="616" t="s">
        <v>598</v>
      </c>
      <c r="C8" s="617"/>
      <c r="D8" s="617"/>
      <c r="E8" s="617"/>
      <c r="F8" s="617"/>
      <c r="G8" s="355">
        <v>70</v>
      </c>
      <c r="H8" s="355">
        <v>11100</v>
      </c>
      <c r="I8" s="428">
        <f>+I9+I10+I11</f>
        <v>650991.2309999999</v>
      </c>
      <c r="J8" s="428">
        <f>+J9+J10+J11</f>
        <v>149763.737</v>
      </c>
    </row>
    <row r="9" spans="1:10" ht="16.5" customHeight="1">
      <c r="A9" s="356" t="s">
        <v>599</v>
      </c>
      <c r="B9" s="607" t="s">
        <v>600</v>
      </c>
      <c r="C9" s="607"/>
      <c r="D9" s="607"/>
      <c r="E9" s="607"/>
      <c r="F9" s="608"/>
      <c r="G9" s="357" t="s">
        <v>601</v>
      </c>
      <c r="H9" s="357">
        <v>11101</v>
      </c>
      <c r="I9" s="429"/>
      <c r="J9" s="430">
        <v>800</v>
      </c>
    </row>
    <row r="10" spans="1:10" ht="16.5" customHeight="1">
      <c r="A10" s="360" t="s">
        <v>602</v>
      </c>
      <c r="B10" s="607" t="s">
        <v>603</v>
      </c>
      <c r="C10" s="607"/>
      <c r="D10" s="607"/>
      <c r="E10" s="607"/>
      <c r="F10" s="608"/>
      <c r="G10" s="357">
        <v>704</v>
      </c>
      <c r="H10" s="357">
        <v>11102</v>
      </c>
      <c r="I10" s="429">
        <f>+'Ardh shpenz alpha'!C14/1000</f>
        <v>463272.54159</v>
      </c>
      <c r="J10" s="429">
        <f>+'Ardh shpenz alpha'!D14/1000</f>
        <v>148309.737</v>
      </c>
    </row>
    <row r="11" spans="1:10" ht="16.5" customHeight="1">
      <c r="A11" s="360" t="s">
        <v>604</v>
      </c>
      <c r="B11" s="607" t="s">
        <v>605</v>
      </c>
      <c r="C11" s="607"/>
      <c r="D11" s="607"/>
      <c r="E11" s="607"/>
      <c r="F11" s="608"/>
      <c r="G11" s="361">
        <v>705</v>
      </c>
      <c r="H11" s="357">
        <v>11103</v>
      </c>
      <c r="I11" s="548">
        <f>+'Ardh shpenz alpha'!C15/1000</f>
        <v>187718.68941</v>
      </c>
      <c r="J11" s="548">
        <v>654</v>
      </c>
    </row>
    <row r="12" spans="1:10" ht="16.5" customHeight="1">
      <c r="A12" s="362">
        <v>2</v>
      </c>
      <c r="B12" s="606" t="s">
        <v>606</v>
      </c>
      <c r="C12" s="606"/>
      <c r="D12" s="606"/>
      <c r="E12" s="606"/>
      <c r="F12" s="595"/>
      <c r="G12" s="363">
        <v>708</v>
      </c>
      <c r="H12" s="364">
        <v>11104</v>
      </c>
      <c r="I12" s="548">
        <f>+I13+I14+I15</f>
        <v>9254.905</v>
      </c>
      <c r="J12" s="548">
        <f>+J13+J14+J15</f>
        <v>120</v>
      </c>
    </row>
    <row r="13" spans="1:10" ht="16.5" customHeight="1">
      <c r="A13" s="365" t="s">
        <v>599</v>
      </c>
      <c r="B13" s="607" t="s">
        <v>607</v>
      </c>
      <c r="C13" s="607"/>
      <c r="D13" s="607"/>
      <c r="E13" s="607"/>
      <c r="F13" s="608"/>
      <c r="G13" s="357">
        <v>7081</v>
      </c>
      <c r="H13" s="366">
        <v>111041</v>
      </c>
      <c r="I13" s="358"/>
      <c r="J13" s="359"/>
    </row>
    <row r="14" spans="1:10" ht="16.5" customHeight="1">
      <c r="A14" s="365" t="s">
        <v>608</v>
      </c>
      <c r="B14" s="607" t="s">
        <v>609</v>
      </c>
      <c r="C14" s="607"/>
      <c r="D14" s="607"/>
      <c r="E14" s="607"/>
      <c r="F14" s="608"/>
      <c r="G14" s="357">
        <v>7082</v>
      </c>
      <c r="H14" s="366">
        <v>111042</v>
      </c>
      <c r="I14" s="358"/>
      <c r="J14" s="551">
        <v>120</v>
      </c>
    </row>
    <row r="15" spans="1:10" ht="16.5" customHeight="1">
      <c r="A15" s="365" t="s">
        <v>610</v>
      </c>
      <c r="B15" s="607" t="s">
        <v>611</v>
      </c>
      <c r="C15" s="607"/>
      <c r="D15" s="607"/>
      <c r="E15" s="607"/>
      <c r="F15" s="608"/>
      <c r="G15" s="357">
        <v>7083</v>
      </c>
      <c r="H15" s="366">
        <v>111043</v>
      </c>
      <c r="I15" s="548">
        <f>+'Ardh shpenz alpha'!C16/1000</f>
        <v>9254.905</v>
      </c>
      <c r="J15" s="548"/>
    </row>
    <row r="16" spans="1:10" ht="29.25" customHeight="1">
      <c r="A16" s="367">
        <v>3</v>
      </c>
      <c r="B16" s="606" t="s">
        <v>612</v>
      </c>
      <c r="C16" s="606"/>
      <c r="D16" s="606"/>
      <c r="E16" s="606"/>
      <c r="F16" s="595"/>
      <c r="G16" s="363">
        <v>71</v>
      </c>
      <c r="H16" s="364">
        <v>11201</v>
      </c>
      <c r="I16" s="358"/>
      <c r="J16" s="359"/>
    </row>
    <row r="17" spans="1:10" ht="16.5" customHeight="1">
      <c r="A17" s="368"/>
      <c r="B17" s="609" t="s">
        <v>613</v>
      </c>
      <c r="C17" s="609"/>
      <c r="D17" s="609"/>
      <c r="E17" s="609"/>
      <c r="F17" s="610"/>
      <c r="G17" s="369"/>
      <c r="H17" s="357">
        <v>112011</v>
      </c>
      <c r="I17" s="358"/>
      <c r="J17" s="359"/>
    </row>
    <row r="18" spans="1:10" ht="16.5" customHeight="1">
      <c r="A18" s="368"/>
      <c r="B18" s="609" t="s">
        <v>614</v>
      </c>
      <c r="C18" s="609"/>
      <c r="D18" s="609"/>
      <c r="E18" s="609"/>
      <c r="F18" s="610"/>
      <c r="G18" s="369"/>
      <c r="H18" s="357">
        <v>112012</v>
      </c>
      <c r="I18" s="358"/>
      <c r="J18" s="359"/>
    </row>
    <row r="19" spans="1:10" ht="27" customHeight="1">
      <c r="A19" s="370">
        <v>4</v>
      </c>
      <c r="B19" s="606" t="s">
        <v>615</v>
      </c>
      <c r="C19" s="606"/>
      <c r="D19" s="606"/>
      <c r="E19" s="606"/>
      <c r="F19" s="595"/>
      <c r="G19" s="371">
        <v>72</v>
      </c>
      <c r="H19" s="372">
        <v>11300</v>
      </c>
      <c r="I19" s="358"/>
      <c r="J19" s="359"/>
    </row>
    <row r="20" spans="1:10" ht="16.5" customHeight="1">
      <c r="A20" s="360"/>
      <c r="B20" s="593" t="s">
        <v>616</v>
      </c>
      <c r="C20" s="594"/>
      <c r="D20" s="594"/>
      <c r="E20" s="594"/>
      <c r="F20" s="594"/>
      <c r="G20" s="330"/>
      <c r="H20" s="373">
        <v>11301</v>
      </c>
      <c r="I20" s="358"/>
      <c r="J20" s="359"/>
    </row>
    <row r="21" spans="1:10" ht="16.5" customHeight="1">
      <c r="A21" s="374">
        <v>5</v>
      </c>
      <c r="B21" s="595" t="s">
        <v>617</v>
      </c>
      <c r="C21" s="596"/>
      <c r="D21" s="596"/>
      <c r="E21" s="596"/>
      <c r="F21" s="596"/>
      <c r="G21" s="375">
        <v>73</v>
      </c>
      <c r="H21" s="375">
        <v>11400</v>
      </c>
      <c r="I21" s="358"/>
      <c r="J21" s="359"/>
    </row>
    <row r="22" spans="1:10" ht="16.5" customHeight="1">
      <c r="A22" s="376">
        <v>6</v>
      </c>
      <c r="B22" s="595" t="s">
        <v>618</v>
      </c>
      <c r="C22" s="596"/>
      <c r="D22" s="596"/>
      <c r="E22" s="596"/>
      <c r="F22" s="596"/>
      <c r="G22" s="375">
        <v>75</v>
      </c>
      <c r="H22" s="377">
        <v>11500</v>
      </c>
      <c r="I22" s="358"/>
      <c r="J22" s="359"/>
    </row>
    <row r="23" spans="1:10" ht="16.5" customHeight="1">
      <c r="A23" s="374">
        <v>7</v>
      </c>
      <c r="B23" s="606" t="s">
        <v>619</v>
      </c>
      <c r="C23" s="606"/>
      <c r="D23" s="606"/>
      <c r="E23" s="606"/>
      <c r="F23" s="595"/>
      <c r="G23" s="363">
        <v>77</v>
      </c>
      <c r="H23" s="363">
        <v>11600</v>
      </c>
      <c r="I23" s="427">
        <f>+'ardh-shpenz'!D9/1000</f>
        <v>0</v>
      </c>
      <c r="J23" s="426">
        <f>+'ardh-shpenz'!E9</f>
        <v>0</v>
      </c>
    </row>
    <row r="24" spans="1:10" ht="16.5" customHeight="1" thickBot="1">
      <c r="A24" s="378" t="s">
        <v>620</v>
      </c>
      <c r="B24" s="597" t="s">
        <v>621</v>
      </c>
      <c r="C24" s="597"/>
      <c r="D24" s="597"/>
      <c r="E24" s="597"/>
      <c r="F24" s="597"/>
      <c r="G24" s="379"/>
      <c r="H24" s="379">
        <v>11800</v>
      </c>
      <c r="I24" s="431">
        <f>+I8+I12</f>
        <v>660246.1359999999</v>
      </c>
      <c r="J24" s="431">
        <f>+J8+J12</f>
        <v>149883.737</v>
      </c>
    </row>
    <row r="25" spans="1:10" ht="16.5" customHeight="1">
      <c r="A25" s="380"/>
      <c r="B25" s="381"/>
      <c r="C25" s="381"/>
      <c r="D25" s="381"/>
      <c r="E25" s="381"/>
      <c r="F25" s="381"/>
      <c r="G25" s="381"/>
      <c r="H25" s="381"/>
      <c r="J25" s="382"/>
    </row>
    <row r="26" spans="1:10" ht="16.5" customHeight="1">
      <c r="A26" s="380"/>
      <c r="B26" s="381"/>
      <c r="C26" s="381"/>
      <c r="D26" s="381"/>
      <c r="E26" s="381"/>
      <c r="F26" s="381"/>
      <c r="G26" s="381"/>
      <c r="H26" s="381"/>
      <c r="I26" s="382"/>
      <c r="J26" s="382"/>
    </row>
    <row r="27" spans="1:10" ht="16.5" customHeight="1">
      <c r="A27" s="380"/>
      <c r="B27" s="381"/>
      <c r="C27" s="381"/>
      <c r="D27" s="381"/>
      <c r="E27" s="381"/>
      <c r="F27" s="381"/>
      <c r="I27" s="340"/>
      <c r="J27" s="382"/>
    </row>
    <row r="28" spans="1:10" ht="16.5" customHeight="1">
      <c r="A28" s="380"/>
      <c r="B28" s="381"/>
      <c r="C28" s="381"/>
      <c r="D28" s="381"/>
      <c r="E28" s="381"/>
      <c r="F28" s="381"/>
      <c r="G28" s="577" t="s">
        <v>592</v>
      </c>
      <c r="H28" s="577"/>
      <c r="I28" s="577"/>
      <c r="J28" s="382"/>
    </row>
    <row r="29" spans="1:10" ht="16.5" customHeight="1">
      <c r="A29" s="380"/>
      <c r="B29" s="381"/>
      <c r="C29" s="381"/>
      <c r="D29" s="381"/>
      <c r="E29" s="381"/>
      <c r="F29" s="381"/>
      <c r="G29" s="578" t="s">
        <v>759</v>
      </c>
      <c r="H29" s="578"/>
      <c r="I29" s="578"/>
      <c r="J29" s="382"/>
    </row>
    <row r="30" spans="1:10" ht="16.5" customHeight="1">
      <c r="A30" s="380"/>
      <c r="B30" s="381"/>
      <c r="C30" s="381"/>
      <c r="D30" s="381"/>
      <c r="E30" s="381"/>
      <c r="F30" s="381"/>
      <c r="G30" s="456"/>
      <c r="H30" s="456"/>
      <c r="I30" s="456"/>
      <c r="J30" s="382"/>
    </row>
    <row r="31" spans="1:10" ht="16.5" customHeight="1">
      <c r="A31" s="380"/>
      <c r="B31" s="381"/>
      <c r="C31" s="381"/>
      <c r="D31" s="381"/>
      <c r="E31" s="381"/>
      <c r="F31" s="381"/>
      <c r="G31" s="456"/>
      <c r="H31" s="456"/>
      <c r="I31" s="456"/>
      <c r="J31" s="382"/>
    </row>
    <row r="32" spans="1:10" ht="16.5" customHeight="1">
      <c r="A32" s="380"/>
      <c r="B32" s="381"/>
      <c r="C32" s="381"/>
      <c r="D32" s="381"/>
      <c r="E32" s="381"/>
      <c r="F32" s="381"/>
      <c r="G32" s="456"/>
      <c r="H32" s="456"/>
      <c r="I32" s="456"/>
      <c r="J32" s="382"/>
    </row>
    <row r="33" spans="1:10" ht="16.5" customHeight="1">
      <c r="A33" s="380"/>
      <c r="B33" s="381"/>
      <c r="C33" s="381"/>
      <c r="D33" s="381"/>
      <c r="E33" s="381"/>
      <c r="F33" s="381"/>
      <c r="G33" s="456"/>
      <c r="H33" s="456"/>
      <c r="I33" s="456"/>
      <c r="J33" s="382"/>
    </row>
    <row r="34" spans="1:10" ht="16.5" customHeight="1">
      <c r="A34" s="380"/>
      <c r="B34" s="381"/>
      <c r="C34" s="381"/>
      <c r="D34" s="381"/>
      <c r="E34" s="381"/>
      <c r="F34" s="381"/>
      <c r="G34" s="456"/>
      <c r="H34" s="456"/>
      <c r="I34" s="456"/>
      <c r="J34" s="382"/>
    </row>
    <row r="35" spans="1:10" ht="16.5" customHeight="1">
      <c r="A35" s="380"/>
      <c r="B35" s="381"/>
      <c r="C35" s="381"/>
      <c r="D35" s="381"/>
      <c r="E35" s="381"/>
      <c r="F35" s="381"/>
      <c r="G35" s="456"/>
      <c r="H35" s="456"/>
      <c r="I35" s="456"/>
      <c r="J35" s="382"/>
    </row>
    <row r="36" spans="1:10" ht="16.5" customHeight="1">
      <c r="A36" s="380"/>
      <c r="B36" s="381"/>
      <c r="C36" s="381"/>
      <c r="D36" s="381"/>
      <c r="E36" s="381"/>
      <c r="F36" s="381"/>
      <c r="G36" s="456"/>
      <c r="H36" s="456"/>
      <c r="I36" s="456"/>
      <c r="J36" s="382"/>
    </row>
    <row r="37" spans="1:10" ht="16.5" customHeight="1">
      <c r="A37" s="380"/>
      <c r="B37" s="381"/>
      <c r="C37" s="381"/>
      <c r="D37" s="381"/>
      <c r="E37" s="381"/>
      <c r="F37" s="381"/>
      <c r="G37" s="456"/>
      <c r="H37" s="456"/>
      <c r="I37" s="456"/>
      <c r="J37" s="382"/>
    </row>
    <row r="38" spans="1:10" ht="16.5" customHeight="1">
      <c r="A38" s="380"/>
      <c r="B38" s="381"/>
      <c r="C38" s="381"/>
      <c r="D38" s="381"/>
      <c r="E38" s="381"/>
      <c r="F38" s="381"/>
      <c r="G38" s="456"/>
      <c r="H38" s="456"/>
      <c r="I38" s="456"/>
      <c r="J38" s="382"/>
    </row>
    <row r="39" spans="1:10" ht="16.5" customHeight="1">
      <c r="A39" s="380"/>
      <c r="B39" s="381"/>
      <c r="C39" s="381"/>
      <c r="D39" s="381"/>
      <c r="E39" s="381"/>
      <c r="F39" s="381"/>
      <c r="G39" s="456"/>
      <c r="H39" s="456"/>
      <c r="I39" s="456"/>
      <c r="J39" s="382"/>
    </row>
    <row r="40" spans="1:10" ht="16.5" customHeight="1">
      <c r="A40" s="380"/>
      <c r="B40" s="381"/>
      <c r="C40" s="381"/>
      <c r="D40" s="381"/>
      <c r="E40" s="381"/>
      <c r="F40" s="381"/>
      <c r="G40" s="456"/>
      <c r="H40" s="456"/>
      <c r="I40" s="456"/>
      <c r="J40" s="382"/>
    </row>
    <row r="41" spans="1:10" ht="16.5" customHeight="1">
      <c r="A41" s="380"/>
      <c r="B41" s="381"/>
      <c r="C41" s="381"/>
      <c r="D41" s="381"/>
      <c r="E41" s="381"/>
      <c r="F41" s="381"/>
      <c r="G41" s="456"/>
      <c r="H41" s="456"/>
      <c r="I41" s="456"/>
      <c r="J41" s="382"/>
    </row>
    <row r="42" spans="1:10" ht="16.5" customHeight="1">
      <c r="A42" s="380"/>
      <c r="B42" s="381"/>
      <c r="C42" s="381"/>
      <c r="D42" s="381"/>
      <c r="E42" s="381"/>
      <c r="F42" s="381"/>
      <c r="G42" s="456"/>
      <c r="H42" s="456"/>
      <c r="I42" s="456"/>
      <c r="J42" s="382"/>
    </row>
    <row r="43" spans="1:10" ht="16.5" customHeight="1">
      <c r="A43" s="380"/>
      <c r="B43" s="381"/>
      <c r="C43" s="381"/>
      <c r="D43" s="381"/>
      <c r="E43" s="381"/>
      <c r="F43" s="381"/>
      <c r="G43" s="456"/>
      <c r="H43" s="456"/>
      <c r="I43" s="456"/>
      <c r="J43" s="382"/>
    </row>
    <row r="44" spans="1:10" ht="16.5" customHeight="1">
      <c r="A44" s="380"/>
      <c r="B44" s="381"/>
      <c r="C44" s="381"/>
      <c r="D44" s="381"/>
      <c r="E44" s="381"/>
      <c r="F44" s="381"/>
      <c r="G44" s="456"/>
      <c r="H44" s="456"/>
      <c r="I44" s="456"/>
      <c r="J44" s="382"/>
    </row>
    <row r="45" spans="1:10" ht="16.5" customHeight="1">
      <c r="A45" s="380"/>
      <c r="B45" s="381"/>
      <c r="C45" s="381"/>
      <c r="D45" s="381"/>
      <c r="E45" s="381"/>
      <c r="F45" s="381"/>
      <c r="G45" s="456"/>
      <c r="H45" s="456"/>
      <c r="I45" s="456"/>
      <c r="J45" s="382"/>
    </row>
    <row r="46" spans="1:10" ht="15">
      <c r="A46" s="344"/>
      <c r="B46" s="319" t="str">
        <f>+B1</f>
        <v>Shoqeria I.S.P.P shpk</v>
      </c>
      <c r="C46" s="345"/>
      <c r="D46" s="345"/>
      <c r="E46" s="344"/>
      <c r="F46" s="344"/>
      <c r="G46" s="344"/>
      <c r="H46" s="344"/>
      <c r="I46" s="344"/>
      <c r="J46" s="344"/>
    </row>
    <row r="47" spans="1:10" ht="12.75">
      <c r="A47" s="344"/>
      <c r="B47" s="320" t="str">
        <f>+B2</f>
        <v>NIPTI K71627019V</v>
      </c>
      <c r="C47" s="345"/>
      <c r="D47" s="345"/>
      <c r="E47" s="344"/>
      <c r="F47" s="344"/>
      <c r="G47" s="344"/>
      <c r="H47" s="344"/>
      <c r="I47" s="344"/>
      <c r="J47" s="344"/>
    </row>
    <row r="48" spans="1:10" ht="12.75">
      <c r="A48" s="344"/>
      <c r="B48" s="346"/>
      <c r="C48" s="344"/>
      <c r="D48" s="344"/>
      <c r="E48" s="344"/>
      <c r="F48" s="344"/>
      <c r="G48" s="344"/>
      <c r="H48" s="344"/>
      <c r="I48" s="346" t="s">
        <v>622</v>
      </c>
      <c r="J48" s="344"/>
    </row>
    <row r="49" spans="1:16" ht="12.75" customHeight="1">
      <c r="A49" s="347"/>
      <c r="B49" s="347"/>
      <c r="C49" s="347"/>
      <c r="D49" s="347"/>
      <c r="E49" s="347"/>
      <c r="F49" s="347"/>
      <c r="G49" s="347"/>
      <c r="H49" s="347"/>
      <c r="I49" s="348"/>
      <c r="J49" s="349" t="s">
        <v>594</v>
      </c>
      <c r="K49" s="323"/>
      <c r="L49" s="323"/>
      <c r="M49" s="323"/>
      <c r="N49" s="323"/>
      <c r="O49" s="323"/>
      <c r="P49" s="323"/>
    </row>
    <row r="50" spans="1:10" ht="13.5" thickBot="1">
      <c r="A50" s="598" t="s">
        <v>595</v>
      </c>
      <c r="B50" s="599"/>
      <c r="C50" s="599"/>
      <c r="D50" s="599"/>
      <c r="E50" s="599"/>
      <c r="F50" s="599"/>
      <c r="G50" s="599"/>
      <c r="H50" s="599"/>
      <c r="I50" s="599"/>
      <c r="J50" s="600"/>
    </row>
    <row r="51" spans="1:10" ht="24.75" customHeight="1" thickBot="1">
      <c r="A51" s="435"/>
      <c r="B51" s="601" t="s">
        <v>388</v>
      </c>
      <c r="C51" s="602"/>
      <c r="D51" s="602"/>
      <c r="E51" s="602"/>
      <c r="F51" s="603"/>
      <c r="G51" s="436" t="s">
        <v>596</v>
      </c>
      <c r="H51" s="436" t="s">
        <v>597</v>
      </c>
      <c r="I51" s="437" t="s">
        <v>571</v>
      </c>
      <c r="J51" s="438" t="s">
        <v>550</v>
      </c>
    </row>
    <row r="52" spans="1:10" ht="16.5" customHeight="1">
      <c r="A52" s="433">
        <v>1</v>
      </c>
      <c r="B52" s="604" t="s">
        <v>623</v>
      </c>
      <c r="C52" s="605"/>
      <c r="D52" s="605"/>
      <c r="E52" s="605"/>
      <c r="F52" s="605"/>
      <c r="G52" s="434">
        <v>60</v>
      </c>
      <c r="H52" s="434">
        <v>12100</v>
      </c>
      <c r="I52" s="439">
        <f>+I53+I54+I55+I56+I57</f>
        <v>551167.0696800001</v>
      </c>
      <c r="J52" s="439">
        <f>+J53+J54+J55+J56+J57</f>
        <v>132462.812</v>
      </c>
    </row>
    <row r="53" spans="1:10" ht="16.5" customHeight="1">
      <c r="A53" s="383" t="s">
        <v>624</v>
      </c>
      <c r="B53" s="588" t="s">
        <v>625</v>
      </c>
      <c r="C53" s="588" t="s">
        <v>626</v>
      </c>
      <c r="D53" s="588"/>
      <c r="E53" s="588"/>
      <c r="F53" s="588"/>
      <c r="G53" s="384" t="s">
        <v>627</v>
      </c>
      <c r="H53" s="384">
        <v>12101</v>
      </c>
      <c r="I53" s="432">
        <f>+'Ardh shpenz alpha'!C66/1000</f>
        <v>375418.21666000003</v>
      </c>
      <c r="J53" s="432">
        <v>110256</v>
      </c>
    </row>
    <row r="54" spans="1:10" ht="12" customHeight="1">
      <c r="A54" s="383" t="s">
        <v>602</v>
      </c>
      <c r="B54" s="588" t="s">
        <v>628</v>
      </c>
      <c r="C54" s="588" t="s">
        <v>626</v>
      </c>
      <c r="D54" s="588"/>
      <c r="E54" s="588"/>
      <c r="F54" s="588"/>
      <c r="G54" s="384"/>
      <c r="H54" s="386">
        <v>12102</v>
      </c>
      <c r="I54" s="432">
        <f>+'Ardh shpenz alpha'!C67/1000</f>
        <v>47.983</v>
      </c>
      <c r="J54" s="432"/>
    </row>
    <row r="55" spans="1:10" ht="16.5" customHeight="1">
      <c r="A55" s="383" t="s">
        <v>604</v>
      </c>
      <c r="B55" s="588" t="s">
        <v>629</v>
      </c>
      <c r="C55" s="588" t="s">
        <v>626</v>
      </c>
      <c r="D55" s="588"/>
      <c r="E55" s="588"/>
      <c r="F55" s="588"/>
      <c r="G55" s="384" t="s">
        <v>630</v>
      </c>
      <c r="H55" s="384">
        <v>12103</v>
      </c>
      <c r="I55" s="432">
        <f>+'Ardh shpenz alpha'!C69/1000</f>
        <v>150202.69893</v>
      </c>
      <c r="J55" s="432"/>
    </row>
    <row r="56" spans="1:10" ht="16.5" customHeight="1">
      <c r="A56" s="383" t="s">
        <v>631</v>
      </c>
      <c r="B56" s="591" t="s">
        <v>632</v>
      </c>
      <c r="C56" s="588" t="s">
        <v>626</v>
      </c>
      <c r="D56" s="588"/>
      <c r="E56" s="588"/>
      <c r="F56" s="588"/>
      <c r="G56" s="384"/>
      <c r="H56" s="386">
        <v>12104</v>
      </c>
      <c r="I56" s="432"/>
      <c r="J56" s="432"/>
    </row>
    <row r="57" spans="1:10" ht="16.5" customHeight="1">
      <c r="A57" s="383" t="s">
        <v>633</v>
      </c>
      <c r="B57" s="588" t="s">
        <v>634</v>
      </c>
      <c r="C57" s="588" t="s">
        <v>626</v>
      </c>
      <c r="D57" s="588"/>
      <c r="E57" s="588"/>
      <c r="F57" s="588"/>
      <c r="G57" s="384" t="s">
        <v>635</v>
      </c>
      <c r="H57" s="386">
        <v>12105</v>
      </c>
      <c r="I57" s="432">
        <f>25498171.09/1000</f>
        <v>25498.17109</v>
      </c>
      <c r="J57" s="432">
        <f>22206812/1000</f>
        <v>22206.812</v>
      </c>
    </row>
    <row r="58" spans="1:10" ht="16.5" customHeight="1">
      <c r="A58" s="387">
        <v>2</v>
      </c>
      <c r="B58" s="589" t="s">
        <v>636</v>
      </c>
      <c r="C58" s="589"/>
      <c r="D58" s="589"/>
      <c r="E58" s="589"/>
      <c r="F58" s="589"/>
      <c r="G58" s="388">
        <v>64</v>
      </c>
      <c r="H58" s="388">
        <v>12200</v>
      </c>
      <c r="I58" s="432">
        <f>+I59+I60</f>
        <v>6164.717</v>
      </c>
      <c r="J58" s="432">
        <f>+J59+J60</f>
        <v>7495</v>
      </c>
    </row>
    <row r="59" spans="1:15" ht="16.5" customHeight="1">
      <c r="A59" s="389" t="s">
        <v>637</v>
      </c>
      <c r="B59" s="589" t="s">
        <v>638</v>
      </c>
      <c r="C59" s="592"/>
      <c r="D59" s="592"/>
      <c r="E59" s="592"/>
      <c r="F59" s="592"/>
      <c r="G59" s="386">
        <v>641</v>
      </c>
      <c r="H59" s="386">
        <v>12201</v>
      </c>
      <c r="I59" s="432">
        <f>+'Ardh shpenz alpha'!C73/1000</f>
        <v>5424.092</v>
      </c>
      <c r="J59" s="432">
        <v>6446</v>
      </c>
      <c r="O59" s="441"/>
    </row>
    <row r="60" spans="1:10" ht="16.5" customHeight="1">
      <c r="A60" s="389" t="s">
        <v>639</v>
      </c>
      <c r="B60" s="592" t="s">
        <v>640</v>
      </c>
      <c r="C60" s="592"/>
      <c r="D60" s="592"/>
      <c r="E60" s="592"/>
      <c r="F60" s="592"/>
      <c r="G60" s="386">
        <v>644</v>
      </c>
      <c r="H60" s="386">
        <v>12202</v>
      </c>
      <c r="I60" s="432">
        <f>+'Ardh shpenz alpha'!C75/1000</f>
        <v>740.625</v>
      </c>
      <c r="J60" s="432">
        <v>1049</v>
      </c>
    </row>
    <row r="61" spans="1:10" ht="16.5" customHeight="1">
      <c r="A61" s="387">
        <v>3</v>
      </c>
      <c r="B61" s="589" t="s">
        <v>641</v>
      </c>
      <c r="C61" s="589"/>
      <c r="D61" s="589"/>
      <c r="E61" s="589"/>
      <c r="F61" s="589"/>
      <c r="G61" s="388">
        <v>68</v>
      </c>
      <c r="H61" s="388">
        <v>12300</v>
      </c>
      <c r="I61" s="432">
        <f>+'Ardh shpenz alpha'!C82/1000</f>
        <v>14982.322</v>
      </c>
      <c r="J61" s="432">
        <f>+'Ardh shpenz alpha'!D82/1000</f>
        <v>3865.021</v>
      </c>
    </row>
    <row r="62" spans="1:10" ht="16.5" customHeight="1">
      <c r="A62" s="387">
        <v>4</v>
      </c>
      <c r="B62" s="589" t="s">
        <v>642</v>
      </c>
      <c r="C62" s="589"/>
      <c r="D62" s="589"/>
      <c r="E62" s="589"/>
      <c r="F62" s="589"/>
      <c r="G62" s="388">
        <v>61</v>
      </c>
      <c r="H62" s="388">
        <v>12400</v>
      </c>
      <c r="I62" s="432">
        <f>+I63+I64+I65+I66+I67+I68+I69+I70+I71+I72+I73+I74+I75+I76+I77</f>
        <v>64853.19351</v>
      </c>
      <c r="J62" s="432">
        <f>+J64+J65+J66+J67+J73+J77</f>
        <v>3615</v>
      </c>
    </row>
    <row r="63" spans="1:10" ht="16.5" customHeight="1">
      <c r="A63" s="389" t="s">
        <v>599</v>
      </c>
      <c r="B63" s="585" t="s">
        <v>643</v>
      </c>
      <c r="C63" s="585"/>
      <c r="D63" s="585"/>
      <c r="E63" s="585"/>
      <c r="F63" s="585"/>
      <c r="G63" s="384"/>
      <c r="H63" s="384">
        <v>12401</v>
      </c>
      <c r="I63" s="432">
        <f>17540666/1000</f>
        <v>17540.666</v>
      </c>
      <c r="J63" s="432"/>
    </row>
    <row r="64" spans="1:10" ht="16.5" customHeight="1">
      <c r="A64" s="389" t="s">
        <v>608</v>
      </c>
      <c r="B64" s="585" t="s">
        <v>644</v>
      </c>
      <c r="C64" s="585"/>
      <c r="D64" s="585"/>
      <c r="E64" s="585"/>
      <c r="F64" s="585"/>
      <c r="G64" s="390">
        <v>611</v>
      </c>
      <c r="H64" s="384">
        <v>12402</v>
      </c>
      <c r="I64" s="432"/>
      <c r="J64" s="432"/>
    </row>
    <row r="65" spans="1:10" ht="16.5" customHeight="1">
      <c r="A65" s="389" t="s">
        <v>610</v>
      </c>
      <c r="B65" s="585" t="s">
        <v>645</v>
      </c>
      <c r="C65" s="585"/>
      <c r="D65" s="585"/>
      <c r="E65" s="585"/>
      <c r="F65" s="585"/>
      <c r="G65" s="384">
        <v>613</v>
      </c>
      <c r="H65" s="384">
        <v>12403</v>
      </c>
      <c r="I65" s="432"/>
      <c r="J65" s="432"/>
    </row>
    <row r="66" spans="1:15" ht="16.5" customHeight="1">
      <c r="A66" s="389" t="s">
        <v>646</v>
      </c>
      <c r="B66" s="585" t="s">
        <v>523</v>
      </c>
      <c r="C66" s="585"/>
      <c r="D66" s="585"/>
      <c r="E66" s="585"/>
      <c r="F66" s="585"/>
      <c r="G66" s="390">
        <v>615</v>
      </c>
      <c r="H66" s="384">
        <v>12404</v>
      </c>
      <c r="I66" s="440">
        <f>13804581.66/1000</f>
        <v>13804.58166</v>
      </c>
      <c r="J66" s="440"/>
      <c r="O66" s="441"/>
    </row>
    <row r="67" spans="1:10" ht="16.5" customHeight="1">
      <c r="A67" s="389" t="s">
        <v>647</v>
      </c>
      <c r="B67" s="585" t="s">
        <v>648</v>
      </c>
      <c r="C67" s="585"/>
      <c r="D67" s="585"/>
      <c r="E67" s="585"/>
      <c r="F67" s="585"/>
      <c r="G67" s="390">
        <v>616</v>
      </c>
      <c r="H67" s="384">
        <v>12405</v>
      </c>
      <c r="I67" s="432">
        <f>459849.02/1000</f>
        <v>459.84902</v>
      </c>
      <c r="J67" s="432"/>
    </row>
    <row r="68" spans="1:15" ht="16.5" customHeight="1">
      <c r="A68" s="389" t="s">
        <v>649</v>
      </c>
      <c r="B68" s="585" t="s">
        <v>650</v>
      </c>
      <c r="C68" s="585"/>
      <c r="D68" s="585"/>
      <c r="E68" s="585"/>
      <c r="F68" s="585"/>
      <c r="G68" s="390">
        <v>617</v>
      </c>
      <c r="H68" s="384">
        <v>12406</v>
      </c>
      <c r="I68" s="432"/>
      <c r="J68" s="432"/>
      <c r="O68" s="441"/>
    </row>
    <row r="69" spans="1:10" ht="16.5" customHeight="1">
      <c r="A69" s="389" t="s">
        <v>651</v>
      </c>
      <c r="B69" s="588" t="s">
        <v>652</v>
      </c>
      <c r="C69" s="588" t="s">
        <v>626</v>
      </c>
      <c r="D69" s="588"/>
      <c r="E69" s="588"/>
      <c r="F69" s="588"/>
      <c r="G69" s="390">
        <v>618</v>
      </c>
      <c r="H69" s="384">
        <v>12407</v>
      </c>
      <c r="I69" s="432">
        <f>133469/1000</f>
        <v>133.469</v>
      </c>
      <c r="J69" s="432"/>
    </row>
    <row r="70" spans="1:10" ht="16.5" customHeight="1">
      <c r="A70" s="389" t="s">
        <v>653</v>
      </c>
      <c r="B70" s="588" t="s">
        <v>654</v>
      </c>
      <c r="C70" s="588"/>
      <c r="D70" s="588"/>
      <c r="E70" s="588"/>
      <c r="F70" s="588"/>
      <c r="G70" s="390">
        <v>623</v>
      </c>
      <c r="H70" s="384">
        <v>12408</v>
      </c>
      <c r="I70" s="432"/>
      <c r="J70" s="432"/>
    </row>
    <row r="71" spans="1:10" ht="16.5" customHeight="1">
      <c r="A71" s="389" t="s">
        <v>655</v>
      </c>
      <c r="B71" s="588" t="s">
        <v>656</v>
      </c>
      <c r="C71" s="588"/>
      <c r="D71" s="588"/>
      <c r="E71" s="588"/>
      <c r="F71" s="588"/>
      <c r="G71" s="390">
        <v>624</v>
      </c>
      <c r="H71" s="384">
        <v>12409</v>
      </c>
      <c r="I71" s="432"/>
      <c r="J71" s="432"/>
    </row>
    <row r="72" spans="1:10" ht="16.5" customHeight="1">
      <c r="A72" s="389" t="s">
        <v>657</v>
      </c>
      <c r="B72" s="588" t="s">
        <v>658</v>
      </c>
      <c r="C72" s="588"/>
      <c r="D72" s="588"/>
      <c r="E72" s="588"/>
      <c r="F72" s="588"/>
      <c r="G72" s="390">
        <v>625</v>
      </c>
      <c r="H72" s="384">
        <v>12410</v>
      </c>
      <c r="I72" s="432"/>
      <c r="J72" s="432"/>
    </row>
    <row r="73" spans="1:10" ht="16.5" customHeight="1">
      <c r="A73" s="389" t="s">
        <v>659</v>
      </c>
      <c r="B73" s="588" t="s">
        <v>660</v>
      </c>
      <c r="C73" s="588"/>
      <c r="D73" s="588"/>
      <c r="E73" s="588"/>
      <c r="F73" s="588"/>
      <c r="G73" s="390">
        <v>626</v>
      </c>
      <c r="H73" s="384">
        <v>12411</v>
      </c>
      <c r="I73" s="432">
        <f>821421.52/1000</f>
        <v>821.42152</v>
      </c>
      <c r="J73" s="432"/>
    </row>
    <row r="74" spans="1:10" ht="16.5" customHeight="1">
      <c r="A74" s="391" t="s">
        <v>661</v>
      </c>
      <c r="B74" s="588" t="s">
        <v>662</v>
      </c>
      <c r="C74" s="588"/>
      <c r="D74" s="588"/>
      <c r="E74" s="588"/>
      <c r="F74" s="588"/>
      <c r="G74" s="390">
        <v>627</v>
      </c>
      <c r="H74" s="384">
        <v>12412</v>
      </c>
      <c r="I74" s="432"/>
      <c r="J74" s="432"/>
    </row>
    <row r="75" spans="1:10" ht="16.5" customHeight="1">
      <c r="A75" s="389"/>
      <c r="B75" s="590" t="s">
        <v>663</v>
      </c>
      <c r="C75" s="590"/>
      <c r="D75" s="590"/>
      <c r="E75" s="590"/>
      <c r="F75" s="590"/>
      <c r="G75" s="390">
        <v>6271</v>
      </c>
      <c r="H75" s="390">
        <v>124121</v>
      </c>
      <c r="I75" s="432">
        <f>20358861.8/1000</f>
        <v>20358.861800000002</v>
      </c>
      <c r="J75" s="432"/>
    </row>
    <row r="76" spans="1:10" ht="16.5" customHeight="1">
      <c r="A76" s="389"/>
      <c r="B76" s="590" t="s">
        <v>664</v>
      </c>
      <c r="C76" s="590"/>
      <c r="D76" s="590"/>
      <c r="E76" s="590"/>
      <c r="F76" s="590"/>
      <c r="G76" s="390">
        <v>6272</v>
      </c>
      <c r="H76" s="390">
        <v>124122</v>
      </c>
      <c r="I76" s="432"/>
      <c r="J76" s="432"/>
    </row>
    <row r="77" spans="1:10" ht="16.5" customHeight="1">
      <c r="A77" s="389" t="s">
        <v>665</v>
      </c>
      <c r="B77" s="588" t="s">
        <v>666</v>
      </c>
      <c r="C77" s="588"/>
      <c r="D77" s="588"/>
      <c r="E77" s="588"/>
      <c r="F77" s="588"/>
      <c r="G77" s="390">
        <v>628</v>
      </c>
      <c r="H77" s="390">
        <v>12413</v>
      </c>
      <c r="I77" s="432">
        <f>(349335.38+2781877.33+72392+220732.97+7908000+402006.83)/1000</f>
        <v>11734.344509999999</v>
      </c>
      <c r="J77" s="432">
        <v>3615</v>
      </c>
    </row>
    <row r="78" spans="1:10" ht="16.5" customHeight="1">
      <c r="A78" s="387">
        <v>5</v>
      </c>
      <c r="B78" s="591" t="s">
        <v>667</v>
      </c>
      <c r="C78" s="588"/>
      <c r="D78" s="588"/>
      <c r="E78" s="588"/>
      <c r="F78" s="588"/>
      <c r="G78" s="385">
        <v>63</v>
      </c>
      <c r="H78" s="385">
        <v>12500</v>
      </c>
      <c r="I78" s="432">
        <f>+I79+I80+I81+I82</f>
        <v>16242.706000000002</v>
      </c>
      <c r="J78" s="432">
        <f>SUM(J79:J82)</f>
        <v>301.219</v>
      </c>
    </row>
    <row r="79" spans="1:10" ht="16.5" customHeight="1">
      <c r="A79" s="389" t="s">
        <v>599</v>
      </c>
      <c r="B79" s="588" t="s">
        <v>668</v>
      </c>
      <c r="C79" s="588"/>
      <c r="D79" s="588"/>
      <c r="E79" s="588"/>
      <c r="F79" s="588"/>
      <c r="G79" s="390">
        <v>632</v>
      </c>
      <c r="H79" s="390">
        <v>12501</v>
      </c>
      <c r="I79" s="432"/>
      <c r="J79" s="432"/>
    </row>
    <row r="80" spans="1:10" ht="16.5" customHeight="1">
      <c r="A80" s="389" t="s">
        <v>608</v>
      </c>
      <c r="B80" s="588" t="s">
        <v>669</v>
      </c>
      <c r="C80" s="588"/>
      <c r="D80" s="588"/>
      <c r="E80" s="588"/>
      <c r="F80" s="588"/>
      <c r="G80" s="390">
        <v>633</v>
      </c>
      <c r="H80" s="390">
        <v>12502</v>
      </c>
      <c r="I80" s="432">
        <f>14632575/1000</f>
        <v>14632.575</v>
      </c>
      <c r="J80" s="432"/>
    </row>
    <row r="81" spans="1:10" ht="16.5" customHeight="1">
      <c r="A81" s="389" t="s">
        <v>610</v>
      </c>
      <c r="B81" s="588" t="s">
        <v>670</v>
      </c>
      <c r="C81" s="588"/>
      <c r="D81" s="588"/>
      <c r="E81" s="588"/>
      <c r="F81" s="588"/>
      <c r="G81" s="390">
        <v>634</v>
      </c>
      <c r="H81" s="390">
        <v>12503</v>
      </c>
      <c r="I81" s="432">
        <f>40120/1000</f>
        <v>40.12</v>
      </c>
      <c r="J81" s="432">
        <f>+'Ardh shpenz alpha'!D76/1000</f>
        <v>301.219</v>
      </c>
    </row>
    <row r="82" spans="1:10" ht="16.5" customHeight="1">
      <c r="A82" s="389" t="s">
        <v>646</v>
      </c>
      <c r="B82" s="588" t="s">
        <v>671</v>
      </c>
      <c r="C82" s="588"/>
      <c r="D82" s="588"/>
      <c r="E82" s="588"/>
      <c r="F82" s="588"/>
      <c r="G82" s="390" t="s">
        <v>672</v>
      </c>
      <c r="H82" s="390">
        <v>12504</v>
      </c>
      <c r="I82" s="432">
        <f>1570011/1000</f>
        <v>1570.011</v>
      </c>
      <c r="J82" s="432"/>
    </row>
    <row r="83" spans="1:10" ht="12.75" customHeight="1">
      <c r="A83" s="387" t="s">
        <v>673</v>
      </c>
      <c r="B83" s="589" t="s">
        <v>674</v>
      </c>
      <c r="C83" s="589"/>
      <c r="D83" s="589"/>
      <c r="E83" s="589"/>
      <c r="F83" s="589"/>
      <c r="G83" s="390"/>
      <c r="H83" s="390">
        <v>12600</v>
      </c>
      <c r="I83" s="432">
        <f>+I52+I58+I61+I62+I78</f>
        <v>653410.0081900001</v>
      </c>
      <c r="J83" s="432">
        <f>+J78+J62+J61+J58+J52</f>
        <v>147739.052</v>
      </c>
    </row>
    <row r="84" spans="1:10" ht="16.5" customHeight="1">
      <c r="A84" s="392"/>
      <c r="B84" s="393" t="s">
        <v>675</v>
      </c>
      <c r="C84" s="394"/>
      <c r="D84" s="394"/>
      <c r="E84" s="394"/>
      <c r="F84" s="394"/>
      <c r="G84" s="394"/>
      <c r="H84" s="394"/>
      <c r="I84" s="442" t="s">
        <v>571</v>
      </c>
      <c r="J84" s="443" t="s">
        <v>550</v>
      </c>
    </row>
    <row r="85" spans="1:10" ht="16.5" customHeight="1">
      <c r="A85" s="395">
        <v>1</v>
      </c>
      <c r="B85" s="584" t="s">
        <v>676</v>
      </c>
      <c r="C85" s="584"/>
      <c r="D85" s="584"/>
      <c r="E85" s="584"/>
      <c r="F85" s="584"/>
      <c r="G85" s="385"/>
      <c r="H85" s="385">
        <v>14000</v>
      </c>
      <c r="I85" s="432">
        <v>14</v>
      </c>
      <c r="J85" s="444">
        <v>14</v>
      </c>
    </row>
    <row r="86" spans="1:10" ht="16.5" customHeight="1">
      <c r="A86" s="395">
        <v>2</v>
      </c>
      <c r="B86" s="584" t="s">
        <v>677</v>
      </c>
      <c r="C86" s="584"/>
      <c r="D86" s="584"/>
      <c r="E86" s="584"/>
      <c r="F86" s="584"/>
      <c r="G86" s="385"/>
      <c r="H86" s="385">
        <v>15000</v>
      </c>
      <c r="I86" s="432">
        <f>+I88-I90</f>
        <v>-7908</v>
      </c>
      <c r="J86" s="432"/>
    </row>
    <row r="87" spans="1:10" ht="16.5" customHeight="1">
      <c r="A87" s="396" t="s">
        <v>599</v>
      </c>
      <c r="B87" s="585" t="s">
        <v>678</v>
      </c>
      <c r="C87" s="585"/>
      <c r="D87" s="585"/>
      <c r="E87" s="585"/>
      <c r="F87" s="585"/>
      <c r="G87" s="385"/>
      <c r="H87" s="390">
        <v>15001</v>
      </c>
      <c r="I87" s="432"/>
      <c r="J87" s="444"/>
    </row>
    <row r="88" spans="1:10" ht="16.5" customHeight="1">
      <c r="A88" s="396"/>
      <c r="B88" s="586" t="s">
        <v>679</v>
      </c>
      <c r="C88" s="586"/>
      <c r="D88" s="586"/>
      <c r="E88" s="586"/>
      <c r="F88" s="586"/>
      <c r="G88" s="385"/>
      <c r="H88" s="390">
        <v>150011</v>
      </c>
      <c r="I88" s="432"/>
      <c r="J88" s="444">
        <v>7908</v>
      </c>
    </row>
    <row r="89" spans="1:10" ht="16.5" customHeight="1">
      <c r="A89" s="397" t="s">
        <v>608</v>
      </c>
      <c r="B89" s="585" t="s">
        <v>680</v>
      </c>
      <c r="C89" s="585"/>
      <c r="D89" s="585"/>
      <c r="E89" s="585"/>
      <c r="F89" s="585"/>
      <c r="G89" s="385"/>
      <c r="H89" s="390">
        <v>15002</v>
      </c>
      <c r="I89" s="432"/>
      <c r="J89" s="444"/>
    </row>
    <row r="90" spans="1:10" ht="13.5" thickBot="1">
      <c r="A90" s="398"/>
      <c r="B90" s="587" t="s">
        <v>681</v>
      </c>
      <c r="C90" s="587"/>
      <c r="D90" s="587"/>
      <c r="E90" s="587"/>
      <c r="F90" s="587"/>
      <c r="G90" s="399"/>
      <c r="H90" s="400">
        <v>150021</v>
      </c>
      <c r="I90" s="445">
        <f>7908000/1000</f>
        <v>7908</v>
      </c>
      <c r="J90" s="445"/>
    </row>
    <row r="91" spans="1:10" ht="12.75">
      <c r="A91" s="325"/>
      <c r="B91" s="325"/>
      <c r="C91" s="325"/>
      <c r="D91" s="325"/>
      <c r="E91" s="325"/>
      <c r="F91" s="325"/>
      <c r="G91" s="325"/>
      <c r="H91" s="325"/>
      <c r="I91" s="401"/>
      <c r="J91" s="401"/>
    </row>
    <row r="92" spans="1:10" ht="15.75">
      <c r="A92" s="344"/>
      <c r="B92" s="344"/>
      <c r="C92" s="344"/>
      <c r="D92" s="344"/>
      <c r="E92" s="344"/>
      <c r="F92" s="344"/>
      <c r="G92" s="577" t="s">
        <v>592</v>
      </c>
      <c r="H92" s="577"/>
      <c r="I92" s="577"/>
      <c r="J92" s="402"/>
    </row>
    <row r="93" spans="1:10" ht="15.75">
      <c r="A93" s="344"/>
      <c r="B93" s="344"/>
      <c r="C93" s="344"/>
      <c r="D93" s="344"/>
      <c r="E93" s="344"/>
      <c r="F93" s="344"/>
      <c r="G93" s="578" t="s">
        <v>759</v>
      </c>
      <c r="H93" s="578"/>
      <c r="I93" s="578"/>
      <c r="J93" s="402"/>
    </row>
    <row r="94" spans="1:12" ht="15.75">
      <c r="A94" s="344"/>
      <c r="B94" s="344"/>
      <c r="C94" s="344"/>
      <c r="D94" s="344"/>
      <c r="E94" s="344"/>
      <c r="F94" s="344"/>
      <c r="G94" s="344"/>
      <c r="H94" s="344"/>
      <c r="I94" s="344"/>
      <c r="J94" s="402"/>
      <c r="L94">
        <v>653543</v>
      </c>
    </row>
    <row r="95" spans="1:12" ht="15.75">
      <c r="A95" s="344"/>
      <c r="B95" s="403"/>
      <c r="C95" s="344"/>
      <c r="D95" s="344"/>
      <c r="E95" s="344"/>
      <c r="F95" s="344"/>
      <c r="G95" s="344"/>
      <c r="H95" s="344"/>
      <c r="I95" s="344"/>
      <c r="J95" s="402"/>
      <c r="L95">
        <v>653410</v>
      </c>
    </row>
    <row r="96" spans="1:12" ht="12.75">
      <c r="A96" s="344"/>
      <c r="B96" s="403"/>
      <c r="C96" s="344"/>
      <c r="D96" s="344"/>
      <c r="E96" s="344"/>
      <c r="F96" s="344"/>
      <c r="G96" s="344"/>
      <c r="H96" s="344"/>
      <c r="I96" s="344"/>
      <c r="J96" s="344"/>
      <c r="L96" s="441">
        <f>+I83-L95</f>
        <v>0.008190000080503523</v>
      </c>
    </row>
    <row r="97" spans="1:10" ht="12.75">
      <c r="A97" s="344"/>
      <c r="B97" s="403"/>
      <c r="C97" s="344"/>
      <c r="D97" s="344"/>
      <c r="E97" s="344"/>
      <c r="F97" s="344"/>
      <c r="G97" s="344"/>
      <c r="H97" s="344"/>
      <c r="I97" s="549">
        <f>653410008.19/1000-I83</f>
        <v>0</v>
      </c>
      <c r="J97" s="344"/>
    </row>
    <row r="98" spans="1:10" ht="12.75">
      <c r="A98" s="344"/>
      <c r="B98" s="403"/>
      <c r="C98" s="344"/>
      <c r="D98" s="344"/>
      <c r="E98" s="344"/>
      <c r="F98" s="344"/>
      <c r="G98" s="344"/>
      <c r="H98" s="344"/>
      <c r="I98" s="344"/>
      <c r="J98" s="344"/>
    </row>
    <row r="99" spans="1:10" ht="12.75">
      <c r="A99" s="344"/>
      <c r="B99" s="344"/>
      <c r="C99" s="344"/>
      <c r="D99" s="344"/>
      <c r="E99" s="344"/>
      <c r="F99" s="344"/>
      <c r="G99" s="344"/>
      <c r="H99" s="344"/>
      <c r="I99" s="344"/>
      <c r="J99" s="344"/>
    </row>
    <row r="100" spans="1:10" ht="12.75">
      <c r="A100" s="344"/>
      <c r="B100" s="344"/>
      <c r="C100" s="344"/>
      <c r="D100" s="344"/>
      <c r="E100" s="344"/>
      <c r="F100" s="344"/>
      <c r="G100" s="344"/>
      <c r="H100" s="344"/>
      <c r="I100" s="344"/>
      <c r="J100" s="344"/>
    </row>
    <row r="101" spans="1:10" ht="12.75">
      <c r="A101" s="344"/>
      <c r="B101" s="344"/>
      <c r="C101" s="344"/>
      <c r="D101" s="344"/>
      <c r="E101" s="344"/>
      <c r="F101" s="344"/>
      <c r="G101" s="344"/>
      <c r="H101" s="344"/>
      <c r="I101" s="344"/>
      <c r="J101" s="344"/>
    </row>
    <row r="102" spans="1:10" ht="12.75">
      <c r="A102" s="344"/>
      <c r="B102" s="344"/>
      <c r="C102" s="344"/>
      <c r="D102" s="344"/>
      <c r="E102" s="344"/>
      <c r="F102" s="344"/>
      <c r="G102" s="344"/>
      <c r="H102" s="344"/>
      <c r="I102" s="344"/>
      <c r="J102" s="344"/>
    </row>
    <row r="103" spans="1:10" ht="12.75">
      <c r="A103" s="344"/>
      <c r="B103" s="344"/>
      <c r="C103" s="344"/>
      <c r="D103" s="344"/>
      <c r="E103" s="344"/>
      <c r="F103" s="344"/>
      <c r="G103" s="344"/>
      <c r="H103" s="344"/>
      <c r="I103" s="344"/>
      <c r="J103" s="344"/>
    </row>
    <row r="104" spans="1:10" ht="12.75">
      <c r="A104" s="344"/>
      <c r="B104" s="344"/>
      <c r="C104" s="344"/>
      <c r="D104" s="344"/>
      <c r="E104" s="344"/>
      <c r="F104" s="344"/>
      <c r="G104" s="344"/>
      <c r="H104" s="344"/>
      <c r="I104" s="344"/>
      <c r="J104" s="344"/>
    </row>
    <row r="105" spans="1:10" ht="12.75">
      <c r="A105" s="344"/>
      <c r="B105" s="344"/>
      <c r="C105" s="344"/>
      <c r="D105" s="344"/>
      <c r="E105" s="344"/>
      <c r="F105" s="344"/>
      <c r="G105" s="344"/>
      <c r="H105" s="344"/>
      <c r="I105" s="344"/>
      <c r="J105" s="344"/>
    </row>
    <row r="106" spans="1:10" ht="12.75">
      <c r="A106" s="344"/>
      <c r="B106" s="344"/>
      <c r="C106" s="344"/>
      <c r="D106" s="344"/>
      <c r="E106" s="344"/>
      <c r="F106" s="344"/>
      <c r="G106" s="344"/>
      <c r="H106" s="344"/>
      <c r="I106" s="344"/>
      <c r="J106" s="344"/>
    </row>
    <row r="107" spans="1:10" ht="12.75">
      <c r="A107" s="344"/>
      <c r="B107" s="344"/>
      <c r="C107" s="344"/>
      <c r="D107" s="344"/>
      <c r="E107" s="344"/>
      <c r="F107" s="344"/>
      <c r="G107" s="344"/>
      <c r="H107" s="344"/>
      <c r="I107" s="344"/>
      <c r="J107" s="344"/>
    </row>
    <row r="108" spans="1:10" ht="12.75">
      <c r="A108" s="344"/>
      <c r="B108" s="344"/>
      <c r="C108" s="344"/>
      <c r="D108" s="344"/>
      <c r="E108" s="344"/>
      <c r="F108" s="344"/>
      <c r="G108" s="344"/>
      <c r="H108" s="344"/>
      <c r="I108" s="344"/>
      <c r="J108" s="344"/>
    </row>
    <row r="109" spans="1:10" ht="12.75">
      <c r="A109" s="344"/>
      <c r="B109" s="344"/>
      <c r="C109" s="344"/>
      <c r="D109" s="344"/>
      <c r="E109" s="344"/>
      <c r="F109" s="344"/>
      <c r="G109" s="344"/>
      <c r="H109" s="344"/>
      <c r="I109" s="344"/>
      <c r="J109" s="344"/>
    </row>
    <row r="110" spans="1:10" ht="12.75">
      <c r="A110" s="344"/>
      <c r="B110" s="344"/>
      <c r="C110" s="344"/>
      <c r="D110" s="344"/>
      <c r="E110" s="344"/>
      <c r="F110" s="344"/>
      <c r="G110" s="344"/>
      <c r="H110" s="344"/>
      <c r="I110" s="344"/>
      <c r="J110" s="344"/>
    </row>
    <row r="111" spans="1:10" ht="12.75">
      <c r="A111" s="344"/>
      <c r="B111" s="344"/>
      <c r="C111" s="344"/>
      <c r="D111" s="344"/>
      <c r="E111" s="344"/>
      <c r="F111" s="344"/>
      <c r="G111" s="344"/>
      <c r="H111" s="344"/>
      <c r="I111" s="344"/>
      <c r="J111" s="344"/>
    </row>
    <row r="112" spans="1:10" ht="12.75">
      <c r="A112" s="344"/>
      <c r="B112" s="344"/>
      <c r="C112" s="344"/>
      <c r="D112" s="344"/>
      <c r="E112" s="344"/>
      <c r="F112" s="344"/>
      <c r="G112" s="344"/>
      <c r="H112" s="344"/>
      <c r="I112" s="344"/>
      <c r="J112" s="344"/>
    </row>
    <row r="113" spans="1:10" ht="12.75">
      <c r="A113" s="344"/>
      <c r="B113" s="344"/>
      <c r="C113" s="344"/>
      <c r="D113" s="344"/>
      <c r="E113" s="344"/>
      <c r="F113" s="344"/>
      <c r="G113" s="344"/>
      <c r="H113" s="344"/>
      <c r="I113" s="344"/>
      <c r="J113" s="344"/>
    </row>
    <row r="114" spans="1:10" ht="12.75">
      <c r="A114" s="344"/>
      <c r="B114" s="344"/>
      <c r="C114" s="344"/>
      <c r="D114" s="344"/>
      <c r="E114" s="344"/>
      <c r="F114" s="344"/>
      <c r="G114" s="344"/>
      <c r="H114" s="344"/>
      <c r="I114" s="344"/>
      <c r="J114" s="344"/>
    </row>
    <row r="115" spans="1:10" ht="12.75">
      <c r="A115" s="344"/>
      <c r="B115" s="344"/>
      <c r="C115" s="344"/>
      <c r="D115" s="344"/>
      <c r="E115" s="344"/>
      <c r="F115" s="344"/>
      <c r="G115" s="344"/>
      <c r="H115" s="344"/>
      <c r="I115" s="344"/>
      <c r="J115" s="344"/>
    </row>
    <row r="116" spans="1:10" ht="12.75">
      <c r="A116" s="344"/>
      <c r="B116" s="344"/>
      <c r="C116" s="344"/>
      <c r="D116" s="344"/>
      <c r="E116" s="344"/>
      <c r="F116" s="344"/>
      <c r="G116" s="344"/>
      <c r="H116" s="344"/>
      <c r="I116" s="344"/>
      <c r="J116" s="344"/>
    </row>
    <row r="117" spans="1:10" ht="12.75">
      <c r="A117" s="344"/>
      <c r="B117" s="344"/>
      <c r="C117" s="344"/>
      <c r="D117" s="344"/>
      <c r="E117" s="344"/>
      <c r="F117" s="344"/>
      <c r="G117" s="344"/>
      <c r="H117" s="344"/>
      <c r="I117" s="344"/>
      <c r="J117" s="344"/>
    </row>
    <row r="118" spans="1:10" ht="12.75">
      <c r="A118" s="344"/>
      <c r="B118" s="344"/>
      <c r="C118" s="344"/>
      <c r="D118" s="344"/>
      <c r="E118" s="344"/>
      <c r="F118" s="344"/>
      <c r="G118" s="344"/>
      <c r="H118" s="344"/>
      <c r="I118" s="344"/>
      <c r="J118" s="344"/>
    </row>
    <row r="119" spans="1:10" ht="12.75">
      <c r="A119" s="344"/>
      <c r="B119" s="344"/>
      <c r="C119" s="344"/>
      <c r="D119" s="344"/>
      <c r="E119" s="344"/>
      <c r="F119" s="344"/>
      <c r="G119" s="344"/>
      <c r="H119" s="344"/>
      <c r="I119" s="344"/>
      <c r="J119" s="344"/>
    </row>
    <row r="120" spans="1:10" ht="12.75">
      <c r="A120" s="344"/>
      <c r="B120" s="344"/>
      <c r="C120" s="344"/>
      <c r="D120" s="344"/>
      <c r="E120" s="344"/>
      <c r="F120" s="344"/>
      <c r="G120" s="344"/>
      <c r="H120" s="344"/>
      <c r="I120" s="344"/>
      <c r="J120" s="344"/>
    </row>
    <row r="121" spans="1:10" ht="12.75">
      <c r="A121" s="344"/>
      <c r="B121" s="344"/>
      <c r="C121" s="344"/>
      <c r="D121" s="344"/>
      <c r="E121" s="344"/>
      <c r="F121" s="344"/>
      <c r="G121" s="344"/>
      <c r="H121" s="344"/>
      <c r="I121" s="344"/>
      <c r="J121" s="344"/>
    </row>
    <row r="122" spans="1:10" ht="12.75">
      <c r="A122" s="344"/>
      <c r="B122" s="344"/>
      <c r="C122" s="344"/>
      <c r="D122" s="344"/>
      <c r="E122" s="344"/>
      <c r="F122" s="344"/>
      <c r="G122" s="344"/>
      <c r="H122" s="344"/>
      <c r="I122" s="344"/>
      <c r="J122" s="344"/>
    </row>
    <row r="123" spans="1:10" ht="12.75">
      <c r="A123" s="344"/>
      <c r="B123" s="344"/>
      <c r="C123" s="344"/>
      <c r="D123" s="344"/>
      <c r="E123" s="344"/>
      <c r="F123" s="344"/>
      <c r="G123" s="344"/>
      <c r="H123" s="344"/>
      <c r="I123" s="344"/>
      <c r="J123" s="344"/>
    </row>
    <row r="124" spans="1:10" ht="12.75">
      <c r="A124" s="344"/>
      <c r="B124" s="344"/>
      <c r="C124" s="344"/>
      <c r="D124" s="344"/>
      <c r="E124" s="344"/>
      <c r="F124" s="344"/>
      <c r="G124" s="344"/>
      <c r="H124" s="344"/>
      <c r="I124" s="344"/>
      <c r="J124" s="344"/>
    </row>
    <row r="125" spans="1:10" ht="12.75">
      <c r="A125" s="344"/>
      <c r="B125" s="344"/>
      <c r="C125" s="344"/>
      <c r="D125" s="344"/>
      <c r="E125" s="344"/>
      <c r="F125" s="344"/>
      <c r="G125" s="344"/>
      <c r="H125" s="344"/>
      <c r="I125" s="344"/>
      <c r="J125" s="344"/>
    </row>
    <row r="126" spans="1:10" ht="12.75">
      <c r="A126" s="344"/>
      <c r="B126" s="344"/>
      <c r="C126" s="344"/>
      <c r="D126" s="344"/>
      <c r="E126" s="344"/>
      <c r="F126" s="344"/>
      <c r="G126" s="344"/>
      <c r="H126" s="344"/>
      <c r="I126" s="344"/>
      <c r="J126" s="344"/>
    </row>
    <row r="127" spans="1:10" ht="12.75">
      <c r="A127" s="344"/>
      <c r="B127" s="344"/>
      <c r="C127" s="344"/>
      <c r="D127" s="344"/>
      <c r="E127" s="344"/>
      <c r="F127" s="344"/>
      <c r="G127" s="344"/>
      <c r="H127" s="344"/>
      <c r="I127" s="344"/>
      <c r="J127" s="344"/>
    </row>
    <row r="128" spans="1:10" ht="12.75">
      <c r="A128" s="344"/>
      <c r="B128" s="344"/>
      <c r="C128" s="344"/>
      <c r="D128" s="344"/>
      <c r="E128" s="344"/>
      <c r="F128" s="344"/>
      <c r="G128" s="344"/>
      <c r="H128" s="344"/>
      <c r="I128" s="344"/>
      <c r="J128" s="344"/>
    </row>
    <row r="129" spans="1:10" ht="12.75">
      <c r="A129" s="344"/>
      <c r="B129" s="344"/>
      <c r="C129" s="344"/>
      <c r="D129" s="344"/>
      <c r="E129" s="344"/>
      <c r="F129" s="344"/>
      <c r="G129" s="344"/>
      <c r="H129" s="344"/>
      <c r="I129" s="344"/>
      <c r="J129" s="344"/>
    </row>
    <row r="130" spans="1:10" ht="12.75">
      <c r="A130" s="344"/>
      <c r="B130" s="344"/>
      <c r="C130" s="344"/>
      <c r="D130" s="344"/>
      <c r="E130" s="344"/>
      <c r="F130" s="344"/>
      <c r="G130" s="344"/>
      <c r="H130" s="344"/>
      <c r="I130" s="344"/>
      <c r="J130" s="344"/>
    </row>
    <row r="131" spans="1:10" ht="12.75">
      <c r="A131" s="344"/>
      <c r="B131" s="344"/>
      <c r="C131" s="344"/>
      <c r="D131" s="344"/>
      <c r="E131" s="344"/>
      <c r="F131" s="344"/>
      <c r="G131" s="344"/>
      <c r="H131" s="344"/>
      <c r="I131" s="344"/>
      <c r="J131" s="344"/>
    </row>
    <row r="132" spans="1:10" ht="12.75">
      <c r="A132" s="344"/>
      <c r="B132" s="344"/>
      <c r="C132" s="344"/>
      <c r="D132" s="344"/>
      <c r="E132" s="344"/>
      <c r="F132" s="344"/>
      <c r="G132" s="344"/>
      <c r="H132" s="344"/>
      <c r="I132" s="344"/>
      <c r="J132" s="344"/>
    </row>
    <row r="133" spans="1:10" ht="12.75">
      <c r="A133" s="344"/>
      <c r="B133" s="344"/>
      <c r="C133" s="344"/>
      <c r="D133" s="344"/>
      <c r="E133" s="344"/>
      <c r="F133" s="344"/>
      <c r="G133" s="344"/>
      <c r="H133" s="344"/>
      <c r="I133" s="344"/>
      <c r="J133" s="344"/>
    </row>
    <row r="134" spans="1:10" ht="12.75">
      <c r="A134" s="344"/>
      <c r="B134" s="344"/>
      <c r="C134" s="344"/>
      <c r="D134" s="344"/>
      <c r="E134" s="344"/>
      <c r="F134" s="344"/>
      <c r="G134" s="344"/>
      <c r="H134" s="344"/>
      <c r="I134" s="344"/>
      <c r="J134" s="344"/>
    </row>
    <row r="135" spans="1:10" ht="12.75">
      <c r="A135" s="344"/>
      <c r="B135" s="344"/>
      <c r="C135" s="344"/>
      <c r="D135" s="344"/>
      <c r="E135" s="344"/>
      <c r="F135" s="344"/>
      <c r="G135" s="344"/>
      <c r="H135" s="344"/>
      <c r="I135" s="344"/>
      <c r="J135" s="344"/>
    </row>
    <row r="136" spans="1:10" ht="12.75">
      <c r="A136" s="344"/>
      <c r="B136" s="344"/>
      <c r="C136" s="344"/>
      <c r="D136" s="344"/>
      <c r="E136" s="344"/>
      <c r="F136" s="344"/>
      <c r="G136" s="344"/>
      <c r="H136" s="344"/>
      <c r="I136" s="344"/>
      <c r="J136" s="344"/>
    </row>
    <row r="137" spans="1:10" ht="12.75">
      <c r="A137" s="344"/>
      <c r="B137" s="344"/>
      <c r="C137" s="344"/>
      <c r="D137" s="344"/>
      <c r="E137" s="344"/>
      <c r="F137" s="344"/>
      <c r="G137" s="344"/>
      <c r="H137" s="344"/>
      <c r="I137" s="344"/>
      <c r="J137" s="344"/>
    </row>
    <row r="138" spans="1:10" ht="12.75">
      <c r="A138" s="344"/>
      <c r="B138" s="344"/>
      <c r="C138" s="344"/>
      <c r="D138" s="344"/>
      <c r="E138" s="344"/>
      <c r="F138" s="344"/>
      <c r="G138" s="344"/>
      <c r="H138" s="344"/>
      <c r="I138" s="344"/>
      <c r="J138" s="344"/>
    </row>
    <row r="139" spans="1:10" ht="12.75">
      <c r="A139" s="344"/>
      <c r="B139" s="344"/>
      <c r="C139" s="344"/>
      <c r="D139" s="344"/>
      <c r="E139" s="344"/>
      <c r="F139" s="344"/>
      <c r="G139" s="344"/>
      <c r="H139" s="344"/>
      <c r="I139" s="344"/>
      <c r="J139" s="344"/>
    </row>
    <row r="140" spans="1:10" ht="12.75">
      <c r="A140" s="344"/>
      <c r="B140" s="344"/>
      <c r="C140" s="344"/>
      <c r="D140" s="344"/>
      <c r="E140" s="344"/>
      <c r="F140" s="344"/>
      <c r="G140" s="344"/>
      <c r="H140" s="344"/>
      <c r="I140" s="344"/>
      <c r="J140" s="344"/>
    </row>
    <row r="141" spans="1:10" ht="12.75">
      <c r="A141" s="344"/>
      <c r="B141" s="344"/>
      <c r="C141" s="344"/>
      <c r="D141" s="344"/>
      <c r="E141" s="344"/>
      <c r="F141" s="344"/>
      <c r="G141" s="344"/>
      <c r="H141" s="344"/>
      <c r="I141" s="344"/>
      <c r="J141" s="344"/>
    </row>
    <row r="142" spans="1:10" ht="12.75">
      <c r="A142" s="344"/>
      <c r="B142" s="344"/>
      <c r="C142" s="344"/>
      <c r="D142" s="344"/>
      <c r="E142" s="344"/>
      <c r="F142" s="344"/>
      <c r="G142" s="344"/>
      <c r="H142" s="344"/>
      <c r="I142" s="344"/>
      <c r="J142" s="344"/>
    </row>
    <row r="143" spans="1:10" ht="12.75">
      <c r="A143" s="344"/>
      <c r="B143" s="344"/>
      <c r="C143" s="344"/>
      <c r="D143" s="344"/>
      <c r="E143" s="344"/>
      <c r="F143" s="344"/>
      <c r="G143" s="344"/>
      <c r="H143" s="344"/>
      <c r="I143" s="344"/>
      <c r="J143" s="344"/>
    </row>
    <row r="144" spans="1:10" ht="12.75">
      <c r="A144" s="344"/>
      <c r="B144" s="344"/>
      <c r="C144" s="344"/>
      <c r="D144" s="344"/>
      <c r="E144" s="344"/>
      <c r="F144" s="344"/>
      <c r="G144" s="344"/>
      <c r="H144" s="344"/>
      <c r="I144" s="344"/>
      <c r="J144" s="344"/>
    </row>
    <row r="145" spans="1:10" ht="12.75">
      <c r="A145" s="344"/>
      <c r="B145" s="344"/>
      <c r="C145" s="344"/>
      <c r="D145" s="344"/>
      <c r="E145" s="344"/>
      <c r="F145" s="344"/>
      <c r="G145" s="344"/>
      <c r="H145" s="344"/>
      <c r="I145" s="344"/>
      <c r="J145" s="344"/>
    </row>
    <row r="146" spans="1:10" ht="12.75">
      <c r="A146" s="344"/>
      <c r="B146" s="344"/>
      <c r="C146" s="344"/>
      <c r="D146" s="344"/>
      <c r="E146" s="344"/>
      <c r="F146" s="344"/>
      <c r="G146" s="344"/>
      <c r="H146" s="344"/>
      <c r="I146" s="344"/>
      <c r="J146" s="344"/>
    </row>
    <row r="147" spans="1:10" ht="12.75">
      <c r="A147" s="344"/>
      <c r="B147" s="344"/>
      <c r="C147" s="344"/>
      <c r="D147" s="344"/>
      <c r="E147" s="344"/>
      <c r="F147" s="344"/>
      <c r="G147" s="344"/>
      <c r="H147" s="344"/>
      <c r="I147" s="344"/>
      <c r="J147" s="344"/>
    </row>
    <row r="148" spans="1:10" ht="12.75">
      <c r="A148" s="344"/>
      <c r="B148" s="344"/>
      <c r="C148" s="344"/>
      <c r="D148" s="344"/>
      <c r="E148" s="344"/>
      <c r="F148" s="344"/>
      <c r="G148" s="344"/>
      <c r="H148" s="344"/>
      <c r="I148" s="344"/>
      <c r="J148" s="344"/>
    </row>
    <row r="149" spans="1:10" ht="12.75">
      <c r="A149" s="344"/>
      <c r="B149" s="344"/>
      <c r="C149" s="344"/>
      <c r="D149" s="344"/>
      <c r="E149" s="344"/>
      <c r="F149" s="344"/>
      <c r="G149" s="344"/>
      <c r="H149" s="344"/>
      <c r="I149" s="344"/>
      <c r="J149" s="344"/>
    </row>
    <row r="150" spans="1:10" ht="12.75">
      <c r="A150" s="344"/>
      <c r="B150" s="344"/>
      <c r="C150" s="344"/>
      <c r="D150" s="344"/>
      <c r="E150" s="344"/>
      <c r="F150" s="344"/>
      <c r="G150" s="344"/>
      <c r="H150" s="344"/>
      <c r="I150" s="344"/>
      <c r="J150" s="344"/>
    </row>
    <row r="151" spans="1:10" ht="12.75">
      <c r="A151" s="344"/>
      <c r="B151" s="344"/>
      <c r="C151" s="344"/>
      <c r="D151" s="344"/>
      <c r="E151" s="344"/>
      <c r="F151" s="344"/>
      <c r="G151" s="344"/>
      <c r="H151" s="344"/>
      <c r="I151" s="344"/>
      <c r="J151" s="344"/>
    </row>
    <row r="152" spans="1:10" ht="12.75">
      <c r="A152" s="344"/>
      <c r="B152" s="344"/>
      <c r="C152" s="344"/>
      <c r="D152" s="344"/>
      <c r="E152" s="344"/>
      <c r="F152" s="344"/>
      <c r="G152" s="344"/>
      <c r="H152" s="344"/>
      <c r="I152" s="344"/>
      <c r="J152" s="344"/>
    </row>
    <row r="153" spans="1:10" ht="12.75">
      <c r="A153" s="344"/>
      <c r="B153" s="344"/>
      <c r="C153" s="344"/>
      <c r="D153" s="344"/>
      <c r="E153" s="344"/>
      <c r="F153" s="344"/>
      <c r="G153" s="344"/>
      <c r="H153" s="344"/>
      <c r="I153" s="344"/>
      <c r="J153" s="344"/>
    </row>
    <row r="154" spans="1:10" ht="12.75">
      <c r="A154" s="344"/>
      <c r="B154" s="344"/>
      <c r="C154" s="344"/>
      <c r="D154" s="344"/>
      <c r="E154" s="344"/>
      <c r="F154" s="344"/>
      <c r="G154" s="344"/>
      <c r="H154" s="344"/>
      <c r="I154" s="344"/>
      <c r="J154" s="344"/>
    </row>
    <row r="155" spans="1:10" ht="12.75">
      <c r="A155" s="344"/>
      <c r="B155" s="344"/>
      <c r="C155" s="344"/>
      <c r="D155" s="344"/>
      <c r="E155" s="344"/>
      <c r="F155" s="344"/>
      <c r="G155" s="344"/>
      <c r="H155" s="344"/>
      <c r="I155" s="344"/>
      <c r="J155" s="344"/>
    </row>
    <row r="156" spans="1:10" ht="12.75">
      <c r="A156" s="344"/>
      <c r="B156" s="344"/>
      <c r="C156" s="344"/>
      <c r="D156" s="344"/>
      <c r="E156" s="344"/>
      <c r="F156" s="344"/>
      <c r="G156" s="344"/>
      <c r="H156" s="344"/>
      <c r="I156" s="344"/>
      <c r="J156" s="344"/>
    </row>
    <row r="157" spans="1:10" ht="12.75">
      <c r="A157" s="344"/>
      <c r="B157" s="344"/>
      <c r="C157" s="344"/>
      <c r="D157" s="344"/>
      <c r="E157" s="344"/>
      <c r="F157" s="344"/>
      <c r="G157" s="344"/>
      <c r="H157" s="344"/>
      <c r="I157" s="344"/>
      <c r="J157" s="344"/>
    </row>
    <row r="158" spans="1:10" ht="12.75">
      <c r="A158" s="344"/>
      <c r="B158" s="344"/>
      <c r="C158" s="344"/>
      <c r="D158" s="344"/>
      <c r="E158" s="344"/>
      <c r="F158" s="344"/>
      <c r="G158" s="344"/>
      <c r="H158" s="344"/>
      <c r="I158" s="344"/>
      <c r="J158" s="344"/>
    </row>
    <row r="159" spans="1:10" ht="12.75">
      <c r="A159" s="344"/>
      <c r="B159" s="344"/>
      <c r="C159" s="344"/>
      <c r="D159" s="344"/>
      <c r="E159" s="344"/>
      <c r="F159" s="344"/>
      <c r="G159" s="344"/>
      <c r="H159" s="344"/>
      <c r="I159" s="344"/>
      <c r="J159" s="344"/>
    </row>
    <row r="160" spans="1:10" ht="12.75">
      <c r="A160" s="344"/>
      <c r="B160" s="344"/>
      <c r="C160" s="344"/>
      <c r="D160" s="344"/>
      <c r="E160" s="344"/>
      <c r="F160" s="344"/>
      <c r="G160" s="344"/>
      <c r="H160" s="344"/>
      <c r="I160" s="344"/>
      <c r="J160" s="344"/>
    </row>
    <row r="161" spans="1:10" ht="12.75">
      <c r="A161" s="344"/>
      <c r="B161" s="344"/>
      <c r="C161" s="344"/>
      <c r="D161" s="344"/>
      <c r="E161" s="344"/>
      <c r="F161" s="344"/>
      <c r="G161" s="344"/>
      <c r="H161" s="344"/>
      <c r="I161" s="344"/>
      <c r="J161" s="344"/>
    </row>
    <row r="162" spans="1:10" ht="12.75">
      <c r="A162" s="344"/>
      <c r="B162" s="344"/>
      <c r="C162" s="344"/>
      <c r="D162" s="344"/>
      <c r="E162" s="344"/>
      <c r="F162" s="344"/>
      <c r="G162" s="344"/>
      <c r="H162" s="344"/>
      <c r="I162" s="344"/>
      <c r="J162" s="344"/>
    </row>
    <row r="163" spans="1:10" ht="12.75">
      <c r="A163" s="344"/>
      <c r="B163" s="344"/>
      <c r="C163" s="344"/>
      <c r="D163" s="344"/>
      <c r="E163" s="344"/>
      <c r="F163" s="344"/>
      <c r="G163" s="344"/>
      <c r="H163" s="344"/>
      <c r="I163" s="344"/>
      <c r="J163" s="344"/>
    </row>
    <row r="164" spans="1:10" ht="12.75">
      <c r="A164" s="344"/>
      <c r="B164" s="344"/>
      <c r="C164" s="344"/>
      <c r="D164" s="344"/>
      <c r="E164" s="344"/>
      <c r="F164" s="344"/>
      <c r="G164" s="344"/>
      <c r="H164" s="344"/>
      <c r="I164" s="344"/>
      <c r="J164" s="344"/>
    </row>
    <row r="165" spans="1:10" ht="12.75">
      <c r="A165" s="344"/>
      <c r="B165" s="344"/>
      <c r="C165" s="344"/>
      <c r="D165" s="344"/>
      <c r="E165" s="344"/>
      <c r="F165" s="344"/>
      <c r="G165" s="344"/>
      <c r="H165" s="344"/>
      <c r="I165" s="344"/>
      <c r="J165" s="344"/>
    </row>
    <row r="166" spans="1:10" ht="12.75">
      <c r="A166" s="344"/>
      <c r="B166" s="344"/>
      <c r="C166" s="344"/>
      <c r="D166" s="344"/>
      <c r="E166" s="344"/>
      <c r="F166" s="344"/>
      <c r="G166" s="344"/>
      <c r="H166" s="344"/>
      <c r="I166" s="344"/>
      <c r="J166" s="344"/>
    </row>
    <row r="167" spans="1:10" ht="12.75">
      <c r="A167" s="344"/>
      <c r="B167" s="344"/>
      <c r="C167" s="344"/>
      <c r="D167" s="344"/>
      <c r="E167" s="344"/>
      <c r="F167" s="344"/>
      <c r="G167" s="344"/>
      <c r="H167" s="344"/>
      <c r="I167" s="344"/>
      <c r="J167" s="344"/>
    </row>
    <row r="168" spans="1:10" ht="12.75">
      <c r="A168" s="344"/>
      <c r="B168" s="344"/>
      <c r="C168" s="344"/>
      <c r="D168" s="344"/>
      <c r="E168" s="344"/>
      <c r="F168" s="344"/>
      <c r="G168" s="344"/>
      <c r="H168" s="344"/>
      <c r="I168" s="344"/>
      <c r="J168" s="344"/>
    </row>
    <row r="169" spans="1:10" ht="12.75">
      <c r="A169" s="344"/>
      <c r="B169" s="344"/>
      <c r="C169" s="344"/>
      <c r="D169" s="344"/>
      <c r="E169" s="344"/>
      <c r="F169" s="344"/>
      <c r="G169" s="344"/>
      <c r="H169" s="344"/>
      <c r="I169" s="344"/>
      <c r="J169" s="344"/>
    </row>
    <row r="170" spans="1:10" ht="12.75">
      <c r="A170" s="344"/>
      <c r="B170" s="344"/>
      <c r="C170" s="344"/>
      <c r="D170" s="344"/>
      <c r="E170" s="344"/>
      <c r="F170" s="344"/>
      <c r="G170" s="344"/>
      <c r="H170" s="344"/>
      <c r="I170" s="344"/>
      <c r="J170" s="344"/>
    </row>
    <row r="171" spans="1:10" ht="12.75">
      <c r="A171" s="344"/>
      <c r="B171" s="344"/>
      <c r="C171" s="344"/>
      <c r="D171" s="344"/>
      <c r="E171" s="344"/>
      <c r="F171" s="344"/>
      <c r="G171" s="344"/>
      <c r="H171" s="344"/>
      <c r="I171" s="344"/>
      <c r="J171" s="344"/>
    </row>
    <row r="172" spans="1:10" ht="12.75">
      <c r="A172" s="344"/>
      <c r="B172" s="344"/>
      <c r="C172" s="344"/>
      <c r="D172" s="344"/>
      <c r="E172" s="344"/>
      <c r="F172" s="344"/>
      <c r="G172" s="344"/>
      <c r="H172" s="344"/>
      <c r="I172" s="344"/>
      <c r="J172" s="344"/>
    </row>
    <row r="173" spans="1:10" ht="12.75">
      <c r="A173" s="344"/>
      <c r="B173" s="344"/>
      <c r="C173" s="344"/>
      <c r="D173" s="344"/>
      <c r="E173" s="344"/>
      <c r="F173" s="344"/>
      <c r="G173" s="344"/>
      <c r="H173" s="344"/>
      <c r="I173" s="344"/>
      <c r="J173" s="344"/>
    </row>
    <row r="174" spans="1:10" ht="12.75">
      <c r="A174" s="344"/>
      <c r="B174" s="344"/>
      <c r="C174" s="344"/>
      <c r="D174" s="344"/>
      <c r="E174" s="344"/>
      <c r="F174" s="344"/>
      <c r="G174" s="344"/>
      <c r="H174" s="344"/>
      <c r="I174" s="344"/>
      <c r="J174" s="344"/>
    </row>
    <row r="175" spans="1:10" ht="12.75">
      <c r="A175" s="344"/>
      <c r="B175" s="344"/>
      <c r="C175" s="344"/>
      <c r="D175" s="344"/>
      <c r="E175" s="344"/>
      <c r="F175" s="344"/>
      <c r="G175" s="344"/>
      <c r="H175" s="344"/>
      <c r="I175" s="344"/>
      <c r="J175" s="344"/>
    </row>
    <row r="176" spans="1:10" ht="12.75">
      <c r="A176" s="344"/>
      <c r="B176" s="344"/>
      <c r="C176" s="344"/>
      <c r="D176" s="344"/>
      <c r="E176" s="344"/>
      <c r="F176" s="344"/>
      <c r="G176" s="344"/>
      <c r="H176" s="344"/>
      <c r="I176" s="344"/>
      <c r="J176" s="344"/>
    </row>
    <row r="177" spans="1:10" ht="12.75">
      <c r="A177" s="344"/>
      <c r="B177" s="344"/>
      <c r="C177" s="344"/>
      <c r="D177" s="344"/>
      <c r="E177" s="344"/>
      <c r="F177" s="344"/>
      <c r="G177" s="344"/>
      <c r="H177" s="344"/>
      <c r="I177" s="344"/>
      <c r="J177" s="344"/>
    </row>
    <row r="178" spans="1:10" ht="12.75">
      <c r="A178" s="344"/>
      <c r="B178" s="344"/>
      <c r="C178" s="344"/>
      <c r="D178" s="344"/>
      <c r="E178" s="344"/>
      <c r="F178" s="344"/>
      <c r="G178" s="344"/>
      <c r="H178" s="344"/>
      <c r="I178" s="344"/>
      <c r="J178" s="344"/>
    </row>
    <row r="179" spans="1:10" ht="12.75">
      <c r="A179" s="344"/>
      <c r="B179" s="344"/>
      <c r="C179" s="344"/>
      <c r="D179" s="344"/>
      <c r="E179" s="344"/>
      <c r="F179" s="344"/>
      <c r="G179" s="344"/>
      <c r="H179" s="344"/>
      <c r="I179" s="344"/>
      <c r="J179" s="344"/>
    </row>
    <row r="180" spans="1:10" ht="12.75">
      <c r="A180" s="344"/>
      <c r="B180" s="344"/>
      <c r="C180" s="344"/>
      <c r="D180" s="344"/>
      <c r="E180" s="344"/>
      <c r="F180" s="344"/>
      <c r="G180" s="344"/>
      <c r="H180" s="344"/>
      <c r="I180" s="344"/>
      <c r="J180" s="344"/>
    </row>
    <row r="181" spans="1:10" ht="12.75">
      <c r="A181" s="344"/>
      <c r="B181" s="344"/>
      <c r="C181" s="344"/>
      <c r="D181" s="344"/>
      <c r="E181" s="344"/>
      <c r="F181" s="344"/>
      <c r="G181" s="344"/>
      <c r="H181" s="344"/>
      <c r="I181" s="344"/>
      <c r="J181" s="344"/>
    </row>
    <row r="182" spans="1:10" ht="12.75">
      <c r="A182" s="344"/>
      <c r="B182" s="344"/>
      <c r="C182" s="344"/>
      <c r="D182" s="344"/>
      <c r="E182" s="344"/>
      <c r="F182" s="344"/>
      <c r="G182" s="344"/>
      <c r="H182" s="344"/>
      <c r="I182" s="344"/>
      <c r="J182" s="344"/>
    </row>
  </sheetData>
  <sheetProtection/>
  <mergeCells count="63">
    <mergeCell ref="B10:F10"/>
    <mergeCell ref="B11:F11"/>
    <mergeCell ref="A6:J6"/>
    <mergeCell ref="B7:F7"/>
    <mergeCell ref="B8:F8"/>
    <mergeCell ref="B9:F9"/>
    <mergeCell ref="B22:F22"/>
    <mergeCell ref="B23:F23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53:F53"/>
    <mergeCell ref="B54:F54"/>
    <mergeCell ref="G28:I28"/>
    <mergeCell ref="G29:I29"/>
    <mergeCell ref="B24:F24"/>
    <mergeCell ref="A50:J50"/>
    <mergeCell ref="B51:F51"/>
    <mergeCell ref="B52:F52"/>
    <mergeCell ref="B65:F65"/>
    <mergeCell ref="B66:F66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83:F83"/>
    <mergeCell ref="B85:F85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67:F67"/>
    <mergeCell ref="B68:F68"/>
    <mergeCell ref="B69:F69"/>
    <mergeCell ref="B70:F70"/>
    <mergeCell ref="B71:F71"/>
    <mergeCell ref="B72:F72"/>
    <mergeCell ref="G92:I92"/>
    <mergeCell ref="G93:I93"/>
    <mergeCell ref="B86:F86"/>
    <mergeCell ref="B87:F87"/>
    <mergeCell ref="B88:F88"/>
    <mergeCell ref="B89:F89"/>
    <mergeCell ref="B90:F90"/>
  </mergeCells>
  <printOptions/>
  <pageMargins left="0.25" right="0.27" top="0.4" bottom="0.26" header="0.17" footer="0.17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H43">
      <selection activeCell="K19" sqref="K19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1:9" ht="15">
      <c r="A1" s="346" t="s">
        <v>682</v>
      </c>
      <c r="B1" s="346" t="s">
        <v>683</v>
      </c>
      <c r="C1" s="346" t="s">
        <v>684</v>
      </c>
      <c r="I1" s="319" t="s">
        <v>822</v>
      </c>
    </row>
    <row r="2" spans="2:9" ht="12.75">
      <c r="B2" s="346" t="s">
        <v>685</v>
      </c>
      <c r="C2" s="346" t="s">
        <v>685</v>
      </c>
      <c r="I2" s="320" t="s">
        <v>813</v>
      </c>
    </row>
    <row r="3" spans="2:11" ht="12.75">
      <c r="B3" s="346"/>
      <c r="C3" s="346"/>
      <c r="I3" s="320"/>
      <c r="K3" s="346" t="s">
        <v>686</v>
      </c>
    </row>
    <row r="4" spans="2:3" ht="12.75">
      <c r="B4" s="346"/>
      <c r="C4" s="346"/>
    </row>
    <row r="5" spans="2:11" ht="12.75">
      <c r="B5" s="344" t="s">
        <v>687</v>
      </c>
      <c r="C5" s="344" t="s">
        <v>687</v>
      </c>
      <c r="H5" s="331"/>
      <c r="I5" s="331"/>
      <c r="J5" s="330" t="s">
        <v>688</v>
      </c>
      <c r="K5" s="330" t="s">
        <v>689</v>
      </c>
    </row>
    <row r="6" spans="2:11" ht="12.75">
      <c r="B6" s="344" t="s">
        <v>690</v>
      </c>
      <c r="C6" s="344" t="s">
        <v>690</v>
      </c>
      <c r="H6" s="331">
        <v>1</v>
      </c>
      <c r="I6" s="330" t="s">
        <v>685</v>
      </c>
      <c r="J6" s="404" t="s">
        <v>687</v>
      </c>
      <c r="K6" s="404"/>
    </row>
    <row r="7" spans="2:11" ht="12.75">
      <c r="B7" s="344" t="s">
        <v>691</v>
      </c>
      <c r="C7" s="344" t="s">
        <v>691</v>
      </c>
      <c r="H7" s="331">
        <v>2</v>
      </c>
      <c r="I7" s="330" t="s">
        <v>685</v>
      </c>
      <c r="J7" s="404" t="s">
        <v>692</v>
      </c>
      <c r="K7" s="331"/>
    </row>
    <row r="8" spans="2:11" ht="12.75">
      <c r="B8" s="344" t="s">
        <v>693</v>
      </c>
      <c r="C8" s="344" t="s">
        <v>693</v>
      </c>
      <c r="H8" s="331">
        <v>3</v>
      </c>
      <c r="I8" s="330" t="s">
        <v>685</v>
      </c>
      <c r="J8" s="404" t="s">
        <v>694</v>
      </c>
      <c r="K8" s="331"/>
    </row>
    <row r="9" spans="2:11" ht="12.75">
      <c r="B9" s="344" t="s">
        <v>695</v>
      </c>
      <c r="C9" s="344" t="s">
        <v>695</v>
      </c>
      <c r="H9" s="331">
        <v>4</v>
      </c>
      <c r="I9" s="330" t="s">
        <v>685</v>
      </c>
      <c r="J9" s="404" t="s">
        <v>693</v>
      </c>
      <c r="K9" s="331"/>
    </row>
    <row r="10" spans="2:11" ht="12.75">
      <c r="B10" s="344" t="s">
        <v>696</v>
      </c>
      <c r="C10" s="344" t="s">
        <v>696</v>
      </c>
      <c r="H10" s="331">
        <v>5</v>
      </c>
      <c r="I10" s="330" t="s">
        <v>685</v>
      </c>
      <c r="J10" s="404" t="s">
        <v>695</v>
      </c>
      <c r="K10" s="331"/>
    </row>
    <row r="11" spans="2:11" ht="12.75">
      <c r="B11" s="344" t="s">
        <v>697</v>
      </c>
      <c r="C11" s="344" t="s">
        <v>697</v>
      </c>
      <c r="H11" s="331">
        <v>6</v>
      </c>
      <c r="I11" s="330" t="s">
        <v>685</v>
      </c>
      <c r="J11" s="404" t="s">
        <v>696</v>
      </c>
      <c r="K11" s="331"/>
    </row>
    <row r="12" spans="2:11" ht="12.75">
      <c r="B12" s="344" t="s">
        <v>698</v>
      </c>
      <c r="C12" s="344" t="s">
        <v>698</v>
      </c>
      <c r="H12" s="331">
        <v>7</v>
      </c>
      <c r="I12" s="330" t="s">
        <v>685</v>
      </c>
      <c r="J12" s="404" t="s">
        <v>699</v>
      </c>
      <c r="K12" s="331"/>
    </row>
    <row r="13" spans="2:11" ht="12.75">
      <c r="B13" s="346" t="s">
        <v>700</v>
      </c>
      <c r="C13" s="346" t="s">
        <v>700</v>
      </c>
      <c r="H13" s="331">
        <v>8</v>
      </c>
      <c r="I13" s="330" t="s">
        <v>685</v>
      </c>
      <c r="J13" s="404" t="s">
        <v>698</v>
      </c>
      <c r="K13" s="331"/>
    </row>
    <row r="14" spans="2:11" ht="12.75">
      <c r="B14" s="346"/>
      <c r="C14" s="346"/>
      <c r="H14" s="330" t="s">
        <v>144</v>
      </c>
      <c r="I14" s="330"/>
      <c r="J14" s="330" t="s">
        <v>701</v>
      </c>
      <c r="K14" s="330"/>
    </row>
    <row r="15" spans="2:11" ht="12.75">
      <c r="B15" s="344" t="s">
        <v>702</v>
      </c>
      <c r="C15" s="344" t="s">
        <v>702</v>
      </c>
      <c r="H15" s="331">
        <v>9</v>
      </c>
      <c r="I15" s="330" t="s">
        <v>700</v>
      </c>
      <c r="J15" s="404" t="s">
        <v>703</v>
      </c>
      <c r="K15" s="331"/>
    </row>
    <row r="16" spans="2:11" ht="12.75">
      <c r="B16" s="344" t="s">
        <v>704</v>
      </c>
      <c r="C16" s="344" t="s">
        <v>704</v>
      </c>
      <c r="H16" s="331">
        <v>10</v>
      </c>
      <c r="I16" s="330" t="s">
        <v>700</v>
      </c>
      <c r="J16" s="404" t="s">
        <v>704</v>
      </c>
      <c r="K16" s="407">
        <f>+'Ardh shpenz alpha'!C12/1000</f>
        <v>660246.136</v>
      </c>
    </row>
    <row r="17" spans="2:11" ht="12.75">
      <c r="B17" s="344" t="s">
        <v>705</v>
      </c>
      <c r="C17" s="344" t="s">
        <v>705</v>
      </c>
      <c r="H17" s="331">
        <v>11</v>
      </c>
      <c r="I17" s="330" t="s">
        <v>700</v>
      </c>
      <c r="J17" s="404" t="s">
        <v>705</v>
      </c>
      <c r="K17" s="331"/>
    </row>
    <row r="18" spans="2:11" ht="12.75">
      <c r="B18" s="344"/>
      <c r="C18" s="344"/>
      <c r="H18" s="330" t="s">
        <v>145</v>
      </c>
      <c r="I18" s="330"/>
      <c r="J18" s="330" t="s">
        <v>706</v>
      </c>
      <c r="K18" s="407">
        <f>+K16</f>
        <v>660246.136</v>
      </c>
    </row>
    <row r="19" spans="2:11" ht="12.75">
      <c r="B19" s="346" t="s">
        <v>707</v>
      </c>
      <c r="C19" s="346" t="s">
        <v>707</v>
      </c>
      <c r="H19" s="331">
        <v>12</v>
      </c>
      <c r="I19" s="330" t="s">
        <v>707</v>
      </c>
      <c r="J19" s="404" t="s">
        <v>708</v>
      </c>
      <c r="K19" s="331"/>
    </row>
    <row r="20" spans="2:11" ht="12.75">
      <c r="B20" s="344" t="s">
        <v>697</v>
      </c>
      <c r="C20" s="344" t="s">
        <v>697</v>
      </c>
      <c r="H20" s="331">
        <v>13</v>
      </c>
      <c r="I20" s="330" t="s">
        <v>707</v>
      </c>
      <c r="J20" s="330" t="s">
        <v>709</v>
      </c>
      <c r="K20" s="331"/>
    </row>
    <row r="21" spans="2:11" ht="12.75">
      <c r="B21" s="344" t="s">
        <v>710</v>
      </c>
      <c r="C21" s="344" t="s">
        <v>710</v>
      </c>
      <c r="H21" s="331">
        <v>14</v>
      </c>
      <c r="I21" s="330" t="s">
        <v>707</v>
      </c>
      <c r="J21" s="404" t="s">
        <v>711</v>
      </c>
      <c r="K21" s="331"/>
    </row>
    <row r="22" spans="2:11" ht="12.75">
      <c r="B22" s="344" t="s">
        <v>711</v>
      </c>
      <c r="C22" s="344" t="s">
        <v>711</v>
      </c>
      <c r="H22" s="331">
        <v>15</v>
      </c>
      <c r="I22" s="330" t="s">
        <v>707</v>
      </c>
      <c r="J22" s="404" t="s">
        <v>712</v>
      </c>
      <c r="K22" s="331"/>
    </row>
    <row r="23" spans="2:11" ht="12.75">
      <c r="B23" s="344" t="s">
        <v>712</v>
      </c>
      <c r="C23" s="344" t="s">
        <v>712</v>
      </c>
      <c r="H23" s="331">
        <v>16</v>
      </c>
      <c r="I23" s="330" t="s">
        <v>707</v>
      </c>
      <c r="J23" s="404" t="s">
        <v>713</v>
      </c>
      <c r="K23" s="331"/>
    </row>
    <row r="24" spans="2:11" ht="12.75">
      <c r="B24" s="344" t="s">
        <v>714</v>
      </c>
      <c r="C24" s="344" t="s">
        <v>714</v>
      </c>
      <c r="H24" s="331">
        <v>17</v>
      </c>
      <c r="I24" s="330" t="s">
        <v>707</v>
      </c>
      <c r="J24" s="404" t="s">
        <v>715</v>
      </c>
      <c r="K24" s="331"/>
    </row>
    <row r="25" spans="2:11" ht="12.75">
      <c r="B25" s="344" t="s">
        <v>715</v>
      </c>
      <c r="C25" s="344" t="s">
        <v>715</v>
      </c>
      <c r="H25" s="331">
        <v>18</v>
      </c>
      <c r="I25" s="330" t="s">
        <v>707</v>
      </c>
      <c r="J25" s="404" t="s">
        <v>716</v>
      </c>
      <c r="K25" s="331"/>
    </row>
    <row r="26" spans="2:11" ht="12.75">
      <c r="B26" s="344" t="s">
        <v>717</v>
      </c>
      <c r="C26" s="344" t="s">
        <v>717</v>
      </c>
      <c r="H26" s="331">
        <v>19</v>
      </c>
      <c r="I26" s="330" t="s">
        <v>707</v>
      </c>
      <c r="J26" s="404" t="s">
        <v>718</v>
      </c>
      <c r="K26" s="331"/>
    </row>
    <row r="27" spans="2:11" ht="12.75">
      <c r="B27" s="344"/>
      <c r="C27" s="344"/>
      <c r="H27" s="330" t="s">
        <v>155</v>
      </c>
      <c r="I27" s="330"/>
      <c r="J27" s="330" t="s">
        <v>719</v>
      </c>
      <c r="K27" s="331"/>
    </row>
    <row r="28" spans="2:11" ht="12.75">
      <c r="B28" s="344" t="s">
        <v>718</v>
      </c>
      <c r="C28" s="344" t="s">
        <v>718</v>
      </c>
      <c r="H28" s="331">
        <v>20</v>
      </c>
      <c r="I28" s="330" t="s">
        <v>720</v>
      </c>
      <c r="J28" s="404" t="s">
        <v>721</v>
      </c>
      <c r="K28" s="331"/>
    </row>
    <row r="29" spans="2:11" ht="12.75">
      <c r="B29" s="346" t="s">
        <v>720</v>
      </c>
      <c r="C29" s="346" t="s">
        <v>720</v>
      </c>
      <c r="H29" s="331">
        <v>21</v>
      </c>
      <c r="I29" s="330" t="s">
        <v>720</v>
      </c>
      <c r="J29" s="404" t="s">
        <v>722</v>
      </c>
      <c r="K29" s="404"/>
    </row>
    <row r="30" spans="2:11" ht="12.75">
      <c r="B30" s="344" t="s">
        <v>723</v>
      </c>
      <c r="C30" s="344" t="s">
        <v>723</v>
      </c>
      <c r="H30" s="331">
        <v>22</v>
      </c>
      <c r="I30" s="330" t="s">
        <v>720</v>
      </c>
      <c r="J30" s="404" t="s">
        <v>724</v>
      </c>
      <c r="K30" s="404"/>
    </row>
    <row r="31" spans="2:11" ht="12.75">
      <c r="B31" s="344" t="s">
        <v>722</v>
      </c>
      <c r="C31" s="344" t="s">
        <v>722</v>
      </c>
      <c r="H31" s="331">
        <v>23</v>
      </c>
      <c r="I31" s="330" t="s">
        <v>720</v>
      </c>
      <c r="J31" s="404" t="s">
        <v>725</v>
      </c>
      <c r="K31" s="331"/>
    </row>
    <row r="32" spans="2:11" ht="12.75">
      <c r="B32" s="344"/>
      <c r="C32" s="344"/>
      <c r="H32" s="330" t="s">
        <v>161</v>
      </c>
      <c r="I32" s="330"/>
      <c r="J32" s="330" t="s">
        <v>726</v>
      </c>
      <c r="K32" s="331"/>
    </row>
    <row r="33" spans="2:11" ht="12.75">
      <c r="B33" s="344" t="s">
        <v>724</v>
      </c>
      <c r="C33" s="344" t="s">
        <v>724</v>
      </c>
      <c r="H33" s="331">
        <v>24</v>
      </c>
      <c r="I33" s="330" t="s">
        <v>727</v>
      </c>
      <c r="J33" s="404" t="s">
        <v>728</v>
      </c>
      <c r="K33" s="331"/>
    </row>
    <row r="34" spans="2:11" ht="12.75">
      <c r="B34" s="344" t="s">
        <v>725</v>
      </c>
      <c r="C34" s="344" t="s">
        <v>725</v>
      </c>
      <c r="H34" s="331">
        <v>25</v>
      </c>
      <c r="I34" s="330" t="s">
        <v>727</v>
      </c>
      <c r="J34" s="404" t="s">
        <v>729</v>
      </c>
      <c r="K34" s="331"/>
    </row>
    <row r="35" spans="8:11" ht="12.75">
      <c r="H35" s="331">
        <v>26</v>
      </c>
      <c r="I35" s="330" t="s">
        <v>727</v>
      </c>
      <c r="J35" s="404" t="s">
        <v>730</v>
      </c>
      <c r="K35" s="331"/>
    </row>
    <row r="36" spans="2:11" ht="12.75">
      <c r="B36" s="346" t="s">
        <v>727</v>
      </c>
      <c r="C36" s="346" t="s">
        <v>727</v>
      </c>
      <c r="H36" s="331">
        <v>27</v>
      </c>
      <c r="I36" s="330" t="s">
        <v>727</v>
      </c>
      <c r="J36" s="404" t="s">
        <v>731</v>
      </c>
      <c r="K36" s="331"/>
    </row>
    <row r="37" spans="2:11" ht="12.75">
      <c r="B37" s="344" t="s">
        <v>728</v>
      </c>
      <c r="C37" s="344" t="s">
        <v>728</v>
      </c>
      <c r="H37" s="331">
        <v>28</v>
      </c>
      <c r="I37" s="330" t="s">
        <v>727</v>
      </c>
      <c r="J37" s="404" t="s">
        <v>732</v>
      </c>
      <c r="K37" s="404"/>
    </row>
    <row r="38" spans="2:11" ht="12.75">
      <c r="B38" s="344" t="s">
        <v>729</v>
      </c>
      <c r="C38" s="344" t="s">
        <v>729</v>
      </c>
      <c r="H38" s="331">
        <v>29</v>
      </c>
      <c r="I38" s="330" t="s">
        <v>727</v>
      </c>
      <c r="J38" s="405" t="s">
        <v>733</v>
      </c>
      <c r="K38" s="331"/>
    </row>
    <row r="39" spans="2:11" ht="12.75">
      <c r="B39" s="344" t="s">
        <v>730</v>
      </c>
      <c r="C39" s="344" t="s">
        <v>730</v>
      </c>
      <c r="H39" s="331">
        <v>30</v>
      </c>
      <c r="I39" s="330" t="s">
        <v>727</v>
      </c>
      <c r="J39" s="404" t="s">
        <v>734</v>
      </c>
      <c r="K39" s="331"/>
    </row>
    <row r="40" spans="2:11" ht="12.75">
      <c r="B40" s="344" t="s">
        <v>731</v>
      </c>
      <c r="C40" s="344" t="s">
        <v>731</v>
      </c>
      <c r="H40" s="331">
        <v>31</v>
      </c>
      <c r="I40" s="330" t="s">
        <v>727</v>
      </c>
      <c r="J40" s="404" t="s">
        <v>735</v>
      </c>
      <c r="K40" s="331"/>
    </row>
    <row r="41" spans="2:11" ht="12.75">
      <c r="B41" s="344"/>
      <c r="C41" s="344"/>
      <c r="H41" s="331">
        <v>32</v>
      </c>
      <c r="I41" s="330" t="s">
        <v>727</v>
      </c>
      <c r="J41" s="404" t="s">
        <v>736</v>
      </c>
      <c r="K41" s="331"/>
    </row>
    <row r="42" spans="2:11" ht="12.75">
      <c r="B42" s="344" t="s">
        <v>732</v>
      </c>
      <c r="C42" s="344" t="s">
        <v>732</v>
      </c>
      <c r="H42" s="331">
        <v>33</v>
      </c>
      <c r="I42" s="330" t="s">
        <v>727</v>
      </c>
      <c r="J42" s="404" t="s">
        <v>737</v>
      </c>
      <c r="K42" s="331"/>
    </row>
    <row r="43" spans="2:11" ht="12.75">
      <c r="B43" s="344" t="s">
        <v>733</v>
      </c>
      <c r="C43" s="344" t="s">
        <v>733</v>
      </c>
      <c r="H43" s="406">
        <v>34</v>
      </c>
      <c r="I43" s="330" t="s">
        <v>727</v>
      </c>
      <c r="J43" s="404" t="s">
        <v>738</v>
      </c>
      <c r="K43" s="424"/>
    </row>
    <row r="44" spans="2:11" ht="12.75">
      <c r="B44" s="344" t="s">
        <v>734</v>
      </c>
      <c r="C44" s="344" t="s">
        <v>734</v>
      </c>
      <c r="H44" s="330" t="s">
        <v>162</v>
      </c>
      <c r="I44" s="331"/>
      <c r="J44" s="330" t="s">
        <v>739</v>
      </c>
      <c r="K44" s="330"/>
    </row>
    <row r="45" spans="2:11" ht="12.75">
      <c r="B45" s="344" t="s">
        <v>735</v>
      </c>
      <c r="C45" s="344" t="s">
        <v>735</v>
      </c>
      <c r="H45" s="331"/>
      <c r="I45" s="331"/>
      <c r="J45" s="330" t="s">
        <v>740</v>
      </c>
      <c r="K45" s="407">
        <f>+K18</f>
        <v>660246.136</v>
      </c>
    </row>
    <row r="46" spans="2:3" ht="12.75">
      <c r="B46" s="344" t="s">
        <v>738</v>
      </c>
      <c r="C46" s="344" t="s">
        <v>738</v>
      </c>
    </row>
    <row r="48" spans="9:11" ht="12.75">
      <c r="I48" s="408" t="s">
        <v>741</v>
      </c>
      <c r="J48" s="333"/>
      <c r="K48" s="330" t="s">
        <v>742</v>
      </c>
    </row>
    <row r="49" spans="9:11" ht="12.75">
      <c r="I49" s="409"/>
      <c r="J49" s="410"/>
      <c r="K49" s="410"/>
    </row>
    <row r="50" spans="9:11" ht="12.75">
      <c r="I50" s="411" t="s">
        <v>743</v>
      </c>
      <c r="J50" s="411"/>
      <c r="K50" s="331">
        <v>2</v>
      </c>
    </row>
    <row r="51" spans="9:11" ht="12.75">
      <c r="I51" s="331" t="s">
        <v>744</v>
      </c>
      <c r="J51" s="331"/>
      <c r="K51" s="331">
        <v>10</v>
      </c>
    </row>
    <row r="52" spans="9:11" ht="12.75">
      <c r="I52" s="331" t="s">
        <v>745</v>
      </c>
      <c r="J52" s="331"/>
      <c r="K52" s="331">
        <v>2</v>
      </c>
    </row>
    <row r="53" spans="9:11" ht="12.75">
      <c r="I53" s="331" t="s">
        <v>746</v>
      </c>
      <c r="J53" s="331"/>
      <c r="K53" s="331">
        <v>0</v>
      </c>
    </row>
    <row r="54" spans="9:11" ht="12.75">
      <c r="I54" s="412" t="s">
        <v>747</v>
      </c>
      <c r="J54" s="333"/>
      <c r="K54" s="331">
        <v>0</v>
      </c>
    </row>
    <row r="55" spans="9:11" ht="12.75">
      <c r="I55" s="413"/>
      <c r="J55" s="414" t="s">
        <v>2</v>
      </c>
      <c r="K55" s="414">
        <f>SUM(K50:K54)</f>
        <v>14</v>
      </c>
    </row>
    <row r="56" spans="10:12" ht="15.75">
      <c r="J56" s="577" t="s">
        <v>592</v>
      </c>
      <c r="K56" s="577"/>
      <c r="L56" s="577"/>
    </row>
    <row r="57" spans="10:12" ht="12.75">
      <c r="J57" s="578" t="s">
        <v>759</v>
      </c>
      <c r="K57" s="578"/>
      <c r="L57" s="578"/>
    </row>
    <row r="59" ht="12.75">
      <c r="I59" s="346" t="s">
        <v>748</v>
      </c>
    </row>
    <row r="61" ht="12.75">
      <c r="I61" s="346"/>
    </row>
    <row r="62" spans="8:15" ht="12.75">
      <c r="H62" s="346"/>
      <c r="I62" s="346"/>
      <c r="J62" s="346"/>
      <c r="K62" s="346"/>
      <c r="L62" s="346"/>
      <c r="M62" s="346"/>
      <c r="N62" s="346"/>
      <c r="O62" s="346"/>
    </row>
    <row r="63" spans="8:15" ht="12.75">
      <c r="H63" s="346"/>
      <c r="I63" s="346"/>
      <c r="J63" s="346"/>
      <c r="K63" s="346"/>
      <c r="L63" s="346"/>
      <c r="M63" s="346"/>
      <c r="N63" s="346"/>
      <c r="O63" s="346"/>
    </row>
    <row r="64" spans="9:15" ht="12.75">
      <c r="I64" s="346"/>
      <c r="J64" s="346"/>
      <c r="K64" s="346"/>
      <c r="L64" s="346"/>
      <c r="M64" s="346"/>
      <c r="N64" s="346"/>
      <c r="O64" s="346"/>
    </row>
    <row r="65" spans="9:15" ht="12.75">
      <c r="I65" s="346"/>
      <c r="J65" s="346"/>
      <c r="K65" s="346"/>
      <c r="L65" s="346"/>
      <c r="M65" s="346"/>
      <c r="N65" s="346"/>
      <c r="O65" s="346"/>
    </row>
    <row r="66" spans="8:9" ht="12.75">
      <c r="H66" s="346"/>
      <c r="I66" s="346"/>
    </row>
  </sheetData>
  <sheetProtection/>
  <mergeCells count="2">
    <mergeCell ref="J56:L56"/>
    <mergeCell ref="J57:L57"/>
  </mergeCells>
  <printOptions/>
  <pageMargins left="0.7" right="0.7" top="0.31" bottom="0.36" header="0.21" footer="0.3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9">
      <selection activeCell="I28" sqref="I28"/>
    </sheetView>
  </sheetViews>
  <sheetFormatPr defaultColWidth="9.140625" defaultRowHeight="12.75"/>
  <cols>
    <col min="1" max="1" width="9.140625" style="415" customWidth="1"/>
    <col min="2" max="2" width="6.7109375" style="415" customWidth="1"/>
    <col min="3" max="8" width="9.140625" style="415" customWidth="1"/>
    <col min="9" max="9" width="12.28125" style="415" customWidth="1"/>
    <col min="10" max="10" width="9.140625" style="415" customWidth="1"/>
    <col min="11" max="11" width="6.28125" style="415" customWidth="1"/>
    <col min="12" max="12" width="1.7109375" style="415" hidden="1" customWidth="1"/>
    <col min="13" max="16384" width="9.140625" style="415" customWidth="1"/>
  </cols>
  <sheetData>
    <row r="1" spans="1:12" ht="18">
      <c r="A1" s="417" t="s">
        <v>818</v>
      </c>
      <c r="B1" s="417"/>
      <c r="C1" s="417"/>
      <c r="D1" s="417"/>
      <c r="E1" s="417"/>
      <c r="F1" s="417"/>
      <c r="G1" s="417"/>
      <c r="H1" s="421" t="s">
        <v>749</v>
      </c>
      <c r="I1" s="421"/>
      <c r="J1" s="421"/>
      <c r="K1" s="417"/>
      <c r="L1" s="416"/>
    </row>
    <row r="2" spans="1:12" ht="6.7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8"/>
    </row>
    <row r="3" spans="1:12" ht="18">
      <c r="A3" s="417" t="s">
        <v>819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8"/>
    </row>
    <row r="4" spans="1:12" ht="18">
      <c r="A4" s="417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8"/>
    </row>
    <row r="5" spans="1:12" ht="18">
      <c r="A5" s="417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8"/>
    </row>
    <row r="6" spans="1:12" ht="18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8"/>
    </row>
    <row r="7" spans="1:12" ht="18">
      <c r="A7" s="417"/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8"/>
    </row>
    <row r="8" spans="1:12" ht="18">
      <c r="A8" s="417"/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8"/>
    </row>
    <row r="9" spans="1:12" ht="18">
      <c r="A9" s="417"/>
      <c r="B9" s="417"/>
      <c r="C9" s="417"/>
      <c r="D9" s="417"/>
      <c r="E9" s="422" t="s">
        <v>754</v>
      </c>
      <c r="F9" s="417"/>
      <c r="G9" s="417"/>
      <c r="H9" s="417"/>
      <c r="I9" s="417"/>
      <c r="J9" s="417"/>
      <c r="K9" s="417"/>
      <c r="L9" s="418"/>
    </row>
    <row r="10" spans="1:12" ht="18">
      <c r="A10" s="417"/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8"/>
    </row>
    <row r="11" spans="1:12" ht="18">
      <c r="A11" s="417"/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8"/>
    </row>
    <row r="12" spans="1:12" ht="18">
      <c r="A12" s="417"/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8"/>
    </row>
    <row r="13" spans="1:12" ht="18">
      <c r="A13" s="417"/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8"/>
    </row>
    <row r="14" spans="1:12" ht="18">
      <c r="A14" s="417" t="s">
        <v>820</v>
      </c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8"/>
    </row>
    <row r="15" spans="1:12" ht="8.25" customHeight="1">
      <c r="A15" s="417"/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8"/>
    </row>
    <row r="16" spans="1:12" ht="18">
      <c r="A16" s="417" t="s">
        <v>755</v>
      </c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18"/>
    </row>
    <row r="17" spans="1:12" ht="18">
      <c r="A17" s="417"/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8"/>
    </row>
    <row r="18" spans="1:12" ht="18">
      <c r="A18" s="417"/>
      <c r="B18" s="417" t="s">
        <v>750</v>
      </c>
      <c r="C18" s="417"/>
      <c r="D18" s="417"/>
      <c r="E18" s="417"/>
      <c r="F18" s="417"/>
      <c r="G18" s="417"/>
      <c r="H18" s="417"/>
      <c r="I18" s="417"/>
      <c r="J18" s="417"/>
      <c r="K18" s="417"/>
      <c r="L18" s="418"/>
    </row>
    <row r="19" spans="1:12" ht="14.25" customHeight="1">
      <c r="A19" s="417"/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8"/>
    </row>
    <row r="20" spans="1:12" ht="14.25" customHeight="1">
      <c r="A20" s="417"/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8"/>
    </row>
    <row r="21" spans="1:12" ht="18">
      <c r="A21" s="417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8"/>
    </row>
    <row r="22" spans="1:12" ht="18">
      <c r="A22" s="417" t="s">
        <v>751</v>
      </c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8"/>
    </row>
    <row r="23" spans="1:12" ht="18">
      <c r="A23" s="417" t="s">
        <v>757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8"/>
    </row>
    <row r="24" spans="1:12" ht="18">
      <c r="A24" s="417"/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8"/>
    </row>
    <row r="25" spans="1:12" ht="18">
      <c r="A25" s="421" t="s">
        <v>756</v>
      </c>
      <c r="B25" s="417"/>
      <c r="C25" s="417"/>
      <c r="D25" s="417"/>
      <c r="E25" s="417"/>
      <c r="F25" s="417"/>
      <c r="G25" s="417"/>
      <c r="H25" s="417"/>
      <c r="I25" s="417"/>
      <c r="J25" s="417"/>
      <c r="K25" s="417"/>
      <c r="L25" s="418"/>
    </row>
    <row r="26" spans="1:12" ht="18">
      <c r="A26" s="417"/>
      <c r="B26" s="417"/>
      <c r="C26" s="417"/>
      <c r="D26" s="417"/>
      <c r="E26" s="417"/>
      <c r="F26" s="417"/>
      <c r="G26" s="417"/>
      <c r="H26" s="417"/>
      <c r="I26" s="417"/>
      <c r="J26" s="417"/>
      <c r="K26" s="417"/>
      <c r="L26" s="418"/>
    </row>
    <row r="27" spans="1:12" ht="18">
      <c r="A27" s="417" t="s">
        <v>821</v>
      </c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8"/>
    </row>
    <row r="28" spans="1:12" ht="18">
      <c r="A28" s="417"/>
      <c r="B28" s="417"/>
      <c r="C28" s="417"/>
      <c r="D28" s="417"/>
      <c r="E28" s="417"/>
      <c r="F28" s="417"/>
      <c r="G28" s="417"/>
      <c r="H28" s="417"/>
      <c r="I28" s="417"/>
      <c r="J28" s="417"/>
      <c r="K28" s="417"/>
      <c r="L28" s="418"/>
    </row>
    <row r="29" spans="1:12" ht="18">
      <c r="A29" s="417"/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8"/>
    </row>
    <row r="30" spans="1:12" ht="18">
      <c r="A30" s="417"/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418"/>
    </row>
    <row r="31" spans="1:12" ht="18">
      <c r="A31" s="417"/>
      <c r="B31" s="417"/>
      <c r="C31" s="417"/>
      <c r="D31" s="417"/>
      <c r="E31" s="417"/>
      <c r="F31" s="417"/>
      <c r="G31" s="417"/>
      <c r="H31" s="417"/>
      <c r="I31" s="417"/>
      <c r="J31" s="417"/>
      <c r="K31" s="417"/>
      <c r="L31" s="418"/>
    </row>
    <row r="32" spans="1:12" ht="18">
      <c r="A32" s="417"/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8"/>
    </row>
    <row r="33" spans="1:12" ht="18">
      <c r="A33" s="417"/>
      <c r="B33" s="417"/>
      <c r="C33" s="417"/>
      <c r="D33" s="417"/>
      <c r="E33" s="417"/>
      <c r="F33" s="417"/>
      <c r="G33" s="420" t="s">
        <v>752</v>
      </c>
      <c r="H33" s="420"/>
      <c r="I33" s="420"/>
      <c r="J33" s="420"/>
      <c r="K33" s="417"/>
      <c r="L33" s="418"/>
    </row>
    <row r="34" spans="1:12" ht="9.75" customHeight="1">
      <c r="A34" s="417"/>
      <c r="B34" s="417"/>
      <c r="C34" s="417"/>
      <c r="D34" s="417"/>
      <c r="E34" s="417"/>
      <c r="F34" s="417"/>
      <c r="G34" s="420"/>
      <c r="H34" s="420"/>
      <c r="I34" s="420"/>
      <c r="J34" s="420"/>
      <c r="K34" s="417"/>
      <c r="L34" s="418"/>
    </row>
    <row r="35" spans="1:12" ht="18">
      <c r="A35" s="417"/>
      <c r="B35" s="417"/>
      <c r="C35" s="417"/>
      <c r="D35" s="417"/>
      <c r="E35" s="417"/>
      <c r="F35" s="417"/>
      <c r="G35" s="420"/>
      <c r="H35" s="420" t="s">
        <v>753</v>
      </c>
      <c r="I35" s="420"/>
      <c r="J35" s="420"/>
      <c r="K35" s="417"/>
      <c r="L35" s="418"/>
    </row>
    <row r="36" spans="1:12" ht="18">
      <c r="A36" s="417"/>
      <c r="B36" s="417"/>
      <c r="C36" s="417"/>
      <c r="D36" s="417"/>
      <c r="E36" s="417"/>
      <c r="F36" s="417"/>
      <c r="G36" s="417"/>
      <c r="H36" s="417"/>
      <c r="I36" s="417"/>
      <c r="J36" s="417"/>
      <c r="K36" s="417"/>
      <c r="L36" s="418"/>
    </row>
    <row r="37" spans="1:12" ht="18">
      <c r="A37" s="417"/>
      <c r="B37" s="417"/>
      <c r="C37" s="417"/>
      <c r="D37" s="417"/>
      <c r="E37" s="417"/>
      <c r="F37" s="417"/>
      <c r="G37" s="417"/>
      <c r="H37" s="417"/>
      <c r="I37" s="417"/>
      <c r="J37" s="417"/>
      <c r="K37" s="417"/>
      <c r="L37" s="419"/>
    </row>
    <row r="40" ht="18">
      <c r="E40" s="415">
        <v>1</v>
      </c>
    </row>
  </sheetData>
  <sheetProtection/>
  <printOptions/>
  <pageMargins left="0.25" right="0.39" top="0.75" bottom="0.75" header="0.3" footer="0.3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7.421875" style="0" customWidth="1"/>
    <col min="2" max="2" width="38.28125" style="0" customWidth="1"/>
    <col min="3" max="3" width="15.421875" style="0" customWidth="1"/>
    <col min="4" max="4" width="14.7109375" style="0" customWidth="1"/>
    <col min="5" max="5" width="15.28125" style="0" customWidth="1"/>
    <col min="6" max="6" width="17.28125" style="0" customWidth="1"/>
  </cols>
  <sheetData>
    <row r="1" ht="18">
      <c r="B1" s="463" t="s">
        <v>817</v>
      </c>
    </row>
    <row r="3" ht="18">
      <c r="B3" s="464" t="s">
        <v>762</v>
      </c>
    </row>
    <row r="5" spans="1:6" ht="15">
      <c r="A5" s="465" t="s">
        <v>166</v>
      </c>
      <c r="B5" s="466"/>
      <c r="C5" s="466"/>
      <c r="D5" s="466"/>
      <c r="E5" s="466"/>
      <c r="F5" s="463"/>
    </row>
    <row r="6" spans="1:6" ht="15">
      <c r="A6" s="467" t="s">
        <v>763</v>
      </c>
      <c r="B6" s="467" t="s">
        <v>764</v>
      </c>
      <c r="C6" s="467" t="s">
        <v>765</v>
      </c>
      <c r="D6" s="467" t="s">
        <v>766</v>
      </c>
      <c r="E6" s="467" t="s">
        <v>767</v>
      </c>
      <c r="F6" s="468"/>
    </row>
    <row r="7" spans="1:5" ht="15.75" customHeight="1">
      <c r="A7" s="469">
        <v>1</v>
      </c>
      <c r="B7" s="470" t="s">
        <v>841</v>
      </c>
      <c r="C7" s="470" t="s">
        <v>842</v>
      </c>
      <c r="D7" s="470" t="s">
        <v>843</v>
      </c>
      <c r="E7" s="497">
        <f>+'[1]inventar 2009'!$F$15</f>
        <v>13343331</v>
      </c>
    </row>
    <row r="8" spans="1:5" ht="15.75" customHeight="1">
      <c r="A8" s="471">
        <v>2</v>
      </c>
      <c r="B8" s="472" t="str">
        <f>+'[1]inventar 2009'!$B$8</f>
        <v>Finitrice super 1800</v>
      </c>
      <c r="C8" s="472"/>
      <c r="D8" s="472"/>
      <c r="E8" s="498">
        <f>+'[1]inventar 2009'!$F$8</f>
        <v>30135000</v>
      </c>
    </row>
    <row r="9" spans="1:5" ht="15.75" customHeight="1">
      <c r="A9" s="471">
        <v>3</v>
      </c>
      <c r="B9" s="472" t="s">
        <v>844</v>
      </c>
      <c r="C9" s="472"/>
      <c r="D9" s="472"/>
      <c r="E9" s="498">
        <f>+'[1]inventar 2009'!$F$9</f>
        <v>23985000</v>
      </c>
    </row>
    <row r="10" spans="1:5" ht="15.75" customHeight="1">
      <c r="A10" s="471">
        <v>4</v>
      </c>
      <c r="B10" s="472" t="str">
        <f>+'[1]inventar 2009'!$B$10</f>
        <v>Rul I vogel</v>
      </c>
      <c r="C10" s="472"/>
      <c r="D10" s="472"/>
      <c r="E10" s="498">
        <f>+'[1]inventar 2009'!$F$10</f>
        <v>2460000</v>
      </c>
    </row>
    <row r="11" spans="1:5" ht="15.75" customHeight="1" thickBot="1">
      <c r="A11" s="471"/>
      <c r="B11" s="472"/>
      <c r="C11" s="472"/>
      <c r="D11" s="472"/>
      <c r="E11" s="498"/>
    </row>
    <row r="12" spans="1:5" ht="15.75" customHeight="1" thickBot="1">
      <c r="A12" s="495"/>
      <c r="B12" s="496"/>
      <c r="C12" s="496"/>
      <c r="D12" s="496"/>
      <c r="E12" s="499">
        <f>SUM(E7:E11)</f>
        <v>69923331</v>
      </c>
    </row>
    <row r="14" spans="2:4" ht="15.75">
      <c r="B14" s="462" t="s">
        <v>768</v>
      </c>
      <c r="C14" s="463"/>
      <c r="D14" s="463"/>
    </row>
    <row r="16" spans="2:3" ht="15">
      <c r="B16" s="473"/>
      <c r="C16" s="463"/>
    </row>
    <row r="21" ht="12.75">
      <c r="C21" s="456">
        <v>9</v>
      </c>
    </row>
  </sheetData>
  <sheetProtection/>
  <printOptions/>
  <pageMargins left="0.38" right="0.7" top="0.75" bottom="0.75" header="0.3" footer="0.3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10.57421875" style="0" customWidth="1"/>
    <col min="2" max="2" width="27.57421875" style="0" customWidth="1"/>
    <col min="3" max="3" width="15.8515625" style="0" customWidth="1"/>
    <col min="4" max="4" width="7.57421875" style="0" customWidth="1"/>
    <col min="5" max="5" width="10.140625" style="0" customWidth="1"/>
    <col min="6" max="6" width="14.57421875" style="0" customWidth="1"/>
    <col min="9" max="9" width="10.00390625" style="0" bestFit="1" customWidth="1"/>
  </cols>
  <sheetData>
    <row r="1" spans="2:4" ht="18">
      <c r="B1" s="474" t="s">
        <v>769</v>
      </c>
      <c r="C1" s="475" t="s">
        <v>770</v>
      </c>
      <c r="D1" s="475"/>
    </row>
    <row r="3" ht="15.75">
      <c r="C3" s="476" t="s">
        <v>771</v>
      </c>
    </row>
    <row r="5" ht="15">
      <c r="A5" s="463" t="s">
        <v>814</v>
      </c>
    </row>
    <row r="6" ht="18">
      <c r="A6" s="463" t="s">
        <v>816</v>
      </c>
    </row>
    <row r="7" ht="15">
      <c r="A7" s="463" t="s">
        <v>815</v>
      </c>
    </row>
    <row r="8" ht="18">
      <c r="A8" s="463" t="s">
        <v>782</v>
      </c>
    </row>
    <row r="9" ht="15.75">
      <c r="A9" s="463" t="s">
        <v>781</v>
      </c>
    </row>
    <row r="10" ht="13.5" thickBot="1"/>
    <row r="11" spans="1:6" ht="15.75" thickBot="1">
      <c r="A11" s="477" t="s">
        <v>772</v>
      </c>
      <c r="B11" s="478" t="s">
        <v>773</v>
      </c>
      <c r="C11" s="478" t="s">
        <v>774</v>
      </c>
      <c r="D11" s="478" t="s">
        <v>581</v>
      </c>
      <c r="E11" s="478" t="s">
        <v>775</v>
      </c>
      <c r="F11" s="479" t="s">
        <v>776</v>
      </c>
    </row>
    <row r="12" spans="1:6" ht="12.75">
      <c r="A12" s="480">
        <v>1</v>
      </c>
      <c r="B12" s="411"/>
      <c r="C12" s="411"/>
      <c r="D12" s="411"/>
      <c r="E12" s="481"/>
      <c r="F12" s="482">
        <f>+D12*E12</f>
        <v>0</v>
      </c>
    </row>
    <row r="13" spans="1:6" ht="12.75">
      <c r="A13" s="483">
        <v>2</v>
      </c>
      <c r="B13" s="331"/>
      <c r="C13" s="331"/>
      <c r="D13" s="331"/>
      <c r="E13" s="409"/>
      <c r="F13" s="482">
        <f>+E13*D13</f>
        <v>0</v>
      </c>
    </row>
    <row r="14" spans="1:6" ht="12.75">
      <c r="A14" s="483">
        <v>3</v>
      </c>
      <c r="B14" s="331"/>
      <c r="C14" s="331"/>
      <c r="D14" s="331"/>
      <c r="E14" s="409"/>
      <c r="F14" s="482">
        <f aca="true" t="shared" si="0" ref="F14:F24">+E14*D14</f>
        <v>0</v>
      </c>
    </row>
    <row r="15" spans="1:6" ht="12.75">
      <c r="A15" s="483">
        <v>4</v>
      </c>
      <c r="B15" s="331"/>
      <c r="C15" s="331"/>
      <c r="D15" s="331"/>
      <c r="E15" s="409"/>
      <c r="F15" s="482">
        <f t="shared" si="0"/>
        <v>0</v>
      </c>
    </row>
    <row r="16" spans="1:6" ht="12.75">
      <c r="A16" s="483">
        <v>5</v>
      </c>
      <c r="B16" s="331"/>
      <c r="C16" s="331"/>
      <c r="D16" s="331"/>
      <c r="E16" s="409"/>
      <c r="F16" s="482">
        <f t="shared" si="0"/>
        <v>0</v>
      </c>
    </row>
    <row r="17" spans="1:6" ht="12.75">
      <c r="A17" s="483">
        <v>6</v>
      </c>
      <c r="B17" s="331"/>
      <c r="C17" s="331"/>
      <c r="D17" s="331"/>
      <c r="E17" s="409"/>
      <c r="F17" s="482">
        <f t="shared" si="0"/>
        <v>0</v>
      </c>
    </row>
    <row r="18" spans="1:6" ht="12.75">
      <c r="A18" s="483">
        <v>7</v>
      </c>
      <c r="B18" s="331"/>
      <c r="C18" s="331"/>
      <c r="D18" s="331"/>
      <c r="E18" s="409"/>
      <c r="F18" s="482">
        <f t="shared" si="0"/>
        <v>0</v>
      </c>
    </row>
    <row r="19" spans="1:6" ht="12.75">
      <c r="A19" s="483">
        <v>8</v>
      </c>
      <c r="B19" s="331"/>
      <c r="C19" s="331"/>
      <c r="D19" s="331"/>
      <c r="E19" s="409"/>
      <c r="F19" s="482">
        <f t="shared" si="0"/>
        <v>0</v>
      </c>
    </row>
    <row r="20" spans="1:6" ht="12.75">
      <c r="A20" s="483">
        <v>9</v>
      </c>
      <c r="B20" s="331"/>
      <c r="C20" s="331"/>
      <c r="D20" s="331"/>
      <c r="E20" s="409"/>
      <c r="F20" s="482">
        <f t="shared" si="0"/>
        <v>0</v>
      </c>
    </row>
    <row r="21" spans="1:6" ht="12.75">
      <c r="A21" s="483">
        <v>10</v>
      </c>
      <c r="B21" s="331"/>
      <c r="C21" s="331"/>
      <c r="D21" s="331"/>
      <c r="E21" s="409"/>
      <c r="F21" s="482">
        <f t="shared" si="0"/>
        <v>0</v>
      </c>
    </row>
    <row r="22" spans="1:6" ht="12.75">
      <c r="A22" s="483">
        <v>11</v>
      </c>
      <c r="B22" s="331"/>
      <c r="C22" s="331"/>
      <c r="D22" s="331"/>
      <c r="E22" s="409"/>
      <c r="F22" s="482">
        <f t="shared" si="0"/>
        <v>0</v>
      </c>
    </row>
    <row r="23" spans="1:6" ht="12.75">
      <c r="A23" s="483">
        <v>12</v>
      </c>
      <c r="B23" s="331"/>
      <c r="C23" s="331"/>
      <c r="D23" s="331"/>
      <c r="E23" s="409"/>
      <c r="F23" s="482">
        <f t="shared" si="0"/>
        <v>0</v>
      </c>
    </row>
    <row r="24" spans="1:6" ht="12.75">
      <c r="A24" s="483">
        <v>13</v>
      </c>
      <c r="B24" s="331"/>
      <c r="C24" s="331"/>
      <c r="D24" s="331"/>
      <c r="E24" s="409"/>
      <c r="F24" s="482">
        <f t="shared" si="0"/>
        <v>0</v>
      </c>
    </row>
    <row r="25" spans="1:6" ht="15">
      <c r="A25" s="483">
        <v>16</v>
      </c>
      <c r="B25" s="484"/>
      <c r="C25" s="484"/>
      <c r="D25" s="484"/>
      <c r="E25" s="484"/>
      <c r="F25" s="485">
        <v>0</v>
      </c>
    </row>
    <row r="26" spans="1:6" ht="15">
      <c r="A26" s="483">
        <v>17</v>
      </c>
      <c r="B26" s="484"/>
      <c r="C26" s="484"/>
      <c r="D26" s="484"/>
      <c r="E26" s="484"/>
      <c r="F26" s="485">
        <v>0</v>
      </c>
    </row>
    <row r="27" spans="1:6" ht="15">
      <c r="A27" s="483">
        <v>18</v>
      </c>
      <c r="B27" s="484"/>
      <c r="C27" s="484"/>
      <c r="D27" s="484"/>
      <c r="E27" s="484"/>
      <c r="F27" s="485">
        <v>0</v>
      </c>
    </row>
    <row r="28" spans="1:6" ht="15">
      <c r="A28" s="483">
        <v>19</v>
      </c>
      <c r="B28" s="484"/>
      <c r="C28" s="484"/>
      <c r="D28" s="484"/>
      <c r="E28" s="484"/>
      <c r="F28" s="485">
        <v>0</v>
      </c>
    </row>
    <row r="29" spans="1:6" ht="15.75" thickBot="1">
      <c r="A29" s="486">
        <v>20</v>
      </c>
      <c r="B29" s="487"/>
      <c r="C29" s="487"/>
      <c r="D29" s="487"/>
      <c r="E29" s="487"/>
      <c r="F29" s="488">
        <v>0</v>
      </c>
    </row>
    <row r="30" spans="1:6" ht="18.75" thickBot="1">
      <c r="A30" s="489"/>
      <c r="B30" s="490" t="s">
        <v>777</v>
      </c>
      <c r="C30" s="491"/>
      <c r="D30" s="491"/>
      <c r="E30" s="491"/>
      <c r="F30" s="492">
        <f>SUM(F12:F29)</f>
        <v>0</v>
      </c>
    </row>
    <row r="32" ht="20.25">
      <c r="D32" s="493" t="s">
        <v>778</v>
      </c>
    </row>
    <row r="35" ht="12.75">
      <c r="A35" s="494" t="s">
        <v>779</v>
      </c>
    </row>
    <row r="36" ht="12.75">
      <c r="A36" s="494" t="s">
        <v>780</v>
      </c>
    </row>
    <row r="47" ht="12.75">
      <c r="D47" s="346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22">
      <selection activeCell="C90" sqref="C90"/>
    </sheetView>
  </sheetViews>
  <sheetFormatPr defaultColWidth="11.421875" defaultRowHeight="12.75"/>
  <cols>
    <col min="1" max="1" width="5.57421875" style="55" customWidth="1"/>
    <col min="2" max="2" width="47.421875" style="55" bestFit="1" customWidth="1"/>
    <col min="3" max="3" width="16.7109375" style="55" customWidth="1"/>
    <col min="4" max="5" width="14.00390625" style="55" bestFit="1" customWidth="1"/>
    <col min="6" max="16384" width="11.421875" style="55" customWidth="1"/>
  </cols>
  <sheetData>
    <row r="1" ht="18">
      <c r="B1" s="501" t="s">
        <v>351</v>
      </c>
    </row>
    <row r="3" ht="14.25">
      <c r="B3" s="502" t="s">
        <v>352</v>
      </c>
    </row>
    <row r="9" spans="1:5" ht="15">
      <c r="A9" s="503" t="s">
        <v>353</v>
      </c>
      <c r="B9" s="504" t="s">
        <v>354</v>
      </c>
      <c r="C9" s="503" t="s">
        <v>569</v>
      </c>
      <c r="D9" s="503" t="s">
        <v>549</v>
      </c>
      <c r="E9" s="503" t="s">
        <v>453</v>
      </c>
    </row>
    <row r="12" spans="1:5" ht="12.75">
      <c r="A12" s="505" t="s">
        <v>144</v>
      </c>
      <c r="B12" s="506" t="s">
        <v>355</v>
      </c>
      <c r="C12" s="507">
        <f>+C14+C16+C15</f>
        <v>660246136</v>
      </c>
      <c r="D12" s="507">
        <f>+D14+D16</f>
        <v>149763816</v>
      </c>
      <c r="E12" s="507">
        <f>+E13+E14+E16</f>
        <v>43258113</v>
      </c>
    </row>
    <row r="13" spans="1:5" ht="12.75">
      <c r="A13" s="505" t="s">
        <v>134</v>
      </c>
      <c r="B13" s="506" t="s">
        <v>356</v>
      </c>
      <c r="C13" s="508"/>
      <c r="D13" s="508"/>
      <c r="E13" s="508">
        <v>285000</v>
      </c>
    </row>
    <row r="14" spans="1:5" ht="12.75">
      <c r="A14" s="505" t="s">
        <v>135</v>
      </c>
      <c r="B14" s="506" t="s">
        <v>357</v>
      </c>
      <c r="C14" s="508">
        <v>463272541.59</v>
      </c>
      <c r="D14" s="508">
        <v>148309737</v>
      </c>
      <c r="E14" s="508">
        <v>41373113</v>
      </c>
    </row>
    <row r="15" spans="1:5" ht="12.75">
      <c r="A15" s="505" t="s">
        <v>136</v>
      </c>
      <c r="B15" s="506" t="s">
        <v>358</v>
      </c>
      <c r="C15" s="508">
        <v>187718689.41</v>
      </c>
      <c r="D15" s="508"/>
      <c r="E15" s="508"/>
    </row>
    <row r="16" spans="1:5" ht="12.75">
      <c r="A16" s="505" t="s">
        <v>137</v>
      </c>
      <c r="B16" s="506" t="s">
        <v>359</v>
      </c>
      <c r="C16" s="508">
        <v>9254905</v>
      </c>
      <c r="D16" s="508">
        <v>1454079</v>
      </c>
      <c r="E16" s="508">
        <v>1600000</v>
      </c>
    </row>
    <row r="17" spans="2:7" ht="12.75">
      <c r="B17" s="506" t="s">
        <v>360</v>
      </c>
      <c r="C17" s="508">
        <f>+C16+C15+C14+C13</f>
        <v>660246136</v>
      </c>
      <c r="D17" s="508">
        <f>+D16+D15+D14+D13</f>
        <v>149763816</v>
      </c>
      <c r="E17" s="508">
        <f>+E16+E15+E14+E13</f>
        <v>43258113</v>
      </c>
      <c r="G17" s="550">
        <v>660246136</v>
      </c>
    </row>
    <row r="18" ht="12.75">
      <c r="B18" s="506" t="s">
        <v>361</v>
      </c>
    </row>
    <row r="19" spans="1:5" ht="12.75">
      <c r="A19" s="505" t="s">
        <v>145</v>
      </c>
      <c r="B19" s="506" t="s">
        <v>362</v>
      </c>
      <c r="C19" s="507"/>
      <c r="D19" s="507"/>
      <c r="E19" s="507"/>
    </row>
    <row r="20" spans="1:2" ht="12.75">
      <c r="A20" s="505" t="s">
        <v>138</v>
      </c>
      <c r="B20" s="506" t="s">
        <v>363</v>
      </c>
    </row>
    <row r="21" spans="1:2" ht="12.75">
      <c r="A21" s="505" t="s">
        <v>146</v>
      </c>
      <c r="B21" s="506" t="s">
        <v>364</v>
      </c>
    </row>
    <row r="22" spans="1:2" ht="12.75">
      <c r="A22" s="505" t="s">
        <v>147</v>
      </c>
      <c r="B22" s="506" t="s">
        <v>365</v>
      </c>
    </row>
    <row r="23" spans="1:5" ht="12.75">
      <c r="A23" s="505" t="s">
        <v>148</v>
      </c>
      <c r="B23" s="506" t="s">
        <v>366</v>
      </c>
      <c r="C23" s="508"/>
      <c r="D23" s="508"/>
      <c r="E23" s="508"/>
    </row>
    <row r="24" spans="1:5" ht="12.75">
      <c r="A24" s="505" t="s">
        <v>149</v>
      </c>
      <c r="B24" s="506" t="s">
        <v>367</v>
      </c>
      <c r="C24" s="508"/>
      <c r="D24" s="508"/>
      <c r="E24" s="508"/>
    </row>
    <row r="25" spans="1:2" ht="12.75">
      <c r="A25" s="505" t="s">
        <v>150</v>
      </c>
      <c r="B25" s="506" t="s">
        <v>368</v>
      </c>
    </row>
    <row r="26" spans="1:5" ht="12.75">
      <c r="A26" s="505" t="s">
        <v>151</v>
      </c>
      <c r="B26" s="506" t="s">
        <v>113</v>
      </c>
      <c r="C26" s="508"/>
      <c r="D26" s="508"/>
      <c r="E26" s="508"/>
    </row>
    <row r="28" spans="1:2" ht="12.75">
      <c r="A28" s="505" t="s">
        <v>152</v>
      </c>
      <c r="B28" s="506" t="s">
        <v>369</v>
      </c>
    </row>
    <row r="29" spans="1:2" ht="12.75">
      <c r="A29" s="505" t="s">
        <v>149</v>
      </c>
      <c r="B29" s="506" t="s">
        <v>370</v>
      </c>
    </row>
    <row r="30" spans="1:2" ht="12.75">
      <c r="A30" s="505" t="s">
        <v>150</v>
      </c>
      <c r="B30" s="506" t="s">
        <v>371</v>
      </c>
    </row>
    <row r="31" spans="1:2" ht="12.75">
      <c r="A31" s="505" t="s">
        <v>151</v>
      </c>
      <c r="B31" s="506" t="s">
        <v>372</v>
      </c>
    </row>
    <row r="32" spans="1:2" ht="12.75">
      <c r="A32" s="505" t="s">
        <v>153</v>
      </c>
      <c r="B32" s="506" t="s">
        <v>373</v>
      </c>
    </row>
    <row r="33" spans="1:2" ht="12.75">
      <c r="A33" s="505" t="s">
        <v>154</v>
      </c>
      <c r="B33" s="506" t="s">
        <v>374</v>
      </c>
    </row>
    <row r="34" spans="2:5" ht="12.75">
      <c r="B34" s="506" t="s">
        <v>375</v>
      </c>
      <c r="C34" s="508">
        <f>+C12+C19</f>
        <v>660246136</v>
      </c>
      <c r="D34" s="508">
        <f>+D12+D19</f>
        <v>149763816</v>
      </c>
      <c r="E34" s="508">
        <f>+E12+E19</f>
        <v>43258113</v>
      </c>
    </row>
    <row r="36" spans="1:5" ht="12.75">
      <c r="A36" s="505" t="s">
        <v>155</v>
      </c>
      <c r="B36" s="506" t="s">
        <v>376</v>
      </c>
      <c r="C36" s="507">
        <f>+C37+C38+C39+C40+C41</f>
        <v>45340.86</v>
      </c>
      <c r="D36" s="507">
        <f>+D37+D38+D39+D40+D41</f>
        <v>45340.86</v>
      </c>
      <c r="E36" s="507">
        <f>+E37+E38+E39+E40+E41</f>
        <v>9576</v>
      </c>
    </row>
    <row r="37" spans="1:5" ht="12.75">
      <c r="A37" s="505" t="s">
        <v>156</v>
      </c>
      <c r="B37" s="506" t="s">
        <v>377</v>
      </c>
      <c r="C37" s="508">
        <f>2.74+2138.12</f>
        <v>2140.8599999999997</v>
      </c>
      <c r="D37" s="508">
        <f>2.74+2138.12</f>
        <v>2140.8599999999997</v>
      </c>
      <c r="E37" s="508">
        <v>447</v>
      </c>
    </row>
    <row r="38" spans="1:2" ht="12.75">
      <c r="A38" s="505" t="s">
        <v>157</v>
      </c>
      <c r="B38" s="506" t="s">
        <v>378</v>
      </c>
    </row>
    <row r="39" spans="1:5" ht="12.75">
      <c r="A39" s="505" t="s">
        <v>158</v>
      </c>
      <c r="B39" s="506" t="s">
        <v>379</v>
      </c>
      <c r="C39" s="508">
        <v>43200</v>
      </c>
      <c r="D39" s="508">
        <v>43200</v>
      </c>
      <c r="E39" s="508">
        <v>9129</v>
      </c>
    </row>
    <row r="40" spans="1:2" ht="12.75">
      <c r="A40" s="505" t="s">
        <v>159</v>
      </c>
      <c r="B40" s="506" t="s">
        <v>380</v>
      </c>
    </row>
    <row r="41" spans="1:5" ht="12.75">
      <c r="A41" s="505" t="s">
        <v>160</v>
      </c>
      <c r="B41" s="506" t="s">
        <v>381</v>
      </c>
      <c r="C41" s="508"/>
      <c r="D41" s="508"/>
      <c r="E41" s="508"/>
    </row>
    <row r="43" spans="2:5" ht="12.75">
      <c r="B43" s="506" t="s">
        <v>382</v>
      </c>
      <c r="C43" s="507">
        <f>+C36+C19+C12</f>
        <v>660291476.86</v>
      </c>
      <c r="D43" s="507">
        <f>+D36+D19+D12</f>
        <v>149809156.86</v>
      </c>
      <c r="E43" s="507">
        <f>+E36+E19+E12</f>
        <v>43267689</v>
      </c>
    </row>
    <row r="45" ht="12.75">
      <c r="B45" s="506" t="s">
        <v>383</v>
      </c>
    </row>
    <row r="46" ht="12.75">
      <c r="B46" s="506" t="s">
        <v>384</v>
      </c>
    </row>
    <row r="47" spans="1:2" ht="12.75">
      <c r="A47" s="505" t="s">
        <v>161</v>
      </c>
      <c r="B47" s="506" t="s">
        <v>385</v>
      </c>
    </row>
    <row r="48" ht="12.75">
      <c r="B48" s="506" t="s">
        <v>386</v>
      </c>
    </row>
    <row r="49" ht="12.75">
      <c r="B49" s="506" t="s">
        <v>384</v>
      </c>
    </row>
    <row r="50" spans="1:2" ht="12.75">
      <c r="A50" s="505" t="s">
        <v>162</v>
      </c>
      <c r="B50" s="506" t="s">
        <v>387</v>
      </c>
    </row>
    <row r="51" ht="12.75">
      <c r="B51" s="506" t="s">
        <v>384</v>
      </c>
    </row>
    <row r="52" ht="12.75">
      <c r="B52" s="506"/>
    </row>
    <row r="53" ht="12.75">
      <c r="B53" s="506"/>
    </row>
    <row r="54" ht="12.75">
      <c r="B54" s="506"/>
    </row>
    <row r="55" ht="12.75">
      <c r="B55" s="506"/>
    </row>
    <row r="56" ht="12.75">
      <c r="B56" s="506"/>
    </row>
    <row r="57" ht="12.75">
      <c r="B57" s="506"/>
    </row>
    <row r="58" ht="12.75">
      <c r="B58" s="506"/>
    </row>
    <row r="60" spans="1:5" ht="15">
      <c r="A60" s="503" t="s">
        <v>353</v>
      </c>
      <c r="B60" s="504" t="s">
        <v>388</v>
      </c>
      <c r="C60" s="503" t="s">
        <v>569</v>
      </c>
      <c r="D60" s="503" t="s">
        <v>549</v>
      </c>
      <c r="E60" s="503" t="s">
        <v>453</v>
      </c>
    </row>
    <row r="63" spans="1:3" ht="12.75">
      <c r="A63" s="505" t="s">
        <v>144</v>
      </c>
      <c r="B63" s="506" t="s">
        <v>389</v>
      </c>
      <c r="C63" s="55">
        <v>0</v>
      </c>
    </row>
    <row r="64" spans="1:5" ht="12.75">
      <c r="A64" s="505" t="s">
        <v>145</v>
      </c>
      <c r="B64" s="506" t="s">
        <v>390</v>
      </c>
      <c r="C64" s="507">
        <f>+C65+C68+C71+C72+C76+C77+C81</f>
        <v>650407398.0600001</v>
      </c>
      <c r="D64" s="507">
        <f>+D65+D71+D72+D76+D81</f>
        <v>144124063</v>
      </c>
      <c r="E64" s="507">
        <f>+E65+E71+E72+E76+E81</f>
        <v>36674219</v>
      </c>
    </row>
    <row r="65" spans="1:5" ht="12.75">
      <c r="A65" s="505" t="s">
        <v>134</v>
      </c>
      <c r="B65" s="506" t="s">
        <v>391</v>
      </c>
      <c r="C65" s="509">
        <f>+C66+C67</f>
        <v>375466199.66</v>
      </c>
      <c r="D65" s="509">
        <f>+D66</f>
        <v>110255969</v>
      </c>
      <c r="E65" s="509">
        <f>+E66</f>
        <v>6368015</v>
      </c>
    </row>
    <row r="66" spans="1:5" ht="12.75">
      <c r="A66" s="505" t="s">
        <v>149</v>
      </c>
      <c r="B66" s="506" t="s">
        <v>392</v>
      </c>
      <c r="C66" s="508">
        <v>375418216.66</v>
      </c>
      <c r="D66" s="508">
        <v>110255969</v>
      </c>
      <c r="E66" s="508">
        <v>6368015</v>
      </c>
    </row>
    <row r="67" spans="1:3" ht="12.75">
      <c r="A67" s="505" t="s">
        <v>150</v>
      </c>
      <c r="B67" s="506" t="s">
        <v>393</v>
      </c>
      <c r="C67" s="508">
        <v>47983</v>
      </c>
    </row>
    <row r="68" spans="1:5" ht="12.75">
      <c r="A68" s="505" t="s">
        <v>135</v>
      </c>
      <c r="B68" s="506" t="s">
        <v>394</v>
      </c>
      <c r="C68" s="509">
        <f>+C69+C70</f>
        <v>150202698.93</v>
      </c>
      <c r="D68" s="509"/>
      <c r="E68" s="509"/>
    </row>
    <row r="69" spans="1:5" ht="12.75">
      <c r="A69" s="505" t="s">
        <v>149</v>
      </c>
      <c r="B69" s="506" t="s">
        <v>395</v>
      </c>
      <c r="C69" s="508">
        <v>150202698.93</v>
      </c>
      <c r="D69" s="508"/>
      <c r="E69" s="508"/>
    </row>
    <row r="70" spans="1:5" ht="12.75">
      <c r="A70" s="505" t="s">
        <v>150</v>
      </c>
      <c r="B70" s="506" t="s">
        <v>396</v>
      </c>
      <c r="C70" s="508"/>
      <c r="D70" s="508"/>
      <c r="E70" s="508"/>
    </row>
    <row r="71" spans="1:5" ht="12.75">
      <c r="A71" s="505" t="s">
        <v>136</v>
      </c>
      <c r="B71" s="506" t="s">
        <v>397</v>
      </c>
      <c r="C71" s="508">
        <f>25498171.09+13804581.66+459849.02+133469+17540666+821421.52+20358861.8+349335.38</f>
        <v>78966355.47</v>
      </c>
      <c r="D71" s="508">
        <v>22206812</v>
      </c>
      <c r="E71" s="508">
        <v>20454707</v>
      </c>
    </row>
    <row r="72" spans="1:5" ht="12.75">
      <c r="A72" s="505" t="s">
        <v>137</v>
      </c>
      <c r="B72" s="506" t="s">
        <v>398</v>
      </c>
      <c r="C72" s="508">
        <f>+C73+C75</f>
        <v>6164717</v>
      </c>
      <c r="D72" s="508">
        <f>+D73+D75</f>
        <v>7495042</v>
      </c>
      <c r="E72" s="508">
        <f>+E73+E75</f>
        <v>4865951</v>
      </c>
    </row>
    <row r="73" spans="1:5" ht="12.75">
      <c r="A73" s="505" t="s">
        <v>149</v>
      </c>
      <c r="B73" s="506" t="s">
        <v>399</v>
      </c>
      <c r="C73" s="508">
        <v>5424092</v>
      </c>
      <c r="D73" s="508">
        <v>6445964</v>
      </c>
      <c r="E73" s="508">
        <v>4083904</v>
      </c>
    </row>
    <row r="74" spans="1:2" ht="12.75">
      <c r="A74" s="505" t="s">
        <v>150</v>
      </c>
      <c r="B74" s="506" t="s">
        <v>400</v>
      </c>
    </row>
    <row r="75" spans="1:5" ht="12.75">
      <c r="A75" s="505" t="s">
        <v>151</v>
      </c>
      <c r="B75" s="506" t="s">
        <v>401</v>
      </c>
      <c r="C75" s="508">
        <v>740625</v>
      </c>
      <c r="D75" s="508">
        <v>1049078</v>
      </c>
      <c r="E75" s="508">
        <v>782047</v>
      </c>
    </row>
    <row r="76" spans="1:5" ht="12.75">
      <c r="A76" s="505" t="s">
        <v>138</v>
      </c>
      <c r="B76" s="506" t="s">
        <v>402</v>
      </c>
      <c r="C76" s="508">
        <f>14632575+40120+1570011</f>
        <v>16242706</v>
      </c>
      <c r="D76" s="508">
        <v>301219</v>
      </c>
      <c r="E76" s="508">
        <v>78921</v>
      </c>
    </row>
    <row r="77" spans="1:5" ht="12.75">
      <c r="A77" s="505" t="s">
        <v>146</v>
      </c>
      <c r="B77" s="506" t="s">
        <v>403</v>
      </c>
      <c r="C77" s="508">
        <f>+C78+C79+C80</f>
        <v>8382399</v>
      </c>
      <c r="D77" s="508"/>
      <c r="E77" s="508"/>
    </row>
    <row r="78" spans="1:5" ht="12.75">
      <c r="A78" s="505" t="s">
        <v>149</v>
      </c>
      <c r="B78" s="506" t="s">
        <v>404</v>
      </c>
      <c r="C78" s="508">
        <v>7908000</v>
      </c>
      <c r="D78" s="508"/>
      <c r="E78" s="508"/>
    </row>
    <row r="79" spans="1:3" ht="12.75">
      <c r="A79" s="505" t="s">
        <v>150</v>
      </c>
      <c r="B79" s="506" t="s">
        <v>405</v>
      </c>
      <c r="C79" s="508">
        <v>72392</v>
      </c>
    </row>
    <row r="80" spans="1:5" ht="12.75">
      <c r="A80" s="505" t="s">
        <v>151</v>
      </c>
      <c r="B80" s="506" t="s">
        <v>113</v>
      </c>
      <c r="C80" s="508">
        <v>402007</v>
      </c>
      <c r="D80" s="508"/>
      <c r="E80" s="508"/>
    </row>
    <row r="81" spans="1:5" ht="12.75">
      <c r="A81" s="505" t="s">
        <v>147</v>
      </c>
      <c r="B81" s="506" t="s">
        <v>406</v>
      </c>
      <c r="C81" s="508">
        <f>+C82+C85</f>
        <v>14982322</v>
      </c>
      <c r="D81" s="508">
        <f>+D82</f>
        <v>3865021</v>
      </c>
      <c r="E81" s="508">
        <f>+E82</f>
        <v>4906625</v>
      </c>
    </row>
    <row r="82" spans="1:5" ht="12.75">
      <c r="A82" s="505" t="s">
        <v>149</v>
      </c>
      <c r="B82" s="506" t="s">
        <v>407</v>
      </c>
      <c r="C82" s="508">
        <v>14982322</v>
      </c>
      <c r="D82" s="508">
        <v>3865021</v>
      </c>
      <c r="E82" s="508">
        <v>4906625</v>
      </c>
    </row>
    <row r="83" spans="1:2" ht="12.75">
      <c r="A83" s="505" t="s">
        <v>150</v>
      </c>
      <c r="B83" s="506" t="s">
        <v>408</v>
      </c>
    </row>
    <row r="84" spans="1:2" ht="12.75">
      <c r="A84" s="505" t="s">
        <v>151</v>
      </c>
      <c r="B84" s="506" t="s">
        <v>409</v>
      </c>
    </row>
    <row r="85" spans="1:2" ht="12.75">
      <c r="A85" s="505" t="s">
        <v>153</v>
      </c>
      <c r="B85" s="506" t="s">
        <v>143</v>
      </c>
    </row>
    <row r="86" spans="1:2" ht="12.75">
      <c r="A86" s="505" t="s">
        <v>154</v>
      </c>
      <c r="B86" s="506" t="s">
        <v>410</v>
      </c>
    </row>
    <row r="87" spans="1:2" ht="12.75">
      <c r="A87" s="505" t="s">
        <v>163</v>
      </c>
      <c r="B87" s="506" t="s">
        <v>113</v>
      </c>
    </row>
    <row r="88" spans="2:5" ht="12.75">
      <c r="B88" s="506" t="s">
        <v>375</v>
      </c>
      <c r="C88" s="508">
        <f>+C63+C64</f>
        <v>650407398.0600001</v>
      </c>
      <c r="D88" s="508">
        <f>+D63+D64</f>
        <v>144124063</v>
      </c>
      <c r="E88" s="508">
        <f>+E63+E64</f>
        <v>36674219</v>
      </c>
    </row>
    <row r="89" spans="1:5" ht="12.75">
      <c r="A89" s="505" t="s">
        <v>155</v>
      </c>
      <c r="B89" s="506" t="s">
        <v>411</v>
      </c>
      <c r="C89" s="507">
        <f>+C90+C92</f>
        <v>3002610.3000000003</v>
      </c>
      <c r="D89" s="507">
        <f>+D90</f>
        <v>3614454</v>
      </c>
      <c r="E89" s="507">
        <f>+E90+E91+E92+E93+E94+E95</f>
        <v>3289804</v>
      </c>
    </row>
    <row r="90" spans="1:5" ht="12.75">
      <c r="A90" s="505" t="s">
        <v>148</v>
      </c>
      <c r="B90" s="506" t="s">
        <v>412</v>
      </c>
      <c r="C90" s="508">
        <f>2781877.33</f>
        <v>2781877.33</v>
      </c>
      <c r="D90" s="508">
        <v>3614454</v>
      </c>
      <c r="E90" s="508">
        <v>3260306</v>
      </c>
    </row>
    <row r="91" spans="1:2" ht="12.75">
      <c r="A91" s="505" t="s">
        <v>152</v>
      </c>
      <c r="B91" s="506" t="s">
        <v>413</v>
      </c>
    </row>
    <row r="92" spans="1:5" ht="12.75">
      <c r="A92" s="505" t="s">
        <v>156</v>
      </c>
      <c r="B92" s="506" t="s">
        <v>414</v>
      </c>
      <c r="C92" s="508">
        <v>220732.97</v>
      </c>
      <c r="D92" s="508"/>
      <c r="E92" s="508">
        <v>29498</v>
      </c>
    </row>
    <row r="93" spans="1:2" ht="12.75">
      <c r="A93" s="505" t="s">
        <v>157</v>
      </c>
      <c r="B93" s="506" t="s">
        <v>415</v>
      </c>
    </row>
    <row r="94" spans="1:2" ht="12.75">
      <c r="A94" s="505" t="s">
        <v>158</v>
      </c>
      <c r="B94" s="506" t="s">
        <v>416</v>
      </c>
    </row>
    <row r="95" spans="1:2" ht="12.75">
      <c r="A95" s="505" t="s">
        <v>159</v>
      </c>
      <c r="B95" s="506" t="s">
        <v>113</v>
      </c>
    </row>
    <row r="96" spans="2:5" ht="12.75">
      <c r="B96" s="506" t="s">
        <v>417</v>
      </c>
      <c r="C96" s="507">
        <f>+C89+C64+C63</f>
        <v>653410008.36</v>
      </c>
      <c r="D96" s="507">
        <f>+D89+D64+D63</f>
        <v>147738517</v>
      </c>
      <c r="E96" s="507">
        <f>+E89+E64+E63</f>
        <v>39964023</v>
      </c>
    </row>
    <row r="97" spans="2:5" ht="12.75">
      <c r="B97" s="506" t="s">
        <v>418</v>
      </c>
      <c r="C97" s="508"/>
      <c r="D97" s="508"/>
      <c r="E97" s="508"/>
    </row>
    <row r="98" spans="1:2" ht="12.75">
      <c r="A98" s="505" t="s">
        <v>161</v>
      </c>
      <c r="B98" s="506" t="s">
        <v>419</v>
      </c>
    </row>
    <row r="99" ht="12.75">
      <c r="B99" s="506" t="s">
        <v>386</v>
      </c>
    </row>
    <row r="100" spans="1:5" ht="12.75">
      <c r="A100" s="505" t="s">
        <v>162</v>
      </c>
      <c r="B100" s="506" t="s">
        <v>420</v>
      </c>
      <c r="C100" s="508">
        <f>+C43-C96</f>
        <v>6881468.5</v>
      </c>
      <c r="D100" s="508">
        <v>2146125</v>
      </c>
      <c r="E100" s="508">
        <v>3303665</v>
      </c>
    </row>
    <row r="101" spans="1:5" ht="12.75">
      <c r="A101" s="505" t="s">
        <v>421</v>
      </c>
      <c r="B101" s="506" t="s">
        <v>422</v>
      </c>
      <c r="C101" s="508">
        <f>+(C100+C80)*10%</f>
        <v>728347.55</v>
      </c>
      <c r="D101" s="508">
        <v>214612</v>
      </c>
      <c r="E101" s="508">
        <v>333517</v>
      </c>
    </row>
    <row r="102" spans="1:5" ht="12.75">
      <c r="A102" s="505" t="s">
        <v>149</v>
      </c>
      <c r="B102" s="506" t="s">
        <v>423</v>
      </c>
      <c r="C102" s="507">
        <f>+C101</f>
        <v>728347.55</v>
      </c>
      <c r="D102" s="507">
        <f>+D101</f>
        <v>214612</v>
      </c>
      <c r="E102" s="507">
        <f>+E101</f>
        <v>333517</v>
      </c>
    </row>
    <row r="103" ht="12.75">
      <c r="B103" s="506" t="s">
        <v>424</v>
      </c>
    </row>
    <row r="104" spans="1:2" ht="12.75">
      <c r="A104" s="505" t="s">
        <v>150</v>
      </c>
      <c r="B104" s="506" t="s">
        <v>425</v>
      </c>
    </row>
    <row r="105" spans="1:5" ht="12.75">
      <c r="A105" s="505" t="s">
        <v>426</v>
      </c>
      <c r="B105" s="506" t="s">
        <v>427</v>
      </c>
      <c r="C105" s="507">
        <f>+C100-C102</f>
        <v>6153120.95</v>
      </c>
      <c r="D105" s="507">
        <f>+D100-D101</f>
        <v>1931513</v>
      </c>
      <c r="E105" s="507">
        <f>+E100-E101</f>
        <v>2970148</v>
      </c>
    </row>
    <row r="108" spans="3:4" ht="12.75">
      <c r="C108" s="526"/>
      <c r="D108" s="527">
        <f>+D100-D102</f>
        <v>1931513</v>
      </c>
    </row>
    <row r="110" spans="1:3" ht="13.5">
      <c r="A110" s="510"/>
      <c r="C110" s="526"/>
    </row>
    <row r="112" ht="12.75">
      <c r="C112" s="528"/>
    </row>
  </sheetData>
  <sheetProtection/>
  <printOptions/>
  <pageMargins left="0.16944444444444445" right="0.1" top="0.4" bottom="0.2993055555555555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1">
      <selection activeCell="F106" sqref="F106"/>
    </sheetView>
  </sheetViews>
  <sheetFormatPr defaultColWidth="11.421875" defaultRowHeight="12.75"/>
  <cols>
    <col min="1" max="1" width="5.7109375" style="54" customWidth="1"/>
    <col min="2" max="2" width="42.7109375" style="54" bestFit="1" customWidth="1"/>
    <col min="3" max="3" width="5.57421875" style="54" customWidth="1"/>
    <col min="4" max="4" width="19.57421875" style="54" customWidth="1"/>
    <col min="5" max="5" width="20.28125" style="54" customWidth="1"/>
    <col min="6" max="6" width="21.421875" style="54" customWidth="1"/>
    <col min="7" max="7" width="11.421875" style="54" customWidth="1"/>
    <col min="8" max="8" width="17.421875" style="54" customWidth="1"/>
    <col min="9" max="16384" width="11.421875" style="54" customWidth="1"/>
  </cols>
  <sheetData>
    <row r="1" ht="16.5">
      <c r="B1" s="511" t="s">
        <v>164</v>
      </c>
    </row>
    <row r="2" spans="2:7" ht="13.5">
      <c r="B2" s="512" t="s">
        <v>840</v>
      </c>
      <c r="G2" s="513"/>
    </row>
    <row r="3" ht="12.75">
      <c r="B3" s="514" t="s">
        <v>428</v>
      </c>
    </row>
    <row r="5" ht="12.75" hidden="1"/>
    <row r="6" ht="12.75" hidden="1"/>
    <row r="8" spans="2:6" ht="15">
      <c r="B8" s="515" t="s">
        <v>165</v>
      </c>
      <c r="C8" s="516" t="s">
        <v>166</v>
      </c>
      <c r="D8" s="513" t="s">
        <v>790</v>
      </c>
      <c r="E8" s="513" t="s">
        <v>791</v>
      </c>
      <c r="F8" s="513" t="s">
        <v>792</v>
      </c>
    </row>
    <row r="11" spans="1:6" ht="12.75">
      <c r="A11" s="517" t="s">
        <v>167</v>
      </c>
      <c r="B11" s="518" t="s">
        <v>168</v>
      </c>
      <c r="C11" s="518" t="s">
        <v>134</v>
      </c>
      <c r="D11" s="519">
        <v>0</v>
      </c>
      <c r="E11" s="519">
        <v>0</v>
      </c>
      <c r="F11" s="519">
        <v>0</v>
      </c>
    </row>
    <row r="12" spans="1:6" ht="12.75">
      <c r="A12" s="517" t="s">
        <v>169</v>
      </c>
      <c r="B12" s="518" t="s">
        <v>170</v>
      </c>
      <c r="C12" s="518" t="s">
        <v>135</v>
      </c>
      <c r="D12" s="519">
        <f>+D20+D13+D27+D32</f>
        <v>51477671.269999996</v>
      </c>
      <c r="E12" s="519">
        <f>+E13+E20+E27+E32</f>
        <v>74003210</v>
      </c>
      <c r="F12" s="519">
        <f>+F13+F20+F27+F32</f>
        <v>55842745</v>
      </c>
    </row>
    <row r="13" spans="1:6" ht="12.75">
      <c r="A13" s="517" t="s">
        <v>144</v>
      </c>
      <c r="B13" s="518" t="s">
        <v>171</v>
      </c>
      <c r="C13" s="518" t="s">
        <v>136</v>
      </c>
      <c r="D13" s="520">
        <f>+D14+D15+D16+D17+D18+D19</f>
        <v>0</v>
      </c>
      <c r="E13" s="520">
        <f>+E14+E15+E16+E17+E18+E19</f>
        <v>0</v>
      </c>
      <c r="F13" s="520">
        <f>+F14+F15+F16+F17+F18+F19</f>
        <v>0</v>
      </c>
    </row>
    <row r="14" spans="1:3" ht="12.75">
      <c r="A14" s="517" t="s">
        <v>149</v>
      </c>
      <c r="B14" s="518" t="s">
        <v>172</v>
      </c>
      <c r="C14" s="518" t="s">
        <v>137</v>
      </c>
    </row>
    <row r="15" spans="1:3" ht="12.75">
      <c r="A15" s="517" t="s">
        <v>150</v>
      </c>
      <c r="B15" s="518" t="s">
        <v>173</v>
      </c>
      <c r="C15" s="518" t="s">
        <v>138</v>
      </c>
    </row>
    <row r="16" spans="1:3" ht="12.75">
      <c r="A16" s="517" t="s">
        <v>151</v>
      </c>
      <c r="B16" s="518" t="s">
        <v>174</v>
      </c>
      <c r="C16" s="518" t="s">
        <v>146</v>
      </c>
    </row>
    <row r="17" spans="1:3" ht="12.75">
      <c r="A17" s="517" t="s">
        <v>153</v>
      </c>
      <c r="B17" s="518" t="s">
        <v>175</v>
      </c>
      <c r="C17" s="518" t="s">
        <v>147</v>
      </c>
    </row>
    <row r="18" spans="1:3" ht="12.75">
      <c r="A18" s="517" t="s">
        <v>154</v>
      </c>
      <c r="B18" s="518" t="s">
        <v>176</v>
      </c>
      <c r="C18" s="518" t="s">
        <v>148</v>
      </c>
    </row>
    <row r="19" spans="1:3" ht="12.75">
      <c r="A19" s="517" t="s">
        <v>177</v>
      </c>
      <c r="B19" s="518" t="s">
        <v>178</v>
      </c>
      <c r="C19" s="518" t="s">
        <v>152</v>
      </c>
    </row>
    <row r="20" spans="1:6" ht="12.75">
      <c r="A20" s="517" t="s">
        <v>145</v>
      </c>
      <c r="B20" s="518" t="s">
        <v>179</v>
      </c>
      <c r="C20" s="518" t="s">
        <v>156</v>
      </c>
      <c r="D20" s="520">
        <f>+D22+D25+D23+D24+D26+D27+D28+D29+D30+D31</f>
        <v>51477671.269999996</v>
      </c>
      <c r="E20" s="520">
        <f>+E21+E22+E23+E24+E25+E26</f>
        <v>74003210</v>
      </c>
      <c r="F20" s="520">
        <f>+F21+F22+F23+F24+F25+F26</f>
        <v>55842745</v>
      </c>
    </row>
    <row r="21" spans="1:3" ht="12.75">
      <c r="A21" s="517" t="s">
        <v>149</v>
      </c>
      <c r="B21" s="518" t="s">
        <v>180</v>
      </c>
      <c r="C21" s="518" t="s">
        <v>157</v>
      </c>
    </row>
    <row r="22" spans="1:6" ht="12.75">
      <c r="A22" s="517" t="s">
        <v>150</v>
      </c>
      <c r="B22" s="518" t="s">
        <v>181</v>
      </c>
      <c r="C22" s="518" t="s">
        <v>158</v>
      </c>
      <c r="D22" s="520">
        <f>1951149+67416.67+69923331+1838767+1246730.6+205800</f>
        <v>75233194.27</v>
      </c>
      <c r="E22" s="520">
        <v>82776411</v>
      </c>
      <c r="F22" s="520">
        <v>60750925</v>
      </c>
    </row>
    <row r="23" spans="1:6" ht="12.75">
      <c r="A23" s="517" t="s">
        <v>151</v>
      </c>
      <c r="B23" s="518" t="s">
        <v>182</v>
      </c>
      <c r="C23" s="518" t="s">
        <v>159</v>
      </c>
      <c r="D23" s="520"/>
      <c r="E23" s="520"/>
      <c r="F23" s="520"/>
    </row>
    <row r="24" spans="1:3" ht="12.75">
      <c r="A24" s="517" t="s">
        <v>153</v>
      </c>
      <c r="B24" s="518" t="s">
        <v>183</v>
      </c>
      <c r="C24" s="518" t="s">
        <v>160</v>
      </c>
    </row>
    <row r="25" spans="1:8" ht="12.75">
      <c r="A25" s="517" t="s">
        <v>154</v>
      </c>
      <c r="B25" s="518" t="s">
        <v>176</v>
      </c>
      <c r="C25" s="518" t="s">
        <v>184</v>
      </c>
      <c r="D25" s="520">
        <v>-23755523</v>
      </c>
      <c r="E25" s="520">
        <v>-8773201</v>
      </c>
      <c r="F25" s="520">
        <v>-4908180</v>
      </c>
      <c r="H25" s="520"/>
    </row>
    <row r="26" spans="1:3" ht="12.75">
      <c r="A26" s="517" t="s">
        <v>177</v>
      </c>
      <c r="B26" s="518" t="s">
        <v>178</v>
      </c>
      <c r="C26" s="518" t="s">
        <v>185</v>
      </c>
    </row>
    <row r="27" spans="1:6" ht="12.75">
      <c r="A27" s="517" t="s">
        <v>155</v>
      </c>
      <c r="B27" s="518" t="s">
        <v>186</v>
      </c>
      <c r="C27" s="518" t="s">
        <v>187</v>
      </c>
      <c r="D27" s="54">
        <f>+D28+D29+D30+D31</f>
        <v>0</v>
      </c>
      <c r="E27" s="54">
        <f>+E28+E29+E30+E31</f>
        <v>0</v>
      </c>
      <c r="F27" s="54">
        <f>+F28+F29+F30+F31</f>
        <v>0</v>
      </c>
    </row>
    <row r="28" spans="1:3" ht="12.75">
      <c r="A28" s="517" t="s">
        <v>149</v>
      </c>
      <c r="B28" s="518" t="s">
        <v>188</v>
      </c>
      <c r="C28" s="518" t="s">
        <v>189</v>
      </c>
    </row>
    <row r="29" spans="1:3" ht="12.75">
      <c r="A29" s="517" t="s">
        <v>150</v>
      </c>
      <c r="B29" s="518" t="s">
        <v>190</v>
      </c>
      <c r="C29" s="518" t="s">
        <v>191</v>
      </c>
    </row>
    <row r="30" spans="1:3" ht="12.75">
      <c r="A30" s="517" t="s">
        <v>151</v>
      </c>
      <c r="B30" s="518" t="s">
        <v>192</v>
      </c>
      <c r="C30" s="518" t="s">
        <v>193</v>
      </c>
    </row>
    <row r="31" spans="1:3" ht="12.75">
      <c r="A31" s="517" t="s">
        <v>153</v>
      </c>
      <c r="B31" s="518" t="s">
        <v>194</v>
      </c>
      <c r="C31" s="518" t="s">
        <v>195</v>
      </c>
    </row>
    <row r="32" spans="1:6" ht="12.75">
      <c r="A32" s="517" t="s">
        <v>161</v>
      </c>
      <c r="B32" s="518" t="s">
        <v>196</v>
      </c>
      <c r="C32" s="518" t="s">
        <v>197</v>
      </c>
      <c r="D32" s="520">
        <v>0</v>
      </c>
      <c r="E32" s="520">
        <v>0</v>
      </c>
      <c r="F32" s="520">
        <v>0</v>
      </c>
    </row>
    <row r="33" spans="1:8" ht="12.75">
      <c r="A33" s="517" t="s">
        <v>198</v>
      </c>
      <c r="B33" s="518" t="s">
        <v>199</v>
      </c>
      <c r="C33" s="518" t="s">
        <v>200</v>
      </c>
      <c r="D33" s="519">
        <f>+D34+D40+D47+D50+D54</f>
        <v>136846781.32000002</v>
      </c>
      <c r="E33" s="519">
        <f>+E34+E40+E47+E50+E54</f>
        <v>194329679</v>
      </c>
      <c r="F33" s="519">
        <f>+F34+F40+F47+F50+F54</f>
        <v>3199441</v>
      </c>
      <c r="H33" s="119">
        <f>+D40+D50</f>
        <v>136846781.32000002</v>
      </c>
    </row>
    <row r="34" spans="1:6" ht="12.75">
      <c r="A34" s="517" t="s">
        <v>144</v>
      </c>
      <c r="B34" s="518" t="s">
        <v>201</v>
      </c>
      <c r="C34" s="518" t="s">
        <v>202</v>
      </c>
      <c r="D34" s="519">
        <f>+D35+D36+D37+D38+D39</f>
        <v>0</v>
      </c>
      <c r="E34" s="519">
        <f>+E35+E36+E37+E38+E39</f>
        <v>47983</v>
      </c>
      <c r="F34" s="519">
        <f>+F35+F36+F37+F38+F39</f>
        <v>388386</v>
      </c>
    </row>
    <row r="35" spans="1:6" ht="12.75">
      <c r="A35" s="517" t="s">
        <v>149</v>
      </c>
      <c r="B35" s="518" t="s">
        <v>203</v>
      </c>
      <c r="C35" s="518" t="s">
        <v>204</v>
      </c>
      <c r="D35" s="54">
        <v>0</v>
      </c>
      <c r="E35" s="520">
        <v>47983</v>
      </c>
      <c r="F35" s="520">
        <v>47983</v>
      </c>
    </row>
    <row r="36" spans="1:6" ht="12.75">
      <c r="A36" s="517" t="s">
        <v>150</v>
      </c>
      <c r="B36" s="518" t="s">
        <v>205</v>
      </c>
      <c r="C36" s="518" t="s">
        <v>206</v>
      </c>
      <c r="F36" s="520"/>
    </row>
    <row r="37" spans="1:6" ht="12.75">
      <c r="A37" s="517" t="s">
        <v>151</v>
      </c>
      <c r="B37" s="518" t="s">
        <v>141</v>
      </c>
      <c r="C37" s="518" t="s">
        <v>207</v>
      </c>
      <c r="D37" s="520"/>
      <c r="E37" s="520"/>
      <c r="F37" s="520"/>
    </row>
    <row r="38" spans="1:6" ht="12.75">
      <c r="A38" s="517" t="s">
        <v>153</v>
      </c>
      <c r="B38" s="518" t="s">
        <v>208</v>
      </c>
      <c r="C38" s="518" t="s">
        <v>209</v>
      </c>
      <c r="F38" s="520">
        <v>340403</v>
      </c>
    </row>
    <row r="39" spans="1:3" ht="12.75">
      <c r="A39" s="517" t="s">
        <v>154</v>
      </c>
      <c r="B39" s="518" t="s">
        <v>194</v>
      </c>
      <c r="C39" s="518" t="s">
        <v>210</v>
      </c>
    </row>
    <row r="40" spans="1:6" ht="12.75">
      <c r="A40" s="517" t="s">
        <v>145</v>
      </c>
      <c r="B40" s="518" t="s">
        <v>211</v>
      </c>
      <c r="C40" s="518" t="s">
        <v>212</v>
      </c>
      <c r="D40" s="519">
        <f>+D42+D43+D44+D45+D46</f>
        <v>135876462.11</v>
      </c>
      <c r="E40" s="519">
        <f>+E42+E43+E44+E45+E46</f>
        <v>193464555</v>
      </c>
      <c r="F40" s="519">
        <f>+F42+F43+F44+F45+F46</f>
        <v>622480</v>
      </c>
    </row>
    <row r="41" ht="12.75">
      <c r="B41" s="518" t="s">
        <v>213</v>
      </c>
    </row>
    <row r="42" spans="1:6" ht="12.75">
      <c r="A42" s="517" t="s">
        <v>149</v>
      </c>
      <c r="B42" s="518" t="s">
        <v>214</v>
      </c>
      <c r="C42" s="518" t="s">
        <v>215</v>
      </c>
      <c r="D42" s="520">
        <v>134274288.11</v>
      </c>
      <c r="E42" s="520">
        <v>130608794</v>
      </c>
      <c r="F42" s="520">
        <v>537064</v>
      </c>
    </row>
    <row r="43" spans="1:3" ht="12.75">
      <c r="A43" s="517" t="s">
        <v>150</v>
      </c>
      <c r="B43" s="518" t="s">
        <v>216</v>
      </c>
      <c r="C43" s="518" t="s">
        <v>217</v>
      </c>
    </row>
    <row r="44" spans="1:6" ht="12.75">
      <c r="A44" s="517" t="s">
        <v>151</v>
      </c>
      <c r="B44" s="518" t="s">
        <v>793</v>
      </c>
      <c r="C44" s="518" t="s">
        <v>218</v>
      </c>
      <c r="D44" s="520"/>
      <c r="E44" s="520"/>
      <c r="F44" s="520"/>
    </row>
    <row r="45" spans="1:6" ht="12.75">
      <c r="A45" s="517" t="s">
        <v>153</v>
      </c>
      <c r="B45" s="518" t="s">
        <v>839</v>
      </c>
      <c r="C45" s="518" t="s">
        <v>219</v>
      </c>
      <c r="D45" s="520">
        <f>1510734+56258+35182</f>
        <v>1602174</v>
      </c>
      <c r="E45" s="520">
        <v>62855761</v>
      </c>
      <c r="F45" s="520">
        <v>85416</v>
      </c>
    </row>
    <row r="46" spans="1:3" ht="12.75">
      <c r="A46" s="517" t="s">
        <v>154</v>
      </c>
      <c r="B46" s="518" t="s">
        <v>194</v>
      </c>
      <c r="C46" s="518" t="s">
        <v>220</v>
      </c>
    </row>
    <row r="47" spans="1:6" ht="12.75">
      <c r="A47" s="517" t="s">
        <v>155</v>
      </c>
      <c r="B47" s="518" t="s">
        <v>221</v>
      </c>
      <c r="C47" s="518" t="s">
        <v>222</v>
      </c>
      <c r="D47" s="54">
        <f>+D48+D49</f>
        <v>0</v>
      </c>
      <c r="E47" s="54">
        <f>+E48+E49</f>
        <v>0</v>
      </c>
      <c r="F47" s="54">
        <f>+F48+F49</f>
        <v>0</v>
      </c>
    </row>
    <row r="48" spans="1:3" ht="12.75">
      <c r="A48" s="517" t="s">
        <v>149</v>
      </c>
      <c r="B48" s="518" t="s">
        <v>223</v>
      </c>
      <c r="C48" s="518" t="s">
        <v>224</v>
      </c>
    </row>
    <row r="49" spans="1:3" ht="12.75">
      <c r="A49" s="517" t="s">
        <v>150</v>
      </c>
      <c r="B49" s="518" t="s">
        <v>194</v>
      </c>
      <c r="C49" s="518" t="s">
        <v>225</v>
      </c>
    </row>
    <row r="50" spans="1:6" ht="12.75">
      <c r="A50" s="517" t="s">
        <v>161</v>
      </c>
      <c r="B50" s="518" t="s">
        <v>226</v>
      </c>
      <c r="C50" s="518" t="s">
        <v>227</v>
      </c>
      <c r="D50" s="519">
        <f>+D51+D52+D53</f>
        <v>970319.21</v>
      </c>
      <c r="E50" s="519">
        <f>+E51+E52+E53</f>
        <v>817141</v>
      </c>
      <c r="F50" s="519">
        <f>+F51+F52+F53</f>
        <v>2188575</v>
      </c>
    </row>
    <row r="51" spans="1:6" ht="12.75">
      <c r="A51" s="517" t="s">
        <v>149</v>
      </c>
      <c r="B51" s="518" t="s">
        <v>228</v>
      </c>
      <c r="C51" s="518" t="s">
        <v>229</v>
      </c>
      <c r="D51" s="520">
        <v>132813.93</v>
      </c>
      <c r="E51" s="520">
        <v>186610</v>
      </c>
      <c r="F51" s="520">
        <v>433052</v>
      </c>
    </row>
    <row r="52" spans="1:6" ht="12.75">
      <c r="A52" s="517" t="s">
        <v>150</v>
      </c>
      <c r="B52" s="518" t="s">
        <v>230</v>
      </c>
      <c r="C52" s="518" t="s">
        <v>231</v>
      </c>
      <c r="D52" s="520">
        <f>797509.64+39995.64</f>
        <v>837505.28</v>
      </c>
      <c r="E52" s="520">
        <v>630531</v>
      </c>
      <c r="F52" s="520">
        <v>1755523</v>
      </c>
    </row>
    <row r="53" spans="1:6" ht="12.75">
      <c r="A53" s="517" t="s">
        <v>151</v>
      </c>
      <c r="B53" s="518" t="s">
        <v>232</v>
      </c>
      <c r="C53" s="518" t="s">
        <v>233</v>
      </c>
      <c r="D53" s="520"/>
      <c r="E53" s="520"/>
      <c r="F53" s="520"/>
    </row>
    <row r="54" spans="1:7" ht="12.75">
      <c r="A54" s="517" t="s">
        <v>162</v>
      </c>
      <c r="B54" s="518" t="s">
        <v>234</v>
      </c>
      <c r="C54" s="518" t="s">
        <v>235</v>
      </c>
      <c r="D54" s="519">
        <f>+D55+D55</f>
        <v>0</v>
      </c>
      <c r="E54" s="519">
        <f>+E55+E55</f>
        <v>0</v>
      </c>
      <c r="F54" s="519">
        <f>+F55+F55</f>
        <v>0</v>
      </c>
      <c r="G54" s="519"/>
    </row>
    <row r="55" spans="2:9" ht="12.75">
      <c r="B55" s="518" t="s">
        <v>236</v>
      </c>
      <c r="I55" s="520"/>
    </row>
    <row r="56" spans="1:7" ht="12.75">
      <c r="A56" s="517" t="s">
        <v>237</v>
      </c>
      <c r="B56" s="518" t="s">
        <v>238</v>
      </c>
      <c r="C56" s="518" t="s">
        <v>239</v>
      </c>
      <c r="D56" s="519">
        <f>+D57</f>
        <v>36947756.99</v>
      </c>
      <c r="E56" s="519">
        <f>+E57</f>
        <v>14158876</v>
      </c>
      <c r="F56" s="519">
        <f>+F57</f>
        <v>19417672</v>
      </c>
      <c r="G56" s="519"/>
    </row>
    <row r="57" spans="1:6" ht="12.75">
      <c r="A57" s="517" t="s">
        <v>149</v>
      </c>
      <c r="B57" s="518" t="s">
        <v>240</v>
      </c>
      <c r="C57" s="518" t="s">
        <v>241</v>
      </c>
      <c r="D57" s="520">
        <v>36947756.99</v>
      </c>
      <c r="E57" s="520">
        <v>14158876</v>
      </c>
      <c r="F57" s="520">
        <v>19417672</v>
      </c>
    </row>
    <row r="58" spans="1:6" ht="12.75">
      <c r="A58" s="517" t="s">
        <v>150</v>
      </c>
      <c r="B58" s="518" t="s">
        <v>242</v>
      </c>
      <c r="C58" s="518" t="s">
        <v>243</v>
      </c>
      <c r="D58" s="520"/>
      <c r="E58" s="520"/>
      <c r="F58" s="520"/>
    </row>
    <row r="59" spans="1:3" ht="12.75">
      <c r="A59" s="517" t="s">
        <v>151</v>
      </c>
      <c r="B59" s="518" t="s">
        <v>140</v>
      </c>
      <c r="C59" s="518" t="s">
        <v>244</v>
      </c>
    </row>
    <row r="60" spans="2:6" ht="12.75">
      <c r="B60" s="518" t="s">
        <v>245</v>
      </c>
      <c r="C60" s="518" t="s">
        <v>246</v>
      </c>
      <c r="D60" s="519">
        <f>+D56+D33+D12</f>
        <v>225272209.58000004</v>
      </c>
      <c r="E60" s="519">
        <f>+E56+E33+E12</f>
        <v>282491765</v>
      </c>
      <c r="F60" s="519">
        <f>+F56+F33+F12</f>
        <v>78459858</v>
      </c>
    </row>
    <row r="61" spans="1:3" ht="12.75">
      <c r="A61" s="517" t="s">
        <v>247</v>
      </c>
      <c r="B61" s="518" t="s">
        <v>248</v>
      </c>
      <c r="C61" s="518" t="s">
        <v>249</v>
      </c>
    </row>
    <row r="62" spans="1:3" ht="12.75">
      <c r="A62" s="517" t="s">
        <v>144</v>
      </c>
      <c r="B62" s="518" t="s">
        <v>250</v>
      </c>
      <c r="C62" s="518" t="s">
        <v>251</v>
      </c>
    </row>
    <row r="63" spans="1:3" ht="12.75">
      <c r="A63" s="517" t="s">
        <v>145</v>
      </c>
      <c r="B63" s="518" t="s">
        <v>252</v>
      </c>
      <c r="C63" s="518" t="s">
        <v>253</v>
      </c>
    </row>
    <row r="64" spans="1:3" ht="12.75">
      <c r="A64" s="517" t="s">
        <v>155</v>
      </c>
      <c r="B64" s="518" t="s">
        <v>254</v>
      </c>
      <c r="C64" s="518" t="s">
        <v>255</v>
      </c>
    </row>
    <row r="66" spans="1:7" ht="12.75">
      <c r="A66" s="517" t="s">
        <v>167</v>
      </c>
      <c r="B66" s="521" t="s">
        <v>256</v>
      </c>
      <c r="C66" s="518" t="s">
        <v>257</v>
      </c>
      <c r="D66" s="520">
        <f>SUM(D69+D72+D77)</f>
        <v>9315482.67</v>
      </c>
      <c r="E66" s="519">
        <f>+E67+E79+E84+E85</f>
        <v>3162363</v>
      </c>
      <c r="F66" s="519">
        <f>+F67+F79+F84+F85</f>
        <v>1230850</v>
      </c>
      <c r="G66" s="520"/>
    </row>
    <row r="67" spans="1:8" ht="12.75">
      <c r="A67" s="517" t="s">
        <v>144</v>
      </c>
      <c r="B67" s="518" t="s">
        <v>258</v>
      </c>
      <c r="C67" s="518" t="s">
        <v>259</v>
      </c>
      <c r="D67" s="520">
        <f>+D66</f>
        <v>9315482.67</v>
      </c>
      <c r="E67" s="520">
        <f>+E68+E69+E70+E71+E72+E73+E74+E75+E76+E77</f>
        <v>3162363</v>
      </c>
      <c r="F67" s="520">
        <f>+F68+F69+F70+F71+F72+F73+F74+F75+F76+F77</f>
        <v>1230850</v>
      </c>
      <c r="H67" s="54">
        <v>9315483</v>
      </c>
    </row>
    <row r="68" ht="12.75">
      <c r="B68" s="518" t="s">
        <v>260</v>
      </c>
    </row>
    <row r="69" spans="1:6" ht="12.75">
      <c r="A69" s="517" t="s">
        <v>149</v>
      </c>
      <c r="B69" s="518" t="s">
        <v>261</v>
      </c>
      <c r="C69" s="518" t="s">
        <v>262</v>
      </c>
      <c r="D69" s="520">
        <v>3100000</v>
      </c>
      <c r="E69" s="520">
        <v>100000</v>
      </c>
      <c r="F69" s="520">
        <v>100000</v>
      </c>
    </row>
    <row r="70" spans="1:6" ht="12.75">
      <c r="A70" s="517" t="s">
        <v>150</v>
      </c>
      <c r="B70" s="518" t="s">
        <v>263</v>
      </c>
      <c r="C70" s="518" t="s">
        <v>264</v>
      </c>
      <c r="D70" s="520"/>
      <c r="E70" s="520"/>
      <c r="F70" s="520"/>
    </row>
    <row r="71" spans="1:3" ht="12.75">
      <c r="A71" s="517" t="s">
        <v>151</v>
      </c>
      <c r="B71" s="518" t="s">
        <v>265</v>
      </c>
      <c r="C71" s="518" t="s">
        <v>266</v>
      </c>
    </row>
    <row r="72" spans="1:6" ht="12.75">
      <c r="A72" s="517" t="s">
        <v>153</v>
      </c>
      <c r="B72" s="518" t="s">
        <v>267</v>
      </c>
      <c r="C72" s="518" t="s">
        <v>268</v>
      </c>
      <c r="D72" s="520">
        <v>62362</v>
      </c>
      <c r="E72" s="520"/>
      <c r="F72" s="520"/>
    </row>
    <row r="73" spans="2:6" ht="12.75">
      <c r="B73" s="518" t="s">
        <v>269</v>
      </c>
      <c r="C73" s="518" t="s">
        <v>270</v>
      </c>
      <c r="D73" s="520">
        <v>62362</v>
      </c>
      <c r="E73" s="520"/>
      <c r="F73" s="520"/>
    </row>
    <row r="74" spans="2:6" ht="12.75">
      <c r="B74" s="518" t="s">
        <v>271</v>
      </c>
      <c r="C74" s="518" t="s">
        <v>272</v>
      </c>
      <c r="D74" s="520"/>
      <c r="E74" s="520"/>
      <c r="F74" s="520"/>
    </row>
    <row r="75" spans="2:6" ht="12.75">
      <c r="B75" s="518" t="s">
        <v>273</v>
      </c>
      <c r="C75" s="518" t="s">
        <v>274</v>
      </c>
      <c r="D75" s="520"/>
      <c r="E75" s="520"/>
      <c r="F75" s="520"/>
    </row>
    <row r="76" spans="1:6" ht="12.75">
      <c r="A76" s="517" t="s">
        <v>154</v>
      </c>
      <c r="B76" s="518" t="s">
        <v>275</v>
      </c>
      <c r="C76" s="518" t="s">
        <v>276</v>
      </c>
      <c r="D76" s="520"/>
      <c r="E76" s="520">
        <v>1130850</v>
      </c>
      <c r="F76" s="520"/>
    </row>
    <row r="77" spans="1:6" ht="12.75">
      <c r="A77" s="517" t="s">
        <v>177</v>
      </c>
      <c r="B77" s="518" t="s">
        <v>277</v>
      </c>
      <c r="C77" s="518" t="s">
        <v>278</v>
      </c>
      <c r="D77" s="520">
        <v>6153120.67</v>
      </c>
      <c r="E77" s="520">
        <v>1931513</v>
      </c>
      <c r="F77" s="520">
        <v>1130850</v>
      </c>
    </row>
    <row r="78" spans="1:3" ht="12.75">
      <c r="A78" s="517" t="s">
        <v>163</v>
      </c>
      <c r="B78" s="518" t="s">
        <v>279</v>
      </c>
      <c r="C78" s="518" t="s">
        <v>280</v>
      </c>
    </row>
    <row r="79" spans="1:6" ht="12.75">
      <c r="A79" s="517" t="s">
        <v>145</v>
      </c>
      <c r="B79" s="518" t="s">
        <v>281</v>
      </c>
      <c r="C79" s="518" t="s">
        <v>282</v>
      </c>
      <c r="D79" s="54">
        <f>+D80+D81+D82+D83</f>
        <v>0</v>
      </c>
      <c r="E79" s="54">
        <f>+E80+E81+E82+E83</f>
        <v>0</v>
      </c>
      <c r="F79" s="54">
        <f>+F80+F81+F82+F83</f>
        <v>0</v>
      </c>
    </row>
    <row r="80" spans="1:3" ht="12.75">
      <c r="A80" s="517" t="s">
        <v>149</v>
      </c>
      <c r="B80" s="518" t="s">
        <v>283</v>
      </c>
      <c r="C80" s="518" t="s">
        <v>284</v>
      </c>
    </row>
    <row r="81" spans="1:3" ht="12.75">
      <c r="A81" s="517" t="s">
        <v>150</v>
      </c>
      <c r="B81" s="518" t="s">
        <v>285</v>
      </c>
      <c r="C81" s="518" t="s">
        <v>286</v>
      </c>
    </row>
    <row r="82" spans="1:3" ht="12.75">
      <c r="A82" s="517" t="s">
        <v>151</v>
      </c>
      <c r="B82" s="518" t="s">
        <v>287</v>
      </c>
      <c r="C82" s="518" t="s">
        <v>288</v>
      </c>
    </row>
    <row r="83" spans="1:3" ht="12.75">
      <c r="A83" s="517" t="s">
        <v>153</v>
      </c>
      <c r="B83" s="518" t="s">
        <v>289</v>
      </c>
      <c r="C83" s="518" t="s">
        <v>290</v>
      </c>
    </row>
    <row r="84" spans="1:3" ht="12.75">
      <c r="A84" s="517" t="s">
        <v>155</v>
      </c>
      <c r="B84" s="518" t="s">
        <v>291</v>
      </c>
      <c r="C84" s="518" t="s">
        <v>292</v>
      </c>
    </row>
    <row r="85" spans="1:3" ht="12.75">
      <c r="A85" s="517" t="s">
        <v>161</v>
      </c>
      <c r="B85" s="518" t="s">
        <v>293</v>
      </c>
      <c r="C85" s="518" t="s">
        <v>294</v>
      </c>
    </row>
    <row r="86" spans="1:3" ht="12.75">
      <c r="A86" s="517" t="s">
        <v>149</v>
      </c>
      <c r="B86" s="518" t="s">
        <v>295</v>
      </c>
      <c r="C86" s="518" t="s">
        <v>296</v>
      </c>
    </row>
    <row r="87" spans="1:3" ht="12.75">
      <c r="A87" s="517" t="s">
        <v>150</v>
      </c>
      <c r="B87" s="518" t="s">
        <v>297</v>
      </c>
      <c r="C87" s="518" t="s">
        <v>298</v>
      </c>
    </row>
    <row r="88" spans="1:6" ht="12.75">
      <c r="A88" s="517" t="s">
        <v>169</v>
      </c>
      <c r="B88" s="518" t="s">
        <v>299</v>
      </c>
      <c r="C88" s="518" t="s">
        <v>300</v>
      </c>
      <c r="D88" s="520">
        <f>+D89+D97+D107</f>
        <v>215956726.91000003</v>
      </c>
      <c r="E88" s="520">
        <f>+E89+E97+E107</f>
        <v>279329402</v>
      </c>
      <c r="F88" s="520">
        <f>+F89+F97+F107</f>
        <v>77229008</v>
      </c>
    </row>
    <row r="89" spans="1:6" ht="12.75">
      <c r="A89" s="517" t="s">
        <v>144</v>
      </c>
      <c r="B89" s="518" t="s">
        <v>301</v>
      </c>
      <c r="C89" s="518" t="s">
        <v>302</v>
      </c>
      <c r="D89" s="520"/>
      <c r="E89" s="520">
        <f>+E90+E91+E92+E93+E94+E95+E96</f>
        <v>0</v>
      </c>
      <c r="F89" s="520">
        <f>+F90+F91+F92+F93+F94+F95+F96</f>
        <v>0</v>
      </c>
    </row>
    <row r="90" spans="1:6" ht="12.75">
      <c r="A90" s="517" t="s">
        <v>149</v>
      </c>
      <c r="B90" s="518" t="s">
        <v>303</v>
      </c>
      <c r="C90" s="518" t="s">
        <v>304</v>
      </c>
      <c r="D90" s="522"/>
      <c r="E90" s="522"/>
      <c r="F90" s="522"/>
    </row>
    <row r="91" spans="1:3" ht="12.75">
      <c r="A91" s="517" t="s">
        <v>150</v>
      </c>
      <c r="B91" s="518" t="s">
        <v>305</v>
      </c>
      <c r="C91" s="518" t="s">
        <v>306</v>
      </c>
    </row>
    <row r="92" spans="1:6" ht="12.75">
      <c r="A92" s="517" t="s">
        <v>151</v>
      </c>
      <c r="B92" s="518" t="s">
        <v>307</v>
      </c>
      <c r="C92" s="518" t="s">
        <v>308</v>
      </c>
      <c r="D92" s="522"/>
      <c r="E92" s="522"/>
      <c r="F92" s="522"/>
    </row>
    <row r="93" spans="1:6" ht="12.75">
      <c r="A93" s="517" t="s">
        <v>153</v>
      </c>
      <c r="B93" s="518" t="s">
        <v>309</v>
      </c>
      <c r="C93" s="518" t="s">
        <v>310</v>
      </c>
      <c r="D93" s="522"/>
      <c r="E93" s="522"/>
      <c r="F93" s="522"/>
    </row>
    <row r="94" spans="1:3" ht="12.75">
      <c r="A94" s="517" t="s">
        <v>154</v>
      </c>
      <c r="B94" s="518" t="s">
        <v>311</v>
      </c>
      <c r="C94" s="518" t="s">
        <v>312</v>
      </c>
    </row>
    <row r="95" spans="1:3" ht="12.75">
      <c r="A95" s="517" t="s">
        <v>177</v>
      </c>
      <c r="B95" s="518" t="s">
        <v>123</v>
      </c>
      <c r="C95" s="518" t="s">
        <v>313</v>
      </c>
    </row>
    <row r="96" spans="1:6" ht="12.75">
      <c r="A96" s="517" t="s">
        <v>163</v>
      </c>
      <c r="B96" s="518" t="s">
        <v>314</v>
      </c>
      <c r="C96" s="518" t="s">
        <v>315</v>
      </c>
      <c r="D96" s="520"/>
      <c r="E96" s="520"/>
      <c r="F96" s="520"/>
    </row>
    <row r="97" spans="1:6" ht="12.75">
      <c r="A97" s="517" t="s">
        <v>145</v>
      </c>
      <c r="B97" s="518" t="s">
        <v>316</v>
      </c>
      <c r="C97" s="518" t="s">
        <v>317</v>
      </c>
      <c r="D97" s="520">
        <f>+D98+D99+D100+D101+D102+D103+D104+D105+D106</f>
        <v>215956726.91000003</v>
      </c>
      <c r="E97" s="520">
        <f>+E98+E99+E100+E101+E102+E103+E104+E105+E106</f>
        <v>279329402</v>
      </c>
      <c r="F97" s="520">
        <f>+F98+F99+F100+F101+F102+F103+F104+F105+F106</f>
        <v>77229008</v>
      </c>
    </row>
    <row r="98" spans="1:6" ht="12.75">
      <c r="A98" s="517" t="s">
        <v>149</v>
      </c>
      <c r="B98" s="518" t="s">
        <v>303</v>
      </c>
      <c r="C98" s="518" t="s">
        <v>318</v>
      </c>
      <c r="D98" s="520">
        <v>0</v>
      </c>
      <c r="E98" s="520">
        <v>0</v>
      </c>
      <c r="F98" s="520">
        <v>0</v>
      </c>
    </row>
    <row r="99" spans="1:3" ht="12.75">
      <c r="A99" s="517" t="s">
        <v>150</v>
      </c>
      <c r="B99" s="518" t="s">
        <v>305</v>
      </c>
      <c r="C99" s="518" t="s">
        <v>319</v>
      </c>
    </row>
    <row r="100" spans="1:8" ht="12.75">
      <c r="A100" s="517" t="s">
        <v>151</v>
      </c>
      <c r="B100" s="518" t="s">
        <v>320</v>
      </c>
      <c r="C100" s="518" t="s">
        <v>321</v>
      </c>
      <c r="E100" s="520">
        <v>67207917</v>
      </c>
      <c r="H100" s="520"/>
    </row>
    <row r="101" spans="1:6" ht="12.75">
      <c r="A101" s="517" t="s">
        <v>153</v>
      </c>
      <c r="B101" s="518" t="s">
        <v>309</v>
      </c>
      <c r="C101" s="518" t="s">
        <v>322</v>
      </c>
      <c r="D101" s="520">
        <f>146998547.02+68631287.89+148500</f>
        <v>215778334.91000003</v>
      </c>
      <c r="E101" s="520">
        <v>199599676</v>
      </c>
      <c r="F101" s="520">
        <v>69162893</v>
      </c>
    </row>
    <row r="102" spans="1:6" ht="12.75">
      <c r="A102" s="517" t="s">
        <v>154</v>
      </c>
      <c r="B102" s="518" t="s">
        <v>323</v>
      </c>
      <c r="C102" s="518" t="s">
        <v>324</v>
      </c>
      <c r="D102" s="522"/>
      <c r="E102" s="522">
        <v>0</v>
      </c>
      <c r="F102" s="522"/>
    </row>
    <row r="103" spans="1:6" ht="12.75">
      <c r="A103" s="517" t="s">
        <v>177</v>
      </c>
      <c r="B103" s="518" t="s">
        <v>325</v>
      </c>
      <c r="C103" s="518" t="s">
        <v>326</v>
      </c>
      <c r="D103" s="522">
        <v>97092</v>
      </c>
      <c r="E103" s="522">
        <v>114237</v>
      </c>
      <c r="F103" s="522">
        <v>218604</v>
      </c>
    </row>
    <row r="104" spans="1:6" ht="12.75">
      <c r="A104" s="517" t="s">
        <v>163</v>
      </c>
      <c r="B104" s="518" t="s">
        <v>327</v>
      </c>
      <c r="C104" s="518" t="s">
        <v>328</v>
      </c>
      <c r="D104" s="522">
        <v>81300</v>
      </c>
      <c r="E104" s="522">
        <v>55319</v>
      </c>
      <c r="F104" s="522">
        <v>43445</v>
      </c>
    </row>
    <row r="105" spans="1:6" ht="12.75">
      <c r="A105" s="517" t="s">
        <v>329</v>
      </c>
      <c r="B105" s="518" t="s">
        <v>123</v>
      </c>
      <c r="C105" s="518" t="s">
        <v>330</v>
      </c>
      <c r="D105" s="522"/>
      <c r="E105" s="522">
        <v>12352253</v>
      </c>
      <c r="F105" s="522">
        <v>7804066</v>
      </c>
    </row>
    <row r="106" spans="1:10" ht="12.75">
      <c r="A106" s="517" t="s">
        <v>331</v>
      </c>
      <c r="B106" s="518" t="s">
        <v>332</v>
      </c>
      <c r="C106" s="518" t="s">
        <v>333</v>
      </c>
      <c r="D106" s="522"/>
      <c r="E106" s="522"/>
      <c r="F106" s="522"/>
      <c r="J106" s="119">
        <f>+D104+D103</f>
        <v>178392</v>
      </c>
    </row>
    <row r="107" spans="1:6" ht="12.75">
      <c r="A107" s="517" t="s">
        <v>155</v>
      </c>
      <c r="B107" s="518" t="s">
        <v>334</v>
      </c>
      <c r="C107" s="518" t="s">
        <v>335</v>
      </c>
      <c r="D107" s="56"/>
      <c r="E107" s="56"/>
      <c r="F107" s="56"/>
    </row>
    <row r="108" spans="1:8" ht="12.75">
      <c r="A108" s="517" t="s">
        <v>198</v>
      </c>
      <c r="B108" s="518" t="s">
        <v>238</v>
      </c>
      <c r="C108" s="518" t="s">
        <v>336</v>
      </c>
      <c r="D108" s="522"/>
      <c r="E108" s="522"/>
      <c r="F108" s="522"/>
      <c r="H108" s="91">
        <f>+E103+E104</f>
        <v>169556</v>
      </c>
    </row>
    <row r="109" spans="1:10" ht="12.75">
      <c r="A109" s="517" t="s">
        <v>149</v>
      </c>
      <c r="B109" s="518" t="s">
        <v>337</v>
      </c>
      <c r="C109" s="518" t="s">
        <v>338</v>
      </c>
      <c r="D109" s="520"/>
      <c r="E109" s="520"/>
      <c r="F109" s="520"/>
      <c r="H109" s="54">
        <v>169556</v>
      </c>
      <c r="J109" s="54">
        <v>178392</v>
      </c>
    </row>
    <row r="110" spans="1:3" ht="12.75">
      <c r="A110" s="517" t="s">
        <v>150</v>
      </c>
      <c r="B110" s="518" t="s">
        <v>113</v>
      </c>
      <c r="C110" s="518" t="s">
        <v>339</v>
      </c>
    </row>
    <row r="111" spans="2:7" ht="12.75">
      <c r="B111" s="518" t="s">
        <v>340</v>
      </c>
      <c r="C111" s="518" t="s">
        <v>341</v>
      </c>
      <c r="D111" s="519">
        <f>+D66+D88</f>
        <v>225272209.58</v>
      </c>
      <c r="E111" s="519">
        <f>+E66+E88</f>
        <v>282491765</v>
      </c>
      <c r="F111" s="519">
        <f>+F66+F88</f>
        <v>78459858</v>
      </c>
      <c r="G111" s="519"/>
    </row>
    <row r="112" spans="2:3" ht="12.75">
      <c r="B112" s="518" t="s">
        <v>248</v>
      </c>
      <c r="C112" s="518" t="s">
        <v>342</v>
      </c>
    </row>
    <row r="113" spans="1:3" ht="12.75">
      <c r="A113" s="517" t="s">
        <v>149</v>
      </c>
      <c r="B113" s="518" t="s">
        <v>343</v>
      </c>
      <c r="C113" s="518" t="s">
        <v>344</v>
      </c>
    </row>
    <row r="114" spans="1:3" ht="12.75">
      <c r="A114" s="517" t="s">
        <v>150</v>
      </c>
      <c r="B114" s="518" t="s">
        <v>345</v>
      </c>
      <c r="C114" s="518" t="s">
        <v>346</v>
      </c>
    </row>
    <row r="115" spans="1:3" ht="12.75">
      <c r="A115" s="517" t="s">
        <v>151</v>
      </c>
      <c r="B115" s="518" t="s">
        <v>347</v>
      </c>
      <c r="C115" s="518" t="s">
        <v>348</v>
      </c>
    </row>
    <row r="116" ht="12.75">
      <c r="C116" s="518" t="s">
        <v>349</v>
      </c>
    </row>
    <row r="118" spans="1:6" ht="12.75">
      <c r="A118" s="523"/>
      <c r="D118" s="91">
        <f>+D60-D111</f>
        <v>0</v>
      </c>
      <c r="E118" s="91">
        <f>+E60-E111</f>
        <v>0</v>
      </c>
      <c r="F118" s="91">
        <f>+F60-F111</f>
        <v>0</v>
      </c>
    </row>
    <row r="120" spans="4:6" ht="12.75">
      <c r="D120" s="119"/>
      <c r="E120" s="119"/>
      <c r="F120" s="119"/>
    </row>
    <row r="124" spans="4:6" ht="12.75">
      <c r="D124" s="119"/>
      <c r="E124" s="119"/>
      <c r="F124" s="119"/>
    </row>
  </sheetData>
  <sheetProtection/>
  <printOptions/>
  <pageMargins left="0.23" right="0.25" top="0.4" bottom="0.5" header="0" footer="0"/>
  <pageSetup blackAndWhite="1" errors="NA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N84"/>
  <sheetViews>
    <sheetView zoomScale="75" zoomScaleNormal="75" zoomScalePageLayoutView="0" workbookViewId="0" topLeftCell="A46">
      <selection activeCell="M17" sqref="M17"/>
    </sheetView>
  </sheetViews>
  <sheetFormatPr defaultColWidth="9.140625" defaultRowHeight="12.75"/>
  <cols>
    <col min="1" max="1" width="4.57421875" style="123" customWidth="1"/>
    <col min="2" max="2" width="52.8515625" style="120" customWidth="1"/>
    <col min="3" max="3" width="11.28125" style="121" customWidth="1"/>
    <col min="4" max="5" width="24.00390625" style="529" customWidth="1"/>
    <col min="6" max="6" width="24.00390625" style="529" hidden="1" customWidth="1"/>
    <col min="7" max="7" width="8.421875" style="122" hidden="1" customWidth="1"/>
    <col min="8" max="8" width="17.421875" style="122" hidden="1" customWidth="1"/>
    <col min="9" max="9" width="13.00390625" style="122" hidden="1" customWidth="1"/>
    <col min="10" max="10" width="17.421875" style="122" hidden="1" customWidth="1"/>
    <col min="11" max="11" width="9.140625" style="123" hidden="1" customWidth="1"/>
    <col min="12" max="12" width="9.140625" style="123" customWidth="1"/>
    <col min="13" max="13" width="16.140625" style="123" customWidth="1"/>
    <col min="14" max="16384" width="9.140625" style="123" customWidth="1"/>
  </cols>
  <sheetData>
    <row r="1" ht="15.75">
      <c r="A1" s="40" t="s">
        <v>795</v>
      </c>
    </row>
    <row r="2" ht="15.75">
      <c r="A2" s="124" t="s">
        <v>570</v>
      </c>
    </row>
    <row r="3" ht="15.75">
      <c r="A3" s="124" t="s">
        <v>97</v>
      </c>
    </row>
    <row r="5" spans="1:10" ht="33" customHeight="1" thickBot="1">
      <c r="A5" s="125" t="s">
        <v>0</v>
      </c>
      <c r="C5" s="121" t="s">
        <v>449</v>
      </c>
      <c r="D5" s="530" t="s">
        <v>571</v>
      </c>
      <c r="E5" s="530" t="s">
        <v>550</v>
      </c>
      <c r="F5" s="530" t="s">
        <v>550</v>
      </c>
      <c r="H5" s="126" t="s">
        <v>450</v>
      </c>
      <c r="J5" s="126" t="s">
        <v>534</v>
      </c>
    </row>
    <row r="6" ht="16.5" thickTop="1">
      <c r="A6" s="125" t="s">
        <v>42</v>
      </c>
    </row>
    <row r="7" spans="4:10" ht="15.75">
      <c r="D7" s="531"/>
      <c r="E7" s="531"/>
      <c r="F7" s="531"/>
      <c r="H7" s="127"/>
      <c r="J7" s="127"/>
    </row>
    <row r="8" spans="2:10" ht="15.75">
      <c r="B8" s="120" t="s">
        <v>1</v>
      </c>
      <c r="C8" s="121" t="s">
        <v>441</v>
      </c>
      <c r="D8" s="532">
        <f>+'Bilanci Alpha'!D50</f>
        <v>970319.21</v>
      </c>
      <c r="E8" s="532">
        <f>+'Bilanci Alpha'!E50</f>
        <v>817141</v>
      </c>
      <c r="F8" s="532">
        <f>+'Bilanci Alpha'!F50</f>
        <v>2188575</v>
      </c>
      <c r="G8" s="128"/>
      <c r="H8" s="128">
        <f>+'Bilanci Alpha'!G48</f>
        <v>0</v>
      </c>
      <c r="I8" s="129"/>
      <c r="J8" s="128">
        <f>+'Bilanci Alpha'!H48</f>
        <v>0</v>
      </c>
    </row>
    <row r="9" spans="2:10" ht="15.75">
      <c r="B9" s="120" t="s">
        <v>41</v>
      </c>
      <c r="D9" s="531"/>
      <c r="E9" s="531"/>
      <c r="F9" s="531"/>
      <c r="H9" s="127"/>
      <c r="I9" s="129"/>
      <c r="J9" s="127"/>
    </row>
    <row r="10" spans="2:10" ht="15.75">
      <c r="B10" s="125"/>
      <c r="D10" s="533">
        <f>SUM(D8:D9)</f>
        <v>970319.21</v>
      </c>
      <c r="E10" s="533">
        <f>SUM(E8:E9)</f>
        <v>817141</v>
      </c>
      <c r="F10" s="533">
        <f>SUM(F8:F9)</f>
        <v>2188575</v>
      </c>
      <c r="H10" s="130">
        <f>SUM(H8:H9)</f>
        <v>0</v>
      </c>
      <c r="I10" s="129"/>
      <c r="J10" s="130">
        <f>SUM(J8:J9)</f>
        <v>0</v>
      </c>
    </row>
    <row r="11" spans="1:10" ht="15.75">
      <c r="A11" s="120" t="s">
        <v>43</v>
      </c>
      <c r="D11" s="531"/>
      <c r="E11" s="531"/>
      <c r="F11" s="531"/>
      <c r="H11" s="127"/>
      <c r="I11" s="129"/>
      <c r="J11" s="127"/>
    </row>
    <row r="12" spans="2:10" ht="15.75">
      <c r="B12" s="120" t="s">
        <v>52</v>
      </c>
      <c r="C12" s="121" t="s">
        <v>440</v>
      </c>
      <c r="D12" s="534">
        <f>+'Bilanci Alpha'!D42</f>
        <v>134274288.11</v>
      </c>
      <c r="E12" s="534">
        <f>+'Bilanci Alpha'!E42</f>
        <v>130608794</v>
      </c>
      <c r="F12" s="534">
        <f>+'Bilanci Alpha'!F42</f>
        <v>537064</v>
      </c>
      <c r="H12" s="131">
        <f>+'Bilanci Alpha'!G40</f>
        <v>0</v>
      </c>
      <c r="I12" s="129"/>
      <c r="J12" s="131">
        <f>+'Bilanci Alpha'!H40</f>
        <v>0</v>
      </c>
    </row>
    <row r="13" spans="2:10" ht="15.75">
      <c r="B13" s="120" t="s">
        <v>44</v>
      </c>
      <c r="C13" s="121" t="s">
        <v>440</v>
      </c>
      <c r="D13" s="534">
        <f>+'Bilanci Alpha'!D43+'Bilanci Alpha'!D45</f>
        <v>1602174</v>
      </c>
      <c r="E13" s="534">
        <f>+'Bilanci Alpha'!E43</f>
        <v>0</v>
      </c>
      <c r="F13" s="534">
        <f>+'Bilanci Alpha'!F43</f>
        <v>0</v>
      </c>
      <c r="H13" s="131">
        <f>+'Bilanci Alpha'!G43+'Bilanci Alpha'!G42</f>
        <v>0</v>
      </c>
      <c r="I13" s="129"/>
      <c r="J13" s="131">
        <f>+'Bilanci Alpha'!H43+'Bilanci Alpha'!H42+'Bilanci Alpha'!H41</f>
        <v>0</v>
      </c>
    </row>
    <row r="14" spans="2:10" ht="15.75">
      <c r="B14" s="120" t="s">
        <v>3</v>
      </c>
      <c r="D14" s="529">
        <v>0</v>
      </c>
      <c r="E14" s="534">
        <f>+'Bilanci Alpha'!E44</f>
        <v>0</v>
      </c>
      <c r="F14" s="534">
        <f>+'Bilanci Alpha'!F44</f>
        <v>0</v>
      </c>
      <c r="G14" s="132"/>
      <c r="H14" s="132">
        <v>0</v>
      </c>
      <c r="I14" s="129"/>
      <c r="J14" s="132">
        <v>0</v>
      </c>
    </row>
    <row r="15" spans="2:10" ht="15.75">
      <c r="B15" s="120" t="s">
        <v>4</v>
      </c>
      <c r="D15" s="529">
        <v>0</v>
      </c>
      <c r="E15" s="534">
        <f>+'Bilanci Alpha'!E45</f>
        <v>62855761</v>
      </c>
      <c r="F15" s="534">
        <f>+'Bilanci Alpha'!F45</f>
        <v>85416</v>
      </c>
      <c r="G15" s="132"/>
      <c r="H15" s="132">
        <v>0</v>
      </c>
      <c r="I15" s="129"/>
      <c r="J15" s="132">
        <v>0</v>
      </c>
    </row>
    <row r="16" spans="4:10" ht="15.75">
      <c r="D16" s="533">
        <f>SUM(D12:D15)</f>
        <v>135876462.11</v>
      </c>
      <c r="E16" s="533">
        <f>SUM(E12:E15)</f>
        <v>193464555</v>
      </c>
      <c r="F16" s="533">
        <f>SUM(F12:F15)</f>
        <v>622480</v>
      </c>
      <c r="H16" s="130">
        <f>SUM(H12:H15)</f>
        <v>0</v>
      </c>
      <c r="I16" s="129"/>
      <c r="J16" s="130">
        <f>SUM(J12:J15)</f>
        <v>0</v>
      </c>
    </row>
    <row r="17" spans="1:10" ht="15.75">
      <c r="A17" s="120" t="s">
        <v>5</v>
      </c>
      <c r="D17" s="531"/>
      <c r="E17" s="531"/>
      <c r="F17" s="531"/>
      <c r="H17" s="127"/>
      <c r="I17" s="129"/>
      <c r="J17" s="127"/>
    </row>
    <row r="18" spans="2:10" ht="15.75">
      <c r="B18" s="120" t="s">
        <v>548</v>
      </c>
      <c r="D18" s="529">
        <f>+'Bilanci Alpha'!D35</f>
        <v>0</v>
      </c>
      <c r="E18" s="529">
        <f>+'Bilanci Alpha'!E35</f>
        <v>47983</v>
      </c>
      <c r="F18" s="529">
        <f>+'Bilanci Alpha'!F35</f>
        <v>47983</v>
      </c>
      <c r="G18" s="132"/>
      <c r="H18" s="132">
        <f>+'Bilanci Alpha'!G33</f>
        <v>0</v>
      </c>
      <c r="I18" s="129"/>
      <c r="J18" s="132">
        <f>+'Bilanci Alpha'!I33</f>
        <v>0</v>
      </c>
    </row>
    <row r="19" spans="2:10" ht="15.75">
      <c r="B19" s="120" t="s">
        <v>6</v>
      </c>
      <c r="D19" s="529">
        <f>+'Bilanci Alpha'!D34</f>
        <v>0</v>
      </c>
      <c r="E19" s="529">
        <f>+'Bilanci Alpha'!E36</f>
        <v>0</v>
      </c>
      <c r="F19" s="529">
        <f>+'Bilanci Alpha'!F36</f>
        <v>0</v>
      </c>
      <c r="G19" s="132"/>
      <c r="H19" s="132">
        <f>+'Bilanci Alpha'!G34</f>
        <v>0</v>
      </c>
      <c r="I19" s="129"/>
      <c r="J19" s="132">
        <f>+'Bilanci Alpha'!I34</f>
        <v>0</v>
      </c>
    </row>
    <row r="20" spans="2:10" ht="15.75">
      <c r="B20" s="120" t="s">
        <v>128</v>
      </c>
      <c r="C20" s="121" t="s">
        <v>439</v>
      </c>
      <c r="D20" s="531">
        <f>+'Bilanci Alpha'!D35</f>
        <v>0</v>
      </c>
      <c r="E20" s="529">
        <f>+'Bilanci Alpha'!E37</f>
        <v>0</v>
      </c>
      <c r="F20" s="529">
        <f>+'Bilanci Alpha'!F37</f>
        <v>0</v>
      </c>
      <c r="H20" s="127">
        <f>+'Bilanci Alpha'!G35</f>
        <v>0</v>
      </c>
      <c r="I20" s="129"/>
      <c r="J20" s="127">
        <f>+'Bilanci Alpha'!I35</f>
        <v>0</v>
      </c>
    </row>
    <row r="21" spans="2:10" ht="15.75">
      <c r="B21" s="120" t="s">
        <v>45</v>
      </c>
      <c r="D21" s="529">
        <f>+'Bilanci Alpha'!D36</f>
        <v>0</v>
      </c>
      <c r="E21" s="529">
        <f>+'Bilanci Alpha'!E38</f>
        <v>0</v>
      </c>
      <c r="F21" s="529">
        <f>+'Bilanci Alpha'!F38</f>
        <v>340403</v>
      </c>
      <c r="G21" s="132"/>
      <c r="H21" s="132">
        <f>+'Bilanci Alpha'!G36</f>
        <v>0</v>
      </c>
      <c r="I21" s="129"/>
      <c r="J21" s="132">
        <f>+'Bilanci Alpha'!I36</f>
        <v>0</v>
      </c>
    </row>
    <row r="22" spans="2:10" ht="15.75">
      <c r="B22" s="120" t="s">
        <v>46</v>
      </c>
      <c r="C22" s="121" t="s">
        <v>442</v>
      </c>
      <c r="D22" s="531"/>
      <c r="E22" s="529">
        <f>+'Bilanci Alpha'!E39</f>
        <v>0</v>
      </c>
      <c r="F22" s="529">
        <f>+'Bilanci Alpha'!F39</f>
        <v>0</v>
      </c>
      <c r="H22" s="127">
        <v>0</v>
      </c>
      <c r="I22" s="129"/>
      <c r="J22" s="127">
        <v>0</v>
      </c>
    </row>
    <row r="23" spans="4:10" ht="21" customHeight="1">
      <c r="D23" s="533">
        <f>SUM(D18:D22)</f>
        <v>0</v>
      </c>
      <c r="E23" s="533">
        <f>SUM(E18:E22)</f>
        <v>47983</v>
      </c>
      <c r="F23" s="533">
        <f>SUM(F18:F22)</f>
        <v>388386</v>
      </c>
      <c r="H23" s="130">
        <f>SUM(H17:H22)</f>
        <v>0</v>
      </c>
      <c r="I23" s="129"/>
      <c r="J23" s="130">
        <f>SUM(J17:J22)</f>
        <v>0</v>
      </c>
    </row>
    <row r="24" spans="2:10" ht="15.75">
      <c r="B24" s="120" t="s">
        <v>47</v>
      </c>
      <c r="D24" s="531"/>
      <c r="E24" s="531"/>
      <c r="F24" s="531"/>
      <c r="H24" s="127"/>
      <c r="I24" s="129"/>
      <c r="J24" s="127"/>
    </row>
    <row r="25" spans="2:10" ht="15.75">
      <c r="B25" s="120" t="s">
        <v>48</v>
      </c>
      <c r="D25" s="531"/>
      <c r="E25" s="531"/>
      <c r="F25" s="531"/>
      <c r="H25" s="127"/>
      <c r="I25" s="129"/>
      <c r="J25" s="127"/>
    </row>
    <row r="26" spans="2:10" ht="15.75">
      <c r="B26" s="120" t="s">
        <v>49</v>
      </c>
      <c r="C26" s="121" t="s">
        <v>443</v>
      </c>
      <c r="D26" s="531">
        <f>+'Bilanci Alpha'!D57</f>
        <v>36947756.99</v>
      </c>
      <c r="E26" s="531">
        <f>+'Bilanci Alpha'!E57</f>
        <v>14158876</v>
      </c>
      <c r="F26" s="531">
        <f>+'Bilanci Alpha'!F57</f>
        <v>19417672</v>
      </c>
      <c r="G26" s="127"/>
      <c r="H26" s="127">
        <f>+'Bilanci Alpha'!G52</f>
        <v>0</v>
      </c>
      <c r="I26" s="129"/>
      <c r="J26" s="127">
        <f>+'Bilanci Alpha'!H52</f>
        <v>0</v>
      </c>
    </row>
    <row r="27" spans="2:10" ht="15.75">
      <c r="B27" s="120" t="s">
        <v>124</v>
      </c>
      <c r="D27" s="529">
        <f>+'Bilanci Alpha'!D55</f>
        <v>0</v>
      </c>
      <c r="E27" s="529">
        <f>+'Bilanci Alpha'!E55</f>
        <v>0</v>
      </c>
      <c r="F27" s="529">
        <f>+'Bilanci Alpha'!F55</f>
        <v>0</v>
      </c>
      <c r="H27" s="132">
        <f>+'Bilanci Alpha'!G56</f>
        <v>0</v>
      </c>
      <c r="I27" s="129"/>
      <c r="J27" s="132">
        <f>+'Bilanci Alpha'!H56</f>
        <v>0</v>
      </c>
    </row>
    <row r="28" spans="4:10" ht="15.75">
      <c r="D28" s="531"/>
      <c r="E28" s="531"/>
      <c r="F28" s="531"/>
      <c r="H28" s="127"/>
      <c r="I28" s="129"/>
      <c r="J28" s="127"/>
    </row>
    <row r="29" spans="2:10" ht="16.5" thickBot="1">
      <c r="B29" s="133" t="s">
        <v>50</v>
      </c>
      <c r="D29" s="535">
        <f>+D23+D16+D10+D26+D27</f>
        <v>173794538.31000003</v>
      </c>
      <c r="E29" s="535">
        <f>+E23+E16+E10+E26+E27</f>
        <v>208488555</v>
      </c>
      <c r="F29" s="535">
        <f>+F23+F16+F10+F26+F27</f>
        <v>22617113</v>
      </c>
      <c r="H29" s="134">
        <f>+H23+H16+H10+H26+H27</f>
        <v>0</v>
      </c>
      <c r="I29" s="129"/>
      <c r="J29" s="134">
        <f>+J23+J16+J10+J26+J27</f>
        <v>0</v>
      </c>
    </row>
    <row r="30" spans="4:10" ht="12" customHeight="1" thickTop="1">
      <c r="D30" s="531"/>
      <c r="E30" s="531"/>
      <c r="F30" s="531"/>
      <c r="H30" s="127"/>
      <c r="I30" s="129"/>
      <c r="J30" s="127"/>
    </row>
    <row r="31" spans="1:10" ht="15.75">
      <c r="A31" s="125" t="s">
        <v>7</v>
      </c>
      <c r="D31" s="531"/>
      <c r="E31" s="531"/>
      <c r="F31" s="531"/>
      <c r="H31" s="127"/>
      <c r="I31" s="129"/>
      <c r="J31" s="127"/>
    </row>
    <row r="32" spans="2:10" ht="15.75">
      <c r="B32" s="120" t="s">
        <v>51</v>
      </c>
      <c r="D32" s="531"/>
      <c r="E32" s="531"/>
      <c r="F32" s="531"/>
      <c r="H32" s="127"/>
      <c r="I32" s="129"/>
      <c r="J32" s="127"/>
    </row>
    <row r="33" spans="2:10" ht="15.75">
      <c r="B33" s="120" t="s">
        <v>53</v>
      </c>
      <c r="C33" s="121">
        <v>4</v>
      </c>
      <c r="D33" s="532">
        <f>+'Bilanci Alpha'!D20</f>
        <v>51477671.269999996</v>
      </c>
      <c r="E33" s="532">
        <f>+'Bilanci Alpha'!E20</f>
        <v>74003210</v>
      </c>
      <c r="F33" s="532">
        <f>+'Bilanci Alpha'!F20</f>
        <v>55842745</v>
      </c>
      <c r="H33" s="128">
        <f>+'Bilanci Alpha'!G18</f>
        <v>0</v>
      </c>
      <c r="I33" s="129"/>
      <c r="J33" s="128">
        <f>+'Bilanci Alpha'!H18</f>
        <v>0</v>
      </c>
    </row>
    <row r="34" spans="2:10" ht="15.75">
      <c r="B34" s="120" t="s">
        <v>54</v>
      </c>
      <c r="D34" s="531"/>
      <c r="E34" s="531"/>
      <c r="F34" s="531"/>
      <c r="H34" s="127"/>
      <c r="I34" s="129"/>
      <c r="J34" s="127"/>
    </row>
    <row r="35" spans="2:10" ht="15.75">
      <c r="B35" s="120" t="s">
        <v>55</v>
      </c>
      <c r="D35" s="531"/>
      <c r="E35" s="531"/>
      <c r="F35" s="531"/>
      <c r="H35" s="127"/>
      <c r="I35" s="129"/>
      <c r="J35" s="127"/>
    </row>
    <row r="36" spans="2:10" ht="16.5" thickBot="1">
      <c r="B36" s="133" t="s">
        <v>56</v>
      </c>
      <c r="D36" s="535">
        <f>SUM(D33:D35)</f>
        <v>51477671.269999996</v>
      </c>
      <c r="E36" s="535">
        <f>SUM(E33:E35)</f>
        <v>74003210</v>
      </c>
      <c r="F36" s="535">
        <f>SUM(F33:F35)</f>
        <v>55842745</v>
      </c>
      <c r="H36" s="134">
        <f>SUM(H33:H35)</f>
        <v>0</v>
      </c>
      <c r="I36" s="129"/>
      <c r="J36" s="134">
        <f>SUM(J33:J35)</f>
        <v>0</v>
      </c>
    </row>
    <row r="37" spans="4:10" ht="16.5" thickTop="1">
      <c r="D37" s="531"/>
      <c r="E37" s="531"/>
      <c r="F37" s="531"/>
      <c r="H37" s="127"/>
      <c r="I37" s="129"/>
      <c r="J37" s="127"/>
    </row>
    <row r="38" spans="2:10" ht="15.75">
      <c r="B38" s="125" t="s">
        <v>57</v>
      </c>
      <c r="D38" s="536">
        <f>+D29+D36</f>
        <v>225272209.58000004</v>
      </c>
      <c r="E38" s="536">
        <f>+E29+E36</f>
        <v>282491765</v>
      </c>
      <c r="F38" s="536">
        <f>+F29+F36</f>
        <v>78459858</v>
      </c>
      <c r="G38" s="129"/>
      <c r="H38" s="135">
        <f>+H29+H36</f>
        <v>0</v>
      </c>
      <c r="I38" s="129"/>
      <c r="J38" s="135">
        <f>+J29+J36</f>
        <v>0</v>
      </c>
    </row>
    <row r="39" spans="4:10" ht="15.75">
      <c r="D39" s="531"/>
      <c r="E39" s="531"/>
      <c r="F39" s="531"/>
      <c r="G39" s="129"/>
      <c r="H39" s="127"/>
      <c r="I39" s="129"/>
      <c r="J39" s="127"/>
    </row>
    <row r="40" spans="1:10" ht="15.75">
      <c r="A40" s="40" t="s">
        <v>77</v>
      </c>
      <c r="D40" s="531"/>
      <c r="E40" s="531"/>
      <c r="F40" s="531"/>
      <c r="H40" s="127"/>
      <c r="I40" s="129"/>
      <c r="J40" s="127"/>
    </row>
    <row r="41" spans="4:10" ht="9.75" customHeight="1">
      <c r="D41" s="531"/>
      <c r="E41" s="531"/>
      <c r="F41" s="531"/>
      <c r="H41" s="127"/>
      <c r="I41" s="129"/>
      <c r="J41" s="127"/>
    </row>
    <row r="42" spans="1:10" ht="15.75">
      <c r="A42" s="40" t="s">
        <v>111</v>
      </c>
      <c r="D42" s="531"/>
      <c r="E42" s="531"/>
      <c r="F42" s="531"/>
      <c r="H42" s="127"/>
      <c r="I42" s="129"/>
      <c r="J42" s="127"/>
    </row>
    <row r="43" spans="2:10" ht="15.75">
      <c r="B43" s="123" t="s">
        <v>58</v>
      </c>
      <c r="C43" s="121" t="s">
        <v>445</v>
      </c>
      <c r="D43" s="534">
        <f>'Bilanci Alpha'!D96</f>
        <v>0</v>
      </c>
      <c r="E43" s="534">
        <f>'Bilanci Alpha'!E96</f>
        <v>0</v>
      </c>
      <c r="F43" s="534">
        <f>'Bilanci Alpha'!F96</f>
        <v>0</v>
      </c>
      <c r="H43" s="131">
        <f>'Bilanci Alpha'!G96</f>
        <v>0</v>
      </c>
      <c r="I43" s="129"/>
      <c r="J43" s="131">
        <f>'Bilanci Alpha'!H96</f>
        <v>0</v>
      </c>
    </row>
    <row r="44" spans="2:10" ht="15.75">
      <c r="B44" s="123" t="s">
        <v>59</v>
      </c>
      <c r="D44" s="529">
        <v>0</v>
      </c>
      <c r="E44" s="529">
        <v>0</v>
      </c>
      <c r="F44" s="529">
        <v>0</v>
      </c>
      <c r="H44" s="132">
        <v>0</v>
      </c>
      <c r="I44" s="129"/>
      <c r="J44" s="132">
        <v>0</v>
      </c>
    </row>
    <row r="45" spans="2:10" ht="15.75">
      <c r="B45" s="124" t="s">
        <v>60</v>
      </c>
      <c r="C45" s="121" t="s">
        <v>444</v>
      </c>
      <c r="D45" s="531">
        <f>'Bilanci Alpha'!D101</f>
        <v>215778334.91000003</v>
      </c>
      <c r="E45" s="531">
        <f>'Bilanci Alpha'!E101</f>
        <v>199599676</v>
      </c>
      <c r="F45" s="531">
        <f>'Bilanci Alpha'!F101</f>
        <v>69162893</v>
      </c>
      <c r="H45" s="127">
        <f>'Bilanci Alpha'!G99</f>
        <v>0</v>
      </c>
      <c r="I45" s="129"/>
      <c r="J45" s="127">
        <f>'Bilanci Alpha'!H99</f>
        <v>0</v>
      </c>
    </row>
    <row r="46" spans="2:10" ht="15.75">
      <c r="B46" s="124" t="s">
        <v>61</v>
      </c>
      <c r="D46" s="534">
        <f>+'Bilanci Alpha'!D100</f>
        <v>0</v>
      </c>
      <c r="E46" s="534">
        <f>+'Bilanci Alpha'!E100</f>
        <v>67207917</v>
      </c>
      <c r="F46" s="534">
        <f>+'Bilanci Alpha'!F100</f>
        <v>0</v>
      </c>
      <c r="H46" s="131">
        <f>+'Bilanci Alpha'!G100</f>
        <v>0</v>
      </c>
      <c r="I46" s="129"/>
      <c r="J46" s="131">
        <f>+'Bilanci Alpha'!H100</f>
        <v>0</v>
      </c>
    </row>
    <row r="47" spans="2:10" ht="15.75">
      <c r="B47" s="124" t="s">
        <v>8</v>
      </c>
      <c r="C47" s="121" t="s">
        <v>447</v>
      </c>
      <c r="D47" s="534">
        <f>+'Bilanci Alpha'!D104+'Bilanci Alpha'!D103</f>
        <v>178392</v>
      </c>
      <c r="E47" s="534">
        <f>+'Bilanci Alpha'!E104+'Bilanci Alpha'!E103</f>
        <v>169556</v>
      </c>
      <c r="F47" s="534">
        <f>+'Bilanci Alpha'!F104+'Bilanci Alpha'!F103</f>
        <v>262049</v>
      </c>
      <c r="H47" s="127">
        <f>+'Bilanci Alpha'!G101+'Bilanci Alpha'!G102</f>
        <v>0</v>
      </c>
      <c r="I47" s="129"/>
      <c r="J47" s="127">
        <f>+'Bilanci Alpha'!H101+'Bilanci Alpha'!H102</f>
        <v>0</v>
      </c>
    </row>
    <row r="48" spans="2:10" ht="15.75">
      <c r="B48" s="124" t="s">
        <v>95</v>
      </c>
      <c r="C48" s="121" t="s">
        <v>448</v>
      </c>
      <c r="E48" s="529">
        <f>+'Bilanci Alpha'!E105</f>
        <v>12352253</v>
      </c>
      <c r="F48" s="529">
        <f>+'Bilanci Alpha'!F105</f>
        <v>7804066</v>
      </c>
      <c r="H48" s="131">
        <f>+'Bilanci Alpha'!G104+'Bilanci Alpha'!G103</f>
        <v>0</v>
      </c>
      <c r="I48" s="129"/>
      <c r="J48" s="131">
        <f>+'Bilanci Alpha'!H104+'Bilanci Alpha'!H103</f>
        <v>0</v>
      </c>
    </row>
    <row r="49" spans="2:10" ht="15.75">
      <c r="B49" s="124" t="s">
        <v>62</v>
      </c>
      <c r="D49" s="534">
        <v>0</v>
      </c>
      <c r="E49" s="534">
        <v>0</v>
      </c>
      <c r="F49" s="534">
        <v>0</v>
      </c>
      <c r="H49" s="131">
        <v>0</v>
      </c>
      <c r="I49" s="129"/>
      <c r="J49" s="131">
        <v>0</v>
      </c>
    </row>
    <row r="50" spans="2:10" ht="15.75">
      <c r="B50" s="124" t="s">
        <v>63</v>
      </c>
      <c r="C50" s="121" t="s">
        <v>446</v>
      </c>
      <c r="D50" s="534">
        <f>+'Bilanci Alpha'!D90</f>
        <v>0</v>
      </c>
      <c r="E50" s="534">
        <f>+'Bilanci Alpha'!E90</f>
        <v>0</v>
      </c>
      <c r="F50" s="534">
        <f>+'Bilanci Alpha'!F90</f>
        <v>0</v>
      </c>
      <c r="H50" s="131">
        <f>+'Bilanci Alpha'!G90</f>
        <v>0</v>
      </c>
      <c r="I50" s="129"/>
      <c r="J50" s="131">
        <f>+'Bilanci Alpha'!H90</f>
        <v>0</v>
      </c>
    </row>
    <row r="51" spans="2:10" ht="15.75">
      <c r="B51" s="123" t="s">
        <v>98</v>
      </c>
      <c r="D51" s="534">
        <v>0</v>
      </c>
      <c r="E51" s="534">
        <v>0</v>
      </c>
      <c r="F51" s="534">
        <v>0</v>
      </c>
      <c r="H51" s="131">
        <v>0</v>
      </c>
      <c r="I51" s="129"/>
      <c r="J51" s="131">
        <v>0</v>
      </c>
    </row>
    <row r="52" spans="2:10" ht="15.75">
      <c r="B52" s="123" t="s">
        <v>64</v>
      </c>
      <c r="D52" s="529">
        <v>0</v>
      </c>
      <c r="E52" s="529">
        <v>0</v>
      </c>
      <c r="F52" s="529">
        <v>0</v>
      </c>
      <c r="H52" s="132">
        <v>0</v>
      </c>
      <c r="I52" s="129"/>
      <c r="J52" s="132">
        <v>0</v>
      </c>
    </row>
    <row r="53" spans="2:10" ht="15.75">
      <c r="B53" s="123" t="s">
        <v>65</v>
      </c>
      <c r="D53" s="529">
        <v>0</v>
      </c>
      <c r="E53" s="529">
        <v>0</v>
      </c>
      <c r="F53" s="529">
        <v>0</v>
      </c>
      <c r="H53" s="132">
        <v>0</v>
      </c>
      <c r="I53" s="129"/>
      <c r="J53" s="132">
        <v>0</v>
      </c>
    </row>
    <row r="54" spans="2:10" ht="15.75">
      <c r="B54" s="123"/>
      <c r="D54" s="531"/>
      <c r="E54" s="531"/>
      <c r="F54" s="531"/>
      <c r="H54" s="127"/>
      <c r="I54" s="129"/>
      <c r="J54" s="127"/>
    </row>
    <row r="55" spans="2:14" ht="16.5" thickBot="1">
      <c r="B55" s="133" t="s">
        <v>66</v>
      </c>
      <c r="D55" s="535">
        <f>SUM(D43:D54)</f>
        <v>215956726.91000003</v>
      </c>
      <c r="E55" s="535">
        <f>SUM(E43:E54)</f>
        <v>279329402</v>
      </c>
      <c r="F55" s="535">
        <f>SUM(F43:F54)</f>
        <v>77229008</v>
      </c>
      <c r="H55" s="134">
        <f>SUM(H43:H54)</f>
        <v>0</v>
      </c>
      <c r="I55" s="129"/>
      <c r="J55" s="134">
        <f>SUM(J43:J54)</f>
        <v>0</v>
      </c>
      <c r="M55" s="120"/>
      <c r="N55" s="120"/>
    </row>
    <row r="56" spans="1:14" ht="16.5" thickTop="1">
      <c r="A56" s="40" t="s">
        <v>67</v>
      </c>
      <c r="D56" s="531"/>
      <c r="E56" s="531"/>
      <c r="F56" s="531"/>
      <c r="H56" s="127"/>
      <c r="I56" s="129"/>
      <c r="J56" s="127"/>
      <c r="M56" s="120"/>
      <c r="N56" s="120"/>
    </row>
    <row r="57" spans="2:14" ht="15.75">
      <c r="B57" s="123" t="s">
        <v>68</v>
      </c>
      <c r="C57" s="121">
        <v>6</v>
      </c>
      <c r="D57" s="534"/>
      <c r="E57" s="534"/>
      <c r="F57" s="534"/>
      <c r="H57" s="131">
        <f>'Bilanci Alpha'!G87</f>
        <v>0</v>
      </c>
      <c r="I57" s="129"/>
      <c r="J57" s="131">
        <f>'Bilanci Alpha'!H87</f>
        <v>0</v>
      </c>
      <c r="M57" s="120"/>
      <c r="N57" s="120"/>
    </row>
    <row r="58" spans="2:14" ht="15.75">
      <c r="B58" s="123" t="s">
        <v>69</v>
      </c>
      <c r="D58" s="534"/>
      <c r="E58" s="534"/>
      <c r="F58" s="534"/>
      <c r="G58" s="131"/>
      <c r="H58" s="131"/>
      <c r="I58" s="129"/>
      <c r="J58" s="131"/>
      <c r="M58" s="120"/>
      <c r="N58" s="120"/>
    </row>
    <row r="59" spans="2:10" ht="15.75">
      <c r="B59" s="123" t="s">
        <v>70</v>
      </c>
      <c r="D59" s="534">
        <v>0</v>
      </c>
      <c r="E59" s="534">
        <v>0</v>
      </c>
      <c r="F59" s="534">
        <v>0</v>
      </c>
      <c r="G59" s="131"/>
      <c r="H59" s="131">
        <v>0</v>
      </c>
      <c r="I59" s="129"/>
      <c r="J59" s="131">
        <v>0</v>
      </c>
    </row>
    <row r="60" spans="2:10" ht="15.75">
      <c r="B60" s="123" t="s">
        <v>64</v>
      </c>
      <c r="D60" s="531"/>
      <c r="E60" s="531"/>
      <c r="F60" s="531"/>
      <c r="H60" s="127"/>
      <c r="I60" s="129"/>
      <c r="J60" s="127"/>
    </row>
    <row r="61" spans="2:13" ht="16.5" thickBot="1">
      <c r="B61" s="133" t="s">
        <v>71</v>
      </c>
      <c r="D61" s="535">
        <f>SUM(D57:D60)</f>
        <v>0</v>
      </c>
      <c r="E61" s="535">
        <f>SUM(E57:E60)</f>
        <v>0</v>
      </c>
      <c r="F61" s="535">
        <f>SUM(F57:F60)</f>
        <v>0</v>
      </c>
      <c r="H61" s="136">
        <f>SUM(H57:H60)</f>
        <v>0</v>
      </c>
      <c r="I61" s="129"/>
      <c r="J61" s="136">
        <f>SUM(J57:J60)</f>
        <v>0</v>
      </c>
      <c r="M61" s="137"/>
    </row>
    <row r="62" spans="4:10" ht="12.75" customHeight="1" thickTop="1">
      <c r="D62" s="531"/>
      <c r="E62" s="531"/>
      <c r="F62" s="531"/>
      <c r="H62" s="127"/>
      <c r="I62" s="129"/>
      <c r="J62" s="127"/>
    </row>
    <row r="63" spans="1:13" ht="15.75">
      <c r="A63" s="40" t="s">
        <v>72</v>
      </c>
      <c r="I63" s="129"/>
      <c r="M63" s="137"/>
    </row>
    <row r="64" spans="2:10" ht="15.75">
      <c r="B64" s="123" t="s">
        <v>40</v>
      </c>
      <c r="C64" s="121">
        <v>7</v>
      </c>
      <c r="D64" s="531">
        <f>+'Bilanci Alpha'!D69</f>
        <v>3100000</v>
      </c>
      <c r="E64" s="531">
        <f>+'Bilanci Alpha'!E69</f>
        <v>100000</v>
      </c>
      <c r="F64" s="531">
        <f>+'Bilanci Alpha'!F69</f>
        <v>100000</v>
      </c>
      <c r="H64" s="127">
        <v>100000</v>
      </c>
      <c r="I64" s="129"/>
      <c r="J64" s="127">
        <v>100000</v>
      </c>
    </row>
    <row r="65" spans="2:10" ht="15.75">
      <c r="B65" s="123" t="s">
        <v>429</v>
      </c>
      <c r="C65" s="121">
        <v>7</v>
      </c>
      <c r="D65" s="531">
        <f>+'Bilanci Alpha'!D68</f>
        <v>0</v>
      </c>
      <c r="E65" s="531">
        <f>+'Bilanci Alpha'!E68</f>
        <v>0</v>
      </c>
      <c r="F65" s="531">
        <f>+'Bilanci Alpha'!F68</f>
        <v>0</v>
      </c>
      <c r="H65" s="131">
        <v>0</v>
      </c>
      <c r="I65" s="129"/>
      <c r="J65" s="131">
        <v>0</v>
      </c>
    </row>
    <row r="66" spans="2:13" ht="15.75">
      <c r="B66" s="123" t="s">
        <v>73</v>
      </c>
      <c r="D66" s="534">
        <f>+'Bilanci Alpha'!D72</f>
        <v>62362</v>
      </c>
      <c r="E66" s="534">
        <f>+'Bilanci Alpha'!E72</f>
        <v>0</v>
      </c>
      <c r="F66" s="534">
        <f>+'Bilanci Alpha'!F72</f>
        <v>0</v>
      </c>
      <c r="H66" s="131">
        <f>+'Bilanci Alpha'!G72</f>
        <v>0</v>
      </c>
      <c r="I66" s="129"/>
      <c r="J66" s="131">
        <f>+'Bilanci Alpha'!H72</f>
        <v>0</v>
      </c>
      <c r="M66" s="137"/>
    </row>
    <row r="67" spans="2:10" ht="15.75">
      <c r="B67" s="123" t="s">
        <v>74</v>
      </c>
      <c r="D67" s="534">
        <f>+'Bilanci Alpha'!D71</f>
        <v>0</v>
      </c>
      <c r="E67" s="534">
        <f>+'Bilanci Alpha'!E71</f>
        <v>0</v>
      </c>
      <c r="F67" s="534">
        <f>+'Bilanci Alpha'!F71</f>
        <v>0</v>
      </c>
      <c r="H67" s="131">
        <f>+'Bilanci Alpha'!G71</f>
        <v>0</v>
      </c>
      <c r="I67" s="129"/>
      <c r="J67" s="131">
        <f>+'Bilanci Alpha'!H71</f>
        <v>0</v>
      </c>
    </row>
    <row r="68" spans="2:10" ht="15.75">
      <c r="B68" s="123" t="s">
        <v>9</v>
      </c>
      <c r="D68" s="534">
        <f>+'Bilanci Alpha'!D75</f>
        <v>0</v>
      </c>
      <c r="E68" s="534">
        <f>+'Bilanci Alpha'!E75</f>
        <v>0</v>
      </c>
      <c r="F68" s="534">
        <f>+'Bilanci Alpha'!F75</f>
        <v>0</v>
      </c>
      <c r="H68" s="131">
        <f>+'Bilanci Alpha'!G73</f>
        <v>0</v>
      </c>
      <c r="I68" s="129"/>
      <c r="J68" s="131">
        <f>+'Bilanci Alpha'!H73</f>
        <v>0</v>
      </c>
    </row>
    <row r="69" spans="2:10" ht="15.75">
      <c r="B69" s="123" t="s">
        <v>75</v>
      </c>
      <c r="C69" s="121">
        <v>7</v>
      </c>
      <c r="D69" s="531">
        <f>+'Bilanci Alpha'!D74</f>
        <v>0</v>
      </c>
      <c r="E69" s="531">
        <f>+'Bilanci Alpha'!E76</f>
        <v>1130850</v>
      </c>
      <c r="F69" s="531">
        <f>+'Bilanci Alpha'!F76</f>
        <v>0</v>
      </c>
      <c r="H69" s="127">
        <f>+'Bilanci Alpha'!G74</f>
        <v>0</v>
      </c>
      <c r="I69" s="129"/>
      <c r="J69" s="127">
        <f>+'Bilanci Alpha'!H74</f>
        <v>0</v>
      </c>
    </row>
    <row r="70" spans="2:10" ht="15.75">
      <c r="B70" s="123" t="s">
        <v>76</v>
      </c>
      <c r="C70" s="121">
        <v>7</v>
      </c>
      <c r="D70" s="531">
        <f>+'Bilanci Alpha'!D77</f>
        <v>6153120.67</v>
      </c>
      <c r="E70" s="531">
        <f>+'Bilanci Alpha'!E77</f>
        <v>1931513</v>
      </c>
      <c r="F70" s="531">
        <f>+'Bilanci Alpha'!F77</f>
        <v>1130850</v>
      </c>
      <c r="H70" s="127">
        <f>+'Bilanci Alpha'!G75</f>
        <v>0</v>
      </c>
      <c r="I70" s="129"/>
      <c r="J70" s="127">
        <f>+'Bilanci Alpha'!H75</f>
        <v>0</v>
      </c>
    </row>
    <row r="71" spans="2:10" ht="16.5" thickBot="1">
      <c r="B71" s="133" t="s">
        <v>129</v>
      </c>
      <c r="D71" s="535">
        <f>SUM(D64:D70)</f>
        <v>9315482.67</v>
      </c>
      <c r="E71" s="535">
        <f>SUM(E64:E70)</f>
        <v>3162363</v>
      </c>
      <c r="F71" s="535">
        <f>SUM(F64:F70)</f>
        <v>1230850</v>
      </c>
      <c r="H71" s="134">
        <f>SUM(H64:H70)</f>
        <v>100000</v>
      </c>
      <c r="I71" s="129"/>
      <c r="J71" s="134">
        <f>SUM(J64:J70)</f>
        <v>100000</v>
      </c>
    </row>
    <row r="72" spans="2:10" ht="16.5" thickTop="1">
      <c r="B72" s="123"/>
      <c r="D72" s="534"/>
      <c r="E72" s="534"/>
      <c r="F72" s="534"/>
      <c r="H72" s="131"/>
      <c r="J72" s="131"/>
    </row>
    <row r="73" spans="2:13" ht="15.75">
      <c r="B73" s="133" t="s">
        <v>78</v>
      </c>
      <c r="D73" s="536">
        <f>+D71+D61+D55</f>
        <v>225272209.58</v>
      </c>
      <c r="E73" s="536">
        <f>+E71+E61+E55</f>
        <v>282491765</v>
      </c>
      <c r="F73" s="536">
        <f>+F71+F61+F55</f>
        <v>78459858</v>
      </c>
      <c r="G73" s="138"/>
      <c r="H73" s="135">
        <f>+H71+H61+H55</f>
        <v>100000</v>
      </c>
      <c r="I73" s="129"/>
      <c r="J73" s="135">
        <f>+J71+J61+J55</f>
        <v>100000</v>
      </c>
      <c r="M73" s="137"/>
    </row>
    <row r="75" spans="7:10" ht="15.75">
      <c r="G75" s="129"/>
      <c r="H75" s="129"/>
      <c r="J75" s="129"/>
    </row>
    <row r="76" spans="2:10" ht="15.75">
      <c r="B76" s="133" t="s">
        <v>452</v>
      </c>
      <c r="C76" s="133"/>
      <c r="D76" s="537"/>
      <c r="E76" s="537"/>
      <c r="F76" s="537"/>
      <c r="G76" s="140" t="s">
        <v>451</v>
      </c>
      <c r="H76" s="139"/>
      <c r="J76" s="139"/>
    </row>
    <row r="77" spans="2:10" ht="15.75">
      <c r="B77" s="133"/>
      <c r="C77" s="133"/>
      <c r="D77" s="537"/>
      <c r="E77" s="537"/>
      <c r="F77" s="537"/>
      <c r="G77" s="140"/>
      <c r="H77" s="139"/>
      <c r="J77" s="139"/>
    </row>
    <row r="78" spans="2:10" ht="15.75">
      <c r="B78" s="121"/>
      <c r="G78" s="141"/>
      <c r="H78" s="129"/>
      <c r="J78" s="129"/>
    </row>
    <row r="79" spans="4:10" ht="15.75">
      <c r="D79" s="529">
        <f>+D73-D38</f>
        <v>0</v>
      </c>
      <c r="E79" s="529">
        <f>+E73-E38</f>
        <v>0</v>
      </c>
      <c r="F79" s="529">
        <f>+F73-F38</f>
        <v>0</v>
      </c>
      <c r="H79" s="129">
        <f>+H73-H38</f>
        <v>100000</v>
      </c>
      <c r="J79" s="129">
        <f>+J73-J38</f>
        <v>100000</v>
      </c>
    </row>
    <row r="80" spans="4:7" ht="15.75">
      <c r="D80" s="538"/>
      <c r="E80" s="538"/>
      <c r="F80" s="538"/>
      <c r="G80" s="142"/>
    </row>
    <row r="81" spans="4:7" ht="15.75">
      <c r="D81" s="538"/>
      <c r="E81" s="538"/>
      <c r="F81" s="538"/>
      <c r="G81" s="142"/>
    </row>
    <row r="82" spans="4:7" ht="15.75">
      <c r="D82" s="538"/>
      <c r="E82" s="538"/>
      <c r="F82" s="538"/>
      <c r="G82" s="142"/>
    </row>
    <row r="83" spans="4:7" ht="15.75">
      <c r="D83" s="538"/>
      <c r="E83" s="538"/>
      <c r="F83" s="538"/>
      <c r="G83" s="142"/>
    </row>
    <row r="84" spans="4:7" ht="15.75">
      <c r="D84" s="538"/>
      <c r="E84" s="538"/>
      <c r="F84" s="538"/>
      <c r="G84" s="142"/>
    </row>
  </sheetData>
  <sheetProtection/>
  <printOptions/>
  <pageMargins left="0.46" right="0.4" top="0.34" bottom="0.3" header="0.22" footer="0.25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K38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3.8515625" style="1" customWidth="1"/>
    <col min="2" max="2" width="46.421875" style="1" customWidth="1"/>
    <col min="3" max="3" width="7.57421875" style="13" customWidth="1"/>
    <col min="4" max="5" width="16.28125" style="539" customWidth="1"/>
    <col min="6" max="6" width="15.57421875" style="8" hidden="1" customWidth="1"/>
    <col min="7" max="7" width="4.28125" style="1" hidden="1" customWidth="1"/>
    <col min="8" max="8" width="14.8515625" style="1" hidden="1" customWidth="1"/>
    <col min="9" max="9" width="14.00390625" style="31" customWidth="1"/>
    <col min="10" max="10" width="12.8515625" style="1" customWidth="1"/>
    <col min="11" max="11" width="11.140625" style="1" bestFit="1" customWidth="1"/>
    <col min="12" max="16384" width="9.140625" style="1" customWidth="1"/>
  </cols>
  <sheetData>
    <row r="1" ht="15.75">
      <c r="A1" s="40" t="s">
        <v>794</v>
      </c>
    </row>
    <row r="2" ht="15.75">
      <c r="A2" s="15" t="s">
        <v>572</v>
      </c>
    </row>
    <row r="3" ht="15.75">
      <c r="A3" s="15" t="s">
        <v>97</v>
      </c>
    </row>
    <row r="4" ht="15.75">
      <c r="A4" s="15"/>
    </row>
    <row r="5" spans="3:8" ht="26.25" thickBot="1">
      <c r="C5" s="13" t="s">
        <v>449</v>
      </c>
      <c r="D5" s="540" t="s">
        <v>571</v>
      </c>
      <c r="E5" s="540" t="s">
        <v>550</v>
      </c>
      <c r="F5" s="20" t="s">
        <v>88</v>
      </c>
      <c r="H5" s="87" t="s">
        <v>450</v>
      </c>
    </row>
    <row r="6" ht="13.5" thickTop="1"/>
    <row r="8" spans="2:8" ht="12.75">
      <c r="B8" s="1" t="s">
        <v>10</v>
      </c>
      <c r="C8" s="13">
        <v>8</v>
      </c>
      <c r="D8" s="539">
        <f>+'Ardh shpenz alpha'!C12</f>
        <v>660246136</v>
      </c>
      <c r="E8" s="539">
        <f>+'Ardh shpenz alpha'!D12</f>
        <v>149763816</v>
      </c>
      <c r="F8" s="8">
        <f>+'Ardh shpenz alpha'!E12</f>
        <v>43258113</v>
      </c>
      <c r="H8" s="8">
        <f>+'Ardh shpenz alpha'!F12</f>
        <v>0</v>
      </c>
    </row>
    <row r="9" spans="2:8" ht="12.75">
      <c r="B9" s="1" t="s">
        <v>79</v>
      </c>
      <c r="C9" s="13">
        <v>9</v>
      </c>
      <c r="D9" s="539">
        <f>+'Ardh shpenz alpha'!C19</f>
        <v>0</v>
      </c>
      <c r="E9" s="539">
        <f>+'Ardh shpenz alpha'!D19</f>
        <v>0</v>
      </c>
      <c r="F9" s="8">
        <f>+'Ardh shpenz alpha'!E19</f>
        <v>0</v>
      </c>
      <c r="H9" s="8">
        <f>+'Ardh shpenz alpha'!F19</f>
        <v>0</v>
      </c>
    </row>
    <row r="10" spans="2:8" ht="25.5">
      <c r="B10" s="4" t="s">
        <v>80</v>
      </c>
      <c r="H10" s="8"/>
    </row>
    <row r="11" ht="25.5">
      <c r="B11" s="4" t="s">
        <v>81</v>
      </c>
    </row>
    <row r="12" spans="2:10" ht="12.75">
      <c r="B12" s="1" t="s">
        <v>82</v>
      </c>
      <c r="C12" s="13">
        <v>10</v>
      </c>
      <c r="D12" s="539">
        <f>-'Ardh shpenz alpha'!C65-'Ardh shpenz alpha'!C68</f>
        <v>-525668898.59000003</v>
      </c>
      <c r="E12" s="539">
        <f>-'Ardh shpenz alpha'!D65-'Ardh shpenz alpha'!D68</f>
        <v>-110255969</v>
      </c>
      <c r="F12" s="8">
        <f>-'Ardh shpenz alpha'!E65-'Ardh shpenz alpha'!E68</f>
        <v>-6368015</v>
      </c>
      <c r="H12" s="8">
        <f>-'Ardh shpenz alpha'!F65-'Ardh shpenz alpha'!F68</f>
        <v>0</v>
      </c>
      <c r="I12" s="39"/>
      <c r="J12" s="8"/>
    </row>
    <row r="13" spans="2:10" ht="12.75">
      <c r="B13" s="1" t="s">
        <v>83</v>
      </c>
      <c r="C13" s="13">
        <v>11</v>
      </c>
      <c r="D13" s="539">
        <f>-'Ardh shpenz alpha'!C71-'Ardh shpenz alpha'!C76-'Ardh shpenz alpha'!C77</f>
        <v>-103591460.47</v>
      </c>
      <c r="E13" s="539">
        <f>-'Ardh shpenz alpha'!D71-'Ardh shpenz alpha'!D76-'Ardh shpenz alpha'!D77</f>
        <v>-22508031</v>
      </c>
      <c r="F13" s="8">
        <f>-'Ardh shpenz alpha'!E71-'Ardh shpenz alpha'!E76-'Ardh shpenz alpha'!E77</f>
        <v>-20533628</v>
      </c>
      <c r="H13" s="8">
        <f>-'Ardh shpenz alpha'!F71-'Ardh shpenz alpha'!F76-'Ardh shpenz alpha'!F77</f>
        <v>0</v>
      </c>
      <c r="I13" s="36"/>
      <c r="J13" s="8"/>
    </row>
    <row r="14" spans="2:9" ht="12.75">
      <c r="B14" s="1" t="s">
        <v>11</v>
      </c>
      <c r="C14" s="13">
        <v>12</v>
      </c>
      <c r="D14" s="539">
        <f>-'Ardh shpenz alpha'!C72</f>
        <v>-6164717</v>
      </c>
      <c r="E14" s="539">
        <f>-'Ardh shpenz alpha'!D72</f>
        <v>-7495042</v>
      </c>
      <c r="F14" s="8">
        <f>-'Ardh shpenz alpha'!E72</f>
        <v>-4865951</v>
      </c>
      <c r="H14" s="8">
        <f>-'Ardh shpenz alpha'!F72</f>
        <v>0</v>
      </c>
      <c r="I14" s="36"/>
    </row>
    <row r="15" spans="2:9" ht="12.75">
      <c r="B15" s="1" t="s">
        <v>84</v>
      </c>
      <c r="D15" s="541">
        <f>-'Ardh shpenz alpha'!C81</f>
        <v>-14982322</v>
      </c>
      <c r="E15" s="541">
        <f>-'Ardh shpenz alpha'!D81+75485</f>
        <v>-3789536</v>
      </c>
      <c r="F15" s="30">
        <f>-'Ardh shpenz alpha'!E81</f>
        <v>-4906625</v>
      </c>
      <c r="G15" s="31"/>
      <c r="H15" s="30">
        <f>-'Ardh shpenz alpha'!F81</f>
        <v>0</v>
      </c>
      <c r="I15" s="53"/>
    </row>
    <row r="16" spans="4:8" ht="13.5" thickBot="1">
      <c r="D16" s="542">
        <f>SUM(D8:D15)</f>
        <v>9838737.939999968</v>
      </c>
      <c r="E16" s="542">
        <f>SUM(E8:E15)</f>
        <v>5715238</v>
      </c>
      <c r="F16" s="9">
        <f>SUM(F8:F15)</f>
        <v>6583894</v>
      </c>
      <c r="G16" s="2"/>
      <c r="H16" s="16">
        <f>SUM(H8:H15)</f>
        <v>0</v>
      </c>
    </row>
    <row r="17" spans="1:9" s="2" customFormat="1" ht="13.5" thickTop="1">
      <c r="A17" s="3" t="s">
        <v>85</v>
      </c>
      <c r="C17" s="7"/>
      <c r="D17" s="543"/>
      <c r="E17" s="543"/>
      <c r="F17" s="10"/>
      <c r="I17" s="33"/>
    </row>
    <row r="18" spans="2:9" s="2" customFormat="1" ht="12.75">
      <c r="B18" s="5"/>
      <c r="C18" s="7"/>
      <c r="D18" s="543"/>
      <c r="E18" s="543"/>
      <c r="F18" s="10"/>
      <c r="I18" s="33"/>
    </row>
    <row r="19" spans="2:9" s="2" customFormat="1" ht="25.5">
      <c r="B19" s="4" t="s">
        <v>86</v>
      </c>
      <c r="C19" s="7"/>
      <c r="D19" s="539"/>
      <c r="E19" s="539"/>
      <c r="F19" s="8"/>
      <c r="G19" s="1"/>
      <c r="H19" s="1"/>
      <c r="I19" s="33"/>
    </row>
    <row r="20" ht="12.75">
      <c r="B20" s="4" t="s">
        <v>87</v>
      </c>
    </row>
    <row r="21" spans="2:11" ht="12.75">
      <c r="B21" s="1" t="s">
        <v>12</v>
      </c>
      <c r="C21" s="13">
        <v>13</v>
      </c>
      <c r="D21" s="539">
        <f>+'Ardh shpenz alpha'!C36-'Ardh shpenz alpha'!C89</f>
        <v>-2957269.4400000004</v>
      </c>
      <c r="E21" s="539">
        <f>+'Ardh shpenz alpha'!D36-'Ardh shpenz alpha'!D89</f>
        <v>-3569113.14</v>
      </c>
      <c r="F21" s="8">
        <f>+'Ardh shpenz alpha'!E36-'Ardh shpenz alpha'!E89</f>
        <v>-3280228</v>
      </c>
      <c r="H21" s="8">
        <f>+'Ardh shpenz alpha'!F36-'Ardh shpenz alpha'!F89</f>
        <v>0</v>
      </c>
      <c r="J21" s="8"/>
      <c r="K21" s="8"/>
    </row>
    <row r="22" spans="10:11" ht="12.75">
      <c r="J22" s="8"/>
      <c r="K22" s="8"/>
    </row>
    <row r="23" spans="2:10" ht="13.5" thickBot="1">
      <c r="B23" s="6" t="s">
        <v>13</v>
      </c>
      <c r="C23" s="14"/>
      <c r="D23" s="544">
        <f>+D16+D21</f>
        <v>6881468.499999967</v>
      </c>
      <c r="E23" s="544">
        <f>+E16+E21</f>
        <v>2146124.86</v>
      </c>
      <c r="F23" s="32">
        <f>+F16+F21</f>
        <v>3303666</v>
      </c>
      <c r="G23" s="33"/>
      <c r="H23" s="32">
        <f>+H16+H21</f>
        <v>0</v>
      </c>
      <c r="J23" s="567"/>
    </row>
    <row r="24" spans="3:9" s="2" customFormat="1" ht="13.5" thickTop="1">
      <c r="C24" s="14"/>
      <c r="D24" s="543"/>
      <c r="E24" s="543"/>
      <c r="F24" s="10"/>
      <c r="I24" s="33"/>
    </row>
    <row r="25" spans="2:9" s="2" customFormat="1" ht="12.75">
      <c r="B25" s="5" t="s">
        <v>14</v>
      </c>
      <c r="C25" s="14">
        <v>14</v>
      </c>
      <c r="D25" s="543">
        <f>-'Ardh shpenz alpha'!C102</f>
        <v>-728347.55</v>
      </c>
      <c r="E25" s="543">
        <f>-'Ardh shpenz alpha'!D102</f>
        <v>-214612</v>
      </c>
      <c r="F25" s="10">
        <f>-'Ardh shpenz alpha'!E102</f>
        <v>-333517</v>
      </c>
      <c r="H25" s="10">
        <f>-'Ardh shpenz alpha'!F102</f>
        <v>0</v>
      </c>
      <c r="I25" s="33"/>
    </row>
    <row r="26" spans="2:9" s="2" customFormat="1" ht="12.75">
      <c r="B26" s="5"/>
      <c r="C26" s="14"/>
      <c r="D26" s="543"/>
      <c r="E26" s="543"/>
      <c r="F26" s="10"/>
      <c r="I26" s="33"/>
    </row>
    <row r="27" spans="2:9" s="2" customFormat="1" ht="13.5" thickBot="1">
      <c r="B27" s="6" t="s">
        <v>15</v>
      </c>
      <c r="C27" s="7"/>
      <c r="D27" s="545">
        <f>+D23+D25</f>
        <v>6153120.949999968</v>
      </c>
      <c r="E27" s="545">
        <f>+E23+E25</f>
        <v>1931512.8599999999</v>
      </c>
      <c r="F27" s="16">
        <f>+F23+F25</f>
        <v>2970149</v>
      </c>
      <c r="H27" s="16">
        <f>+H23+H25</f>
        <v>0</v>
      </c>
      <c r="I27" s="33"/>
    </row>
    <row r="28" spans="4:9" s="2" customFormat="1" ht="13.5" thickTop="1">
      <c r="D28" s="543"/>
      <c r="E28" s="543"/>
      <c r="F28" s="10"/>
      <c r="I28" s="33"/>
    </row>
    <row r="29" spans="4:9" s="2" customFormat="1" ht="12.75">
      <c r="D29" s="543"/>
      <c r="E29" s="543"/>
      <c r="F29" s="10"/>
      <c r="I29" s="33"/>
    </row>
    <row r="30" spans="4:9" s="2" customFormat="1" ht="12.75">
      <c r="D30" s="543"/>
      <c r="E30" s="543"/>
      <c r="F30" s="10"/>
      <c r="I30" s="33"/>
    </row>
    <row r="31" spans="4:9" s="2" customFormat="1" ht="12.75">
      <c r="D31" s="543"/>
      <c r="E31" s="543"/>
      <c r="F31" s="10"/>
      <c r="I31" s="33"/>
    </row>
    <row r="32" spans="4:9" s="2" customFormat="1" ht="12.75">
      <c r="D32" s="543"/>
      <c r="E32" s="543"/>
      <c r="F32" s="10"/>
      <c r="I32" s="33"/>
    </row>
    <row r="33" spans="4:9" s="2" customFormat="1" ht="12.75">
      <c r="D33" s="543"/>
      <c r="E33" s="543"/>
      <c r="F33" s="10"/>
      <c r="I33" s="33"/>
    </row>
    <row r="34" spans="4:9" s="2" customFormat="1" ht="12.75">
      <c r="D34" s="543"/>
      <c r="E34" s="543"/>
      <c r="F34" s="10"/>
      <c r="I34" s="33"/>
    </row>
    <row r="35" spans="3:9" s="2" customFormat="1" ht="12.75">
      <c r="C35" s="7"/>
      <c r="D35" s="539"/>
      <c r="E35" s="539"/>
      <c r="F35" s="8"/>
      <c r="G35" s="1"/>
      <c r="H35" s="8"/>
      <c r="I35" s="33"/>
    </row>
    <row r="36" spans="2:8" ht="14.25">
      <c r="B36" s="24" t="s">
        <v>796</v>
      </c>
      <c r="C36" s="24"/>
      <c r="F36" s="89"/>
      <c r="H36" s="89"/>
    </row>
    <row r="37" spans="2:8" ht="14.25">
      <c r="B37" s="24"/>
      <c r="C37" s="24"/>
      <c r="D37" s="546"/>
      <c r="E37" s="546"/>
      <c r="F37" s="89"/>
      <c r="G37" s="90"/>
      <c r="H37" s="89"/>
    </row>
    <row r="38" spans="2:8" ht="15">
      <c r="B38" s="23"/>
      <c r="C38" s="23"/>
      <c r="D38" s="547"/>
      <c r="E38" s="547"/>
      <c r="F38" s="25"/>
      <c r="G38" s="88"/>
      <c r="H38" s="25"/>
    </row>
  </sheetData>
  <sheetProtection/>
  <printOptions/>
  <pageMargins left="0.45" right="0.55" top="0.86" bottom="0.9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="80" zoomScaleNormal="80" zoomScalePageLayoutView="0" workbookViewId="0" topLeftCell="A31">
      <selection activeCell="O20" sqref="O20"/>
    </sheetView>
  </sheetViews>
  <sheetFormatPr defaultColWidth="9.140625" defaultRowHeight="12.75"/>
  <cols>
    <col min="1" max="1" width="3.140625" style="123" customWidth="1"/>
    <col min="2" max="2" width="64.140625" style="123" customWidth="1"/>
    <col min="3" max="3" width="0.13671875" style="123" customWidth="1"/>
    <col min="4" max="4" width="17.28125" style="143" customWidth="1"/>
    <col min="5" max="5" width="19.00390625" style="143" customWidth="1"/>
    <col min="6" max="6" width="15.7109375" style="143" hidden="1" customWidth="1"/>
    <col min="7" max="7" width="3.28125" style="144" hidden="1" customWidth="1"/>
    <col min="8" max="8" width="16.28125" style="143" hidden="1" customWidth="1"/>
    <col min="9" max="9" width="2.8515625" style="123" hidden="1" customWidth="1"/>
    <col min="10" max="10" width="13.140625" style="122" hidden="1" customWidth="1"/>
    <col min="11" max="11" width="13.140625" style="122" bestFit="1" customWidth="1"/>
    <col min="12" max="12" width="13.8515625" style="123" bestFit="1" customWidth="1"/>
    <col min="13" max="13" width="9.8515625" style="123" bestFit="1" customWidth="1"/>
    <col min="14" max="14" width="9.140625" style="123" customWidth="1"/>
    <col min="15" max="15" width="13.140625" style="123" bestFit="1" customWidth="1"/>
    <col min="16" max="16384" width="9.140625" style="123" customWidth="1"/>
  </cols>
  <sheetData>
    <row r="1" ht="15.75">
      <c r="A1" s="40" t="s">
        <v>795</v>
      </c>
    </row>
    <row r="2" ht="15.75">
      <c r="A2" s="145" t="s">
        <v>25</v>
      </c>
    </row>
    <row r="3" spans="1:11" s="120" customFormat="1" ht="15.75">
      <c r="A3" s="146" t="s">
        <v>577</v>
      </c>
      <c r="D3" s="147"/>
      <c r="E3" s="147"/>
      <c r="F3" s="147"/>
      <c r="G3" s="148"/>
      <c r="H3" s="147"/>
      <c r="J3" s="142"/>
      <c r="K3" s="142"/>
    </row>
    <row r="4" spans="1:11" s="120" customFormat="1" ht="15.75">
      <c r="A4" s="124" t="s">
        <v>97</v>
      </c>
      <c r="D4" s="147"/>
      <c r="E4" s="147"/>
      <c r="F4" s="147"/>
      <c r="G4" s="148"/>
      <c r="H4" s="147"/>
      <c r="J4" s="142"/>
      <c r="K4" s="142"/>
    </row>
    <row r="5" spans="4:11" s="120" customFormat="1" ht="15.75">
      <c r="D5" s="150"/>
      <c r="E5" s="150"/>
      <c r="F5" s="150"/>
      <c r="G5" s="148"/>
      <c r="H5" s="150"/>
      <c r="J5" s="142"/>
      <c r="K5" s="142"/>
    </row>
    <row r="6" spans="2:11" s="120" customFormat="1" ht="16.5" customHeight="1" thickBot="1">
      <c r="B6" s="149"/>
      <c r="C6" s="149"/>
      <c r="D6" s="151" t="s">
        <v>573</v>
      </c>
      <c r="E6" s="151" t="s">
        <v>551</v>
      </c>
      <c r="F6" s="151" t="s">
        <v>94</v>
      </c>
      <c r="G6" s="148"/>
      <c r="H6" s="151" t="s">
        <v>96</v>
      </c>
      <c r="J6" s="142"/>
      <c r="K6" s="142"/>
    </row>
    <row r="7" spans="1:11" s="120" customFormat="1" ht="16.5" thickTop="1">
      <c r="A7" s="125" t="s">
        <v>26</v>
      </c>
      <c r="D7" s="150"/>
      <c r="E7" s="150"/>
      <c r="F7" s="150"/>
      <c r="G7" s="148"/>
      <c r="H7" s="150"/>
      <c r="J7" s="142"/>
      <c r="K7" s="142"/>
    </row>
    <row r="8" spans="2:11" s="120" customFormat="1" ht="15.75">
      <c r="B8" s="120" t="s">
        <v>27</v>
      </c>
      <c r="D8" s="152">
        <f>+'ardh-shpenz'!D23</f>
        <v>6881468.499999967</v>
      </c>
      <c r="E8" s="152">
        <f>+'ardh-shpenz'!E23</f>
        <v>2146124.86</v>
      </c>
      <c r="F8" s="152">
        <f>+'ardh-shpenz'!F23</f>
        <v>3303666</v>
      </c>
      <c r="G8" s="148"/>
      <c r="H8" s="152">
        <f>+'ardh-shpenz'!H23</f>
        <v>0</v>
      </c>
      <c r="J8" s="142"/>
      <c r="K8" s="142"/>
    </row>
    <row r="9" spans="2:11" s="120" customFormat="1" ht="15.75">
      <c r="B9" s="120" t="s">
        <v>28</v>
      </c>
      <c r="D9" s="152"/>
      <c r="E9" s="152"/>
      <c r="F9" s="152"/>
      <c r="G9" s="148"/>
      <c r="H9" s="147"/>
      <c r="J9" s="142"/>
      <c r="K9" s="142"/>
    </row>
    <row r="10" spans="2:11" s="120" customFormat="1" ht="15.75">
      <c r="B10" s="120" t="s">
        <v>29</v>
      </c>
      <c r="D10" s="152">
        <f>-'ardh-shpenz'!D15</f>
        <v>14982322</v>
      </c>
      <c r="E10" s="152">
        <f>-'ardh-shpenz'!E15</f>
        <v>3789536</v>
      </c>
      <c r="F10" s="152">
        <f>-'ardh-shpenz'!F15</f>
        <v>4906625</v>
      </c>
      <c r="G10" s="148"/>
      <c r="H10" s="152">
        <f>-'ardh-shpenz'!H15</f>
        <v>0</v>
      </c>
      <c r="J10" s="142"/>
      <c r="K10" s="142"/>
    </row>
    <row r="11" spans="2:14" s="120" customFormat="1" ht="15.75">
      <c r="B11" s="120" t="s">
        <v>30</v>
      </c>
      <c r="D11" s="152">
        <f>+'BK'!F27-'BK'!D27+'BK'!D51-'BK'!F51</f>
        <v>0</v>
      </c>
      <c r="E11" s="152">
        <f>+'BK'!G27-'BK'!E27+'BK'!E51-'BK'!G51</f>
        <v>0</v>
      </c>
      <c r="F11" s="152">
        <f>+'BK'!H27-'BK'!F27+'BK'!F51-'BK'!H51</f>
        <v>0</v>
      </c>
      <c r="G11" s="148"/>
      <c r="H11" s="152">
        <f>+'BK'!J27-'BK'!H27+'BK'!H51-'BK'!J51</f>
        <v>0</v>
      </c>
      <c r="J11" s="142"/>
      <c r="K11" s="142"/>
      <c r="N11" s="152"/>
    </row>
    <row r="12" spans="2:11" s="120" customFormat="1" ht="15.75">
      <c r="B12" s="120" t="s">
        <v>31</v>
      </c>
      <c r="D12" s="150"/>
      <c r="E12" s="150"/>
      <c r="F12" s="150"/>
      <c r="G12" s="148"/>
      <c r="H12" s="150"/>
      <c r="J12" s="147"/>
      <c r="K12" s="142"/>
    </row>
    <row r="13" spans="2:11" s="120" customFormat="1" ht="15.75">
      <c r="B13" s="120" t="s">
        <v>32</v>
      </c>
      <c r="D13" s="150"/>
      <c r="E13" s="150"/>
      <c r="F13" s="150"/>
      <c r="G13" s="148"/>
      <c r="H13" s="150"/>
      <c r="J13" s="142"/>
      <c r="K13" s="142"/>
    </row>
    <row r="14" spans="2:11" s="120" customFormat="1" ht="15.75">
      <c r="B14" s="149"/>
      <c r="C14" s="149"/>
      <c r="D14" s="150"/>
      <c r="E14" s="150"/>
      <c r="F14" s="150"/>
      <c r="G14" s="148"/>
      <c r="H14" s="150"/>
      <c r="J14" s="142"/>
      <c r="K14" s="142"/>
    </row>
    <row r="15" spans="2:11" s="120" customFormat="1" ht="31.5">
      <c r="B15" s="153" t="s">
        <v>89</v>
      </c>
      <c r="C15" s="153"/>
      <c r="D15" s="147">
        <f>+'BK'!F12-'BK'!D12+'BK'!F13-'BK'!D13+'BK'!F25-'BK'!D25+'BK'!F26-'BK'!D26</f>
        <v>-152869483.10000002</v>
      </c>
      <c r="E15" s="147">
        <f>+'BK'!G12-'BK'!E12+'BK'!G13-'BK'!E13+'BK'!G25-'BK'!E25+'BK'!G26-'BK'!E26</f>
        <v>-144767670</v>
      </c>
      <c r="F15" s="147">
        <f>+'BK'!H12-'BK'!F12+'BK'!H13-'BK'!F13+'BK'!H25-'BK'!F25+'BK'!H26-'BK'!F26</f>
        <v>-19954736</v>
      </c>
      <c r="G15" s="154"/>
      <c r="H15" s="147">
        <f>+'BK'!J12-'BK'!H12+'BK'!J13-'BK'!H13+'BK'!J25-'BK'!H25+'BK'!J26-'BK'!H26</f>
        <v>0</v>
      </c>
      <c r="J15" s="142"/>
      <c r="K15" s="142"/>
    </row>
    <row r="16" spans="4:11" s="120" customFormat="1" ht="15.75">
      <c r="D16" s="150"/>
      <c r="E16" s="150"/>
      <c r="F16" s="150"/>
      <c r="G16" s="155"/>
      <c r="H16" s="150"/>
      <c r="J16" s="142"/>
      <c r="K16" s="142"/>
    </row>
    <row r="17" spans="2:11" s="120" customFormat="1" ht="15.75">
      <c r="B17" s="120" t="s">
        <v>33</v>
      </c>
      <c r="D17" s="152">
        <f>+'BK'!F18+'BK'!F19+'BK'!F20+'BK'!F21+'BK'!F22-'BK'!D22-'BK'!D21-'BK'!D20-'BK'!D19-'BK'!D18</f>
        <v>388386</v>
      </c>
      <c r="E17" s="152">
        <f>+'BK'!G18+'BK'!G19+'BK'!G20+'BK'!G21+'BK'!G22-'BK'!E22-'BK'!E21-'BK'!E20-'BK'!E19-'BK'!E18</f>
        <v>-47983</v>
      </c>
      <c r="F17" s="152">
        <f>+'BK'!H18+'BK'!H19+'BK'!H20+'BK'!H21+'BK'!H22-'BK'!F22-'BK'!F21-'BK'!F20-'BK'!F19-'BK'!F18</f>
        <v>-388386</v>
      </c>
      <c r="G17" s="156"/>
      <c r="H17" s="152">
        <f>+'BK'!J18+'BK'!J19+'BK'!J20+'BK'!J21+'BK'!J22-'BK'!H22-'BK'!H21-'BK'!H20-'BK'!H19-'BK'!H18</f>
        <v>0</v>
      </c>
      <c r="J17" s="142"/>
      <c r="K17" s="142"/>
    </row>
    <row r="18" spans="2:11" s="120" customFormat="1" ht="15.75">
      <c r="B18" s="120" t="s">
        <v>130</v>
      </c>
      <c r="D18" s="147">
        <f>'BK'!D43-'BK'!F43+'BK'!D45-'BK'!F45+'BK'!D46-'BK'!F46+'BK'!D47-'BK'!F47+'BK'!D48-'BK'!F48+'BK'!D49-'BK'!F49+'BK'!D50-'BK'!F50-D21+'ardh-shpenz'!D25</f>
        <v>138176307.36</v>
      </c>
      <c r="E18" s="147">
        <f>'BK'!E43-'BK'!G43+'BK'!E45-'BK'!G45+'BK'!E46-'BK'!G46+'BK'!E47-'BK'!G47+'BK'!E48-'BK'!G48+'BK'!E49-'BK'!G49+'BK'!E50-'BK'!G50-E21+'ardh-shpenz'!E25</f>
        <v>279291726</v>
      </c>
      <c r="F18" s="147">
        <f>'BK'!F43-'BK'!H43+'BK'!F45-'BK'!H45+'BK'!F46-'BK'!H46+'BK'!F47-'BK'!H47+'BK'!F48-'BK'!H48+'BK'!F49-'BK'!H49+'BK'!F50-'BK'!H50-F21+'ardh-shpenz'!F25</f>
        <v>77072427</v>
      </c>
      <c r="G18" s="154"/>
      <c r="H18" s="147">
        <f>'BK'!H43-'BK'!J43+'BK'!H45-'BK'!J45+'BK'!H46-'BK'!J46+'BK'!H47-'BK'!J47+'BK'!H48-'BK'!J48+'BK'!H49-'BK'!J49+'BK'!H50-'BK'!J50-H21+'ardh-shpenz'!H25</f>
        <v>1000000</v>
      </c>
      <c r="J18" s="142"/>
      <c r="K18" s="142"/>
    </row>
    <row r="19" spans="2:15" s="120" customFormat="1" ht="15.75">
      <c r="B19" s="146" t="s">
        <v>34</v>
      </c>
      <c r="C19" s="146"/>
      <c r="D19" s="157">
        <f>SUM(D8:D18)</f>
        <v>7559000.759999961</v>
      </c>
      <c r="E19" s="157">
        <f>SUM(E8:E18)</f>
        <v>140411733.86</v>
      </c>
      <c r="F19" s="157">
        <f>SUM(F8:F18)</f>
        <v>64939596</v>
      </c>
      <c r="G19" s="158"/>
      <c r="H19" s="157">
        <f>SUM(H8:H18)</f>
        <v>1000000</v>
      </c>
      <c r="J19" s="142"/>
      <c r="K19" s="142"/>
      <c r="O19" s="159"/>
    </row>
    <row r="20" spans="2:11" s="120" customFormat="1" ht="12.75" customHeight="1">
      <c r="B20" s="120" t="s">
        <v>16</v>
      </c>
      <c r="D20" s="150"/>
      <c r="E20" s="150"/>
      <c r="F20" s="150"/>
      <c r="G20" s="155"/>
      <c r="H20" s="150"/>
      <c r="J20" s="142"/>
      <c r="K20" s="142"/>
    </row>
    <row r="21" spans="2:11" s="120" customFormat="1" ht="12.75" customHeight="1">
      <c r="B21" s="120" t="s">
        <v>17</v>
      </c>
      <c r="D21" s="152">
        <v>-176936</v>
      </c>
      <c r="E21" s="152">
        <v>-176936</v>
      </c>
      <c r="F21" s="152">
        <v>-176936</v>
      </c>
      <c r="G21" s="155"/>
      <c r="H21" s="152">
        <v>-1000000</v>
      </c>
      <c r="J21" s="142"/>
      <c r="K21" s="142"/>
    </row>
    <row r="22" spans="4:11" s="120" customFormat="1" ht="15.75">
      <c r="D22" s="150"/>
      <c r="E22" s="150"/>
      <c r="F22" s="150"/>
      <c r="G22" s="155"/>
      <c r="H22" s="150"/>
      <c r="J22" s="142"/>
      <c r="K22" s="142"/>
    </row>
    <row r="23" spans="1:11" s="120" customFormat="1" ht="15.75">
      <c r="A23" s="160" t="s">
        <v>18</v>
      </c>
      <c r="D23" s="161">
        <f>SUM(D19:D22)</f>
        <v>7382064.759999961</v>
      </c>
      <c r="E23" s="161">
        <f>SUM(E19:E22)</f>
        <v>140234797.86</v>
      </c>
      <c r="F23" s="161">
        <f>SUM(F19:F22)</f>
        <v>64762660</v>
      </c>
      <c r="G23" s="155"/>
      <c r="H23" s="161">
        <f>SUM(H19:H22)</f>
        <v>0</v>
      </c>
      <c r="J23" s="142"/>
      <c r="K23" s="142"/>
    </row>
    <row r="24" spans="1:11" s="120" customFormat="1" ht="15.75">
      <c r="A24" s="160"/>
      <c r="D24" s="147"/>
      <c r="E24" s="147"/>
      <c r="F24" s="147"/>
      <c r="G24" s="155"/>
      <c r="H24" s="147"/>
      <c r="J24" s="142"/>
      <c r="K24" s="142"/>
    </row>
    <row r="25" spans="2:11" s="120" customFormat="1" ht="15.75">
      <c r="B25" s="120" t="s">
        <v>35</v>
      </c>
      <c r="D25" s="147"/>
      <c r="E25" s="147"/>
      <c r="F25" s="147"/>
      <c r="G25" s="155"/>
      <c r="H25" s="147"/>
      <c r="J25" s="142"/>
      <c r="K25" s="142"/>
    </row>
    <row r="26" spans="2:11" s="120" customFormat="1" ht="15.75">
      <c r="B26" s="120" t="s">
        <v>36</v>
      </c>
      <c r="D26" s="152">
        <f>-'BK'!D33+'BK'!F33+'ardh-shpenz'!D15</f>
        <v>-10617248.269999996</v>
      </c>
      <c r="E26" s="152">
        <f>-'BK'!E33+'BK'!G33+'ardh-shpenz'!E15</f>
        <v>-77792746</v>
      </c>
      <c r="F26" s="152">
        <f>-'BK'!F33+'BK'!H33+'ardh-shpenz'!F15</f>
        <v>-60749370</v>
      </c>
      <c r="G26" s="158"/>
      <c r="H26" s="152">
        <f>-'BK'!H33+'BK'!J33+'ardh-shpenz'!H15</f>
        <v>0</v>
      </c>
      <c r="J26" s="142"/>
      <c r="K26" s="142"/>
    </row>
    <row r="27" spans="2:11" s="120" customFormat="1" ht="15.75">
      <c r="B27" s="120" t="s">
        <v>37</v>
      </c>
      <c r="D27" s="150"/>
      <c r="E27" s="150"/>
      <c r="F27" s="150"/>
      <c r="G27" s="155"/>
      <c r="H27" s="150"/>
      <c r="J27" s="142"/>
      <c r="K27" s="142"/>
    </row>
    <row r="28" spans="2:11" s="120" customFormat="1" ht="12.75" customHeight="1">
      <c r="B28" s="120" t="s">
        <v>19</v>
      </c>
      <c r="D28" s="150"/>
      <c r="E28" s="150"/>
      <c r="F28" s="150"/>
      <c r="G28" s="155"/>
      <c r="H28" s="150"/>
      <c r="J28" s="142"/>
      <c r="K28" s="142"/>
    </row>
    <row r="29" spans="2:11" s="120" customFormat="1" ht="12.75" customHeight="1">
      <c r="B29" s="120" t="s">
        <v>20</v>
      </c>
      <c r="D29" s="162"/>
      <c r="E29" s="162"/>
      <c r="F29" s="162"/>
      <c r="G29" s="155"/>
      <c r="H29" s="150"/>
      <c r="J29" s="142"/>
      <c r="K29" s="142"/>
    </row>
    <row r="30" spans="2:11" s="120" customFormat="1" ht="15.75">
      <c r="B30" s="149"/>
      <c r="C30" s="149"/>
      <c r="D30" s="150"/>
      <c r="E30" s="150"/>
      <c r="F30" s="150"/>
      <c r="G30" s="155"/>
      <c r="H30" s="150"/>
      <c r="J30" s="142"/>
      <c r="K30" s="142"/>
    </row>
    <row r="31" spans="2:11" s="120" customFormat="1" ht="15.75">
      <c r="B31" s="121" t="s">
        <v>90</v>
      </c>
      <c r="C31" s="121"/>
      <c r="D31" s="161">
        <f>SUM(D25:D29)</f>
        <v>-10617248.269999996</v>
      </c>
      <c r="E31" s="161">
        <f>SUM(E25:E29)</f>
        <v>-77792746</v>
      </c>
      <c r="F31" s="161">
        <f>SUM(F25:F29)</f>
        <v>-60749370</v>
      </c>
      <c r="G31" s="155"/>
      <c r="H31" s="161">
        <f>SUM(H25:H29)</f>
        <v>0</v>
      </c>
      <c r="J31" s="142"/>
      <c r="K31" s="142"/>
    </row>
    <row r="32" spans="2:11" s="120" customFormat="1" ht="15.75">
      <c r="B32" s="149"/>
      <c r="C32" s="149"/>
      <c r="D32" s="150"/>
      <c r="E32" s="150"/>
      <c r="F32" s="150"/>
      <c r="G32" s="155"/>
      <c r="H32" s="150"/>
      <c r="J32" s="142"/>
      <c r="K32" s="142"/>
    </row>
    <row r="33" spans="2:11" s="120" customFormat="1" ht="15.75">
      <c r="B33" s="120" t="s">
        <v>92</v>
      </c>
      <c r="D33" s="147">
        <v>0</v>
      </c>
      <c r="E33" s="147">
        <v>0</v>
      </c>
      <c r="F33" s="147">
        <v>0</v>
      </c>
      <c r="G33" s="155"/>
      <c r="H33" s="147">
        <v>0</v>
      </c>
      <c r="J33" s="142"/>
      <c r="K33" s="142"/>
    </row>
    <row r="34" spans="2:11" s="120" customFormat="1" ht="15.75">
      <c r="B34" s="120" t="s">
        <v>21</v>
      </c>
      <c r="D34" s="147"/>
      <c r="E34" s="147"/>
      <c r="F34" s="147"/>
      <c r="G34" s="155"/>
      <c r="H34" s="147"/>
      <c r="J34" s="142"/>
      <c r="K34" s="142"/>
    </row>
    <row r="35" spans="2:11" s="120" customFormat="1" ht="15.75">
      <c r="B35" s="120" t="s">
        <v>38</v>
      </c>
      <c r="D35" s="152">
        <f>+'BK'!D57-'BK'!F57</f>
        <v>0</v>
      </c>
      <c r="E35" s="152">
        <f>+'BK'!E57-'BK'!G57</f>
        <v>0</v>
      </c>
      <c r="F35" s="152">
        <f>+'BK'!F57-'BK'!H57</f>
        <v>0</v>
      </c>
      <c r="G35" s="155"/>
      <c r="H35" s="152">
        <f>+'BK'!H57-'BK'!J57</f>
        <v>0</v>
      </c>
      <c r="J35" s="152"/>
      <c r="K35" s="142"/>
    </row>
    <row r="36" spans="2:11" s="120" customFormat="1" ht="15.75">
      <c r="B36" s="120" t="s">
        <v>22</v>
      </c>
      <c r="D36" s="150"/>
      <c r="E36" s="150"/>
      <c r="F36" s="150"/>
      <c r="G36" s="155"/>
      <c r="H36" s="150"/>
      <c r="J36" s="142"/>
      <c r="K36" s="142"/>
    </row>
    <row r="37" spans="2:11" s="120" customFormat="1" ht="15.75" customHeight="1">
      <c r="B37" s="120" t="s">
        <v>39</v>
      </c>
      <c r="D37" s="163">
        <f>+'BK'!D64+'BK'!D65+'BK'!D66+'BK'!D67+'BK'!D68+'BK'!D69-'BK'!F64-'BK'!F65-'BK'!F66-'BK'!F67-'BK'!F68-'BK'!F69+-'BK'!F70</f>
        <v>1931512</v>
      </c>
      <c r="E37" s="163">
        <f>+'BK'!E64+'BK'!E65+'BK'!E66+'BK'!E67+'BK'!E68+'BK'!E69-'BK'!G64-'BK'!G65-'BK'!G66-'BK'!G67-'BK'!G68-'BK'!G69+-'BK'!G70</f>
        <v>1230850</v>
      </c>
      <c r="F37" s="163">
        <f>+'BK'!F64+'BK'!F65+'BK'!F66+'BK'!F67+'BK'!F68+'BK'!F69-'BK'!H64-'BK'!H65-'BK'!H66-'BK'!H67-'BK'!H68-'BK'!H69+-'BK'!H70</f>
        <v>0</v>
      </c>
      <c r="G37" s="158"/>
      <c r="H37" s="152">
        <v>0</v>
      </c>
      <c r="J37" s="142"/>
      <c r="K37" s="142"/>
    </row>
    <row r="38" spans="2:11" s="120" customFormat="1" ht="15.75">
      <c r="B38" s="149"/>
      <c r="C38" s="149"/>
      <c r="D38" s="150"/>
      <c r="E38" s="150"/>
      <c r="F38" s="150"/>
      <c r="G38" s="155"/>
      <c r="H38" s="150"/>
      <c r="J38" s="142"/>
      <c r="K38" s="142"/>
    </row>
    <row r="39" spans="2:12" s="120" customFormat="1" ht="15.75">
      <c r="B39" s="121" t="s">
        <v>131</v>
      </c>
      <c r="C39" s="121"/>
      <c r="D39" s="161">
        <f>SUM(D33:D38)</f>
        <v>1931512</v>
      </c>
      <c r="E39" s="161">
        <f>SUM(E33:E38)</f>
        <v>1230850</v>
      </c>
      <c r="F39" s="161">
        <f>SUM(F33:F38)</f>
        <v>0</v>
      </c>
      <c r="G39" s="155"/>
      <c r="H39" s="161">
        <f>SUM(H33:H38)</f>
        <v>0</v>
      </c>
      <c r="J39" s="142"/>
      <c r="K39" s="142"/>
      <c r="L39" s="159"/>
    </row>
    <row r="40" spans="2:11" s="120" customFormat="1" ht="15.75">
      <c r="B40" s="149"/>
      <c r="C40" s="149"/>
      <c r="D40" s="150"/>
      <c r="E40" s="150"/>
      <c r="F40" s="150"/>
      <c r="G40" s="155"/>
      <c r="H40" s="150"/>
      <c r="J40" s="142"/>
      <c r="K40" s="147"/>
    </row>
    <row r="41" spans="2:11" s="120" customFormat="1" ht="15.75">
      <c r="B41" s="160" t="s">
        <v>23</v>
      </c>
      <c r="C41" s="160"/>
      <c r="D41" s="164">
        <f>+D39+D23+D31</f>
        <v>-1303671.5100000352</v>
      </c>
      <c r="E41" s="164">
        <f>+E39+E23+E31</f>
        <v>63672901.860000014</v>
      </c>
      <c r="F41" s="164">
        <f>+F39+F23+F31</f>
        <v>4013290</v>
      </c>
      <c r="G41" s="155"/>
      <c r="H41" s="164">
        <f>+H39+H23+H31</f>
        <v>0</v>
      </c>
      <c r="J41" s="142"/>
      <c r="K41" s="147"/>
    </row>
    <row r="42" spans="2:11" s="120" customFormat="1" ht="15.75">
      <c r="B42" s="160"/>
      <c r="C42" s="160"/>
      <c r="D42" s="152"/>
      <c r="E42" s="152"/>
      <c r="F42" s="152"/>
      <c r="G42" s="155"/>
      <c r="H42" s="152"/>
      <c r="J42" s="142"/>
      <c r="K42" s="142"/>
    </row>
    <row r="43" spans="2:11" s="120" customFormat="1" ht="15.75">
      <c r="B43" s="160" t="s">
        <v>91</v>
      </c>
      <c r="C43" s="160"/>
      <c r="D43" s="165">
        <f>+E44</f>
        <v>817141</v>
      </c>
      <c r="E43" s="165">
        <f>+F44</f>
        <v>2188575</v>
      </c>
      <c r="F43" s="165">
        <f>+H44</f>
        <v>0</v>
      </c>
      <c r="G43" s="166"/>
      <c r="H43" s="165">
        <f>+'BK'!J8</f>
        <v>0</v>
      </c>
      <c r="J43" s="142"/>
      <c r="K43" s="142"/>
    </row>
    <row r="44" spans="2:11" s="120" customFormat="1" ht="15.75">
      <c r="B44" s="160" t="s">
        <v>24</v>
      </c>
      <c r="C44" s="160"/>
      <c r="D44" s="167">
        <f>+'BK'!D8</f>
        <v>970319.21</v>
      </c>
      <c r="E44" s="167">
        <f>+'BK'!E8</f>
        <v>817141</v>
      </c>
      <c r="F44" s="167">
        <f>+'BK'!F8</f>
        <v>2188575</v>
      </c>
      <c r="G44" s="168"/>
      <c r="H44" s="167">
        <f>+'BK'!H8</f>
        <v>0</v>
      </c>
      <c r="J44" s="142"/>
      <c r="K44" s="142"/>
    </row>
    <row r="45" spans="4:11" s="120" customFormat="1" ht="15.75">
      <c r="D45" s="147"/>
      <c r="E45" s="147"/>
      <c r="F45" s="147"/>
      <c r="G45" s="148"/>
      <c r="H45" s="147"/>
      <c r="J45" s="142"/>
      <c r="K45" s="142"/>
    </row>
    <row r="46" spans="4:11" s="120" customFormat="1" ht="15.75">
      <c r="D46" s="147"/>
      <c r="E46" s="147"/>
      <c r="F46" s="147"/>
      <c r="G46" s="154"/>
      <c r="H46" s="147"/>
      <c r="J46" s="142"/>
      <c r="K46" s="142"/>
    </row>
    <row r="49" spans="2:3" ht="15.75">
      <c r="B49" s="137"/>
      <c r="C49" s="137"/>
    </row>
    <row r="50" spans="2:8" ht="15.75">
      <c r="B50" s="133" t="s">
        <v>452</v>
      </c>
      <c r="C50" s="133"/>
      <c r="D50" s="139"/>
      <c r="E50" s="139"/>
      <c r="F50" s="139"/>
      <c r="G50" s="140" t="s">
        <v>451</v>
      </c>
      <c r="H50" s="139"/>
    </row>
    <row r="51" spans="2:8" ht="15.75">
      <c r="B51" s="133"/>
      <c r="C51" s="133"/>
      <c r="D51" s="139"/>
      <c r="E51" s="139"/>
      <c r="F51" s="139"/>
      <c r="G51" s="140"/>
      <c r="H51" s="139"/>
    </row>
    <row r="52" spans="2:8" ht="15.75">
      <c r="B52" s="121"/>
      <c r="C52" s="121"/>
      <c r="D52" s="129"/>
      <c r="E52" s="129"/>
      <c r="F52" s="129"/>
      <c r="G52" s="141"/>
      <c r="H52" s="129"/>
    </row>
  </sheetData>
  <sheetProtection/>
  <printOptions/>
  <pageMargins left="0.59" right="0.59" top="0.81" bottom="0.67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4.28125" style="93" customWidth="1"/>
    <col min="2" max="2" width="35.28125" style="93" customWidth="1"/>
    <col min="3" max="3" width="9.8515625" style="93" bestFit="1" customWidth="1"/>
    <col min="4" max="4" width="11.7109375" style="93" customWidth="1"/>
    <col min="5" max="5" width="9.7109375" style="93" customWidth="1"/>
    <col min="6" max="6" width="9.140625" style="93" customWidth="1"/>
    <col min="7" max="7" width="13.140625" style="93" customWidth="1"/>
    <col min="8" max="8" width="10.421875" style="93" bestFit="1" customWidth="1"/>
    <col min="9" max="9" width="9.8515625" style="93" bestFit="1" customWidth="1"/>
    <col min="10" max="10" width="9.8515625" style="93" customWidth="1"/>
    <col min="11" max="11" width="9.8515625" style="93" bestFit="1" customWidth="1"/>
    <col min="12" max="16384" width="9.140625" style="93" customWidth="1"/>
  </cols>
  <sheetData>
    <row r="1" ht="15.75">
      <c r="A1" s="40" t="s">
        <v>794</v>
      </c>
    </row>
    <row r="2" ht="16.5">
      <c r="A2" s="11" t="s">
        <v>574</v>
      </c>
    </row>
    <row r="3" ht="16.5">
      <c r="A3" s="11" t="s">
        <v>97</v>
      </c>
    </row>
    <row r="5" spans="2:11" ht="13.5" thickBot="1">
      <c r="B5" s="571"/>
      <c r="C5" s="572" t="s">
        <v>454</v>
      </c>
      <c r="D5" s="572"/>
      <c r="E5" s="572"/>
      <c r="F5" s="572"/>
      <c r="G5" s="572"/>
      <c r="H5" s="572"/>
      <c r="I5" s="572"/>
      <c r="J5" s="92"/>
      <c r="K5" s="171"/>
    </row>
    <row r="6" spans="2:11" ht="63" customHeight="1">
      <c r="B6" s="571"/>
      <c r="C6" s="94" t="s">
        <v>93</v>
      </c>
      <c r="D6" s="94" t="s">
        <v>455</v>
      </c>
      <c r="E6" s="94" t="s">
        <v>456</v>
      </c>
      <c r="F6" s="94" t="s">
        <v>457</v>
      </c>
      <c r="G6" s="94" t="s">
        <v>458</v>
      </c>
      <c r="H6" s="94" t="s">
        <v>459</v>
      </c>
      <c r="I6" s="94" t="s">
        <v>2</v>
      </c>
      <c r="J6" s="169" t="s">
        <v>460</v>
      </c>
      <c r="K6" s="172" t="s">
        <v>2</v>
      </c>
    </row>
    <row r="7" spans="1:11" ht="26.25" customHeight="1">
      <c r="A7" s="93" t="s">
        <v>474</v>
      </c>
      <c r="B7" s="95" t="s">
        <v>575</v>
      </c>
      <c r="C7" s="96">
        <v>100000</v>
      </c>
      <c r="D7" s="96"/>
      <c r="E7" s="96"/>
      <c r="F7" s="96">
        <v>0</v>
      </c>
      <c r="G7" s="96"/>
      <c r="H7" s="96">
        <f>+'Bilanci Alpha'!E76</f>
        <v>1130850</v>
      </c>
      <c r="I7" s="96">
        <f>+C7+H7+F7</f>
        <v>1230850</v>
      </c>
      <c r="J7" s="170"/>
      <c r="K7" s="174">
        <f>+I7</f>
        <v>1230850</v>
      </c>
    </row>
    <row r="8" spans="1:11" ht="12.75">
      <c r="A8" s="93" t="s">
        <v>167</v>
      </c>
      <c r="B8" s="97" t="s">
        <v>461</v>
      </c>
      <c r="C8" s="96"/>
      <c r="D8" s="96"/>
      <c r="E8" s="96"/>
      <c r="F8" s="96"/>
      <c r="G8" s="96"/>
      <c r="H8" s="96"/>
      <c r="I8" s="96"/>
      <c r="J8" s="170"/>
      <c r="K8" s="173"/>
    </row>
    <row r="9" spans="1:11" ht="12.75">
      <c r="A9" s="93" t="s">
        <v>169</v>
      </c>
      <c r="B9" s="97" t="s">
        <v>462</v>
      </c>
      <c r="C9" s="96"/>
      <c r="D9" s="96"/>
      <c r="E9" s="96"/>
      <c r="F9" s="96"/>
      <c r="G9" s="96"/>
      <c r="H9" s="96"/>
      <c r="I9" s="96"/>
      <c r="J9" s="170"/>
      <c r="K9" s="173"/>
    </row>
    <row r="10" spans="1:11" ht="25.5">
      <c r="A10" s="93">
        <v>1</v>
      </c>
      <c r="B10" s="97" t="s">
        <v>463</v>
      </c>
      <c r="C10" s="96"/>
      <c r="D10" s="96"/>
      <c r="E10" s="96"/>
      <c r="F10" s="96"/>
      <c r="G10" s="96"/>
      <c r="H10" s="96"/>
      <c r="I10" s="96"/>
      <c r="J10" s="170"/>
      <c r="K10" s="173"/>
    </row>
    <row r="11" spans="1:11" ht="38.25">
      <c r="A11" s="93">
        <v>2</v>
      </c>
      <c r="B11" s="97" t="s">
        <v>464</v>
      </c>
      <c r="C11" s="96"/>
      <c r="D11" s="96"/>
      <c r="E11" s="96"/>
      <c r="F11" s="96"/>
      <c r="G11" s="96"/>
      <c r="H11" s="96"/>
      <c r="I11" s="96"/>
      <c r="J11" s="170"/>
      <c r="K11" s="173"/>
    </row>
    <row r="12" spans="1:11" ht="12.75">
      <c r="A12" s="93">
        <v>3</v>
      </c>
      <c r="B12" s="97" t="s">
        <v>465</v>
      </c>
      <c r="C12" s="96"/>
      <c r="D12" s="96"/>
      <c r="E12" s="96"/>
      <c r="F12" s="96"/>
      <c r="G12" s="96"/>
      <c r="H12" s="96">
        <f>+'Bilanci Alpha'!E77-1</f>
        <v>1931512</v>
      </c>
      <c r="I12" s="96">
        <f>+C12+H12+F12</f>
        <v>1931512</v>
      </c>
      <c r="J12" s="170"/>
      <c r="K12" s="173">
        <f>+H12</f>
        <v>1931512</v>
      </c>
    </row>
    <row r="13" spans="1:11" ht="12.75">
      <c r="A13" s="93">
        <v>4</v>
      </c>
      <c r="B13" s="97" t="s">
        <v>466</v>
      </c>
      <c r="C13" s="96"/>
      <c r="D13" s="96"/>
      <c r="E13" s="96"/>
      <c r="F13" s="96"/>
      <c r="G13" s="96"/>
      <c r="H13" s="96"/>
      <c r="I13" s="96"/>
      <c r="J13" s="170"/>
      <c r="K13" s="173"/>
    </row>
    <row r="14" spans="1:11" ht="25.5">
      <c r="A14" s="93">
        <v>5</v>
      </c>
      <c r="B14" s="97" t="s">
        <v>467</v>
      </c>
      <c r="C14" s="96"/>
      <c r="D14" s="96"/>
      <c r="E14" s="96"/>
      <c r="F14" s="96"/>
      <c r="G14" s="96"/>
      <c r="H14" s="96"/>
      <c r="I14" s="96"/>
      <c r="J14" s="170"/>
      <c r="K14" s="173"/>
    </row>
    <row r="15" spans="1:11" ht="12.75">
      <c r="A15" s="93">
        <v>6</v>
      </c>
      <c r="B15" s="97" t="s">
        <v>468</v>
      </c>
      <c r="C15" s="96">
        <v>0</v>
      </c>
      <c r="D15" s="96"/>
      <c r="E15" s="96"/>
      <c r="F15" s="96">
        <v>0</v>
      </c>
      <c r="G15" s="96"/>
      <c r="H15" s="96">
        <v>0</v>
      </c>
      <c r="I15" s="96"/>
      <c r="J15" s="170"/>
      <c r="K15" s="173"/>
    </row>
    <row r="16" spans="1:11" ht="12.75">
      <c r="A16" s="93" t="s">
        <v>145</v>
      </c>
      <c r="B16" s="95" t="s">
        <v>555</v>
      </c>
      <c r="C16" s="96">
        <f>SUM(C7:C15)</f>
        <v>100000</v>
      </c>
      <c r="D16" s="96"/>
      <c r="E16" s="96"/>
      <c r="F16" s="96">
        <f>SUM(F7:F15)</f>
        <v>0</v>
      </c>
      <c r="G16" s="96"/>
      <c r="H16" s="96">
        <f>SUM(H7:H15)</f>
        <v>3062362</v>
      </c>
      <c r="I16" s="96">
        <f>+C16+H16+F16</f>
        <v>3162362</v>
      </c>
      <c r="J16" s="170"/>
      <c r="K16" s="174">
        <f>+K7+K12</f>
        <v>3162362</v>
      </c>
    </row>
    <row r="17" spans="1:11" ht="25.5">
      <c r="A17" s="93">
        <v>1</v>
      </c>
      <c r="B17" s="97" t="s">
        <v>469</v>
      </c>
      <c r="C17" s="96"/>
      <c r="D17" s="96"/>
      <c r="E17" s="96"/>
      <c r="F17" s="96"/>
      <c r="G17" s="96"/>
      <c r="H17" s="96"/>
      <c r="I17" s="96"/>
      <c r="J17" s="170"/>
      <c r="K17" s="173"/>
    </row>
    <row r="18" spans="1:11" ht="38.25">
      <c r="A18" s="93">
        <v>2</v>
      </c>
      <c r="B18" s="97" t="s">
        <v>470</v>
      </c>
      <c r="C18" s="96"/>
      <c r="D18" s="96"/>
      <c r="E18" s="96"/>
      <c r="F18" s="96"/>
      <c r="G18" s="96"/>
      <c r="H18" s="96"/>
      <c r="I18" s="96"/>
      <c r="J18" s="170"/>
      <c r="K18" s="173"/>
    </row>
    <row r="19" spans="1:11" ht="15.75" customHeight="1">
      <c r="A19" s="93">
        <v>3</v>
      </c>
      <c r="B19" s="95" t="s">
        <v>471</v>
      </c>
      <c r="C19" s="96"/>
      <c r="D19" s="96"/>
      <c r="E19" s="96"/>
      <c r="F19" s="96"/>
      <c r="G19" s="96"/>
      <c r="H19" s="96">
        <f>+'Bilanci Alpha'!D77</f>
        <v>6153120.67</v>
      </c>
      <c r="I19" s="96">
        <f>+H19</f>
        <v>6153120.67</v>
      </c>
      <c r="J19" s="170"/>
      <c r="K19" s="173">
        <f>+I19</f>
        <v>6153120.67</v>
      </c>
    </row>
    <row r="20" spans="1:11" ht="12.75">
      <c r="A20" s="93">
        <v>4</v>
      </c>
      <c r="B20" s="97" t="s">
        <v>466</v>
      </c>
      <c r="C20" s="96"/>
      <c r="D20" s="96"/>
      <c r="E20" s="96"/>
      <c r="F20" s="96"/>
      <c r="G20" s="96"/>
      <c r="H20" s="96"/>
      <c r="I20" s="96">
        <f>+H20</f>
        <v>0</v>
      </c>
      <c r="J20" s="170"/>
      <c r="K20" s="173">
        <f>+I20</f>
        <v>0</v>
      </c>
    </row>
    <row r="21" spans="1:11" ht="12.75">
      <c r="A21" s="93">
        <v>5</v>
      </c>
      <c r="B21" s="97" t="s">
        <v>472</v>
      </c>
      <c r="C21" s="96">
        <v>3000000</v>
      </c>
      <c r="D21" s="96"/>
      <c r="E21" s="96"/>
      <c r="F21" s="96">
        <f>+'Bilanci Alpha'!D72</f>
        <v>62362</v>
      </c>
      <c r="G21" s="96"/>
      <c r="H21" s="96">
        <v>-3062363</v>
      </c>
      <c r="I21" s="96">
        <f>-F21</f>
        <v>-62362</v>
      </c>
      <c r="J21" s="170"/>
      <c r="K21" s="173"/>
    </row>
    <row r="22" spans="1:11" ht="13.5" thickBot="1">
      <c r="A22" s="93">
        <v>6</v>
      </c>
      <c r="B22" s="175" t="s">
        <v>473</v>
      </c>
      <c r="C22" s="176"/>
      <c r="D22" s="176"/>
      <c r="E22" s="176"/>
      <c r="F22" s="176"/>
      <c r="G22" s="176"/>
      <c r="H22" s="176"/>
      <c r="I22" s="176"/>
      <c r="J22" s="177"/>
      <c r="K22" s="178"/>
    </row>
    <row r="23" spans="1:13" ht="13.5" thickBot="1">
      <c r="A23" s="93" t="s">
        <v>155</v>
      </c>
      <c r="B23" s="179" t="s">
        <v>576</v>
      </c>
      <c r="C23" s="180">
        <f>+C21+C16</f>
        <v>3100000</v>
      </c>
      <c r="D23" s="180"/>
      <c r="E23" s="180"/>
      <c r="F23" s="180">
        <f>+F21</f>
        <v>62362</v>
      </c>
      <c r="G23" s="180"/>
      <c r="H23" s="180">
        <f>SUM(H16:H22)</f>
        <v>6153119.67</v>
      </c>
      <c r="I23" s="180">
        <f>SUM(I16:I22)</f>
        <v>9253120.67</v>
      </c>
      <c r="J23" s="181"/>
      <c r="K23" s="182">
        <f>SUM(K16:K22)</f>
        <v>9315482.67</v>
      </c>
      <c r="M23" s="93">
        <f>+'Bilanci Alpha'!D66</f>
        <v>9315482.67</v>
      </c>
    </row>
    <row r="28" ht="12.75">
      <c r="K28" s="304"/>
    </row>
  </sheetData>
  <sheetProtection/>
  <mergeCells count="2">
    <mergeCell ref="B5:B6"/>
    <mergeCell ref="C5:I5"/>
  </mergeCells>
  <printOptions/>
  <pageMargins left="0.26" right="0.4" top="1" bottom="1" header="0.5" footer="0.5"/>
  <pageSetup horizontalDpi="1200" verticalDpi="1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2.140625" style="93" customWidth="1"/>
    <col min="2" max="2" width="9.421875" style="93" customWidth="1"/>
    <col min="3" max="3" width="30.7109375" style="93" customWidth="1"/>
    <col min="4" max="4" width="21.28125" style="93" customWidth="1"/>
    <col min="5" max="5" width="3.57421875" style="93" customWidth="1"/>
    <col min="6" max="6" width="9.7109375" style="93" customWidth="1"/>
    <col min="7" max="7" width="8.421875" style="93" customWidth="1"/>
    <col min="8" max="8" width="12.140625" style="93" customWidth="1"/>
    <col min="9" max="9" width="13.57421875" style="93" customWidth="1"/>
    <col min="10" max="10" width="15.7109375" style="93" customWidth="1"/>
    <col min="11" max="11" width="9.140625" style="93" customWidth="1"/>
    <col min="12" max="12" width="12.28125" style="93" customWidth="1"/>
    <col min="13" max="17" width="9.140625" style="93" customWidth="1"/>
    <col min="18" max="18" width="9.57421875" style="93" customWidth="1"/>
    <col min="19" max="21" width="9.140625" style="93" customWidth="1"/>
    <col min="22" max="22" width="9.57421875" style="93" bestFit="1" customWidth="1"/>
    <col min="23" max="16384" width="9.140625" style="93" customWidth="1"/>
  </cols>
  <sheetData>
    <row r="1" ht="12.75">
      <c r="C1" s="3" t="s">
        <v>794</v>
      </c>
    </row>
    <row r="2" ht="13.5">
      <c r="C2" s="188" t="s">
        <v>535</v>
      </c>
    </row>
    <row r="3" ht="12.75">
      <c r="C3" s="189" t="s">
        <v>564</v>
      </c>
    </row>
    <row r="4" spans="1:15" ht="12.75">
      <c r="A4" s="190"/>
      <c r="B4" s="190"/>
      <c r="C4" s="191" t="s">
        <v>97</v>
      </c>
      <c r="D4" s="190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>
      <c r="A5" s="190"/>
      <c r="B5" s="190"/>
      <c r="C5" s="190"/>
      <c r="D5" s="190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</row>
    <row r="6" spans="1:15" ht="13.5" thickBot="1">
      <c r="A6" s="190"/>
      <c r="B6" s="190"/>
      <c r="C6" s="190"/>
      <c r="D6" s="190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</row>
    <row r="7" spans="1:15" ht="12.75" customHeight="1">
      <c r="A7" s="575"/>
      <c r="B7" s="575"/>
      <c r="C7" s="194" t="s">
        <v>475</v>
      </c>
      <c r="D7" s="195"/>
      <c r="E7" s="196"/>
      <c r="F7" s="197" t="s">
        <v>476</v>
      </c>
      <c r="G7" s="198" t="s">
        <v>477</v>
      </c>
      <c r="H7" s="199" t="s">
        <v>350</v>
      </c>
      <c r="I7" s="198" t="s">
        <v>478</v>
      </c>
      <c r="J7" s="200" t="s">
        <v>559</v>
      </c>
      <c r="K7" s="187" t="s">
        <v>479</v>
      </c>
      <c r="L7" s="201" t="s">
        <v>480</v>
      </c>
      <c r="M7" s="202"/>
      <c r="N7" s="203"/>
      <c r="O7" s="573" t="s">
        <v>481</v>
      </c>
    </row>
    <row r="8" spans="1:15" ht="13.5" thickBot="1">
      <c r="A8" s="193"/>
      <c r="B8" s="193"/>
      <c r="C8" s="204"/>
      <c r="D8" s="205"/>
      <c r="E8" s="196"/>
      <c r="F8" s="206"/>
      <c r="G8" s="207"/>
      <c r="H8" s="207"/>
      <c r="I8" s="207"/>
      <c r="J8" s="299" t="s">
        <v>560</v>
      </c>
      <c r="K8" s="208"/>
      <c r="L8" s="208"/>
      <c r="M8" s="202"/>
      <c r="N8" s="203"/>
      <c r="O8" s="574"/>
    </row>
    <row r="9" spans="1:15" ht="12.75">
      <c r="A9" s="193"/>
      <c r="B9" s="193"/>
      <c r="C9" s="193"/>
      <c r="D9" s="193"/>
      <c r="E9" s="196"/>
      <c r="F9" s="209"/>
      <c r="G9" s="209"/>
      <c r="H9" s="210"/>
      <c r="I9" s="209"/>
      <c r="J9" s="210"/>
      <c r="K9" s="210"/>
      <c r="L9" s="202"/>
      <c r="M9" s="202"/>
      <c r="N9" s="203"/>
      <c r="O9" s="211"/>
    </row>
    <row r="10" spans="1:15" ht="12.75">
      <c r="A10" s="193"/>
      <c r="B10" s="193"/>
      <c r="C10" s="212"/>
      <c r="D10" s="213"/>
      <c r="E10" s="196"/>
      <c r="F10" s="214"/>
      <c r="G10" s="215"/>
      <c r="H10" s="216"/>
      <c r="I10" s="215"/>
      <c r="J10" s="217"/>
      <c r="K10" s="217"/>
      <c r="L10" s="218"/>
      <c r="M10" s="202"/>
      <c r="N10" s="203"/>
      <c r="O10" s="219"/>
    </row>
    <row r="11" spans="1:15" ht="12.75">
      <c r="A11" s="193"/>
      <c r="B11" s="193"/>
      <c r="C11" s="220"/>
      <c r="D11" s="221"/>
      <c r="E11" s="196"/>
      <c r="F11" s="222"/>
      <c r="G11" s="223"/>
      <c r="H11" s="224" t="s">
        <v>553</v>
      </c>
      <c r="I11" s="223"/>
      <c r="J11" s="225"/>
      <c r="K11" s="225"/>
      <c r="L11" s="226"/>
      <c r="M11" s="202"/>
      <c r="N11" s="203"/>
      <c r="O11" s="227"/>
    </row>
    <row r="12" spans="1:15" ht="13.5" thickBot="1">
      <c r="A12" s="193"/>
      <c r="B12" s="193"/>
      <c r="C12" s="220"/>
      <c r="D12" s="221"/>
      <c r="E12" s="228"/>
      <c r="F12" s="229"/>
      <c r="G12" s="230"/>
      <c r="H12" s="231"/>
      <c r="I12" s="230"/>
      <c r="J12" s="232"/>
      <c r="K12" s="232"/>
      <c r="L12" s="233"/>
      <c r="M12" s="202"/>
      <c r="N12" s="203"/>
      <c r="O12" s="234"/>
    </row>
    <row r="13" spans="1:15" ht="13.5">
      <c r="A13" s="235" t="s">
        <v>482</v>
      </c>
      <c r="B13" s="235" t="s">
        <v>483</v>
      </c>
      <c r="C13" s="236" t="s">
        <v>565</v>
      </c>
      <c r="D13" s="237" t="s">
        <v>484</v>
      </c>
      <c r="E13" s="238" t="s">
        <v>485</v>
      </c>
      <c r="F13" s="307"/>
      <c r="G13" s="308"/>
      <c r="H13" s="309">
        <f>1600167+8215782</f>
        <v>9815949</v>
      </c>
      <c r="I13" s="310">
        <f>56580000+13343331</f>
        <v>69923331</v>
      </c>
      <c r="J13" s="310">
        <f>2570758+466373</f>
        <v>3037131</v>
      </c>
      <c r="K13" s="315"/>
      <c r="L13" s="239">
        <f>SUM(F13:K13)</f>
        <v>82776411</v>
      </c>
      <c r="M13" s="240"/>
      <c r="N13" s="241"/>
      <c r="O13" s="239"/>
    </row>
    <row r="14" spans="1:15" ht="13.5">
      <c r="A14" s="235" t="s">
        <v>482</v>
      </c>
      <c r="B14" s="242" t="s">
        <v>486</v>
      </c>
      <c r="C14" s="243" t="s">
        <v>565</v>
      </c>
      <c r="D14" s="244" t="s">
        <v>487</v>
      </c>
      <c r="E14" s="238" t="s">
        <v>485</v>
      </c>
      <c r="F14" s="311"/>
      <c r="G14" s="305"/>
      <c r="H14" s="306">
        <v>86025</v>
      </c>
      <c r="I14" s="305">
        <v>8433249</v>
      </c>
      <c r="J14" s="305">
        <v>253927</v>
      </c>
      <c r="K14" s="316"/>
      <c r="L14" s="245">
        <f>SUM(F14:K14)</f>
        <v>8773201</v>
      </c>
      <c r="M14" s="240"/>
      <c r="N14" s="241"/>
      <c r="O14" s="245"/>
    </row>
    <row r="15" spans="1:18" ht="14.25" thickBot="1">
      <c r="A15" s="235" t="s">
        <v>482</v>
      </c>
      <c r="B15" s="242" t="s">
        <v>488</v>
      </c>
      <c r="C15" s="246" t="s">
        <v>565</v>
      </c>
      <c r="D15" s="247" t="s">
        <v>489</v>
      </c>
      <c r="E15" s="238" t="s">
        <v>485</v>
      </c>
      <c r="F15" s="312"/>
      <c r="G15" s="313"/>
      <c r="H15" s="314"/>
      <c r="I15" s="314"/>
      <c r="J15" s="314"/>
      <c r="K15" s="317"/>
      <c r="L15" s="318"/>
      <c r="M15" s="240"/>
      <c r="N15" s="241"/>
      <c r="O15" s="248"/>
      <c r="R15" s="249"/>
    </row>
    <row r="16" spans="1:15" ht="14.25" thickBot="1">
      <c r="A16" s="235"/>
      <c r="B16" s="242"/>
      <c r="C16" s="250"/>
      <c r="D16" s="251"/>
      <c r="E16" s="238"/>
      <c r="F16" s="252"/>
      <c r="G16" s="253"/>
      <c r="H16" s="254"/>
      <c r="I16" s="253"/>
      <c r="J16" s="255"/>
      <c r="K16" s="256"/>
      <c r="L16" s="257"/>
      <c r="M16" s="258"/>
      <c r="N16" s="241"/>
      <c r="O16" s="257"/>
    </row>
    <row r="17" spans="1:15" ht="13.5">
      <c r="A17" s="235" t="s">
        <v>490</v>
      </c>
      <c r="B17" s="235" t="s">
        <v>483</v>
      </c>
      <c r="C17" s="259" t="s">
        <v>566</v>
      </c>
      <c r="D17" s="260" t="s">
        <v>491</v>
      </c>
      <c r="E17" s="238" t="s">
        <v>485</v>
      </c>
      <c r="F17" s="261"/>
      <c r="G17" s="262"/>
      <c r="H17" s="263"/>
      <c r="I17" s="262"/>
      <c r="J17" s="264">
        <v>321583</v>
      </c>
      <c r="K17" s="265"/>
      <c r="L17" s="266">
        <f>SUM(F17:K17)</f>
        <v>321583</v>
      </c>
      <c r="M17" s="258"/>
      <c r="N17" s="241"/>
      <c r="O17" s="239"/>
    </row>
    <row r="18" spans="1:15" ht="13.5">
      <c r="A18" s="235" t="s">
        <v>492</v>
      </c>
      <c r="B18" s="235" t="s">
        <v>483</v>
      </c>
      <c r="C18" s="259" t="s">
        <v>567</v>
      </c>
      <c r="D18" s="260" t="s">
        <v>491</v>
      </c>
      <c r="E18" s="238" t="s">
        <v>493</v>
      </c>
      <c r="F18" s="261"/>
      <c r="G18" s="262"/>
      <c r="H18" s="263">
        <v>-7864800</v>
      </c>
      <c r="I18" s="262"/>
      <c r="J18" s="264">
        <v>0</v>
      </c>
      <c r="K18" s="267"/>
      <c r="L18" s="266">
        <f>SUM(F18:K18)</f>
        <v>-7864800</v>
      </c>
      <c r="M18" s="258"/>
      <c r="N18" s="241"/>
      <c r="O18" s="266"/>
    </row>
    <row r="19" spans="1:15" ht="13.5">
      <c r="A19" s="235" t="s">
        <v>494</v>
      </c>
      <c r="B19" s="235" t="s">
        <v>495</v>
      </c>
      <c r="C19" s="259" t="s">
        <v>496</v>
      </c>
      <c r="D19" s="260"/>
      <c r="E19" s="238" t="s">
        <v>497</v>
      </c>
      <c r="F19" s="261"/>
      <c r="G19" s="262"/>
      <c r="H19" s="263"/>
      <c r="I19" s="262"/>
      <c r="J19" s="264"/>
      <c r="K19" s="265"/>
      <c r="L19" s="266">
        <f>SUM(F19:K19)</f>
        <v>0</v>
      </c>
      <c r="M19" s="258"/>
      <c r="N19" s="241"/>
      <c r="O19" s="266"/>
    </row>
    <row r="20" spans="1:15" ht="13.5">
      <c r="A20" s="235"/>
      <c r="B20" s="235"/>
      <c r="C20" s="259"/>
      <c r="D20" s="260"/>
      <c r="E20" s="238"/>
      <c r="F20" s="261"/>
      <c r="G20" s="262"/>
      <c r="H20" s="263"/>
      <c r="I20" s="262"/>
      <c r="J20" s="264"/>
      <c r="K20" s="265"/>
      <c r="L20" s="266">
        <v>0</v>
      </c>
      <c r="M20" s="258"/>
      <c r="N20" s="241"/>
      <c r="O20" s="266"/>
    </row>
    <row r="21" spans="1:15" ht="13.5">
      <c r="A21" s="235" t="s">
        <v>488</v>
      </c>
      <c r="B21" s="235"/>
      <c r="C21" s="259" t="s">
        <v>498</v>
      </c>
      <c r="D21" s="260"/>
      <c r="E21" s="238" t="s">
        <v>485</v>
      </c>
      <c r="F21" s="261"/>
      <c r="G21" s="262"/>
      <c r="H21" s="263"/>
      <c r="I21" s="262"/>
      <c r="J21" s="264"/>
      <c r="K21" s="265"/>
      <c r="L21" s="266">
        <f>SUM(F21:K21)</f>
        <v>0</v>
      </c>
      <c r="M21" s="258"/>
      <c r="N21" s="241"/>
      <c r="O21" s="266"/>
    </row>
    <row r="22" spans="1:15" ht="13.5">
      <c r="A22" s="235" t="s">
        <v>499</v>
      </c>
      <c r="B22" s="235"/>
      <c r="C22" s="259" t="s">
        <v>500</v>
      </c>
      <c r="D22" s="260"/>
      <c r="E22" s="238" t="s">
        <v>485</v>
      </c>
      <c r="F22" s="261"/>
      <c r="G22" s="262"/>
      <c r="H22" s="262">
        <f>+(H13-7864800)*20%</f>
        <v>390229.80000000005</v>
      </c>
      <c r="I22" s="262">
        <f>+I13*20%</f>
        <v>13984666.200000001</v>
      </c>
      <c r="J22" s="264">
        <f>+J13*20%</f>
        <v>607426.2000000001</v>
      </c>
      <c r="K22" s="265"/>
      <c r="L22" s="266">
        <f>SUM(F22:K22)</f>
        <v>14982322.200000001</v>
      </c>
      <c r="M22" s="258"/>
      <c r="N22" s="241"/>
      <c r="O22" s="245"/>
    </row>
    <row r="23" spans="1:15" ht="13.5">
      <c r="A23" s="235"/>
      <c r="B23" s="235"/>
      <c r="C23" s="259"/>
      <c r="D23" s="260"/>
      <c r="E23" s="238"/>
      <c r="F23" s="261"/>
      <c r="G23" s="262"/>
      <c r="H23" s="263"/>
      <c r="I23" s="262"/>
      <c r="J23" s="264"/>
      <c r="K23" s="265"/>
      <c r="L23" s="266">
        <v>0</v>
      </c>
      <c r="M23" s="258"/>
      <c r="N23" s="241"/>
      <c r="O23" s="266"/>
    </row>
    <row r="24" spans="1:15" ht="13.5">
      <c r="A24" s="235" t="s">
        <v>501</v>
      </c>
      <c r="B24" s="242" t="s">
        <v>486</v>
      </c>
      <c r="C24" s="259" t="s">
        <v>502</v>
      </c>
      <c r="D24" s="260"/>
      <c r="E24" s="238" t="s">
        <v>493</v>
      </c>
      <c r="F24" s="261"/>
      <c r="G24" s="262"/>
      <c r="H24" s="263"/>
      <c r="I24" s="262">
        <v>0</v>
      </c>
      <c r="J24" s="264">
        <v>0</v>
      </c>
      <c r="K24" s="265"/>
      <c r="L24" s="266">
        <f>SUM(F24:K24)</f>
        <v>0</v>
      </c>
      <c r="M24" s="258"/>
      <c r="N24" s="241"/>
      <c r="O24" s="266"/>
    </row>
    <row r="25" spans="1:15" ht="13.5">
      <c r="A25" s="235" t="s">
        <v>501</v>
      </c>
      <c r="B25" s="242" t="s">
        <v>488</v>
      </c>
      <c r="C25" s="259" t="s">
        <v>503</v>
      </c>
      <c r="D25" s="260"/>
      <c r="E25" s="238" t="s">
        <v>493</v>
      </c>
      <c r="F25" s="261"/>
      <c r="G25" s="262"/>
      <c r="H25" s="263"/>
      <c r="I25" s="262"/>
      <c r="J25" s="264"/>
      <c r="K25" s="265"/>
      <c r="L25" s="266">
        <f>SUM(F25:K25)</f>
        <v>0</v>
      </c>
      <c r="M25" s="258"/>
      <c r="N25" s="241"/>
      <c r="O25" s="266"/>
    </row>
    <row r="26" spans="1:15" ht="13.5">
      <c r="A26" s="235" t="s">
        <v>494</v>
      </c>
      <c r="B26" s="235" t="s">
        <v>504</v>
      </c>
      <c r="C26" s="259" t="s">
        <v>505</v>
      </c>
      <c r="D26" s="260"/>
      <c r="E26" s="238" t="s">
        <v>497</v>
      </c>
      <c r="F26" s="261"/>
      <c r="G26" s="262"/>
      <c r="H26" s="263"/>
      <c r="I26" s="262"/>
      <c r="J26" s="264"/>
      <c r="K26" s="265"/>
      <c r="L26" s="266">
        <f>SUM(F26:K26)</f>
        <v>0</v>
      </c>
      <c r="M26" s="258"/>
      <c r="N26" s="241"/>
      <c r="O26" s="266"/>
    </row>
    <row r="27" spans="1:15" ht="14.25" thickBot="1">
      <c r="A27" s="235"/>
      <c r="B27" s="235"/>
      <c r="C27" s="268"/>
      <c r="D27" s="269"/>
      <c r="E27" s="238"/>
      <c r="F27" s="270"/>
      <c r="G27" s="271"/>
      <c r="H27" s="272"/>
      <c r="I27" s="271"/>
      <c r="J27" s="273"/>
      <c r="K27" s="274"/>
      <c r="L27" s="275"/>
      <c r="M27" s="258"/>
      <c r="N27" s="241"/>
      <c r="O27" s="275"/>
    </row>
    <row r="28" spans="1:22" ht="13.5">
      <c r="A28" s="235" t="s">
        <v>506</v>
      </c>
      <c r="B28" s="235" t="s">
        <v>507</v>
      </c>
      <c r="C28" s="276" t="s">
        <v>568</v>
      </c>
      <c r="D28" s="277" t="s">
        <v>484</v>
      </c>
      <c r="E28" s="278"/>
      <c r="F28" s="279">
        <f aca="true" t="shared" si="0" ref="F28:K28">F13+F17+F18+F19</f>
        <v>0</v>
      </c>
      <c r="G28" s="280">
        <f t="shared" si="0"/>
        <v>0</v>
      </c>
      <c r="H28" s="280">
        <f>H13+H17+H18+H19</f>
        <v>1951149</v>
      </c>
      <c r="I28" s="280">
        <f t="shared" si="0"/>
        <v>69923331</v>
      </c>
      <c r="J28" s="281">
        <f t="shared" si="0"/>
        <v>3358714</v>
      </c>
      <c r="K28" s="282">
        <f t="shared" si="0"/>
        <v>0</v>
      </c>
      <c r="L28" s="239">
        <f>SUM(F28:K28)</f>
        <v>75233194</v>
      </c>
      <c r="M28" s="240"/>
      <c r="N28" s="241"/>
      <c r="O28" s="239"/>
      <c r="V28" s="249"/>
    </row>
    <row r="29" spans="1:24" ht="13.5">
      <c r="A29" s="235" t="s">
        <v>506</v>
      </c>
      <c r="B29" s="235" t="s">
        <v>508</v>
      </c>
      <c r="C29" s="283" t="s">
        <v>568</v>
      </c>
      <c r="D29" s="244" t="s">
        <v>487</v>
      </c>
      <c r="E29" s="278"/>
      <c r="F29" s="284">
        <f aca="true" t="shared" si="1" ref="F29:K29">F14+F22+F24+F26</f>
        <v>0</v>
      </c>
      <c r="G29" s="285">
        <f t="shared" si="1"/>
        <v>0</v>
      </c>
      <c r="H29" s="285">
        <f>H14+H22+H24+H26</f>
        <v>476254.80000000005</v>
      </c>
      <c r="I29" s="285">
        <f t="shared" si="1"/>
        <v>22417915.200000003</v>
      </c>
      <c r="J29" s="286">
        <f>J14+J22+J24+J26</f>
        <v>861353.2000000001</v>
      </c>
      <c r="K29" s="287">
        <f t="shared" si="1"/>
        <v>0</v>
      </c>
      <c r="L29" s="245">
        <f>SUM(F29:K29)</f>
        <v>23755523.200000003</v>
      </c>
      <c r="M29" s="240"/>
      <c r="N29" s="241"/>
      <c r="O29" s="245"/>
      <c r="X29" s="249"/>
    </row>
    <row r="30" spans="1:15" ht="13.5" thickBot="1">
      <c r="A30" s="288" t="s">
        <v>506</v>
      </c>
      <c r="B30" s="235" t="s">
        <v>509</v>
      </c>
      <c r="C30" s="289" t="s">
        <v>568</v>
      </c>
      <c r="D30" s="290" t="s">
        <v>510</v>
      </c>
      <c r="E30" s="291"/>
      <c r="F30" s="292">
        <f aca="true" t="shared" si="2" ref="F30:K30">F28-F29</f>
        <v>0</v>
      </c>
      <c r="G30" s="293">
        <f t="shared" si="2"/>
        <v>0</v>
      </c>
      <c r="H30" s="293">
        <f t="shared" si="2"/>
        <v>1474894.2</v>
      </c>
      <c r="I30" s="293">
        <f t="shared" si="2"/>
        <v>47505415.8</v>
      </c>
      <c r="J30" s="294">
        <f t="shared" si="2"/>
        <v>2497360.8</v>
      </c>
      <c r="K30" s="295">
        <f t="shared" si="2"/>
        <v>0</v>
      </c>
      <c r="L30" s="248">
        <f>L28-L29</f>
        <v>51477670.8</v>
      </c>
      <c r="M30" s="240"/>
      <c r="N30" s="241"/>
      <c r="O30" s="248"/>
    </row>
    <row r="31" spans="1:15" ht="12.75">
      <c r="A31" s="296"/>
      <c r="B31" s="296"/>
      <c r="C31" s="296"/>
      <c r="D31" s="296"/>
      <c r="E31" s="241"/>
      <c r="F31" s="241"/>
      <c r="G31" s="241"/>
      <c r="H31" s="241"/>
      <c r="I31" s="241"/>
      <c r="J31" s="241"/>
      <c r="K31" s="241"/>
      <c r="L31" s="241"/>
      <c r="M31" s="241"/>
      <c r="N31" s="192"/>
      <c r="O31" s="192"/>
    </row>
    <row r="32" spans="1:15" ht="12.75">
      <c r="A32" s="296"/>
      <c r="B32" s="296"/>
      <c r="C32" s="296"/>
      <c r="D32" s="296"/>
      <c r="E32" s="241"/>
      <c r="F32" s="241"/>
      <c r="G32" s="241"/>
      <c r="H32" s="241"/>
      <c r="I32" s="297"/>
      <c r="J32" s="241"/>
      <c r="K32" s="241"/>
      <c r="L32" s="297"/>
      <c r="M32" s="297"/>
      <c r="N32" s="192"/>
      <c r="O32" s="192"/>
    </row>
    <row r="33" spans="1:15" ht="12.75">
      <c r="A33" s="296"/>
      <c r="B33" s="296"/>
      <c r="C33" s="296"/>
      <c r="D33" s="296"/>
      <c r="E33" s="241"/>
      <c r="F33" s="241"/>
      <c r="G33" s="241"/>
      <c r="H33" s="241"/>
      <c r="I33" s="241"/>
      <c r="J33" s="297"/>
      <c r="K33" s="241"/>
      <c r="L33" s="297"/>
      <c r="M33" s="297"/>
      <c r="N33" s="192"/>
      <c r="O33" s="192"/>
    </row>
    <row r="34" spans="1:15" ht="12.75">
      <c r="A34" s="190"/>
      <c r="B34" s="190"/>
      <c r="C34" s="190"/>
      <c r="D34" s="190"/>
      <c r="E34" s="192"/>
      <c r="F34" s="192"/>
      <c r="G34" s="192"/>
      <c r="H34" s="192"/>
      <c r="I34" s="192"/>
      <c r="J34" s="298"/>
      <c r="K34" s="192"/>
      <c r="L34" s="192"/>
      <c r="M34" s="192"/>
      <c r="N34" s="192"/>
      <c r="O34" s="192"/>
    </row>
    <row r="35" spans="1:15" ht="12.75">
      <c r="A35" s="190"/>
      <c r="B35" s="190"/>
      <c r="C35" s="190"/>
      <c r="D35" s="190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</row>
  </sheetData>
  <sheetProtection/>
  <mergeCells count="2">
    <mergeCell ref="O7:O8"/>
    <mergeCell ref="A7:B7"/>
  </mergeCells>
  <printOptions/>
  <pageMargins left="0.2" right="0.21" top="1" bottom="1" header="0.5" footer="0.5"/>
  <pageSetup horizontalDpi="1200" verticalDpi="1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T213"/>
  <sheetViews>
    <sheetView zoomScale="80" zoomScaleNormal="80" zoomScalePageLayoutView="0" workbookViewId="0" topLeftCell="A193">
      <selection activeCell="F205" sqref="F205:F211"/>
    </sheetView>
  </sheetViews>
  <sheetFormatPr defaultColWidth="19.421875" defaultRowHeight="12.75"/>
  <cols>
    <col min="1" max="1" width="6.00390625" style="18" customWidth="1"/>
    <col min="2" max="2" width="49.28125" style="18" customWidth="1"/>
    <col min="3" max="3" width="19.28125" style="18" hidden="1" customWidth="1"/>
    <col min="4" max="4" width="19.28125" style="18" customWidth="1"/>
    <col min="5" max="5" width="3.8515625" style="18" customWidth="1"/>
    <col min="6" max="6" width="19.28125" style="18" customWidth="1"/>
    <col min="7" max="7" width="3.7109375" style="18" customWidth="1"/>
    <col min="8" max="8" width="18.7109375" style="18" customWidth="1"/>
    <col min="9" max="9" width="5.421875" style="18" customWidth="1"/>
    <col min="10" max="10" width="18.421875" style="34" customWidth="1"/>
    <col min="11" max="11" width="16.00390625" style="34" customWidth="1"/>
    <col min="12" max="16384" width="19.421875" style="18" customWidth="1"/>
  </cols>
  <sheetData>
    <row r="3" spans="2:5" ht="15">
      <c r="B3" s="26" t="s">
        <v>99</v>
      </c>
      <c r="E3" s="26"/>
    </row>
    <row r="4" spans="2:5" ht="15">
      <c r="B4" s="26" t="s">
        <v>511</v>
      </c>
      <c r="E4" s="26"/>
    </row>
    <row r="5" spans="2:9" ht="15">
      <c r="B5" s="62"/>
      <c r="C5" s="63" t="s">
        <v>578</v>
      </c>
      <c r="D5" s="63" t="s">
        <v>578</v>
      </c>
      <c r="E5" s="62"/>
      <c r="F5" s="63" t="s">
        <v>552</v>
      </c>
      <c r="G5" s="64"/>
      <c r="H5" s="63" t="s">
        <v>110</v>
      </c>
      <c r="I5" s="27"/>
    </row>
    <row r="6" spans="2:10" ht="15">
      <c r="B6" s="62" t="s">
        <v>101</v>
      </c>
      <c r="C6" s="57">
        <f>+'Bilanci Alpha'!D50</f>
        <v>970319.21</v>
      </c>
      <c r="D6" s="57">
        <f>+'Bilanci Alpha'!E50</f>
        <v>817141</v>
      </c>
      <c r="E6" s="62"/>
      <c r="F6" s="57">
        <f>+'Bilanci Alpha'!F50</f>
        <v>2188575</v>
      </c>
      <c r="G6" s="57"/>
      <c r="H6" s="57">
        <f>+'Bilanci Alpha'!G50</f>
        <v>0</v>
      </c>
      <c r="J6" s="22"/>
    </row>
    <row r="7" spans="2:10" ht="15">
      <c r="B7" s="62" t="s">
        <v>102</v>
      </c>
      <c r="C7" s="57">
        <f>+'Bilanci Alpha'!D49</f>
        <v>0</v>
      </c>
      <c r="D7" s="57">
        <f>+'Bilanci Alpha'!E49</f>
        <v>0</v>
      </c>
      <c r="E7" s="62"/>
      <c r="F7" s="57">
        <f>+'Bilanci Alpha'!F49</f>
        <v>0</v>
      </c>
      <c r="G7" s="57"/>
      <c r="H7" s="57">
        <f>+'Bilanci Alpha'!G49</f>
        <v>0</v>
      </c>
      <c r="J7" s="22"/>
    </row>
    <row r="8" spans="2:8" ht="15">
      <c r="B8" s="62" t="s">
        <v>556</v>
      </c>
      <c r="C8" s="57">
        <f>+'Bilanci Alpha'!D51</f>
        <v>132813.93</v>
      </c>
      <c r="D8" s="57">
        <f>+'Bilanci Alpha'!E51</f>
        <v>186610</v>
      </c>
      <c r="E8" s="62"/>
      <c r="F8" s="57"/>
      <c r="G8" s="57"/>
      <c r="H8" s="57">
        <f>+'Bilanci Alpha'!G51</f>
        <v>0</v>
      </c>
    </row>
    <row r="9" spans="2:9" ht="15.75" thickBot="1">
      <c r="B9" s="66" t="s">
        <v>2</v>
      </c>
      <c r="C9" s="448">
        <f>SUM(C6:C8)</f>
        <v>1103133.14</v>
      </c>
      <c r="D9" s="67">
        <f>SUM(D6:D8)</f>
        <v>1003751</v>
      </c>
      <c r="E9" s="66"/>
      <c r="F9" s="67">
        <f>SUM(F6:F8)</f>
        <v>2188575</v>
      </c>
      <c r="G9" s="57"/>
      <c r="H9" s="67">
        <f>SUM(H6:H8)</f>
        <v>0</v>
      </c>
      <c r="I9" s="26"/>
    </row>
    <row r="10" spans="2:8" ht="15.75" thickTop="1">
      <c r="B10" s="21">
        <f>+F9-F10</f>
        <v>0</v>
      </c>
      <c r="C10" s="37">
        <f>+'BK'!D8</f>
        <v>970319.21</v>
      </c>
      <c r="D10" s="37">
        <f>+'BK'!E8</f>
        <v>817141</v>
      </c>
      <c r="E10" s="21"/>
      <c r="F10" s="37">
        <f>+'BK'!F8</f>
        <v>2188575</v>
      </c>
      <c r="G10" s="37"/>
      <c r="H10" s="37">
        <f>+'BK'!H8</f>
        <v>0</v>
      </c>
    </row>
    <row r="11" spans="2:8" ht="15">
      <c r="B11" s="58" t="s">
        <v>103</v>
      </c>
      <c r="C11" s="17"/>
      <c r="D11" s="17"/>
      <c r="E11" s="58"/>
      <c r="F11" s="17"/>
      <c r="G11" s="17"/>
      <c r="H11" s="17"/>
    </row>
    <row r="12" spans="2:9" ht="15">
      <c r="B12" s="62"/>
      <c r="C12" s="63" t="str">
        <f>+C5</f>
        <v>31 Dhjetor 2010</v>
      </c>
      <c r="D12" s="63" t="s">
        <v>578</v>
      </c>
      <c r="E12" s="62"/>
      <c r="F12" s="63" t="s">
        <v>552</v>
      </c>
      <c r="G12" s="64"/>
      <c r="H12" s="63" t="s">
        <v>110</v>
      </c>
      <c r="I12" s="27"/>
    </row>
    <row r="13" spans="2:8" ht="15">
      <c r="B13" s="62" t="s">
        <v>141</v>
      </c>
      <c r="C13" s="64">
        <f>+'BK'!D20</f>
        <v>0</v>
      </c>
      <c r="D13" s="64">
        <f>+'BK'!E20</f>
        <v>0</v>
      </c>
      <c r="E13" s="64"/>
      <c r="F13" s="64">
        <f>+'BK'!F20</f>
        <v>0</v>
      </c>
      <c r="G13" s="57"/>
      <c r="H13" s="64">
        <f>+'BK'!H20</f>
        <v>0</v>
      </c>
    </row>
    <row r="14" spans="2:8" ht="15">
      <c r="B14" s="62"/>
      <c r="C14" s="64"/>
      <c r="D14" s="64"/>
      <c r="E14" s="62"/>
      <c r="F14" s="64"/>
      <c r="G14" s="57"/>
      <c r="H14" s="64"/>
    </row>
    <row r="15" spans="2:9" ht="15.75" thickBot="1">
      <c r="B15" s="66" t="s">
        <v>2</v>
      </c>
      <c r="C15" s="67">
        <f>SUM(C13:C14)</f>
        <v>0</v>
      </c>
      <c r="D15" s="67">
        <f>SUM(D13:D14)</f>
        <v>0</v>
      </c>
      <c r="E15" s="66"/>
      <c r="F15" s="67">
        <f>SUM(F13:F14)</f>
        <v>0</v>
      </c>
      <c r="G15" s="57"/>
      <c r="H15" s="67">
        <f>SUM(H13:H14)</f>
        <v>0</v>
      </c>
      <c r="I15" s="26"/>
    </row>
    <row r="16" spans="2:8" ht="15.75" thickTop="1">
      <c r="B16" s="21"/>
      <c r="C16" s="37" t="str">
        <f>+'BK'!B18</f>
        <v>Lendet e para </v>
      </c>
      <c r="D16" s="37">
        <f>+'BK'!C18</f>
        <v>0</v>
      </c>
      <c r="E16" s="21"/>
      <c r="F16" s="37">
        <f>+'BK'!F18</f>
        <v>47983</v>
      </c>
      <c r="G16" s="37"/>
      <c r="H16" s="37">
        <f>+'BK'!H18</f>
        <v>0</v>
      </c>
    </row>
    <row r="17" spans="2:8" ht="15">
      <c r="B17" s="62" t="s">
        <v>104</v>
      </c>
      <c r="C17" s="68"/>
      <c r="D17" s="68"/>
      <c r="E17" s="62"/>
      <c r="F17" s="68"/>
      <c r="G17" s="62"/>
      <c r="H17" s="62"/>
    </row>
    <row r="18" spans="2:9" ht="15">
      <c r="B18" s="69"/>
      <c r="C18" s="63" t="str">
        <f>+C12</f>
        <v>31 Dhjetor 2010</v>
      </c>
      <c r="D18" s="63" t="s">
        <v>578</v>
      </c>
      <c r="E18" s="62"/>
      <c r="F18" s="63" t="s">
        <v>552</v>
      </c>
      <c r="G18" s="64"/>
      <c r="H18" s="63" t="s">
        <v>110</v>
      </c>
      <c r="I18" s="27"/>
    </row>
    <row r="19" spans="2:14" ht="15">
      <c r="B19" s="71" t="s">
        <v>133</v>
      </c>
      <c r="C19" s="72">
        <f>+'BK'!D12</f>
        <v>134274288.11</v>
      </c>
      <c r="D19" s="72">
        <f>+'BK'!E12</f>
        <v>130608794</v>
      </c>
      <c r="E19" s="71"/>
      <c r="F19" s="72">
        <f>+'BK'!F12</f>
        <v>537064</v>
      </c>
      <c r="G19" s="72"/>
      <c r="H19" s="72">
        <f>+'BK'!H12</f>
        <v>0</v>
      </c>
      <c r="K19" s="183"/>
      <c r="L19" s="184"/>
      <c r="M19" s="183"/>
      <c r="N19" s="184"/>
    </row>
    <row r="20" spans="2:14" ht="15">
      <c r="B20" s="71" t="s">
        <v>557</v>
      </c>
      <c r="C20" s="72">
        <f>+'BK'!D13</f>
        <v>1602174</v>
      </c>
      <c r="D20" s="72">
        <f>+'BK'!E13</f>
        <v>0</v>
      </c>
      <c r="E20" s="71"/>
      <c r="F20" s="72">
        <f>+'BK'!F13</f>
        <v>0</v>
      </c>
      <c r="G20" s="72"/>
      <c r="H20" s="72">
        <f>+'BK'!H13</f>
        <v>0</v>
      </c>
      <c r="K20" s="183"/>
      <c r="L20" s="185"/>
      <c r="M20" s="183"/>
      <c r="N20" s="185"/>
    </row>
    <row r="21" spans="2:14" ht="15">
      <c r="B21" s="69"/>
      <c r="C21" s="72"/>
      <c r="D21" s="72"/>
      <c r="E21" s="69"/>
      <c r="F21" s="72"/>
      <c r="G21" s="72"/>
      <c r="H21" s="72"/>
      <c r="I21" s="26"/>
      <c r="K21" s="183"/>
      <c r="L21" s="185"/>
      <c r="M21" s="183"/>
      <c r="N21" s="185"/>
    </row>
    <row r="22" spans="2:14" ht="15.75" thickBot="1">
      <c r="B22" s="66" t="s">
        <v>2</v>
      </c>
      <c r="C22" s="447">
        <f>SUM(C19:C21)</f>
        <v>135876462.11</v>
      </c>
      <c r="D22" s="73">
        <f>SUM(D19:D21)</f>
        <v>130608794</v>
      </c>
      <c r="E22" s="66"/>
      <c r="F22" s="73">
        <f>SUM(F19:F21)</f>
        <v>537064</v>
      </c>
      <c r="G22" s="74"/>
      <c r="H22" s="73">
        <f>SUM(H19:H21)</f>
        <v>0</v>
      </c>
      <c r="K22" s="183"/>
      <c r="L22" s="185"/>
      <c r="M22" s="183"/>
      <c r="N22" s="185"/>
    </row>
    <row r="23" spans="2:14" ht="15.75" thickTop="1">
      <c r="B23" s="17"/>
      <c r="C23" s="41">
        <f>+'BK'!B16</f>
        <v>0</v>
      </c>
      <c r="D23" s="41">
        <f>+'BK'!C16</f>
        <v>0</v>
      </c>
      <c r="E23" s="17"/>
      <c r="F23" s="41">
        <f>+'BK'!F16</f>
        <v>622480</v>
      </c>
      <c r="G23" s="41"/>
      <c r="H23" s="41">
        <f>+'BK'!H16</f>
        <v>0</v>
      </c>
      <c r="K23" s="186"/>
      <c r="L23" s="185"/>
      <c r="M23" s="186"/>
      <c r="N23" s="185"/>
    </row>
    <row r="24" spans="2:8" ht="15">
      <c r="B24" s="58" t="s">
        <v>430</v>
      </c>
      <c r="C24" s="41"/>
      <c r="D24" s="41"/>
      <c r="E24" s="58"/>
      <c r="F24" s="41"/>
      <c r="G24" s="41"/>
      <c r="H24" s="41"/>
    </row>
    <row r="25" spans="1:8" ht="15">
      <c r="A25" s="457">
        <v>1</v>
      </c>
      <c r="B25" s="458" t="s">
        <v>797</v>
      </c>
      <c r="C25" s="576">
        <v>47880</v>
      </c>
      <c r="D25" s="576"/>
      <c r="E25" s="446"/>
      <c r="F25" s="446"/>
      <c r="G25" s="41"/>
      <c r="H25" s="41"/>
    </row>
    <row r="26" spans="1:8" ht="15">
      <c r="A26" s="457">
        <v>2</v>
      </c>
      <c r="B26" s="458" t="s">
        <v>798</v>
      </c>
      <c r="C26" s="576">
        <v>5860250</v>
      </c>
      <c r="D26" s="576"/>
      <c r="E26" s="446"/>
      <c r="F26" s="446"/>
      <c r="G26" s="41"/>
      <c r="H26" s="41"/>
    </row>
    <row r="27" spans="1:8" ht="15">
      <c r="A27" s="457">
        <v>3</v>
      </c>
      <c r="B27" s="458" t="s">
        <v>799</v>
      </c>
      <c r="C27" s="576">
        <v>151000</v>
      </c>
      <c r="D27" s="576"/>
      <c r="E27" s="446"/>
      <c r="F27" s="446"/>
      <c r="G27" s="41"/>
      <c r="H27" s="41"/>
    </row>
    <row r="28" spans="1:8" ht="15">
      <c r="A28" s="457">
        <v>4</v>
      </c>
      <c r="B28" s="458" t="s">
        <v>800</v>
      </c>
      <c r="C28" s="576">
        <v>9554000</v>
      </c>
      <c r="D28" s="576"/>
      <c r="E28" s="446"/>
      <c r="F28" s="446"/>
      <c r="G28" s="41"/>
      <c r="H28" s="41"/>
    </row>
    <row r="29" spans="1:8" ht="15">
      <c r="A29" s="457">
        <v>5</v>
      </c>
      <c r="B29" s="458" t="s">
        <v>801</v>
      </c>
      <c r="C29" s="576">
        <v>53504</v>
      </c>
      <c r="D29" s="576"/>
      <c r="E29" s="446"/>
      <c r="F29" s="446"/>
      <c r="G29" s="41"/>
      <c r="H29" s="41"/>
    </row>
    <row r="30" spans="1:8" ht="15">
      <c r="A30" s="457">
        <v>6</v>
      </c>
      <c r="B30" s="458" t="s">
        <v>802</v>
      </c>
      <c r="C30" s="576">
        <v>22207</v>
      </c>
      <c r="D30" s="576"/>
      <c r="E30" s="446"/>
      <c r="F30" s="446"/>
      <c r="G30" s="41"/>
      <c r="H30" s="41"/>
    </row>
    <row r="31" spans="1:8" ht="15">
      <c r="A31" s="457">
        <v>7</v>
      </c>
      <c r="B31" s="458" t="s">
        <v>803</v>
      </c>
      <c r="C31" s="576">
        <v>658466</v>
      </c>
      <c r="D31" s="576"/>
      <c r="E31" s="446"/>
      <c r="F31" s="446"/>
      <c r="G31" s="41"/>
      <c r="H31" s="41"/>
    </row>
    <row r="32" spans="1:8" ht="15">
      <c r="A32" s="457">
        <v>8</v>
      </c>
      <c r="B32" s="458" t="s">
        <v>804</v>
      </c>
      <c r="C32" s="576">
        <v>212720</v>
      </c>
      <c r="D32" s="576"/>
      <c r="E32" s="446"/>
      <c r="F32" s="446"/>
      <c r="G32" s="41"/>
      <c r="H32" s="41"/>
    </row>
    <row r="33" spans="1:8" ht="15">
      <c r="A33" s="457">
        <v>9</v>
      </c>
      <c r="B33" s="458" t="s">
        <v>805</v>
      </c>
      <c r="C33" s="576">
        <v>486360</v>
      </c>
      <c r="D33" s="576"/>
      <c r="E33" s="446"/>
      <c r="F33" s="446"/>
      <c r="G33" s="41"/>
      <c r="H33" s="41"/>
    </row>
    <row r="34" spans="1:8" ht="15">
      <c r="A34" s="457">
        <v>10</v>
      </c>
      <c r="B34" s="458" t="s">
        <v>806</v>
      </c>
      <c r="C34" s="576">
        <v>600000</v>
      </c>
      <c r="D34" s="576"/>
      <c r="E34" s="446"/>
      <c r="F34" s="446"/>
      <c r="G34" s="41"/>
      <c r="H34" s="41"/>
    </row>
    <row r="35" spans="1:8" ht="15">
      <c r="A35" s="457">
        <v>11</v>
      </c>
      <c r="B35" s="458" t="s">
        <v>807</v>
      </c>
      <c r="C35" s="576">
        <v>59694225</v>
      </c>
      <c r="D35" s="576"/>
      <c r="E35" s="446"/>
      <c r="F35" s="446"/>
      <c r="G35" s="41"/>
      <c r="H35" s="41"/>
    </row>
    <row r="36" spans="1:8" ht="15">
      <c r="A36" s="457">
        <v>12</v>
      </c>
      <c r="B36" s="458" t="s">
        <v>808</v>
      </c>
      <c r="C36" s="576">
        <v>6640000</v>
      </c>
      <c r="D36" s="576"/>
      <c r="E36" s="446"/>
      <c r="F36" s="446"/>
      <c r="G36" s="41"/>
      <c r="H36" s="41"/>
    </row>
    <row r="37" spans="1:8" ht="15">
      <c r="A37" s="457">
        <v>13</v>
      </c>
      <c r="B37" s="458" t="s">
        <v>809</v>
      </c>
      <c r="C37" s="576">
        <v>350631</v>
      </c>
      <c r="D37" s="576"/>
      <c r="E37" s="446"/>
      <c r="F37" s="446"/>
      <c r="G37" s="41"/>
      <c r="H37" s="41"/>
    </row>
    <row r="38" spans="1:8" ht="15">
      <c r="A38" s="457">
        <v>14</v>
      </c>
      <c r="B38" s="458" t="s">
        <v>810</v>
      </c>
      <c r="C38" s="576">
        <v>972000</v>
      </c>
      <c r="D38" s="576"/>
      <c r="E38" s="446"/>
      <c r="F38" s="446"/>
      <c r="G38" s="41"/>
      <c r="H38" s="41"/>
    </row>
    <row r="39" spans="1:8" ht="15">
      <c r="A39" s="457">
        <v>15</v>
      </c>
      <c r="B39" s="458" t="s">
        <v>811</v>
      </c>
      <c r="C39" s="576">
        <v>48971045.11</v>
      </c>
      <c r="D39" s="576"/>
      <c r="E39" s="446"/>
      <c r="F39" s="446"/>
      <c r="G39" s="41"/>
      <c r="H39" s="41"/>
    </row>
    <row r="40" spans="1:8" ht="15">
      <c r="A40" s="459"/>
      <c r="B40" s="460"/>
      <c r="C40" s="459"/>
      <c r="D40" s="461">
        <f>+C39+C38+C37+C36+C35+C34+C33+C32+C31+C30+C29+C28+C27+C26+C25</f>
        <v>134274288.11</v>
      </c>
      <c r="E40" s="17"/>
      <c r="F40" s="41">
        <f>+'BK'!F12</f>
        <v>537064</v>
      </c>
      <c r="G40" s="41"/>
      <c r="H40" s="41">
        <f>+'BK'!H12</f>
        <v>0</v>
      </c>
    </row>
    <row r="41" spans="2:8" ht="15">
      <c r="B41" s="17"/>
      <c r="C41" s="41"/>
      <c r="D41" s="41"/>
      <c r="E41" s="17"/>
      <c r="F41" s="41"/>
      <c r="G41" s="41"/>
      <c r="H41" s="41" t="e">
        <f>+#REF!-H40</f>
        <v>#REF!</v>
      </c>
    </row>
    <row r="42" spans="2:8" ht="15" hidden="1">
      <c r="B42" s="58" t="s">
        <v>46</v>
      </c>
      <c r="C42" s="41"/>
      <c r="D42" s="41"/>
      <c r="E42" s="58"/>
      <c r="F42" s="41"/>
      <c r="G42" s="41"/>
      <c r="H42" s="41"/>
    </row>
    <row r="43" spans="2:8" ht="15" hidden="1">
      <c r="B43" s="64"/>
      <c r="C43" s="63" t="str">
        <f>+C5</f>
        <v>31 Dhjetor 2010</v>
      </c>
      <c r="D43" s="63" t="s">
        <v>552</v>
      </c>
      <c r="E43" s="64"/>
      <c r="F43" s="63" t="s">
        <v>110</v>
      </c>
      <c r="G43" s="70"/>
      <c r="H43" s="63" t="s">
        <v>100</v>
      </c>
    </row>
    <row r="44" spans="2:8" ht="15" hidden="1">
      <c r="B44" s="62"/>
      <c r="C44" s="75"/>
      <c r="D44" s="75"/>
      <c r="E44" s="62"/>
      <c r="F44" s="75"/>
      <c r="G44" s="75"/>
      <c r="H44" s="75"/>
    </row>
    <row r="45" spans="2:8" ht="15" hidden="1">
      <c r="B45" s="62"/>
      <c r="C45" s="75"/>
      <c r="D45" s="75"/>
      <c r="E45" s="62"/>
      <c r="F45" s="75"/>
      <c r="G45" s="75"/>
      <c r="H45" s="75"/>
    </row>
    <row r="46" spans="2:8" ht="15" hidden="1">
      <c r="B46" s="62"/>
      <c r="C46" s="75"/>
      <c r="D46" s="75"/>
      <c r="E46" s="62"/>
      <c r="F46" s="75"/>
      <c r="G46" s="75"/>
      <c r="H46" s="75"/>
    </row>
    <row r="47" spans="2:8" ht="15" hidden="1">
      <c r="B47" s="76"/>
      <c r="C47" s="75"/>
      <c r="D47" s="75"/>
      <c r="E47" s="76"/>
      <c r="F47" s="75"/>
      <c r="G47" s="75"/>
      <c r="H47" s="75"/>
    </row>
    <row r="48" spans="2:8" ht="15.75" hidden="1" thickBot="1">
      <c r="B48" s="77" t="s">
        <v>2</v>
      </c>
      <c r="C48" s="78">
        <f>SUM(C44:C45)</f>
        <v>0</v>
      </c>
      <c r="D48" s="78">
        <f>SUM(D44:D45)</f>
        <v>0</v>
      </c>
      <c r="E48" s="77"/>
      <c r="F48" s="78">
        <f>SUM(F44:F45)</f>
        <v>0</v>
      </c>
      <c r="G48" s="79"/>
      <c r="H48" s="78">
        <f>SUM(H44:H44)</f>
        <v>0</v>
      </c>
    </row>
    <row r="49" spans="2:8" ht="15.75" hidden="1" thickTop="1">
      <c r="B49" s="17"/>
      <c r="C49" s="41" t="str">
        <f>+'BK'!B22</f>
        <v>Parapagesat per furnizime</v>
      </c>
      <c r="D49" s="41" t="str">
        <f>+'BK'!C22</f>
        <v>3.d</v>
      </c>
      <c r="E49" s="17"/>
      <c r="F49" s="41">
        <f>+'BK'!F22</f>
        <v>0</v>
      </c>
      <c r="G49" s="41"/>
      <c r="H49" s="41">
        <f>+'BK'!H22</f>
        <v>0</v>
      </c>
    </row>
    <row r="50" spans="2:20" ht="15" hidden="1">
      <c r="B50" s="17"/>
      <c r="C50" s="12"/>
      <c r="D50" s="12"/>
      <c r="E50" s="17"/>
      <c r="F50" s="12"/>
      <c r="G50" s="19"/>
      <c r="H50" s="12"/>
      <c r="L50" s="34"/>
      <c r="M50" s="34"/>
      <c r="N50" s="34"/>
      <c r="O50" s="34"/>
      <c r="P50" s="34"/>
      <c r="Q50" s="34"/>
      <c r="R50" s="34"/>
      <c r="S50" s="34"/>
      <c r="T50" s="34"/>
    </row>
    <row r="51" spans="2:20" ht="15">
      <c r="B51" s="17"/>
      <c r="C51" s="12"/>
      <c r="D51" s="12"/>
      <c r="E51" s="17"/>
      <c r="F51" s="12"/>
      <c r="G51" s="19"/>
      <c r="H51" s="12"/>
      <c r="L51" s="34"/>
      <c r="M51" s="34"/>
      <c r="N51" s="34"/>
      <c r="O51" s="34"/>
      <c r="P51" s="34"/>
      <c r="Q51" s="34"/>
      <c r="R51" s="34"/>
      <c r="S51" s="34"/>
      <c r="T51" s="34"/>
    </row>
    <row r="52" spans="2:20" ht="15">
      <c r="B52" s="58" t="s">
        <v>435</v>
      </c>
      <c r="C52" s="41"/>
      <c r="D52" s="41"/>
      <c r="E52" s="58"/>
      <c r="F52" s="41"/>
      <c r="G52" s="41"/>
      <c r="H52" s="41"/>
      <c r="L52" s="34"/>
      <c r="M52" s="34"/>
      <c r="N52" s="34"/>
      <c r="O52" s="34"/>
      <c r="P52" s="34"/>
      <c r="Q52" s="34"/>
      <c r="R52" s="34"/>
      <c r="S52" s="34"/>
      <c r="T52" s="34"/>
    </row>
    <row r="53" spans="2:20" ht="15">
      <c r="B53" s="64"/>
      <c r="C53" s="63" t="str">
        <f>+C43</f>
        <v>31 Dhjetor 2010</v>
      </c>
      <c r="D53" s="63" t="s">
        <v>578</v>
      </c>
      <c r="E53" s="62"/>
      <c r="F53" s="63" t="s">
        <v>552</v>
      </c>
      <c r="G53" s="64"/>
      <c r="H53" s="63" t="s">
        <v>110</v>
      </c>
      <c r="L53" s="34"/>
      <c r="M53" s="34"/>
      <c r="N53" s="34"/>
      <c r="O53" s="34"/>
      <c r="P53" s="34"/>
      <c r="Q53" s="34"/>
      <c r="R53" s="34"/>
      <c r="S53" s="34"/>
      <c r="T53" s="34"/>
    </row>
    <row r="54" spans="2:20" ht="15">
      <c r="B54" s="62" t="s">
        <v>512</v>
      </c>
      <c r="C54" s="75">
        <v>350000</v>
      </c>
      <c r="D54" s="75">
        <v>350000</v>
      </c>
      <c r="E54" s="62"/>
      <c r="F54" s="75">
        <v>320833</v>
      </c>
      <c r="G54" s="75"/>
      <c r="H54" s="75">
        <v>0</v>
      </c>
      <c r="L54" s="34"/>
      <c r="M54" s="34"/>
      <c r="N54" s="34"/>
      <c r="O54" s="34"/>
      <c r="P54" s="34"/>
      <c r="Q54" s="34"/>
      <c r="R54" s="34"/>
      <c r="S54" s="34"/>
      <c r="T54" s="34"/>
    </row>
    <row r="55" spans="2:20" ht="15" hidden="1">
      <c r="B55" s="62"/>
      <c r="C55" s="75"/>
      <c r="D55" s="75">
        <v>88624</v>
      </c>
      <c r="E55" s="62"/>
      <c r="F55" s="75">
        <v>300313</v>
      </c>
      <c r="G55" s="75"/>
      <c r="H55" s="75">
        <v>0</v>
      </c>
      <c r="L55" s="34"/>
      <c r="M55" s="34"/>
      <c r="N55" s="34"/>
      <c r="O55" s="34"/>
      <c r="P55" s="34"/>
      <c r="Q55" s="34"/>
      <c r="R55" s="34"/>
      <c r="S55" s="34"/>
      <c r="T55" s="34"/>
    </row>
    <row r="56" spans="2:20" ht="15">
      <c r="B56" s="62" t="s">
        <v>513</v>
      </c>
      <c r="C56" s="64">
        <v>25915</v>
      </c>
      <c r="D56" s="64">
        <v>51830</v>
      </c>
      <c r="E56" s="62"/>
      <c r="F56" s="64">
        <v>77955</v>
      </c>
      <c r="G56" s="75"/>
      <c r="H56" s="75">
        <v>0</v>
      </c>
      <c r="L56" s="34"/>
      <c r="M56" s="34"/>
      <c r="N56" s="34"/>
      <c r="O56" s="34"/>
      <c r="P56" s="34"/>
      <c r="Q56" s="34"/>
      <c r="R56" s="34"/>
      <c r="S56" s="34"/>
      <c r="T56" s="34"/>
    </row>
    <row r="57" spans="2:20" ht="15">
      <c r="B57" s="62" t="s">
        <v>514</v>
      </c>
      <c r="C57" s="64" t="str">
        <f>+'BK'!B27</f>
        <v>Diferenca nga kembimi</v>
      </c>
      <c r="D57" s="64">
        <f>+'BK'!C27</f>
        <v>0</v>
      </c>
      <c r="E57" s="62"/>
      <c r="F57" s="64">
        <f>+'BK'!F27</f>
        <v>0</v>
      </c>
      <c r="G57" s="75"/>
      <c r="H57" s="75">
        <v>0</v>
      </c>
      <c r="L57" s="34"/>
      <c r="M57" s="34"/>
      <c r="N57" s="34"/>
      <c r="O57" s="34"/>
      <c r="P57" s="34"/>
      <c r="Q57" s="34"/>
      <c r="R57" s="34"/>
      <c r="S57" s="34"/>
      <c r="T57" s="34"/>
    </row>
    <row r="58" spans="2:20" ht="15.75" thickBot="1">
      <c r="B58" s="77" t="s">
        <v>2</v>
      </c>
      <c r="C58" s="78">
        <f>SUM(C54:C57)</f>
        <v>375915</v>
      </c>
      <c r="D58" s="78">
        <f>SUM(D54:D57)</f>
        <v>490454</v>
      </c>
      <c r="E58" s="77"/>
      <c r="F58" s="78">
        <f>SUM(F54:F57)</f>
        <v>699101</v>
      </c>
      <c r="G58" s="79"/>
      <c r="H58" s="78">
        <f>SUM(H54:H57)</f>
        <v>0</v>
      </c>
      <c r="L58" s="34"/>
      <c r="M58" s="34"/>
      <c r="N58" s="34"/>
      <c r="O58" s="34"/>
      <c r="P58" s="34"/>
      <c r="Q58" s="34"/>
      <c r="R58" s="34"/>
      <c r="S58" s="34"/>
      <c r="T58" s="34"/>
    </row>
    <row r="59" spans="2:20" ht="15.75" thickTop="1">
      <c r="B59" s="28"/>
      <c r="C59" s="59">
        <f>+'BK'!D26+'BK'!D27</f>
        <v>36947756.99</v>
      </c>
      <c r="D59" s="59">
        <f>+'BK'!E26+'BK'!E27</f>
        <v>14158876</v>
      </c>
      <c r="E59" s="28"/>
      <c r="F59" s="59">
        <f>+'BK'!F26+'BK'!F27</f>
        <v>19417672</v>
      </c>
      <c r="G59" s="59"/>
      <c r="H59" s="59">
        <f>+'BK'!H26+'BK'!H27</f>
        <v>0</v>
      </c>
      <c r="L59" s="34"/>
      <c r="M59" s="34"/>
      <c r="N59" s="34"/>
      <c r="O59" s="34"/>
      <c r="P59" s="34"/>
      <c r="Q59" s="34"/>
      <c r="R59" s="34"/>
      <c r="S59" s="34"/>
      <c r="T59" s="34"/>
    </row>
    <row r="60" spans="2:20" ht="15">
      <c r="B60" s="28"/>
      <c r="C60" s="59"/>
      <c r="D60" s="59"/>
      <c r="E60" s="28"/>
      <c r="F60" s="59"/>
      <c r="G60" s="26"/>
      <c r="H60" s="59"/>
      <c r="L60" s="34"/>
      <c r="M60" s="34"/>
      <c r="N60" s="34"/>
      <c r="O60" s="34"/>
      <c r="P60" s="34"/>
      <c r="Q60" s="34"/>
      <c r="R60" s="34"/>
      <c r="S60" s="34"/>
      <c r="T60" s="34"/>
    </row>
    <row r="61" spans="2:20" ht="15">
      <c r="B61" s="58" t="s">
        <v>139</v>
      </c>
      <c r="C61" s="17"/>
      <c r="D61" s="17"/>
      <c r="E61" s="58"/>
      <c r="F61" s="17"/>
      <c r="G61" s="17"/>
      <c r="H61" s="17"/>
      <c r="K61" s="44"/>
      <c r="L61" s="35"/>
      <c r="M61" s="45"/>
      <c r="N61" s="44"/>
      <c r="O61" s="35"/>
      <c r="P61" s="35"/>
      <c r="Q61" s="35"/>
      <c r="R61" s="35"/>
      <c r="S61" s="35"/>
      <c r="T61" s="34"/>
    </row>
    <row r="62" spans="2:20" ht="15">
      <c r="B62" s="62"/>
      <c r="C62" s="63" t="str">
        <f>+C53</f>
        <v>31 Dhjetor 2010</v>
      </c>
      <c r="D62" s="63" t="s">
        <v>578</v>
      </c>
      <c r="E62" s="62"/>
      <c r="F62" s="63" t="s">
        <v>552</v>
      </c>
      <c r="G62" s="64"/>
      <c r="H62" s="63" t="s">
        <v>110</v>
      </c>
      <c r="K62" s="35"/>
      <c r="L62" s="35"/>
      <c r="M62" s="35"/>
      <c r="N62" s="35"/>
      <c r="O62" s="35"/>
      <c r="P62" s="35"/>
      <c r="Q62" s="35"/>
      <c r="R62" s="35"/>
      <c r="S62" s="35"/>
      <c r="T62" s="34"/>
    </row>
    <row r="63" spans="2:20" ht="15">
      <c r="B63" s="62" t="s">
        <v>105</v>
      </c>
      <c r="C63" s="80">
        <f>+'BK'!D45</f>
        <v>215778334.91000003</v>
      </c>
      <c r="D63" s="80">
        <f>+'BK'!E45</f>
        <v>199599676</v>
      </c>
      <c r="E63" s="62"/>
      <c r="F63" s="80">
        <f>+'BK'!F45</f>
        <v>69162893</v>
      </c>
      <c r="G63" s="80"/>
      <c r="H63" s="80">
        <f>+'BK'!H45</f>
        <v>0</v>
      </c>
      <c r="K63" s="35"/>
      <c r="L63" s="35"/>
      <c r="M63" s="35"/>
      <c r="N63" s="35"/>
      <c r="O63" s="35"/>
      <c r="P63" s="35"/>
      <c r="Q63" s="35"/>
      <c r="R63" s="35"/>
      <c r="S63" s="35"/>
      <c r="T63" s="34"/>
    </row>
    <row r="64" spans="2:20" ht="15">
      <c r="B64" s="62" t="s">
        <v>132</v>
      </c>
      <c r="C64" s="64">
        <f>+'BK'!D43</f>
        <v>0</v>
      </c>
      <c r="D64" s="64">
        <f>+'BK'!E43</f>
        <v>0</v>
      </c>
      <c r="E64" s="62"/>
      <c r="F64" s="64">
        <f>+'BK'!F43</f>
        <v>0</v>
      </c>
      <c r="G64" s="64"/>
      <c r="H64" s="64">
        <f>+'BK'!H43</f>
        <v>0</v>
      </c>
      <c r="K64" s="46"/>
      <c r="L64" s="47"/>
      <c r="M64" s="48"/>
      <c r="N64" s="49"/>
      <c r="O64" s="35"/>
      <c r="P64" s="35"/>
      <c r="Q64" s="35"/>
      <c r="R64" s="35"/>
      <c r="S64" s="50"/>
      <c r="T64" s="34"/>
    </row>
    <row r="65" spans="2:20" ht="15">
      <c r="B65" s="62" t="s">
        <v>125</v>
      </c>
      <c r="C65" s="64">
        <f>+'BK'!D46</f>
        <v>0</v>
      </c>
      <c r="D65" s="64">
        <f>+'BK'!E46</f>
        <v>67207917</v>
      </c>
      <c r="E65" s="62"/>
      <c r="F65" s="64">
        <f>+'BK'!F46</f>
        <v>0</v>
      </c>
      <c r="G65" s="64"/>
      <c r="H65" s="64">
        <f>+'BK'!H46</f>
        <v>0</v>
      </c>
      <c r="K65" s="35"/>
      <c r="L65" s="35"/>
      <c r="M65" s="35"/>
      <c r="N65" s="35"/>
      <c r="O65" s="35"/>
      <c r="P65" s="35"/>
      <c r="Q65" s="35"/>
      <c r="R65" s="35"/>
      <c r="S65" s="35"/>
      <c r="T65" s="34"/>
    </row>
    <row r="66" spans="2:20" ht="15">
      <c r="B66" s="62" t="s">
        <v>8</v>
      </c>
      <c r="C66" s="57" t="e">
        <f>+'BK'!#REF!</f>
        <v>#REF!</v>
      </c>
      <c r="D66" s="57" t="e">
        <f>+'BK'!#REF!</f>
        <v>#REF!</v>
      </c>
      <c r="E66" s="62"/>
      <c r="F66" s="57">
        <f>+'BK'!F47</f>
        <v>262049</v>
      </c>
      <c r="G66" s="57"/>
      <c r="H66" s="57">
        <f>+'BK'!H47</f>
        <v>0</v>
      </c>
      <c r="K66" s="35"/>
      <c r="L66" s="35"/>
      <c r="M66" s="35"/>
      <c r="N66" s="35"/>
      <c r="O66" s="35"/>
      <c r="P66" s="35"/>
      <c r="Q66" s="35"/>
      <c r="R66" s="35"/>
      <c r="S66" s="35"/>
      <c r="T66" s="34"/>
    </row>
    <row r="67" spans="2:20" ht="15">
      <c r="B67" s="62" t="s">
        <v>123</v>
      </c>
      <c r="C67" s="64">
        <f>+'BK'!D47</f>
        <v>178392</v>
      </c>
      <c r="D67" s="64">
        <f>+'BK'!E47</f>
        <v>169556</v>
      </c>
      <c r="E67" s="62"/>
      <c r="F67" s="64">
        <f>+'BK'!F48</f>
        <v>7804066</v>
      </c>
      <c r="G67" s="64"/>
      <c r="H67" s="64">
        <f>+'BK'!H48</f>
        <v>0</v>
      </c>
      <c r="K67" s="35"/>
      <c r="L67" s="35"/>
      <c r="M67" s="35"/>
      <c r="N67" s="35"/>
      <c r="O67" s="51"/>
      <c r="P67" s="35"/>
      <c r="Q67" s="35"/>
      <c r="R67" s="35"/>
      <c r="S67" s="52"/>
      <c r="T67" s="34"/>
    </row>
    <row r="68" spans="2:20" ht="15">
      <c r="B68" s="62" t="s">
        <v>63</v>
      </c>
      <c r="C68" s="64">
        <f>+'BK'!D50</f>
        <v>0</v>
      </c>
      <c r="D68" s="64">
        <f>+'BK'!E50</f>
        <v>0</v>
      </c>
      <c r="E68" s="62"/>
      <c r="F68" s="64">
        <f>+'BK'!F50</f>
        <v>0</v>
      </c>
      <c r="G68" s="64"/>
      <c r="H68" s="64">
        <f>+'BK'!H50</f>
        <v>0</v>
      </c>
      <c r="K68" s="35"/>
      <c r="L68" s="35"/>
      <c r="M68" s="35"/>
      <c r="N68" s="35"/>
      <c r="O68" s="51"/>
      <c r="P68" s="35"/>
      <c r="Q68" s="35"/>
      <c r="R68" s="35"/>
      <c r="S68" s="52"/>
      <c r="T68" s="34"/>
    </row>
    <row r="69" spans="2:20" ht="15">
      <c r="B69" s="62" t="s">
        <v>432</v>
      </c>
      <c r="C69" s="64">
        <f>+'BK'!D49</f>
        <v>0</v>
      </c>
      <c r="D69" s="64">
        <f>+'BK'!E49</f>
        <v>0</v>
      </c>
      <c r="E69" s="62"/>
      <c r="F69" s="64">
        <f>+'BK'!F49</f>
        <v>0</v>
      </c>
      <c r="G69" s="64"/>
      <c r="H69" s="64">
        <f>+'BK'!H51</f>
        <v>0</v>
      </c>
      <c r="L69" s="34"/>
      <c r="M69" s="34"/>
      <c r="N69" s="34"/>
      <c r="O69" s="34"/>
      <c r="P69" s="34"/>
      <c r="Q69" s="34"/>
      <c r="R69" s="34"/>
      <c r="S69" s="34"/>
      <c r="T69" s="34"/>
    </row>
    <row r="70" spans="2:9" ht="15">
      <c r="B70" s="62"/>
      <c r="C70" s="64"/>
      <c r="D70" s="64"/>
      <c r="E70" s="62"/>
      <c r="F70" s="64"/>
      <c r="G70" s="62"/>
      <c r="H70" s="57"/>
      <c r="I70" s="27"/>
    </row>
    <row r="71" spans="2:9" ht="15.75" thickBot="1">
      <c r="B71" s="66" t="s">
        <v>2</v>
      </c>
      <c r="C71" s="67" t="e">
        <f>SUM(C63:C69)</f>
        <v>#REF!</v>
      </c>
      <c r="D71" s="67" t="e">
        <f>SUM(D63:D69)</f>
        <v>#REF!</v>
      </c>
      <c r="E71" s="66"/>
      <c r="F71" s="67">
        <f>SUM(F63:F69)</f>
        <v>77229008</v>
      </c>
      <c r="G71" s="62"/>
      <c r="H71" s="67">
        <f>SUM(H63:H69)</f>
        <v>0</v>
      </c>
      <c r="I71" s="27"/>
    </row>
    <row r="72" spans="2:9" ht="15.75" thickTop="1">
      <c r="B72" s="17"/>
      <c r="C72" s="18">
        <f>+'Bilanci Alpha'!D86</f>
        <v>0</v>
      </c>
      <c r="D72" s="18" t="e">
        <f>+D71-'BK'!C55</f>
        <v>#REF!</v>
      </c>
      <c r="E72" s="17"/>
      <c r="F72" s="18">
        <f>+F71-'BK'!F55</f>
        <v>0</v>
      </c>
      <c r="G72" s="17"/>
      <c r="H72" s="18">
        <f>+H71-'BK'!H55</f>
        <v>0</v>
      </c>
      <c r="I72" s="27"/>
    </row>
    <row r="73" spans="2:8" ht="15">
      <c r="B73" s="58" t="s">
        <v>105</v>
      </c>
      <c r="C73" s="12"/>
      <c r="D73" s="12"/>
      <c r="E73" s="58"/>
      <c r="F73" s="12"/>
      <c r="G73" s="17"/>
      <c r="H73" s="12"/>
    </row>
    <row r="74" spans="2:8" ht="15">
      <c r="B74" s="301" t="s">
        <v>561</v>
      </c>
      <c r="C74" s="63" t="str">
        <f>+C62</f>
        <v>31 Dhjetor 2010</v>
      </c>
      <c r="D74" s="63" t="s">
        <v>578</v>
      </c>
      <c r="E74" s="300"/>
      <c r="F74" s="302"/>
      <c r="G74" s="17"/>
      <c r="H74" s="12"/>
    </row>
    <row r="75" spans="2:8" ht="15">
      <c r="B75" s="453" t="s">
        <v>760</v>
      </c>
      <c r="C75" s="454">
        <v>-0.51</v>
      </c>
      <c r="D75" s="524">
        <v>0.65</v>
      </c>
      <c r="E75" s="300"/>
      <c r="F75" s="302"/>
      <c r="G75" s="17"/>
      <c r="H75" s="12"/>
    </row>
    <row r="76" spans="2:8" ht="15">
      <c r="B76" s="453" t="s">
        <v>823</v>
      </c>
      <c r="C76" s="454">
        <v>782600</v>
      </c>
      <c r="D76" s="524">
        <v>496400</v>
      </c>
      <c r="E76" s="300"/>
      <c r="F76" s="302"/>
      <c r="G76" s="17"/>
      <c r="H76" s="12"/>
    </row>
    <row r="77" spans="2:8" ht="15">
      <c r="B77" s="453" t="s">
        <v>824</v>
      </c>
      <c r="C77" s="454">
        <v>3098056</v>
      </c>
      <c r="D77" s="524">
        <v>4830427.85</v>
      </c>
      <c r="E77" s="300"/>
      <c r="F77" s="302"/>
      <c r="G77" s="17"/>
      <c r="H77" s="12"/>
    </row>
    <row r="78" spans="2:8" ht="15">
      <c r="B78" s="453" t="s">
        <v>825</v>
      </c>
      <c r="C78" s="454">
        <v>39852.21000000001</v>
      </c>
      <c r="D78" s="524">
        <v>1366679</v>
      </c>
      <c r="E78" s="300"/>
      <c r="F78" s="302"/>
      <c r="G78" s="17"/>
      <c r="H78" s="12"/>
    </row>
    <row r="79" spans="2:8" ht="15">
      <c r="B79" s="453" t="s">
        <v>826</v>
      </c>
      <c r="C79" s="454">
        <v>317148</v>
      </c>
      <c r="D79" s="524">
        <v>150000</v>
      </c>
      <c r="E79" s="300"/>
      <c r="F79" s="302"/>
      <c r="G79" s="17"/>
      <c r="H79" s="12"/>
    </row>
    <row r="80" spans="2:8" ht="15">
      <c r="B80" s="453" t="s">
        <v>807</v>
      </c>
      <c r="C80" s="454">
        <v>1.090000000000657</v>
      </c>
      <c r="D80" s="524">
        <v>125801213</v>
      </c>
      <c r="E80" s="300"/>
      <c r="F80" s="302"/>
      <c r="G80" s="17"/>
      <c r="H80" s="12"/>
    </row>
    <row r="81" spans="2:8" ht="15">
      <c r="B81" s="453" t="s">
        <v>827</v>
      </c>
      <c r="C81" s="454">
        <v>1644750</v>
      </c>
      <c r="D81" s="524">
        <v>782000</v>
      </c>
      <c r="E81" s="300"/>
      <c r="F81" s="302"/>
      <c r="G81" s="17"/>
      <c r="H81" s="12"/>
    </row>
    <row r="82" spans="2:8" ht="15">
      <c r="B82" s="453" t="s">
        <v>828</v>
      </c>
      <c r="C82" s="454">
        <v>81</v>
      </c>
      <c r="D82" s="524">
        <v>54540</v>
      </c>
      <c r="E82" s="300"/>
      <c r="F82" s="302"/>
      <c r="G82" s="17"/>
      <c r="H82" s="12"/>
    </row>
    <row r="83" spans="2:8" ht="15">
      <c r="B83" s="453" t="s">
        <v>830</v>
      </c>
      <c r="C83" s="454">
        <v>1.4000000000014552</v>
      </c>
      <c r="D83" s="524">
        <v>1707280</v>
      </c>
      <c r="E83" s="300"/>
      <c r="F83" s="302"/>
      <c r="G83" s="17"/>
      <c r="H83" s="12"/>
    </row>
    <row r="84" spans="2:8" ht="15">
      <c r="B84" s="453" t="s">
        <v>829</v>
      </c>
      <c r="C84" s="454">
        <v>96000</v>
      </c>
      <c r="D84" s="525">
        <v>547360</v>
      </c>
      <c r="E84" s="300"/>
      <c r="F84" s="302"/>
      <c r="G84" s="17"/>
      <c r="H84" s="12"/>
    </row>
    <row r="85" spans="2:8" ht="15">
      <c r="B85" s="453" t="s">
        <v>805</v>
      </c>
      <c r="C85" s="454">
        <v>302000</v>
      </c>
      <c r="D85" s="525">
        <v>8349139.2</v>
      </c>
      <c r="E85" s="300"/>
      <c r="F85" s="302"/>
      <c r="G85" s="17"/>
      <c r="H85" s="12"/>
    </row>
    <row r="86" spans="2:8" ht="15">
      <c r="B86" s="453" t="s">
        <v>831</v>
      </c>
      <c r="C86" s="454">
        <v>43123.99999999999</v>
      </c>
      <c r="D86" s="525">
        <v>505296</v>
      </c>
      <c r="E86" s="300"/>
      <c r="F86" s="302"/>
      <c r="G86" s="17"/>
      <c r="H86" s="12"/>
    </row>
    <row r="87" spans="2:8" ht="15">
      <c r="B87" s="453" t="s">
        <v>832</v>
      </c>
      <c r="C87" s="454">
        <v>69200</v>
      </c>
      <c r="D87" s="525">
        <v>40000</v>
      </c>
      <c r="E87" s="300"/>
      <c r="F87" s="302"/>
      <c r="G87" s="17"/>
      <c r="H87" s="12"/>
    </row>
    <row r="88" spans="2:8" ht="15">
      <c r="B88" s="453" t="s">
        <v>833</v>
      </c>
      <c r="C88" s="454"/>
      <c r="D88" s="525">
        <v>185000</v>
      </c>
      <c r="E88" s="300"/>
      <c r="F88" s="302"/>
      <c r="G88" s="17"/>
      <c r="H88" s="12"/>
    </row>
    <row r="89" spans="2:8" ht="15">
      <c r="B89" s="453" t="s">
        <v>834</v>
      </c>
      <c r="C89" s="454"/>
      <c r="D89" s="525">
        <v>6996740</v>
      </c>
      <c r="E89" s="300"/>
      <c r="F89" s="302"/>
      <c r="G89" s="17"/>
      <c r="H89" s="12"/>
    </row>
    <row r="90" spans="2:8" ht="15">
      <c r="B90" s="453" t="s">
        <v>835</v>
      </c>
      <c r="C90" s="454">
        <v>340</v>
      </c>
      <c r="D90" s="525">
        <v>140000</v>
      </c>
      <c r="E90" s="300"/>
      <c r="F90" s="302"/>
      <c r="G90" s="17"/>
      <c r="H90" s="12"/>
    </row>
    <row r="91" spans="2:8" ht="15">
      <c r="B91" s="453" t="s">
        <v>836</v>
      </c>
      <c r="C91" s="454"/>
      <c r="D91" s="303">
        <v>1041248.04</v>
      </c>
      <c r="E91" s="300"/>
      <c r="F91" s="302"/>
      <c r="G91" s="17"/>
      <c r="H91" s="12"/>
    </row>
    <row r="92" spans="2:8" ht="15">
      <c r="B92" s="453" t="s">
        <v>837</v>
      </c>
      <c r="C92" s="454"/>
      <c r="D92" s="303">
        <v>34963536</v>
      </c>
      <c r="E92" s="300"/>
      <c r="F92" s="302"/>
      <c r="G92" s="17"/>
      <c r="H92" s="12"/>
    </row>
    <row r="93" spans="2:8" ht="15">
      <c r="B93" s="453" t="s">
        <v>838</v>
      </c>
      <c r="C93" s="454"/>
      <c r="D93" s="303">
        <v>26289145</v>
      </c>
      <c r="E93" s="300"/>
      <c r="F93" s="302"/>
      <c r="G93" s="17"/>
      <c r="H93" s="12"/>
    </row>
    <row r="94" spans="2:8" ht="15">
      <c r="B94" s="453" t="s">
        <v>515</v>
      </c>
      <c r="C94" s="454"/>
      <c r="D94" s="303">
        <v>1532330</v>
      </c>
      <c r="E94" s="300"/>
      <c r="F94" s="302"/>
      <c r="G94" s="17"/>
      <c r="H94" s="12"/>
    </row>
    <row r="95" spans="2:11" ht="15.75" thickBot="1">
      <c r="B95" s="451" t="s">
        <v>2</v>
      </c>
      <c r="C95" s="452">
        <f>+C96</f>
        <v>215778334.91000003</v>
      </c>
      <c r="D95" s="67">
        <f>SUM(D75:D94)</f>
        <v>215778334.73999998</v>
      </c>
      <c r="E95" s="66"/>
      <c r="F95" s="67"/>
      <c r="G95" s="62"/>
      <c r="H95" s="67">
        <f>+H96</f>
        <v>0</v>
      </c>
      <c r="K95" s="34">
        <f>+'Bilanci Alpha'!D101</f>
        <v>215778334.91000003</v>
      </c>
    </row>
    <row r="96" spans="2:11" ht="15.75" thickTop="1">
      <c r="B96" s="21"/>
      <c r="C96" s="41">
        <f>+'BK'!D45</f>
        <v>215778334.91000003</v>
      </c>
      <c r="D96" s="41">
        <f>+'BK'!E45</f>
        <v>199599676</v>
      </c>
      <c r="E96" s="21"/>
      <c r="F96" s="41">
        <f>+'BK'!F45</f>
        <v>69162893</v>
      </c>
      <c r="G96" s="41"/>
      <c r="H96" s="41">
        <f>+'BK'!H45</f>
        <v>0</v>
      </c>
      <c r="K96" s="34">
        <f>+K95-D95</f>
        <v>0.17000004649162292</v>
      </c>
    </row>
    <row r="97" spans="2:8" ht="15">
      <c r="B97" s="17"/>
      <c r="C97" s="12"/>
      <c r="D97" s="12"/>
      <c r="E97" s="17"/>
      <c r="F97" s="12"/>
      <c r="G97" s="17"/>
      <c r="H97" s="12"/>
    </row>
    <row r="98" spans="2:8" ht="15">
      <c r="B98" s="58" t="s">
        <v>433</v>
      </c>
      <c r="C98" s="12"/>
      <c r="D98" s="12"/>
      <c r="E98" s="58"/>
      <c r="F98" s="12"/>
      <c r="G98" s="17"/>
      <c r="H98" s="12"/>
    </row>
    <row r="99" spans="2:8" ht="15">
      <c r="B99" s="62"/>
      <c r="C99" s="63" t="str">
        <f>+C74</f>
        <v>31 Dhjetor 2010</v>
      </c>
      <c r="D99" s="63" t="s">
        <v>578</v>
      </c>
      <c r="E99" s="62"/>
      <c r="F99" s="63" t="s">
        <v>552</v>
      </c>
      <c r="G99" s="64"/>
      <c r="H99" s="63" t="s">
        <v>110</v>
      </c>
    </row>
    <row r="100" spans="2:8" ht="15">
      <c r="B100" s="62" t="s">
        <v>558</v>
      </c>
      <c r="C100" s="64">
        <f>+'BK'!D43</f>
        <v>0</v>
      </c>
      <c r="D100" s="64">
        <f>+'BK'!E43</f>
        <v>0</v>
      </c>
      <c r="E100" s="62"/>
      <c r="F100" s="64">
        <v>5200000</v>
      </c>
      <c r="G100" s="64"/>
      <c r="H100" s="64"/>
    </row>
    <row r="101" spans="2:8" ht="15" hidden="1">
      <c r="B101" s="62" t="s">
        <v>516</v>
      </c>
      <c r="C101" s="64">
        <v>0</v>
      </c>
      <c r="D101" s="64">
        <v>0</v>
      </c>
      <c r="E101" s="62"/>
      <c r="F101" s="64">
        <v>2724580</v>
      </c>
      <c r="G101" s="64"/>
      <c r="H101" s="64">
        <v>0</v>
      </c>
    </row>
    <row r="102" spans="2:8" ht="15.75" thickBot="1">
      <c r="B102" s="66" t="s">
        <v>2</v>
      </c>
      <c r="C102" s="67">
        <f>SUM(C100:C101)</f>
        <v>0</v>
      </c>
      <c r="D102" s="67">
        <f>SUM(D100:D101)</f>
        <v>0</v>
      </c>
      <c r="E102" s="66"/>
      <c r="F102" s="67">
        <f>SUM(F100:F101)</f>
        <v>7924580</v>
      </c>
      <c r="G102" s="57"/>
      <c r="H102" s="67">
        <f>SUM(H100:H101)</f>
        <v>0</v>
      </c>
    </row>
    <row r="103" spans="2:8" ht="15.75" thickTop="1">
      <c r="B103" s="17"/>
      <c r="C103" s="12" t="str">
        <f>+'BK'!B43</f>
        <v>Huamarjet</v>
      </c>
      <c r="D103" s="12" t="str">
        <f>+'BK'!C43</f>
        <v>5.b</v>
      </c>
      <c r="E103" s="17"/>
      <c r="F103" s="12">
        <f>+'BK'!F43</f>
        <v>0</v>
      </c>
      <c r="G103" s="12"/>
      <c r="H103" s="12">
        <f>+'BK'!H43</f>
        <v>0</v>
      </c>
    </row>
    <row r="104" spans="2:8" ht="15">
      <c r="B104" s="17"/>
      <c r="C104" s="12"/>
      <c r="D104" s="12"/>
      <c r="E104" s="17"/>
      <c r="F104" s="12"/>
      <c r="G104" s="17"/>
      <c r="H104" s="12"/>
    </row>
    <row r="105" spans="2:8" ht="15">
      <c r="B105" s="62"/>
      <c r="C105" s="63" t="str">
        <f>+C99</f>
        <v>31 Dhjetor 2010</v>
      </c>
      <c r="D105" s="63" t="s">
        <v>578</v>
      </c>
      <c r="E105" s="62"/>
      <c r="F105" s="63" t="s">
        <v>552</v>
      </c>
      <c r="G105" s="64"/>
      <c r="H105" s="63" t="s">
        <v>110</v>
      </c>
    </row>
    <row r="106" spans="2:10" ht="15">
      <c r="B106" s="62" t="s">
        <v>108</v>
      </c>
      <c r="C106" s="64">
        <v>253297</v>
      </c>
      <c r="D106" s="64">
        <v>277114</v>
      </c>
      <c r="E106" s="62"/>
      <c r="F106" s="64">
        <v>225789</v>
      </c>
      <c r="G106" s="64"/>
      <c r="H106" s="64">
        <v>275546</v>
      </c>
      <c r="J106" s="8"/>
    </row>
    <row r="107" spans="2:10" ht="15">
      <c r="B107" s="62" t="s">
        <v>109</v>
      </c>
      <c r="C107" s="64">
        <v>216783</v>
      </c>
      <c r="D107" s="64">
        <v>223758</v>
      </c>
      <c r="E107" s="62"/>
      <c r="F107" s="64">
        <v>263858</v>
      </c>
      <c r="G107" s="64"/>
      <c r="H107" s="65">
        <v>272412</v>
      </c>
      <c r="J107" s="8"/>
    </row>
    <row r="108" spans="2:8" ht="15">
      <c r="B108" s="62" t="s">
        <v>106</v>
      </c>
      <c r="C108" s="64">
        <v>56200</v>
      </c>
      <c r="D108" s="64">
        <v>57260</v>
      </c>
      <c r="E108" s="62"/>
      <c r="F108" s="64">
        <v>49200</v>
      </c>
      <c r="G108" s="64"/>
      <c r="H108" s="65">
        <v>48800</v>
      </c>
    </row>
    <row r="109" spans="2:8" ht="15">
      <c r="B109" s="62" t="s">
        <v>517</v>
      </c>
      <c r="C109" s="64">
        <f>+C65</f>
        <v>0</v>
      </c>
      <c r="D109" s="64">
        <v>924132</v>
      </c>
      <c r="E109" s="62"/>
      <c r="F109" s="64">
        <v>91680</v>
      </c>
      <c r="G109" s="64"/>
      <c r="H109" s="65">
        <v>0</v>
      </c>
    </row>
    <row r="110" spans="2:8" ht="15">
      <c r="B110" s="62"/>
      <c r="C110" s="64"/>
      <c r="D110" s="64"/>
      <c r="E110" s="62"/>
      <c r="F110" s="64"/>
      <c r="G110" s="64"/>
      <c r="H110" s="64"/>
    </row>
    <row r="111" spans="2:8" ht="15.75" thickBot="1">
      <c r="B111" s="66" t="s">
        <v>2</v>
      </c>
      <c r="C111" s="67">
        <f>SUM(C106:C109)</f>
        <v>526280</v>
      </c>
      <c r="D111" s="67">
        <f>SUM(D106:D109)</f>
        <v>1482264</v>
      </c>
      <c r="E111" s="66"/>
      <c r="F111" s="67">
        <f>SUM(F106:F109)</f>
        <v>630527</v>
      </c>
      <c r="G111" s="57"/>
      <c r="H111" s="67">
        <f>SUM(H106:H109)</f>
        <v>596758</v>
      </c>
    </row>
    <row r="112" spans="2:8" ht="15.75" thickTop="1">
      <c r="B112" s="17"/>
      <c r="C112" s="41" t="str">
        <f>+'BK'!B47</f>
        <v>Detyrime tatimore</v>
      </c>
      <c r="D112" s="41" t="str">
        <f>+'BK'!C47</f>
        <v>5.d</v>
      </c>
      <c r="E112" s="17"/>
      <c r="F112" s="41">
        <f>+'BK'!F47</f>
        <v>262049</v>
      </c>
      <c r="G112" s="12"/>
      <c r="H112" s="41">
        <f>+'BK'!H47</f>
        <v>0</v>
      </c>
    </row>
    <row r="113" spans="2:8" ht="15">
      <c r="B113" s="17"/>
      <c r="C113" s="12"/>
      <c r="D113" s="12"/>
      <c r="E113" s="17"/>
      <c r="F113" s="12"/>
      <c r="G113" s="17"/>
      <c r="H113" s="12"/>
    </row>
    <row r="114" spans="2:8" ht="15">
      <c r="B114" s="60" t="s">
        <v>431</v>
      </c>
      <c r="C114" s="12"/>
      <c r="D114" s="12"/>
      <c r="E114" s="60"/>
      <c r="F114" s="12"/>
      <c r="G114" s="17"/>
      <c r="H114" s="12"/>
    </row>
    <row r="115" spans="2:9" ht="15">
      <c r="B115" s="62"/>
      <c r="C115" s="63" t="str">
        <f>+C105</f>
        <v>31 Dhjetor 2010</v>
      </c>
      <c r="D115" s="63" t="s">
        <v>578</v>
      </c>
      <c r="E115" s="62"/>
      <c r="F115" s="63" t="s">
        <v>552</v>
      </c>
      <c r="G115" s="64"/>
      <c r="H115" s="63" t="s">
        <v>110</v>
      </c>
      <c r="I115" s="27"/>
    </row>
    <row r="116" spans="2:8" ht="15">
      <c r="B116" s="62"/>
      <c r="C116" s="64"/>
      <c r="D116" s="64"/>
      <c r="E116" s="62"/>
      <c r="F116" s="64"/>
      <c r="G116" s="64"/>
      <c r="H116" s="64"/>
    </row>
    <row r="117" spans="2:9" ht="15.75" thickBot="1">
      <c r="B117" s="66" t="s">
        <v>2</v>
      </c>
      <c r="C117" s="67">
        <f>SUM(C116:C116)</f>
        <v>0</v>
      </c>
      <c r="D117" s="67">
        <f>SUM(D116:D116)</f>
        <v>0</v>
      </c>
      <c r="E117" s="66"/>
      <c r="F117" s="67">
        <f>SUM(F116:F116)</f>
        <v>0</v>
      </c>
      <c r="G117" s="57"/>
      <c r="H117" s="67">
        <f>SUM(H116:H116)</f>
        <v>0</v>
      </c>
      <c r="I117" s="26"/>
    </row>
    <row r="118" spans="2:8" ht="15.75" thickTop="1">
      <c r="B118" s="17"/>
      <c r="C118" s="19"/>
      <c r="D118" s="19"/>
      <c r="E118" s="17"/>
      <c r="F118" s="19"/>
      <c r="G118" s="19"/>
      <c r="H118" s="19"/>
    </row>
    <row r="119" spans="2:8" ht="15">
      <c r="B119" s="21"/>
      <c r="C119" s="38">
        <f>+C68</f>
        <v>0</v>
      </c>
      <c r="D119" s="38">
        <f>+D68</f>
        <v>0</v>
      </c>
      <c r="E119" s="21"/>
      <c r="F119" s="38">
        <f>+F68</f>
        <v>0</v>
      </c>
      <c r="G119" s="38"/>
      <c r="H119" s="38">
        <f>+H68</f>
        <v>0</v>
      </c>
    </row>
    <row r="120" spans="2:8" ht="15">
      <c r="B120" s="17"/>
      <c r="C120" s="21"/>
      <c r="D120" s="21"/>
      <c r="E120" s="17"/>
      <c r="F120" s="21"/>
      <c r="G120" s="17"/>
      <c r="H120" s="17"/>
    </row>
    <row r="121" spans="2:8" ht="15">
      <c r="B121" s="62"/>
      <c r="C121" s="63" t="str">
        <f>+C115</f>
        <v>31 Dhjetor 2010</v>
      </c>
      <c r="D121" s="63" t="s">
        <v>578</v>
      </c>
      <c r="E121" s="62"/>
      <c r="F121" s="63" t="s">
        <v>552</v>
      </c>
      <c r="G121" s="64"/>
      <c r="H121" s="63" t="s">
        <v>110</v>
      </c>
    </row>
    <row r="122" spans="2:8" ht="15">
      <c r="B122" s="62" t="s">
        <v>123</v>
      </c>
      <c r="C122" s="64">
        <f>+'BK'!D47</f>
        <v>178392</v>
      </c>
      <c r="D122" s="64">
        <f>+'BK'!E47</f>
        <v>169556</v>
      </c>
      <c r="E122" s="62"/>
      <c r="F122" s="64">
        <f>+'BK'!F48</f>
        <v>7804066</v>
      </c>
      <c r="G122" s="64"/>
      <c r="H122" s="64">
        <f>+'BK'!H48</f>
        <v>0</v>
      </c>
    </row>
    <row r="123" spans="2:8" ht="15">
      <c r="B123" s="62"/>
      <c r="C123" s="64"/>
      <c r="D123" s="64"/>
      <c r="E123" s="62"/>
      <c r="F123" s="64"/>
      <c r="G123" s="64"/>
      <c r="H123" s="64"/>
    </row>
    <row r="124" spans="2:8" ht="15.75" thickBot="1">
      <c r="B124" s="66" t="s">
        <v>2</v>
      </c>
      <c r="C124" s="67">
        <f>SUM(C122:C122)</f>
        <v>178392</v>
      </c>
      <c r="D124" s="67">
        <f>SUM(D122:D122)</f>
        <v>169556</v>
      </c>
      <c r="E124" s="66"/>
      <c r="F124" s="67">
        <f>SUM(F122:F122)</f>
        <v>7804066</v>
      </c>
      <c r="G124" s="57"/>
      <c r="H124" s="67">
        <f>SUM(H122:H122)</f>
        <v>0</v>
      </c>
    </row>
    <row r="125" spans="2:8" ht="15.75" thickTop="1">
      <c r="B125" s="17"/>
      <c r="C125" s="37">
        <f>+'BK'!D47</f>
        <v>178392</v>
      </c>
      <c r="D125" s="37">
        <f>+'BK'!E47</f>
        <v>169556</v>
      </c>
      <c r="E125" s="17"/>
      <c r="F125" s="37">
        <f>+'BK'!F48</f>
        <v>7804066</v>
      </c>
      <c r="G125" s="37"/>
      <c r="H125" s="37">
        <f>+'BK'!H48</f>
        <v>0</v>
      </c>
    </row>
    <row r="126" spans="2:8" ht="15">
      <c r="B126" s="17"/>
      <c r="C126" s="21"/>
      <c r="D126" s="21"/>
      <c r="E126" s="17"/>
      <c r="F126" s="21"/>
      <c r="G126" s="17"/>
      <c r="H126" s="21"/>
    </row>
    <row r="127" spans="2:8" ht="15">
      <c r="B127" s="17" t="s">
        <v>518</v>
      </c>
      <c r="C127" s="17"/>
      <c r="D127" s="17"/>
      <c r="E127" s="17"/>
      <c r="F127" s="17"/>
      <c r="G127" s="17"/>
      <c r="H127" s="17"/>
    </row>
    <row r="128" spans="2:8" ht="15">
      <c r="B128" s="64"/>
      <c r="C128" s="63" t="str">
        <f>+C121</f>
        <v>31 Dhjetor 2010</v>
      </c>
      <c r="D128" s="63" t="s">
        <v>578</v>
      </c>
      <c r="E128" s="62"/>
      <c r="F128" s="63" t="s">
        <v>552</v>
      </c>
      <c r="G128" s="64"/>
      <c r="H128" s="63" t="s">
        <v>110</v>
      </c>
    </row>
    <row r="129" spans="2:8" ht="15">
      <c r="B129" s="64" t="s">
        <v>107</v>
      </c>
      <c r="C129" s="64">
        <f>+'Bilanci Alpha'!D43</f>
        <v>0</v>
      </c>
      <c r="D129" s="64">
        <f>+'Bilanci Alpha'!E43</f>
        <v>0</v>
      </c>
      <c r="E129" s="64"/>
      <c r="F129" s="64">
        <f>+'Bilanci Alpha'!F43</f>
        <v>0</v>
      </c>
      <c r="G129" s="64"/>
      <c r="H129" s="64">
        <f>+'Bilanci Alpha'!G43</f>
        <v>0</v>
      </c>
    </row>
    <row r="130" spans="2:8" ht="15.75" thickBot="1">
      <c r="B130" s="77" t="s">
        <v>2</v>
      </c>
      <c r="C130" s="78">
        <f>SUM(C129:C129)</f>
        <v>0</v>
      </c>
      <c r="D130" s="78">
        <f>SUM(D129:D129)</f>
        <v>0</v>
      </c>
      <c r="E130" s="77"/>
      <c r="F130" s="78">
        <f>SUM(F129:F129)</f>
        <v>0</v>
      </c>
      <c r="G130" s="79"/>
      <c r="H130" s="78">
        <f>SUM(H129:H129)</f>
        <v>0</v>
      </c>
    </row>
    <row r="131" spans="2:6" ht="15.75" thickTop="1">
      <c r="B131" s="64" t="s">
        <v>554</v>
      </c>
      <c r="C131" s="449">
        <f>+'Bilanci Alpha'!D42</f>
        <v>134274288.11</v>
      </c>
      <c r="D131" s="18" t="e">
        <f>+#REF!-D130</f>
        <v>#REF!</v>
      </c>
      <c r="F131" s="18" t="e">
        <f>+#REF!-F130</f>
        <v>#REF!</v>
      </c>
    </row>
    <row r="132" spans="2:5" ht="15">
      <c r="B132" s="61" t="s">
        <v>434</v>
      </c>
      <c r="C132" s="26">
        <f>+C131+C130</f>
        <v>134274288.11</v>
      </c>
      <c r="E132" s="61"/>
    </row>
    <row r="133" spans="2:8" ht="15" hidden="1">
      <c r="B133" s="64"/>
      <c r="C133" s="63" t="s">
        <v>552</v>
      </c>
      <c r="D133" s="63" t="s">
        <v>552</v>
      </c>
      <c r="E133" s="64"/>
      <c r="F133" s="63" t="s">
        <v>110</v>
      </c>
      <c r="G133" s="70"/>
      <c r="H133" s="63" t="s">
        <v>100</v>
      </c>
    </row>
    <row r="134" spans="2:8" ht="15" hidden="1">
      <c r="B134" s="64"/>
      <c r="C134" s="81"/>
      <c r="D134" s="81"/>
      <c r="E134" s="64"/>
      <c r="F134" s="81"/>
      <c r="G134" s="70"/>
      <c r="H134" s="81">
        <f>+'BK'!H57</f>
        <v>0</v>
      </c>
    </row>
    <row r="135" spans="2:8" ht="15" hidden="1">
      <c r="B135" s="64"/>
      <c r="C135" s="81"/>
      <c r="D135" s="81"/>
      <c r="E135" s="64"/>
      <c r="F135" s="81"/>
      <c r="G135" s="64"/>
      <c r="H135" s="64"/>
    </row>
    <row r="136" spans="2:8" ht="15.75" hidden="1" thickBot="1">
      <c r="B136" s="77" t="s">
        <v>2</v>
      </c>
      <c r="C136" s="78">
        <f>SUM(C134:C135)</f>
        <v>0</v>
      </c>
      <c r="D136" s="78">
        <f>SUM(D134:D135)</f>
        <v>0</v>
      </c>
      <c r="E136" s="77"/>
      <c r="F136" s="78">
        <f>SUM(F134:F135)</f>
        <v>0</v>
      </c>
      <c r="G136" s="79"/>
      <c r="H136" s="78">
        <f>SUM(H134:H135)</f>
        <v>0</v>
      </c>
    </row>
    <row r="137" spans="3:8" ht="15.75" hidden="1" thickTop="1">
      <c r="C137" s="18">
        <f>+'BK'!D57</f>
        <v>0</v>
      </c>
      <c r="D137" s="18">
        <f>+'BK'!E57</f>
        <v>0</v>
      </c>
      <c r="F137" s="18">
        <f>+'BK'!F57</f>
        <v>0</v>
      </c>
      <c r="H137" s="18">
        <f>+H136</f>
        <v>0</v>
      </c>
    </row>
    <row r="138" ht="15" hidden="1"/>
    <row r="139" spans="2:5" ht="15">
      <c r="B139" s="61" t="s">
        <v>520</v>
      </c>
      <c r="E139" s="61"/>
    </row>
    <row r="140" spans="2:8" ht="15.75" thickBot="1">
      <c r="B140" s="64"/>
      <c r="C140" s="82" t="str">
        <f>+C128</f>
        <v>31 Dhjetor 2010</v>
      </c>
      <c r="D140" s="63" t="s">
        <v>578</v>
      </c>
      <c r="E140" s="62"/>
      <c r="F140" s="63" t="s">
        <v>552</v>
      </c>
      <c r="G140" s="64"/>
      <c r="H140" s="63" t="s">
        <v>110</v>
      </c>
    </row>
    <row r="141" spans="2:8" ht="15.75" thickTop="1">
      <c r="B141" s="64" t="s">
        <v>519</v>
      </c>
      <c r="C141" s="81">
        <f>+'Ardh shpenz alpha'!C14</f>
        <v>463272541.59</v>
      </c>
      <c r="D141" s="81">
        <f>+'Ardh shpenz alpha'!D14</f>
        <v>148309737</v>
      </c>
      <c r="E141" s="64"/>
      <c r="F141" s="81">
        <f>+'Ardh shpenz alpha'!E14</f>
        <v>41373113</v>
      </c>
      <c r="G141" s="83"/>
      <c r="H141" s="84">
        <f>+'Ardh shpenz alpha'!F14</f>
        <v>0</v>
      </c>
    </row>
    <row r="142" spans="2:8" ht="15">
      <c r="B142" s="64" t="s">
        <v>438</v>
      </c>
      <c r="C142" s="81"/>
      <c r="D142" s="81"/>
      <c r="E142" s="64"/>
      <c r="F142" s="81"/>
      <c r="G142" s="83"/>
      <c r="H142" s="81"/>
    </row>
    <row r="143" spans="2:8" ht="15">
      <c r="B143" s="64"/>
      <c r="C143" s="81"/>
      <c r="D143" s="81"/>
      <c r="E143" s="64"/>
      <c r="F143" s="81"/>
      <c r="G143" s="85"/>
      <c r="H143" s="81"/>
    </row>
    <row r="144" spans="2:8" ht="15.75" thickBot="1">
      <c r="B144" s="77" t="s">
        <v>2</v>
      </c>
      <c r="C144" s="78">
        <f>SUM(C141:C142)</f>
        <v>463272541.59</v>
      </c>
      <c r="D144" s="78">
        <f>SUM(D141:D142)</f>
        <v>148309737</v>
      </c>
      <c r="E144" s="77"/>
      <c r="F144" s="78">
        <f>SUM(F141:F142)</f>
        <v>41373113</v>
      </c>
      <c r="G144" s="86"/>
      <c r="H144" s="78">
        <f>SUM(H141:H143)</f>
        <v>0</v>
      </c>
    </row>
    <row r="145" spans="3:8" ht="15.75" thickTop="1">
      <c r="C145" s="29">
        <f>'ardh-shpenz'!D8</f>
        <v>660246136</v>
      </c>
      <c r="D145" s="29">
        <f>'ardh-shpenz'!E8</f>
        <v>149763816</v>
      </c>
      <c r="F145" s="29">
        <f>'ardh-shpenz'!F8</f>
        <v>43258113</v>
      </c>
      <c r="G145" s="29"/>
      <c r="H145" s="29">
        <f>'ardh-shpenz'!H8</f>
        <v>0</v>
      </c>
    </row>
    <row r="146" spans="3:6" ht="15">
      <c r="C146" s="29"/>
      <c r="D146" s="29"/>
      <c r="F146" s="29"/>
    </row>
    <row r="147" spans="2:8" ht="15.75" thickBot="1">
      <c r="B147" s="64"/>
      <c r="C147" s="82" t="s">
        <v>552</v>
      </c>
      <c r="D147" s="63" t="s">
        <v>578</v>
      </c>
      <c r="E147" s="62"/>
      <c r="F147" s="63" t="s">
        <v>552</v>
      </c>
      <c r="G147" s="64"/>
      <c r="H147" s="63" t="s">
        <v>110</v>
      </c>
    </row>
    <row r="148" spans="2:8" ht="15.75" thickTop="1">
      <c r="B148" s="64" t="s">
        <v>436</v>
      </c>
      <c r="C148" s="64">
        <f>+'ardh-shpenz'!D9</f>
        <v>0</v>
      </c>
      <c r="D148" s="64">
        <v>0</v>
      </c>
      <c r="E148" s="64"/>
      <c r="F148" s="64">
        <v>0</v>
      </c>
      <c r="G148" s="81"/>
      <c r="H148" s="64">
        <v>0</v>
      </c>
    </row>
    <row r="149" spans="2:8" ht="15">
      <c r="B149" s="64" t="s">
        <v>140</v>
      </c>
      <c r="C149" s="64">
        <v>0</v>
      </c>
      <c r="D149" s="64">
        <v>0</v>
      </c>
      <c r="E149" s="64"/>
      <c r="F149" s="64">
        <v>0</v>
      </c>
      <c r="G149" s="81"/>
      <c r="H149" s="64">
        <v>0</v>
      </c>
    </row>
    <row r="150" spans="2:8" ht="15">
      <c r="B150" s="64"/>
      <c r="C150" s="57"/>
      <c r="D150" s="57"/>
      <c r="E150" s="64"/>
      <c r="F150" s="57"/>
      <c r="G150" s="64"/>
      <c r="H150" s="64"/>
    </row>
    <row r="151" spans="2:8" ht="15.75" thickBot="1">
      <c r="B151" s="77" t="s">
        <v>2</v>
      </c>
      <c r="C151" s="78">
        <f>SUM(C148:C150)</f>
        <v>0</v>
      </c>
      <c r="D151" s="78">
        <f>SUM(D148:D150)</f>
        <v>0</v>
      </c>
      <c r="E151" s="77"/>
      <c r="F151" s="78">
        <f>SUM(F148:F150)</f>
        <v>0</v>
      </c>
      <c r="G151" s="79"/>
      <c r="H151" s="78">
        <f>SUM(H148:H150)</f>
        <v>0</v>
      </c>
    </row>
    <row r="152" spans="3:8" ht="15.75" thickTop="1">
      <c r="C152" s="29">
        <f>+'ardh-shpenz'!D9</f>
        <v>0</v>
      </c>
      <c r="D152" s="29">
        <f>+'ardh-shpenz'!E9</f>
        <v>0</v>
      </c>
      <c r="F152" s="29">
        <f>+'ardh-shpenz'!F9</f>
        <v>0</v>
      </c>
      <c r="G152" s="29"/>
      <c r="H152" s="29">
        <f>+'ardh-shpenz'!H9</f>
        <v>0</v>
      </c>
    </row>
    <row r="153" spans="2:5" ht="15">
      <c r="B153" s="100"/>
      <c r="E153" s="100"/>
    </row>
    <row r="154" spans="2:8" ht="15.75" thickBot="1">
      <c r="B154" s="64"/>
      <c r="C154" s="82" t="str">
        <f>+C128</f>
        <v>31 Dhjetor 2010</v>
      </c>
      <c r="D154" s="63" t="s">
        <v>578</v>
      </c>
      <c r="E154" s="62"/>
      <c r="F154" s="63" t="s">
        <v>552</v>
      </c>
      <c r="G154" s="64"/>
      <c r="H154" s="63" t="s">
        <v>110</v>
      </c>
    </row>
    <row r="155" spans="2:8" ht="15.75" thickTop="1">
      <c r="B155" s="64" t="s">
        <v>437</v>
      </c>
      <c r="C155" s="64">
        <f>-'ardh-shpenz'!D12</f>
        <v>525668898.59000003</v>
      </c>
      <c r="D155" s="64">
        <f>-'ardh-shpenz'!E12</f>
        <v>110255969</v>
      </c>
      <c r="E155" s="64"/>
      <c r="F155" s="64">
        <f>-'ardh-shpenz'!F12</f>
        <v>6368015</v>
      </c>
      <c r="G155" s="64"/>
      <c r="H155" s="64">
        <v>0</v>
      </c>
    </row>
    <row r="156" spans="2:8" ht="15">
      <c r="B156" s="64"/>
      <c r="C156" s="64"/>
      <c r="D156" s="64"/>
      <c r="E156" s="64"/>
      <c r="F156" s="64"/>
      <c r="G156" s="64"/>
      <c r="H156" s="64"/>
    </row>
    <row r="157" spans="2:8" ht="15.75" thickBot="1">
      <c r="B157" s="77" t="s">
        <v>2</v>
      </c>
      <c r="C157" s="78">
        <f>SUM(C155:C156)</f>
        <v>525668898.59000003</v>
      </c>
      <c r="D157" s="78">
        <f>SUM(D155:D156)</f>
        <v>110255969</v>
      </c>
      <c r="E157" s="77"/>
      <c r="F157" s="78">
        <f>SUM(F155:F156)</f>
        <v>6368015</v>
      </c>
      <c r="G157" s="79"/>
      <c r="H157" s="78">
        <f>SUM(H155:H156)</f>
        <v>0</v>
      </c>
    </row>
    <row r="158" spans="3:8" ht="15.75" thickTop="1">
      <c r="C158" s="18">
        <f>+'ardh-shpenz'!D12</f>
        <v>-525668898.59000003</v>
      </c>
      <c r="D158" s="18">
        <f>+'ardh-shpenz'!E12</f>
        <v>-110255969</v>
      </c>
      <c r="F158" s="18">
        <f>+'ardh-shpenz'!F12</f>
        <v>-6368015</v>
      </c>
      <c r="H158" s="18">
        <f>+'ardh-shpenz'!H12</f>
        <v>0</v>
      </c>
    </row>
    <row r="160" ht="15">
      <c r="B160" s="18" t="s">
        <v>323</v>
      </c>
    </row>
    <row r="161" spans="2:8" ht="15.75" thickBot="1">
      <c r="B161" s="64"/>
      <c r="C161" s="82" t="str">
        <f>+C154</f>
        <v>31 Dhjetor 2010</v>
      </c>
      <c r="D161" s="63" t="s">
        <v>578</v>
      </c>
      <c r="E161" s="62"/>
      <c r="F161" s="63" t="s">
        <v>552</v>
      </c>
      <c r="G161" s="64"/>
      <c r="H161" s="63" t="s">
        <v>110</v>
      </c>
    </row>
    <row r="162" spans="2:8" ht="15.75" thickTop="1">
      <c r="B162" s="62" t="s">
        <v>112</v>
      </c>
      <c r="C162" s="64">
        <f>+'Ardh shpenz alpha'!C73</f>
        <v>5424092</v>
      </c>
      <c r="D162" s="64">
        <f>+'Ardh shpenz alpha'!D73</f>
        <v>6445964</v>
      </c>
      <c r="E162" s="62"/>
      <c r="F162" s="64">
        <f>+'Ardh shpenz alpha'!E73</f>
        <v>4083904</v>
      </c>
      <c r="G162" s="57"/>
      <c r="H162" s="64">
        <f>+'Ardh shpenz alpha'!F73</f>
        <v>0</v>
      </c>
    </row>
    <row r="163" spans="2:8" ht="15">
      <c r="B163" s="64" t="s">
        <v>109</v>
      </c>
      <c r="C163" s="64">
        <f>+'Ardh shpenz alpha'!C75</f>
        <v>740625</v>
      </c>
      <c r="D163" s="64">
        <f>+'Ardh shpenz alpha'!D75</f>
        <v>1049078</v>
      </c>
      <c r="E163" s="64"/>
      <c r="F163" s="64">
        <f>+'Ardh shpenz alpha'!E75</f>
        <v>782047</v>
      </c>
      <c r="G163" s="64"/>
      <c r="H163" s="64">
        <f>+'Ardh shpenz alpha'!F75</f>
        <v>0</v>
      </c>
    </row>
    <row r="164" spans="2:8" ht="15">
      <c r="B164" s="64"/>
      <c r="C164" s="64"/>
      <c r="D164" s="64"/>
      <c r="E164" s="64"/>
      <c r="F164" s="64"/>
      <c r="G164" s="64"/>
      <c r="H164" s="57"/>
    </row>
    <row r="165" spans="2:8" ht="15.75" thickBot="1">
      <c r="B165" s="77" t="s">
        <v>2</v>
      </c>
      <c r="C165" s="78">
        <f>SUM(C162:C163)</f>
        <v>6164717</v>
      </c>
      <c r="D165" s="78">
        <f>SUM(D162:D163)</f>
        <v>7495042</v>
      </c>
      <c r="E165" s="77"/>
      <c r="F165" s="78">
        <f>SUM(F162:F163)</f>
        <v>4865951</v>
      </c>
      <c r="G165" s="79"/>
      <c r="H165" s="78">
        <f>SUM(H162:H163)</f>
        <v>0</v>
      </c>
    </row>
    <row r="166" spans="3:8" ht="15.75" thickTop="1">
      <c r="C166" s="29">
        <f>+'ardh-shpenz'!D14</f>
        <v>-6164717</v>
      </c>
      <c r="D166" s="29">
        <f>+'ardh-shpenz'!E14</f>
        <v>-7495042</v>
      </c>
      <c r="F166" s="29">
        <f>+'ardh-shpenz'!F14</f>
        <v>-4865951</v>
      </c>
      <c r="G166" s="29"/>
      <c r="H166" s="29">
        <f>+'ardh-shpenz'!H14</f>
        <v>0</v>
      </c>
    </row>
    <row r="168" ht="15">
      <c r="B168" s="18" t="s">
        <v>83</v>
      </c>
    </row>
    <row r="169" spans="2:8" ht="15.75" thickBot="1">
      <c r="B169" s="64"/>
      <c r="C169" s="82" t="s">
        <v>552</v>
      </c>
      <c r="D169" s="63" t="s">
        <v>578</v>
      </c>
      <c r="E169" s="62"/>
      <c r="F169" s="63" t="s">
        <v>552</v>
      </c>
      <c r="G169" s="64"/>
      <c r="H169" s="63" t="s">
        <v>110</v>
      </c>
    </row>
    <row r="170" spans="2:8" ht="15.75" thickTop="1">
      <c r="B170" s="98" t="s">
        <v>521</v>
      </c>
      <c r="C170" s="101">
        <v>75932</v>
      </c>
      <c r="D170" s="101">
        <v>75700</v>
      </c>
      <c r="E170" s="98"/>
      <c r="F170" s="101">
        <v>177372</v>
      </c>
      <c r="G170" s="64"/>
      <c r="H170" s="64">
        <v>144200</v>
      </c>
    </row>
    <row r="171" spans="2:8" ht="15">
      <c r="B171" s="98" t="s">
        <v>529</v>
      </c>
      <c r="C171" s="101">
        <v>3925150</v>
      </c>
      <c r="D171" s="101">
        <f>208000+2979237</f>
        <v>3187237</v>
      </c>
      <c r="E171" s="98"/>
      <c r="F171" s="101">
        <v>2090342</v>
      </c>
      <c r="G171" s="64"/>
      <c r="H171" s="64">
        <f>428133+995627</f>
        <v>1423760</v>
      </c>
    </row>
    <row r="172" spans="2:8" ht="15">
      <c r="B172" s="98" t="s">
        <v>530</v>
      </c>
      <c r="C172" s="101">
        <v>0</v>
      </c>
      <c r="D172" s="101">
        <v>816608</v>
      </c>
      <c r="E172" s="98"/>
      <c r="F172" s="101">
        <v>3163200</v>
      </c>
      <c r="G172" s="64"/>
      <c r="H172" s="64">
        <v>2442000</v>
      </c>
    </row>
    <row r="173" spans="2:8" ht="15">
      <c r="B173" s="98" t="s">
        <v>522</v>
      </c>
      <c r="C173" s="101">
        <v>2524235</v>
      </c>
      <c r="D173" s="101">
        <v>1802846</v>
      </c>
      <c r="E173" s="98"/>
      <c r="F173" s="101">
        <v>3126610</v>
      </c>
      <c r="G173" s="64"/>
      <c r="H173" s="64">
        <v>3279762</v>
      </c>
    </row>
    <row r="174" spans="2:8" ht="15">
      <c r="B174" s="98" t="s">
        <v>523</v>
      </c>
      <c r="C174" s="101">
        <v>2071030</v>
      </c>
      <c r="D174" s="101">
        <v>563689</v>
      </c>
      <c r="E174" s="98"/>
      <c r="F174" s="101">
        <v>167830</v>
      </c>
      <c r="G174" s="64"/>
      <c r="H174" s="64">
        <v>165524</v>
      </c>
    </row>
    <row r="175" spans="2:8" ht="15">
      <c r="B175" s="98" t="s">
        <v>533</v>
      </c>
      <c r="C175" s="101">
        <v>2461592</v>
      </c>
      <c r="D175" s="101">
        <v>3911901</v>
      </c>
      <c r="E175" s="98"/>
      <c r="F175" s="101">
        <v>2857501</v>
      </c>
      <c r="G175" s="64"/>
      <c r="H175" s="64">
        <v>1557050</v>
      </c>
    </row>
    <row r="176" spans="2:8" ht="15">
      <c r="B176" s="455" t="s">
        <v>761</v>
      </c>
      <c r="C176" s="101">
        <f>11957228+8287692+126000</f>
        <v>20370920</v>
      </c>
      <c r="D176" s="101">
        <f>2718930+88102</f>
        <v>2807032</v>
      </c>
      <c r="E176" s="98"/>
      <c r="F176" s="101">
        <v>1314353</v>
      </c>
      <c r="G176" s="64"/>
      <c r="H176" s="64">
        <v>2081696</v>
      </c>
    </row>
    <row r="177" spans="2:8" ht="15">
      <c r="B177" s="98" t="s">
        <v>524</v>
      </c>
      <c r="C177" s="101">
        <v>347623</v>
      </c>
      <c r="D177" s="101">
        <v>327789</v>
      </c>
      <c r="E177" s="98"/>
      <c r="F177" s="101">
        <v>331689</v>
      </c>
      <c r="G177" s="64"/>
      <c r="H177" s="64">
        <v>246166</v>
      </c>
    </row>
    <row r="178" spans="2:8" ht="15">
      <c r="B178" s="98" t="s">
        <v>525</v>
      </c>
      <c r="C178" s="101">
        <v>0</v>
      </c>
      <c r="D178" s="101">
        <v>0</v>
      </c>
      <c r="E178" s="98"/>
      <c r="F178" s="101">
        <v>25178</v>
      </c>
      <c r="G178" s="64"/>
      <c r="H178" s="64">
        <v>150887</v>
      </c>
    </row>
    <row r="179" spans="2:8" ht="15">
      <c r="B179" s="98" t="s">
        <v>526</v>
      </c>
      <c r="C179" s="101">
        <v>3641743</v>
      </c>
      <c r="D179" s="101">
        <v>3903167</v>
      </c>
      <c r="E179" s="98"/>
      <c r="F179" s="101">
        <v>3503880</v>
      </c>
      <c r="G179" s="64"/>
      <c r="H179" s="64">
        <v>3299492</v>
      </c>
    </row>
    <row r="180" spans="2:8" ht="15">
      <c r="B180" s="98" t="s">
        <v>142</v>
      </c>
      <c r="C180" s="101">
        <v>72452</v>
      </c>
      <c r="D180" s="101">
        <v>61469</v>
      </c>
      <c r="E180" s="98"/>
      <c r="F180" s="101">
        <v>95613.3</v>
      </c>
      <c r="G180" s="64"/>
      <c r="H180" s="64">
        <v>148321</v>
      </c>
    </row>
    <row r="181" spans="2:10" ht="15">
      <c r="B181" s="98" t="s">
        <v>527</v>
      </c>
      <c r="C181" s="101">
        <f>114539+329007</f>
        <v>443546</v>
      </c>
      <c r="D181" s="101">
        <v>434053</v>
      </c>
      <c r="E181" s="98"/>
      <c r="F181" s="101">
        <v>300448</v>
      </c>
      <c r="G181" s="64"/>
      <c r="H181" s="64">
        <f>+'Ardh shpenz alpha'!F76</f>
        <v>0</v>
      </c>
      <c r="J181" s="42"/>
    </row>
    <row r="182" spans="2:10" ht="15">
      <c r="B182" s="98" t="s">
        <v>528</v>
      </c>
      <c r="C182" s="101">
        <v>431238</v>
      </c>
      <c r="D182" s="101">
        <v>50310</v>
      </c>
      <c r="E182" s="98"/>
      <c r="F182" s="101">
        <v>892593</v>
      </c>
      <c r="G182" s="64"/>
      <c r="H182" s="64">
        <v>0</v>
      </c>
      <c r="J182" s="42"/>
    </row>
    <row r="183" spans="2:8" ht="15.75" thickBot="1">
      <c r="B183" s="77" t="s">
        <v>2</v>
      </c>
      <c r="C183" s="99">
        <f>SUM(C170:C182)</f>
        <v>36365461</v>
      </c>
      <c r="D183" s="99">
        <f>SUM(D170:D182)</f>
        <v>17941801</v>
      </c>
      <c r="E183" s="77"/>
      <c r="F183" s="99">
        <f>SUM(F170:F182)</f>
        <v>18046609.3</v>
      </c>
      <c r="G183" s="79"/>
      <c r="H183" s="78">
        <f>SUM(H170:H182)</f>
        <v>14938858</v>
      </c>
    </row>
    <row r="184" spans="3:8" ht="15.75" thickTop="1">
      <c r="C184" s="29">
        <f>+'ardh-shpenz'!D13</f>
        <v>-103591460.47</v>
      </c>
      <c r="D184" s="29">
        <f>+'ardh-shpenz'!E13</f>
        <v>-22508031</v>
      </c>
      <c r="F184" s="29">
        <f>+'ardh-shpenz'!F13</f>
        <v>-20533628</v>
      </c>
      <c r="G184" s="29"/>
      <c r="H184" s="29">
        <f>+'ardh-shpenz'!H13</f>
        <v>0</v>
      </c>
    </row>
    <row r="185" spans="3:8" ht="15">
      <c r="C185" s="29"/>
      <c r="D185" s="29"/>
      <c r="F185" s="29"/>
      <c r="G185" s="29"/>
      <c r="H185" s="29"/>
    </row>
    <row r="186" ht="15">
      <c r="B186" s="18" t="s">
        <v>531</v>
      </c>
    </row>
    <row r="187" spans="2:8" ht="15.75" thickBot="1">
      <c r="B187" s="64"/>
      <c r="C187" s="82" t="s">
        <v>552</v>
      </c>
      <c r="D187" s="63" t="s">
        <v>578</v>
      </c>
      <c r="E187" s="62"/>
      <c r="F187" s="63" t="s">
        <v>552</v>
      </c>
      <c r="G187" s="64"/>
      <c r="H187" s="63" t="s">
        <v>110</v>
      </c>
    </row>
    <row r="188" spans="2:8" ht="15.75" thickTop="1">
      <c r="B188" s="62" t="s">
        <v>532</v>
      </c>
      <c r="C188" s="450">
        <f>+'Ardh shpenz alpha'!C82</f>
        <v>14982322</v>
      </c>
      <c r="D188" s="98">
        <f>+'Ardh shpenz alpha'!D82</f>
        <v>3865021</v>
      </c>
      <c r="E188" s="62"/>
      <c r="F188" s="98">
        <f>+'Ardh shpenz alpha'!E82</f>
        <v>4906625</v>
      </c>
      <c r="G188" s="57"/>
      <c r="H188" s="64">
        <v>569256</v>
      </c>
    </row>
    <row r="189" spans="2:8" ht="15">
      <c r="B189" s="64"/>
      <c r="C189" s="64"/>
      <c r="D189" s="64"/>
      <c r="E189" s="64"/>
      <c r="F189" s="64"/>
      <c r="G189" s="64"/>
      <c r="H189" s="57"/>
    </row>
    <row r="190" spans="2:8" ht="15.75" thickBot="1">
      <c r="B190" s="77" t="s">
        <v>2</v>
      </c>
      <c r="C190" s="78">
        <f>SUM(C188:C188)</f>
        <v>14982322</v>
      </c>
      <c r="D190" s="78">
        <f>SUM(D188:D188)</f>
        <v>3865021</v>
      </c>
      <c r="E190" s="77"/>
      <c r="F190" s="78">
        <f>SUM(F188:F188)</f>
        <v>4906625</v>
      </c>
      <c r="G190" s="79"/>
      <c r="H190" s="78">
        <f>SUM(H188:H188)</f>
        <v>569256</v>
      </c>
    </row>
    <row r="191" spans="3:8" ht="15.75" thickTop="1">
      <c r="C191" s="29">
        <f>-C188</f>
        <v>-14982322</v>
      </c>
      <c r="D191" s="29">
        <f>-D188</f>
        <v>-3865021</v>
      </c>
      <c r="F191" s="29">
        <f>-F188</f>
        <v>-4906625</v>
      </c>
      <c r="G191" s="29"/>
      <c r="H191" s="29">
        <f>-H190</f>
        <v>-569256</v>
      </c>
    </row>
    <row r="193" spans="2:8" ht="15.75" thickBot="1">
      <c r="B193" s="34"/>
      <c r="C193" s="552" t="s">
        <v>552</v>
      </c>
      <c r="D193" s="553" t="s">
        <v>578</v>
      </c>
      <c r="E193" s="554"/>
      <c r="F193" s="553" t="s">
        <v>552</v>
      </c>
      <c r="G193" s="34"/>
      <c r="H193" s="553" t="s">
        <v>110</v>
      </c>
    </row>
    <row r="194" spans="2:8" ht="15.75" thickTop="1">
      <c r="B194" s="34" t="s">
        <v>114</v>
      </c>
      <c r="C194" s="34">
        <f>+'Ardh shpenz alpha'!C39</f>
        <v>43200</v>
      </c>
      <c r="D194" s="34">
        <f>+'Ardh shpenz alpha'!D39</f>
        <v>43200</v>
      </c>
      <c r="E194" s="34"/>
      <c r="F194" s="34">
        <f>+'Ardh shpenz alpha'!E39</f>
        <v>9129</v>
      </c>
      <c r="G194" s="555"/>
      <c r="H194" s="34">
        <f>+'Ardh shpenz alpha'!F39</f>
        <v>0</v>
      </c>
    </row>
    <row r="195" spans="2:8" ht="15">
      <c r="B195" s="34" t="s">
        <v>127</v>
      </c>
      <c r="C195" s="34">
        <f>+'Ardh shpenz alpha'!C37</f>
        <v>2140.8599999999997</v>
      </c>
      <c r="D195" s="34">
        <f>+'Ardh shpenz alpha'!D37</f>
        <v>2140.8599999999997</v>
      </c>
      <c r="E195" s="34"/>
      <c r="F195" s="34">
        <f>+'Ardh shpenz alpha'!E37</f>
        <v>447</v>
      </c>
      <c r="G195" s="555"/>
      <c r="H195" s="34">
        <f>+'Ardh shpenz alpha'!F37</f>
        <v>0</v>
      </c>
    </row>
    <row r="196" spans="2:8" ht="15">
      <c r="B196" s="34" t="s">
        <v>115</v>
      </c>
      <c r="C196" s="34">
        <v>0</v>
      </c>
      <c r="D196" s="34">
        <v>0</v>
      </c>
      <c r="E196" s="34"/>
      <c r="F196" s="34">
        <v>0</v>
      </c>
      <c r="G196" s="555"/>
      <c r="H196" s="34">
        <v>0</v>
      </c>
    </row>
    <row r="197" spans="2:8" ht="15">
      <c r="B197" s="34" t="s">
        <v>126</v>
      </c>
      <c r="C197" s="34">
        <f>-'Ardh shpenz alpha'!C90</f>
        <v>-2781877.33</v>
      </c>
      <c r="D197" s="34">
        <f>-'Ardh shpenz alpha'!D90</f>
        <v>-3614454</v>
      </c>
      <c r="E197" s="34"/>
      <c r="F197" s="34">
        <f>-'Ardh shpenz alpha'!E90</f>
        <v>-3260306</v>
      </c>
      <c r="G197" s="555"/>
      <c r="H197" s="34">
        <f>-'Ardh shpenz alpha'!F90</f>
        <v>0</v>
      </c>
    </row>
    <row r="198" spans="2:8" ht="15">
      <c r="B198" s="556" t="s">
        <v>116</v>
      </c>
      <c r="C198" s="34">
        <f>-'Ardh shpenz alpha'!C92</f>
        <v>-220732.97</v>
      </c>
      <c r="D198" s="34">
        <f>-'Ardh shpenz alpha'!D92</f>
        <v>0</v>
      </c>
      <c r="E198" s="556"/>
      <c r="F198" s="34">
        <f>-'Ardh shpenz alpha'!E92</f>
        <v>-29498</v>
      </c>
      <c r="G198" s="555"/>
      <c r="H198" s="34">
        <f>-'Ardh shpenz alpha'!F92</f>
        <v>0</v>
      </c>
    </row>
    <row r="199" spans="2:8" ht="15">
      <c r="B199" s="34" t="s">
        <v>117</v>
      </c>
      <c r="C199" s="34">
        <v>0</v>
      </c>
      <c r="D199" s="34">
        <v>0</v>
      </c>
      <c r="E199" s="34"/>
      <c r="F199" s="34">
        <v>0</v>
      </c>
      <c r="G199" s="555"/>
      <c r="H199" s="34">
        <f>-'Ardh shpenz alpha'!F94</f>
        <v>0</v>
      </c>
    </row>
    <row r="200" spans="2:8" ht="15">
      <c r="B200" s="34"/>
      <c r="C200" s="34"/>
      <c r="D200" s="34"/>
      <c r="E200" s="34"/>
      <c r="F200" s="34"/>
      <c r="G200" s="555"/>
      <c r="H200" s="34"/>
    </row>
    <row r="201" spans="2:8" ht="15.75" thickBot="1">
      <c r="B201" s="557" t="s">
        <v>2</v>
      </c>
      <c r="C201" s="558">
        <f>SUM(C194:C199)</f>
        <v>-2957269.4400000004</v>
      </c>
      <c r="D201" s="558">
        <f>SUM(D194:D199)</f>
        <v>-3569113.14</v>
      </c>
      <c r="E201" s="557"/>
      <c r="F201" s="558">
        <f>SUM(F194:F199)</f>
        <v>-3280228</v>
      </c>
      <c r="G201" s="559"/>
      <c r="H201" s="558">
        <f>SUM(H194:H199)</f>
        <v>0</v>
      </c>
    </row>
    <row r="202" spans="2:8" ht="15.75" thickTop="1">
      <c r="B202" s="34"/>
      <c r="C202" s="560">
        <f>-'ardh-shpenz'!D21</f>
        <v>2957269.4400000004</v>
      </c>
      <c r="D202" s="560">
        <f>-'ardh-shpenz'!E21</f>
        <v>3569113.14</v>
      </c>
      <c r="E202" s="34"/>
      <c r="F202" s="560">
        <f>-'ardh-shpenz'!F21</f>
        <v>3280228</v>
      </c>
      <c r="G202" s="560"/>
      <c r="H202" s="560">
        <f>-'ardh-shpenz'!H21</f>
        <v>0</v>
      </c>
    </row>
    <row r="203" spans="3:6" ht="15">
      <c r="C203" s="43"/>
      <c r="D203" s="43"/>
      <c r="F203" s="43"/>
    </row>
    <row r="204" spans="2:8" ht="15.75" thickBot="1">
      <c r="B204" s="34"/>
      <c r="C204" s="552" t="s">
        <v>550</v>
      </c>
      <c r="D204" s="553" t="s">
        <v>578</v>
      </c>
      <c r="E204" s="554"/>
      <c r="F204" s="553" t="s">
        <v>552</v>
      </c>
      <c r="G204" s="34"/>
      <c r="H204" s="553" t="s">
        <v>110</v>
      </c>
    </row>
    <row r="205" spans="2:8" ht="15.75" thickTop="1">
      <c r="B205" s="34" t="s">
        <v>118</v>
      </c>
      <c r="C205" s="34">
        <f>+'ardh-shpenz'!D23</f>
        <v>6881468.499999967</v>
      </c>
      <c r="D205" s="34">
        <f>+'Ardh shpenz alpha'!C100</f>
        <v>6881468.5</v>
      </c>
      <c r="E205" s="34"/>
      <c r="F205" s="34">
        <f>+'Ardh shpenz alpha'!D100</f>
        <v>2146125</v>
      </c>
      <c r="G205" s="34"/>
      <c r="H205" s="34">
        <f>+'ardh-shpenz'!H23</f>
        <v>0</v>
      </c>
    </row>
    <row r="206" spans="2:8" ht="15">
      <c r="B206" s="34" t="s">
        <v>119</v>
      </c>
      <c r="C206" s="34">
        <f>+C182</f>
        <v>431238</v>
      </c>
      <c r="D206" s="34">
        <f>+'Ardh shpenz alpha'!C80</f>
        <v>402007</v>
      </c>
      <c r="E206" s="34"/>
      <c r="F206" s="34">
        <f>+'Ardh shpenz alpha'!E80</f>
        <v>0</v>
      </c>
      <c r="G206" s="34"/>
      <c r="H206" s="561">
        <v>0</v>
      </c>
    </row>
    <row r="207" spans="2:8" ht="15">
      <c r="B207" s="34" t="s">
        <v>120</v>
      </c>
      <c r="C207" s="562">
        <f>SUM(C205:C206)</f>
        <v>7312706.499999967</v>
      </c>
      <c r="D207" s="562">
        <f>SUM(D205:D206)</f>
        <v>7283475.5</v>
      </c>
      <c r="E207" s="34"/>
      <c r="F207" s="562">
        <f>SUM(F205:F206)</f>
        <v>2146125</v>
      </c>
      <c r="G207" s="34"/>
      <c r="H207" s="562">
        <f>SUM(H205:H206)</f>
        <v>0</v>
      </c>
    </row>
    <row r="208" spans="2:8" ht="15">
      <c r="B208" s="34" t="s">
        <v>121</v>
      </c>
      <c r="C208" s="563">
        <v>10</v>
      </c>
      <c r="D208" s="563">
        <v>10</v>
      </c>
      <c r="E208" s="34"/>
      <c r="F208" s="563">
        <v>10</v>
      </c>
      <c r="G208" s="564"/>
      <c r="H208" s="563">
        <v>20</v>
      </c>
    </row>
    <row r="209" spans="2:8" ht="15">
      <c r="B209" s="559" t="s">
        <v>107</v>
      </c>
      <c r="C209" s="565">
        <f>+C207*0.1</f>
        <v>731270.6499999968</v>
      </c>
      <c r="D209" s="565">
        <f>+D207*0.1</f>
        <v>728347.55</v>
      </c>
      <c r="E209" s="559"/>
      <c r="F209" s="565">
        <f>+F207*0.1</f>
        <v>214612.5</v>
      </c>
      <c r="G209" s="565"/>
      <c r="H209" s="565">
        <f>+H207*0.2</f>
        <v>0</v>
      </c>
    </row>
    <row r="210" spans="2:8" ht="15">
      <c r="B210" s="34"/>
      <c r="C210" s="566"/>
      <c r="D210" s="566"/>
      <c r="E210" s="34"/>
      <c r="F210" s="566"/>
      <c r="G210" s="566"/>
      <c r="H210" s="566"/>
    </row>
    <row r="211" spans="2:8" ht="15">
      <c r="B211" s="559" t="s">
        <v>122</v>
      </c>
      <c r="C211" s="565">
        <f>+C205-C209-1</f>
        <v>6150196.849999971</v>
      </c>
      <c r="D211" s="565">
        <f>+D205-D209</f>
        <v>6153120.95</v>
      </c>
      <c r="E211" s="559"/>
      <c r="F211" s="565">
        <f>+F205-F209</f>
        <v>1931512.5</v>
      </c>
      <c r="G211" s="565"/>
      <c r="H211" s="565">
        <f>+H205-H209</f>
        <v>0</v>
      </c>
    </row>
    <row r="213" spans="4:6" ht="15">
      <c r="D213" s="18">
        <f>+'Bilanci Alpha'!D77</f>
        <v>6153120.67</v>
      </c>
      <c r="F213" s="18">
        <f>+'Bilanci Alpha'!E77</f>
        <v>1931513</v>
      </c>
    </row>
  </sheetData>
  <sheetProtection/>
  <mergeCells count="15">
    <mergeCell ref="C39:D39"/>
    <mergeCell ref="C36:D36"/>
    <mergeCell ref="C37:D37"/>
    <mergeCell ref="C38:D38"/>
    <mergeCell ref="C33:D33"/>
    <mergeCell ref="C34:D34"/>
    <mergeCell ref="C35:D35"/>
    <mergeCell ref="C32:D32"/>
    <mergeCell ref="C27:D27"/>
    <mergeCell ref="C28:D28"/>
    <mergeCell ref="C29:D29"/>
    <mergeCell ref="C25:D25"/>
    <mergeCell ref="C26:D26"/>
    <mergeCell ref="C30:D30"/>
    <mergeCell ref="C31:D31"/>
  </mergeCells>
  <printOptions/>
  <pageMargins left="0.23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edroboniku</cp:lastModifiedBy>
  <cp:lastPrinted>2011-03-31T11:44:38Z</cp:lastPrinted>
  <dcterms:created xsi:type="dcterms:W3CDTF">2008-12-17T10:29:05Z</dcterms:created>
  <dcterms:modified xsi:type="dcterms:W3CDTF">2011-07-25T09:59:53Z</dcterms:modified>
  <cp:category/>
  <cp:version/>
  <cp:contentType/>
  <cp:contentStatus/>
</cp:coreProperties>
</file>