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820" windowHeight="3885" tabRatio="959" activeTab="4"/>
  </bookViews>
  <sheets>
    <sheet name="Kapaku" sheetId="1" r:id="rId1"/>
    <sheet name="Aktivet e detajuara" sheetId="2" r:id="rId2"/>
    <sheet name="Te ardhura e shpenzime" sheetId="3" r:id="rId3"/>
    <sheet name="FLUKSI MONETAR" sheetId="4" r:id="rId4"/>
    <sheet name="Kapitali" sheetId="5" r:id="rId5"/>
  </sheets>
  <externalReferences>
    <externalReference r:id="rId8"/>
  </externalReferences>
  <definedNames>
    <definedName name="_xlnm.Print_Area" localSheetId="1">'Aktivet e detajuara'!$A$61:$J$107</definedName>
    <definedName name="_xlnm.Print_Area" localSheetId="0">'Kapaku'!$B$2:$L$40</definedName>
    <definedName name="_xlnm.Print_Area" localSheetId="4">'Kapitali'!$A$1:$K$23</definedName>
    <definedName name="_xlnm.Print_Area" localSheetId="2">'Te ardhura e shpenzime'!$A$2:$J$31</definedName>
  </definedNames>
  <calcPr fullCalcOnLoad="1"/>
</workbook>
</file>

<file path=xl/comments2.xml><?xml version="1.0" encoding="utf-8"?>
<comments xmlns="http://schemas.openxmlformats.org/spreadsheetml/2006/main">
  <authors>
    <author>Eternum</author>
  </authors>
  <commentList>
    <comment ref="I2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leje Yzberish -2+ yzb 3+ lidhje energjie 2.382.900 leke
</t>
        </r>
      </text>
    </comment>
    <comment ref="I3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trasf muajin janar 63588058 dhe 10.000.000 leke interesa per mak per Pawer slabinj+int-09=8.500.000</t>
        </r>
      </text>
    </comment>
    <comment ref="I22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magazina iventari I imet 
</t>
        </r>
      </text>
    </comment>
    <comment ref="I7" authorId="0">
      <text>
        <r>
          <rPr>
            <b/>
            <sz val="8"/>
            <rFont val="Tahoma"/>
            <family val="0"/>
          </rPr>
          <t>Eternum:Dif kursir eshte 707.037 leke, kaluar ne te ardhurat</t>
        </r>
      </text>
    </comment>
    <comment ref="I13" authorId="0">
      <text>
        <r>
          <rPr>
            <b/>
            <sz val="8"/>
            <rFont val="Tahoma"/>
            <family val="0"/>
          </rPr>
          <t>EternumZbres faturat e Lnk shitur Power me vlere 5.138.814 leke dhe I kaloj ne llog 455 si financime te ortakut</t>
        </r>
      </text>
    </comment>
    <comment ref="I8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19.633.000 leke dif kursi I kredise</t>
        </r>
      </text>
    </comment>
    <comment ref="J7" authorId="0">
      <text>
        <r>
          <rPr>
            <b/>
            <sz val="8"/>
            <rFont val="Tahoma"/>
            <family val="0"/>
          </rPr>
          <t>Eternum:Dif kursir eshte 707.037 leke, kaluar ne te ardhurat</t>
        </r>
      </text>
    </comment>
    <comment ref="J13" authorId="0">
      <text>
        <r>
          <rPr>
            <b/>
            <sz val="8"/>
            <rFont val="Tahoma"/>
            <family val="0"/>
          </rPr>
          <t>EternumZbres faturat e Lnk shitur Power me vlere 5.138.814 leke dhe I kaloj ne llog 455 si financime te ortakut</t>
        </r>
      </text>
    </comment>
    <comment ref="J1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8.500.000  leke interesa 2009 makinerie per Power slabinje+2.471.000 leke Jorgjeta Topi debitor nga 2007+13.108.757 leke dif kursi kredise qe I kalon powerit</t>
        </r>
      </text>
    </comment>
    <comment ref="J22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magazina iventari I imet 
</t>
        </r>
      </text>
    </comment>
    <comment ref="J2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leje Yzberish -2</t>
        </r>
      </text>
    </comment>
    <comment ref="J3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trasf majina 63588058 dhe 10.000.000 leke interesa per mak per Pawer slabinj+int-09=8.500.000</t>
        </r>
      </text>
    </comment>
    <comment ref="J8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19.633.000 leke dif kursi I kredise</t>
        </r>
      </text>
    </comment>
    <comment ref="I16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Intresa bankare per makinerite e Power</t>
        </r>
      </text>
    </comment>
    <comment ref="I1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Intresa bankare per makinerite e Power Ndahet Power 67% = 6.311.759 dhe lnk =3.108.777 leke</t>
        </r>
      </text>
    </comment>
    <comment ref="I6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Detyrimin qe ka per fiancimet brend Grupit</t>
        </r>
      </text>
    </comment>
  </commentList>
</comments>
</file>

<file path=xl/comments3.xml><?xml version="1.0" encoding="utf-8"?>
<comments xmlns="http://schemas.openxmlformats.org/spreadsheetml/2006/main">
  <authors>
    <author>Eternum</author>
  </authors>
  <commentList>
    <comment ref="I11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862329 eshte hequr nga une si shp  I panjohur
</t>
        </r>
      </text>
    </comment>
    <comment ref="J11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862329 eshte hequr nga une si shp  I panjohur
</t>
        </r>
      </text>
    </comment>
    <comment ref="J23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eshte zbritur intresi I Power per Makinerite =8.500.000 leke.</t>
        </r>
      </text>
    </comment>
    <comment ref="I23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3.108.777 leke intresi 33% I kredise qe I takon lnk nga shuma 9.420.536 leke, pjesa tjeter I takon Power</t>
        </r>
      </text>
    </comment>
  </commentList>
</comments>
</file>

<file path=xl/sharedStrings.xml><?xml version="1.0" encoding="utf-8"?>
<sst xmlns="http://schemas.openxmlformats.org/spreadsheetml/2006/main" count="334" uniqueCount="260">
  <si>
    <t>I</t>
  </si>
  <si>
    <t>II</t>
  </si>
  <si>
    <t>III</t>
  </si>
  <si>
    <t xml:space="preserve"> </t>
  </si>
  <si>
    <t>Hua te tjera</t>
  </si>
  <si>
    <t>Shpenzime te tjera rrjedhese</t>
  </si>
  <si>
    <t>Ndertesa</t>
  </si>
  <si>
    <t>AKTIVET</t>
  </si>
  <si>
    <t>Shenimet</t>
  </si>
  <si>
    <t>AKTIVET AFATSHKURTERA</t>
  </si>
  <si>
    <t>Aktive monetare</t>
  </si>
  <si>
    <t>Derivative dhe aktive te mbajtura per tregetim</t>
  </si>
  <si>
    <t>(i)</t>
  </si>
  <si>
    <t>Derivativet</t>
  </si>
  <si>
    <t>(ii)</t>
  </si>
  <si>
    <t>Aktivet e mbajtura per tregetim</t>
  </si>
  <si>
    <t>Totali 2</t>
  </si>
  <si>
    <t>Aktive te tjera financiare afatshkurtera</t>
  </si>
  <si>
    <t>Llogari / Kerkesa te tjera  te arketueshme</t>
  </si>
  <si>
    <t>(iii)</t>
  </si>
  <si>
    <t>(iv)</t>
  </si>
  <si>
    <t>Totali 3</t>
  </si>
  <si>
    <t>Inventari</t>
  </si>
  <si>
    <t>(v)</t>
  </si>
  <si>
    <t>Ledet e para</t>
  </si>
  <si>
    <t>Prodhimi ne proces</t>
  </si>
  <si>
    <t>Produkte te gateshme</t>
  </si>
  <si>
    <t>Mallra per rishitje</t>
  </si>
  <si>
    <t>Totali 4</t>
  </si>
  <si>
    <t>Aktivet biologjike afatshkurtera</t>
  </si>
  <si>
    <t>Aktivet afatshkurtera te mbajtura per shitje</t>
  </si>
  <si>
    <t>Parapagimet dhe shpenzimet e shtyra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</si>
  <si>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</si>
  <si>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</si>
  <si>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</si>
  <si>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</si>
  <si>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</si>
  <si>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</si>
  <si>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</si>
  <si>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</si>
  <si>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</si>
  <si>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Makineri dhe pajisje</t>
  </si>
  <si>
    <t>Aktive te tjera afatgjata materiale ( me vl. kontabel )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</si>
  <si>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</si>
  <si>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</si>
  <si>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</si>
  <si>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</si>
  <si>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</si>
  <si>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</si>
  <si>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</si>
  <si>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</si>
  <si>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</si>
  <si>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DETYRIMET DHE KAPITALI</t>
  </si>
  <si>
    <t>DETYRIMET AFATSHKURTERA</t>
  </si>
  <si>
    <t>Huamarrjet</t>
  </si>
  <si>
    <t>Huat dhe obligacionet afatshkurtera</t>
  </si>
  <si>
    <t>Kthimet / ripagesat e huave afatgjata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</si>
  <si>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</si>
  <si>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</si>
  <si>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</si>
  <si>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</si>
  <si>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</si>
  <si>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</si>
  <si>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</si>
  <si>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</si>
  <si>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</si>
  <si>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</si>
  <si>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>Bonot e konvertueshme</t>
  </si>
  <si>
    <t>Huamarrje te tjera afatgjata</t>
  </si>
  <si>
    <t>Provizionet afatgjata</t>
  </si>
  <si>
    <t>TOTALI I DETYRIMEVE AFATGJATA ( II )</t>
  </si>
  <si>
    <t>TOTALI I DETYRIMEVE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</si>
  <si>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</si>
  <si>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</si>
  <si>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</si>
  <si>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</si>
  <si>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</si>
  <si>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</si>
  <si>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</si>
  <si>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</si>
  <si>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</si>
  <si>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Fitimet e pa shperndara</t>
  </si>
  <si>
    <t>Fitimi ( humbja ) e vitit financiar</t>
  </si>
  <si>
    <t>TOTALI I KAPITALIT ( III )</t>
  </si>
  <si>
    <t>TOTALI I DETYRIMEVE KAPITALIT ( I,II,III )</t>
  </si>
  <si>
    <t>Pershkrimi I Elementeve</t>
  </si>
  <si>
    <t>Referencat  Nr  llog.</t>
  </si>
  <si>
    <t>Shitjet neto</t>
  </si>
  <si>
    <t>701, 705</t>
  </si>
  <si>
    <t>Te ardhura te tjera nga veprimtarite e shfrytezimit</t>
  </si>
  <si>
    <t>702 - 708 X</t>
  </si>
  <si>
    <t>Ndryshimet ne inventarin e produkteve te gatshme dhe prodhimit ne proces</t>
  </si>
  <si>
    <t>Materialet e konsumuara</t>
  </si>
  <si>
    <t>Kosto e punes</t>
  </si>
  <si>
    <t>601 - 608 X</t>
  </si>
  <si>
    <t>641 - 648</t>
  </si>
  <si>
    <t>pagat e personelit</t>
  </si>
  <si>
    <t>shpenzimet per sigurimet shoqerore dhe shendetesore</t>
  </si>
  <si>
    <t>Amortizimet dhe zhvleresimet</t>
  </si>
  <si>
    <t>68 X</t>
  </si>
  <si>
    <t>61 - 63</t>
  </si>
  <si>
    <t>Totali I shpenzimeve  ( shuma 4 - 7 )</t>
  </si>
  <si>
    <t>Fitimi apo humbja nga veprimtaria kryesore ( 1+2+/-3-8 )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</si>
  <si>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</si>
  <si>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</si>
  <si>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</si>
  <si>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</si>
  <si>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 xml:space="preserve">Te ardhurat dhe shpenzimet nga interesat </t>
  </si>
  <si>
    <t>761, 661</t>
  </si>
  <si>
    <t>762, 662</t>
  </si>
  <si>
    <t xml:space="preserve">763, 764, 765   664, 665    </t>
  </si>
  <si>
    <t>767, 667</t>
  </si>
  <si>
    <t>Fitimet ( humbjet ) nga kursi I kembimit</t>
  </si>
  <si>
    <t>769, 669</t>
  </si>
  <si>
    <t>Te ardhura dhe shpenzime te tjera financiare</t>
  </si>
  <si>
    <t>768, 668</t>
  </si>
  <si>
    <t>Totali I te ardhurave dhe shpenzimeve financiare ( 12.1+/-12.2+/-12.3+/-12.4 )</t>
  </si>
  <si>
    <t>Fitimi ( humbja ) para tatimit ( 9+/-13 )</t>
  </si>
  <si>
    <t>Shpenzimet e tatimit mbi fitimin</t>
  </si>
  <si>
    <t>Fitimi ( humbja ) neto e vitit financiar ( 14 - 15 )</t>
  </si>
  <si>
    <t>Elementet e pasqyrave te konsoliduara</t>
  </si>
  <si>
    <t xml:space="preserve">                     PASQYRA E TE ARDHURAVE DHE SHPENZIMEVE</t>
  </si>
  <si>
    <t>PASQYRA E FLUKSIT MONETAR - Metoda direkte</t>
  </si>
  <si>
    <t>Fluksi monetar nga veprimtarite e shfrytezimit</t>
  </si>
  <si>
    <t>Mjetet monetare ( MM ) te arketuara nga klientet</t>
  </si>
  <si>
    <t>MM te paguara ngaj furnitoreve dhe punonjesve</t>
  </si>
  <si>
    <t>MM te ardhura nga veprimtarite</t>
  </si>
  <si>
    <t>Interesi I paguar</t>
  </si>
  <si>
    <t>Tatimi mbi fitimin I paguar</t>
  </si>
  <si>
    <t>MM neto nga veprimtarite e shfrytezimit</t>
  </si>
  <si>
    <t>Fluksi monetar nga veprimtarite investuese</t>
  </si>
  <si>
    <t>Blerja e njesise se kontrolluar X minus parate e arketuara</t>
  </si>
  <si>
    <t>Berja e aktiveve afatgjata materiale</t>
  </si>
  <si>
    <t>Te ardhurat nga shitja e pajisjeve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</si>
  <si>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</si>
  <si>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</si>
  <si>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</si>
  <si>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</si>
  <si>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</si>
  <si>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</si>
  <si>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</si>
  <si>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</si>
  <si>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</si>
  <si>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</si>
  <si>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Kapitali aksionar qe I perket aksionereve te shoqerise meme</t>
  </si>
  <si>
    <t>Aksionet e thesarit</t>
  </si>
  <si>
    <t>Rezerva te konvertimit te monedhave te huaja</t>
  </si>
  <si>
    <t>Fitimi I pashperndare</t>
  </si>
  <si>
    <t>Totali</t>
  </si>
  <si>
    <t>Zoterimet e aksionereve te pakices</t>
  </si>
  <si>
    <t>Efekti I ndryshimeve ne politikat kontabel</t>
  </si>
  <si>
    <t>Pozicioni I rregulluar</t>
  </si>
  <si>
    <t>Efektet e ndryshimit te kurseve te kembimit gjate konsolidimit</t>
  </si>
  <si>
    <t>Totali I te ardhurave apo I shpenzimeve, qe nuk jane njohur ne pasqyren e te ardhurave dhe shpenzimeve</t>
  </si>
  <si>
    <t>Fitimi neto I vitit financiar</t>
  </si>
  <si>
    <t>Dividentet e paguar</t>
  </si>
  <si>
    <t>Transferime ne rezerven e detyrueshme statutore</t>
  </si>
  <si>
    <t>Emetim I kapitalit aksionar</t>
  </si>
  <si>
    <t>Fitimi neto per periudhen kontabel</t>
  </si>
  <si>
    <t>Aksione te thesarit te riblera</t>
  </si>
  <si>
    <t>Pozicioni me 31 dhjetor 2007</t>
  </si>
  <si>
    <t>Totali I te Ardhurave  ( shuma 1+2+/-3 )</t>
  </si>
  <si>
    <t>( Bazuar ne klasifikimin e Shpenzimeve sipas Natyres  )</t>
  </si>
  <si>
    <t>Pozicioni me 31 dhjetor 2008</t>
  </si>
  <si>
    <t>Klientet</t>
  </si>
  <si>
    <t>Te tjera</t>
  </si>
  <si>
    <t>Furnitore</t>
  </si>
  <si>
    <t>Paga sig</t>
  </si>
  <si>
    <t>Te tjera te ardhura</t>
  </si>
  <si>
    <t>interesat</t>
  </si>
  <si>
    <t>tat fitimi</t>
  </si>
  <si>
    <t>Blerjet e aktiveve Afat gjate</t>
  </si>
  <si>
    <t>Te ardhurat nga shitja e akt afat gjate</t>
  </si>
  <si>
    <t>Interesi I arketuar</t>
  </si>
  <si>
    <t>div I arke</t>
  </si>
  <si>
    <t>blerje - arketime</t>
  </si>
  <si>
    <t>Nga emetimi I aksioneve</t>
  </si>
  <si>
    <t>Huate afat gjate</t>
  </si>
  <si>
    <t>Pagesa e qirase financiare</t>
  </si>
  <si>
    <t>div I paguar</t>
  </si>
  <si>
    <t xml:space="preserve">Arka banka ne fillim </t>
  </si>
  <si>
    <t>arka banka ne fund</t>
  </si>
  <si>
    <t>(+)</t>
  </si>
  <si>
    <t>(-)</t>
  </si>
  <si>
    <t>(+/-)</t>
  </si>
  <si>
    <t xml:space="preserve">int I ark per aktivet afat gjata </t>
  </si>
  <si>
    <t>Difrenca (+/-)</t>
  </si>
  <si>
    <t>IV</t>
  </si>
  <si>
    <t>VI</t>
  </si>
  <si>
    <t>VII</t>
  </si>
  <si>
    <t>Emertimi I zerave te flukseve</t>
  </si>
  <si>
    <t xml:space="preserve">Nipt </t>
  </si>
  <si>
    <t xml:space="preserve">Shoqeria </t>
  </si>
  <si>
    <t>PASIVET</t>
  </si>
  <si>
    <t>Te dhena identifikuese</t>
  </si>
  <si>
    <t>Emri</t>
  </si>
  <si>
    <t>Nipt</t>
  </si>
  <si>
    <t>Data e krijimit</t>
  </si>
  <si>
    <t>Nr Regjistrit Tregetar</t>
  </si>
  <si>
    <t>Fusha e veprimtarise</t>
  </si>
  <si>
    <t>Te dhena te tjera</t>
  </si>
  <si>
    <t xml:space="preserve">Pasqyra Finaciare </t>
  </si>
  <si>
    <t>Individuale</t>
  </si>
  <si>
    <t>Konsoliduara</t>
  </si>
  <si>
    <t>Monedha</t>
  </si>
  <si>
    <t>Rrumbullakimi</t>
  </si>
  <si>
    <t>Periudha Kontabel</t>
  </si>
  <si>
    <t>PASQYRAT    FINANCIARE</t>
  </si>
  <si>
    <t>( Mbeshtetur ne ligjin nr 9228 dt 29.04.2004 " Per Kontabilitetin dhe Pasqyrat Financiare</t>
  </si>
  <si>
    <t>te ndryshuar , dhe ne Standartet Kombetare te Kontabilitetit - SNK-2</t>
  </si>
  <si>
    <t>401,404,416,418,442,443,444,445,447,448,449,451,455,456,465,467,469,49</t>
  </si>
  <si>
    <t>401,442-469</t>
  </si>
  <si>
    <t>311-327,391</t>
  </si>
  <si>
    <t>331-333,393</t>
  </si>
  <si>
    <t>371-374-376</t>
  </si>
  <si>
    <t>481-83,486-88</t>
  </si>
  <si>
    <t>519- Overdraft</t>
  </si>
  <si>
    <t xml:space="preserve"> 431,437,441-449</t>
  </si>
  <si>
    <t>451,455-457,467</t>
  </si>
  <si>
    <t>401-409,451-467</t>
  </si>
  <si>
    <t>L.N.K</t>
  </si>
  <si>
    <t>K02003004P</t>
  </si>
  <si>
    <t>NDERTIM</t>
  </si>
  <si>
    <t>LEKE</t>
  </si>
  <si>
    <t>LNK</t>
  </si>
  <si>
    <t>L.N.K     K02003004P</t>
  </si>
  <si>
    <t>Arka ne leke</t>
  </si>
  <si>
    <t>Banka llogari</t>
  </si>
  <si>
    <t>Llogari / Kerkesa te arketueshme ( Kliente)</t>
  </si>
  <si>
    <t>Shpenzime te panjohura</t>
  </si>
  <si>
    <t>Instrumente te tjera borxhi Te tjera detyrime</t>
  </si>
  <si>
    <t>Hua, bono dhe detyrime</t>
  </si>
  <si>
    <t xml:space="preserve">Investime te tjera financiare </t>
  </si>
  <si>
    <t xml:space="preserve">Shoqeria "  LNK" SH.P.K   Tirane  </t>
  </si>
  <si>
    <t>Nipt K02003004P</t>
  </si>
  <si>
    <t>Pozicioni me 31 dhjetor 2009</t>
  </si>
  <si>
    <t>Kons inv imet</t>
  </si>
  <si>
    <t>Viti 2009</t>
  </si>
  <si>
    <t>BILANCI ME 31.12.2010</t>
  </si>
  <si>
    <t>Nga  01.01.10   Deri 31.12.10</t>
  </si>
  <si>
    <t>Data e plotesimit te PF 29.03.2011</t>
  </si>
  <si>
    <t>Viti 2010</t>
  </si>
  <si>
    <t>gjoba</t>
  </si>
  <si>
    <t>gjoba kredie</t>
  </si>
  <si>
    <t>Pagesat e detyrimeve te principalit</t>
  </si>
  <si>
    <t>Transferime ne rezerven e tjera</t>
  </si>
  <si>
    <t>Rezerva statusore dhe ligjore e tjera</t>
  </si>
  <si>
    <t>don boskao</t>
  </si>
  <si>
    <t>Yzb1</t>
  </si>
  <si>
    <t>Yzb2</t>
  </si>
  <si>
    <t>Yzb3</t>
  </si>
  <si>
    <t>Yzb4</t>
  </si>
  <si>
    <t>kineze</t>
  </si>
  <si>
    <t>Tot shitje</t>
  </si>
  <si>
    <t>nuk jane shitur</t>
  </si>
  <si>
    <t>Euro</t>
  </si>
  <si>
    <t>Per tu Arketuar</t>
  </si>
  <si>
    <t xml:space="preserve">Humarje te tjera afat shkurtera </t>
  </si>
  <si>
    <t>PUNIME</t>
  </si>
  <si>
    <t>27.07.2000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</si>
</sst>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NU$&quot;\ #,##0_);\(&quot;NU$&quot;\ #,##0\)"/>
    <numFmt numFmtId="179" formatCode="&quot;NU$&quot;\ #,##0_);[Red]\(&quot;NU$&quot;\ #,##0\)"/>
    <numFmt numFmtId="180" formatCode="&quot;NU$&quot;\ #,##0.00_);\(&quot;NU$&quot;\ #,##0.00\)"/>
    <numFmt numFmtId="181" formatCode="&quot;NU$&quot;\ #,##0.00_);[Red]\(&quot;NU$&quot;\ #,##0.00\)"/>
    <numFmt numFmtId="182" formatCode="_(&quot;NU$&quot;\ * #,##0_);_(&quot;NU$&quot;\ * \(#,##0\);_(&quot;NU$&quot;\ * &quot;-&quot;_);_(@_)"/>
    <numFmt numFmtId="183" formatCode="_(&quot;NU$&quot;\ * #,##0.00_);_(&quot;NU$&quot;\ * \(#,##0.00\);_(&quot;NU$&quot;\ 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_-;_-@_-"/>
    <numFmt numFmtId="189" formatCode="_-* #,##0.00_-;\-* #,##0.00_-;_-* &quot;-&quot;_-;_-@_-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0000000"/>
    <numFmt numFmtId="196" formatCode="_(* #,##0.0_);_(* \(#,##0.0\);_(* &quot;-&quot;?_);_(@_)"/>
    <numFmt numFmtId="197" formatCode="0.00_);\(0.00\)"/>
    <numFmt numFmtId="198" formatCode="_-* #,##0.00_L_e_k_-;\-* #,##0.00_L_e_k_-;_-* &quot;-&quot;??_L_e_k_-;_-@_-"/>
    <numFmt numFmtId="199" formatCode="#,##0.0_);\(#,##0.0\)"/>
    <numFmt numFmtId="200" formatCode="#,##0;[Red]#,##0"/>
    <numFmt numFmtId="201" formatCode="_-* #,##0_L_e_k_-;\-* #,##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0_-;\-* #,##0.00000_-;_-* &quot;-&quot;??_-;_-@_-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36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10"/>
      <name val="Times New Roman"/>
      <family val="1"/>
    </font>
    <font>
      <sz val="10"/>
      <name val="Arial CE"/>
      <family val="0"/>
    </font>
    <font>
      <b/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185" fontId="3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42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5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3" fillId="0" borderId="0" xfId="42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42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185" fontId="4" fillId="0" borderId="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5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69" fontId="3" fillId="0" borderId="10" xfId="43" applyFont="1" applyFill="1" applyBorder="1" applyAlignment="1" quotePrefix="1">
      <alignment vertical="center"/>
    </xf>
    <xf numFmtId="185" fontId="3" fillId="0" borderId="10" xfId="42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185" fontId="3" fillId="0" borderId="10" xfId="42" applyNumberFormat="1" applyFont="1" applyFill="1" applyBorder="1" applyAlignment="1">
      <alignment/>
    </xf>
    <xf numFmtId="193" fontId="1" fillId="0" borderId="0" xfId="42" applyNumberFormat="1" applyFont="1" applyFill="1" applyBorder="1" applyAlignment="1">
      <alignment/>
    </xf>
    <xf numFmtId="194" fontId="1" fillId="0" borderId="0" xfId="42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85" fontId="3" fillId="0" borderId="10" xfId="42" applyNumberFormat="1" applyFont="1" applyBorder="1" applyAlignment="1">
      <alignment horizontal="left" vertical="center"/>
    </xf>
    <xf numFmtId="185" fontId="3" fillId="0" borderId="10" xfId="42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17" fillId="0" borderId="10" xfId="42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185" fontId="4" fillId="0" borderId="10" xfId="42" applyNumberFormat="1" applyFont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3" fillId="33" borderId="1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10" xfId="0" applyFont="1" applyFill="1" applyBorder="1" applyAlignment="1">
      <alignment vertical="center"/>
    </xf>
    <xf numFmtId="185" fontId="17" fillId="0" borderId="10" xfId="42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85" fontId="20" fillId="0" borderId="10" xfId="42" applyNumberFormat="1" applyFont="1" applyFill="1" applyBorder="1" applyAlignment="1">
      <alignment/>
    </xf>
    <xf numFmtId="185" fontId="3" fillId="0" borderId="28" xfId="42" applyNumberFormat="1" applyFont="1" applyFill="1" applyBorder="1" applyAlignment="1">
      <alignment vertical="center"/>
    </xf>
    <xf numFmtId="185" fontId="3" fillId="0" borderId="29" xfId="42" applyNumberFormat="1" applyFont="1" applyFill="1" applyBorder="1" applyAlignment="1">
      <alignment/>
    </xf>
    <xf numFmtId="185" fontId="3" fillId="0" borderId="11" xfId="42" applyNumberFormat="1" applyFont="1" applyFill="1" applyBorder="1" applyAlignment="1">
      <alignment/>
    </xf>
    <xf numFmtId="185" fontId="3" fillId="33" borderId="30" xfId="42" applyNumberFormat="1" applyFont="1" applyFill="1" applyBorder="1" applyAlignment="1">
      <alignment/>
    </xf>
    <xf numFmtId="1" fontId="21" fillId="0" borderId="10" xfId="42" applyNumberFormat="1" applyFont="1" applyFill="1" applyBorder="1" applyAlignment="1">
      <alignment horizontal="center"/>
    </xf>
    <xf numFmtId="185" fontId="21" fillId="33" borderId="3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37" fontId="3" fillId="0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/>
    </xf>
    <xf numFmtId="185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37" fontId="3" fillId="0" borderId="10" xfId="42" applyNumberFormat="1" applyFont="1" applyBorder="1" applyAlignment="1">
      <alignment vertical="center"/>
    </xf>
    <xf numFmtId="185" fontId="4" fillId="0" borderId="29" xfId="42" applyNumberFormat="1" applyFont="1" applyFill="1" applyBorder="1" applyAlignment="1">
      <alignment/>
    </xf>
    <xf numFmtId="2" fontId="23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7" fontId="4" fillId="0" borderId="10" xfId="42" applyNumberFormat="1" applyFont="1" applyBorder="1" applyAlignment="1">
      <alignment vertical="center"/>
    </xf>
    <xf numFmtId="37" fontId="0" fillId="0" borderId="0" xfId="0" applyNumberFormat="1" applyAlignment="1">
      <alignment/>
    </xf>
    <xf numFmtId="37" fontId="8" fillId="0" borderId="10" xfId="0" applyNumberFormat="1" applyFont="1" applyBorder="1" applyAlignment="1">
      <alignment wrapText="1"/>
    </xf>
    <xf numFmtId="37" fontId="7" fillId="0" borderId="10" xfId="0" applyNumberFormat="1" applyFont="1" applyBorder="1" applyAlignment="1">
      <alignment/>
    </xf>
    <xf numFmtId="185" fontId="20" fillId="34" borderId="10" xfId="42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4" fillId="0" borderId="10" xfId="0" applyNumberFormat="1" applyFont="1" applyFill="1" applyBorder="1" applyAlignment="1">
      <alignment vertical="center"/>
    </xf>
    <xf numFmtId="37" fontId="2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2" fillId="0" borderId="0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24" fillId="0" borderId="12" xfId="0" applyNumberFormat="1" applyFont="1" applyBorder="1" applyAlignment="1">
      <alignment/>
    </xf>
    <xf numFmtId="37" fontId="23" fillId="0" borderId="11" xfId="0" applyNumberFormat="1" applyFont="1" applyBorder="1" applyAlignment="1">
      <alignment wrapText="1"/>
    </xf>
    <xf numFmtId="37" fontId="23" fillId="0" borderId="10" xfId="0" applyNumberFormat="1" applyFont="1" applyBorder="1" applyAlignment="1">
      <alignment/>
    </xf>
    <xf numFmtId="37" fontId="23" fillId="0" borderId="10" xfId="42" applyNumberFormat="1" applyFont="1" applyBorder="1" applyAlignment="1">
      <alignment/>
    </xf>
    <xf numFmtId="4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7" fontId="1" fillId="35" borderId="0" xfId="0" applyNumberFormat="1" applyFont="1" applyFill="1" applyBorder="1" applyAlignment="1">
      <alignment/>
    </xf>
    <xf numFmtId="185" fontId="27" fillId="0" borderId="10" xfId="42" applyNumberFormat="1" applyFont="1" applyBorder="1" applyAlignment="1">
      <alignment vertical="center"/>
    </xf>
    <xf numFmtId="185" fontId="1" fillId="0" borderId="0" xfId="42" applyNumberFormat="1" applyFont="1" applyAlignment="1">
      <alignment/>
    </xf>
    <xf numFmtId="185" fontId="1" fillId="33" borderId="0" xfId="42" applyNumberFormat="1" applyFont="1" applyFill="1" applyAlignment="1">
      <alignment/>
    </xf>
    <xf numFmtId="185" fontId="1" fillId="36" borderId="0" xfId="42" applyNumberFormat="1" applyFont="1" applyFill="1" applyAlignment="1">
      <alignment/>
    </xf>
    <xf numFmtId="185" fontId="2" fillId="36" borderId="0" xfId="0" applyNumberFormat="1" applyFont="1" applyFill="1" applyAlignment="1">
      <alignment/>
    </xf>
    <xf numFmtId="185" fontId="1" fillId="37" borderId="0" xfId="42" applyNumberFormat="1" applyFont="1" applyFill="1" applyAlignment="1">
      <alignment/>
    </xf>
    <xf numFmtId="37" fontId="8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A%20LNK%20dif%20kurs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H16">
            <v>7422937.979000001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43"/>
  <sheetViews>
    <sheetView zoomScalePageLayoutView="0" workbookViewId="0" topLeftCell="A18">
      <selection activeCell="N34" sqref="N34"/>
    </sheetView>
  </sheetViews>
  <sheetFormatPr defaultColWidth="9.140625" defaultRowHeight="12.75"/>
  <cols>
    <col min="1" max="1" width="0.71875" style="0" customWidth="1"/>
    <col min="2" max="2" width="3.7109375" style="0" customWidth="1"/>
    <col min="3" max="3" width="5.421875" style="0" customWidth="1"/>
    <col min="4" max="4" width="11.421875" style="0" customWidth="1"/>
    <col min="5" max="5" width="16.421875" style="0" customWidth="1"/>
    <col min="6" max="6" width="4.57421875" style="0" customWidth="1"/>
    <col min="7" max="7" width="3.00390625" style="0" customWidth="1"/>
    <col min="8" max="8" width="3.7109375" style="0" customWidth="1"/>
    <col min="11" max="11" width="17.421875" style="0" customWidth="1"/>
    <col min="12" max="12" width="6.421875" style="0" customWidth="1"/>
  </cols>
  <sheetData>
    <row r="1" spans="2:9" ht="16.5" thickBot="1">
      <c r="B1" s="47"/>
      <c r="C1" s="47"/>
      <c r="D1" s="47"/>
      <c r="E1" s="47"/>
      <c r="F1" s="47"/>
      <c r="G1" s="47"/>
      <c r="H1" s="47"/>
      <c r="I1" s="47"/>
    </row>
    <row r="2" spans="2:12" ht="15.75">
      <c r="B2" s="75"/>
      <c r="C2" s="76"/>
      <c r="D2" s="76"/>
      <c r="E2" s="76"/>
      <c r="F2" s="154"/>
      <c r="G2" s="154"/>
      <c r="H2" s="154"/>
      <c r="I2" s="76"/>
      <c r="J2" s="77"/>
      <c r="K2" s="77"/>
      <c r="L2" s="78"/>
    </row>
    <row r="3" spans="2:12" ht="15.75">
      <c r="B3" s="79"/>
      <c r="C3" s="54"/>
      <c r="D3" s="54"/>
      <c r="E3" s="54"/>
      <c r="F3" s="155"/>
      <c r="G3" s="155"/>
      <c r="H3" s="155"/>
      <c r="I3" s="56"/>
      <c r="J3" s="71"/>
      <c r="K3" s="71"/>
      <c r="L3" s="80"/>
    </row>
    <row r="4" spans="2:12" ht="15.75">
      <c r="B4" s="79"/>
      <c r="C4" s="71"/>
      <c r="D4" s="71"/>
      <c r="E4" s="71"/>
      <c r="F4" s="71"/>
      <c r="G4" s="71"/>
      <c r="H4" s="71"/>
      <c r="I4" s="71"/>
      <c r="J4" s="71"/>
      <c r="K4" s="71"/>
      <c r="L4" s="80"/>
    </row>
    <row r="5" spans="2:12" ht="15.75">
      <c r="B5" s="79"/>
      <c r="C5" s="71"/>
      <c r="D5" s="71"/>
      <c r="E5" s="71"/>
      <c r="F5" s="71"/>
      <c r="G5" s="71"/>
      <c r="H5" s="71"/>
      <c r="I5" s="71"/>
      <c r="J5" s="71"/>
      <c r="K5" s="71"/>
      <c r="L5" s="80"/>
    </row>
    <row r="6" spans="2:12" ht="15.75">
      <c r="B6" s="79"/>
      <c r="C6" s="71"/>
      <c r="D6" s="71"/>
      <c r="E6" s="71"/>
      <c r="F6" s="71"/>
      <c r="G6" s="71"/>
      <c r="H6" s="71"/>
      <c r="I6" s="71"/>
      <c r="J6" s="71"/>
      <c r="K6" s="71"/>
      <c r="L6" s="80"/>
    </row>
    <row r="7" spans="2:12" ht="15.75">
      <c r="B7" s="79"/>
      <c r="C7" s="71"/>
      <c r="D7" s="71"/>
      <c r="E7" s="71"/>
      <c r="F7" s="71"/>
      <c r="G7" s="71"/>
      <c r="H7" s="71"/>
      <c r="I7" s="71"/>
      <c r="J7" s="71"/>
      <c r="K7" s="71"/>
      <c r="L7" s="80"/>
    </row>
    <row r="8" spans="2:12" ht="15.75">
      <c r="B8" s="79"/>
      <c r="C8" s="54"/>
      <c r="D8" s="54"/>
      <c r="E8" s="54"/>
      <c r="F8" s="54"/>
      <c r="G8" s="54"/>
      <c r="H8" s="54"/>
      <c r="I8" s="54"/>
      <c r="J8" s="71"/>
      <c r="K8" s="71"/>
      <c r="L8" s="80"/>
    </row>
    <row r="9" spans="2:12" ht="15.75">
      <c r="B9" s="79"/>
      <c r="C9" s="54"/>
      <c r="D9" s="54"/>
      <c r="E9" s="54"/>
      <c r="F9" s="54"/>
      <c r="G9" s="54"/>
      <c r="H9" s="54"/>
      <c r="I9" s="54"/>
      <c r="J9" s="71"/>
      <c r="K9" s="71"/>
      <c r="L9" s="80"/>
    </row>
    <row r="10" spans="2:12" ht="45.75">
      <c r="B10" s="79"/>
      <c r="C10" s="73" t="s">
        <v>207</v>
      </c>
      <c r="D10" s="73"/>
      <c r="E10" s="73"/>
      <c r="F10" s="73"/>
      <c r="G10" s="73"/>
      <c r="H10" s="73"/>
      <c r="I10" s="73"/>
      <c r="J10" s="73"/>
      <c r="K10" s="74"/>
      <c r="L10" s="80"/>
    </row>
    <row r="11" spans="2:12" ht="15.75">
      <c r="B11" s="79"/>
      <c r="C11" s="54"/>
      <c r="D11" s="54"/>
      <c r="E11" s="54"/>
      <c r="F11" s="155"/>
      <c r="G11" s="155"/>
      <c r="H11" s="155"/>
      <c r="I11" s="155"/>
      <c r="J11" s="71"/>
      <c r="K11" s="71"/>
      <c r="L11" s="80"/>
    </row>
    <row r="12" spans="2:12" ht="15.75">
      <c r="B12" s="79"/>
      <c r="C12" s="54"/>
      <c r="D12" s="71"/>
      <c r="E12" s="71"/>
      <c r="F12" s="71"/>
      <c r="G12" s="71"/>
      <c r="H12" s="71"/>
      <c r="I12" s="71"/>
      <c r="J12" s="71"/>
      <c r="K12" s="71"/>
      <c r="L12" s="80"/>
    </row>
    <row r="13" spans="2:12" ht="15.75">
      <c r="B13" s="79"/>
      <c r="C13" s="72" t="s">
        <v>208</v>
      </c>
      <c r="D13" s="72"/>
      <c r="E13" s="72"/>
      <c r="F13" s="72"/>
      <c r="G13" s="70"/>
      <c r="H13" s="70"/>
      <c r="I13" s="71"/>
      <c r="J13" s="71"/>
      <c r="K13" s="71"/>
      <c r="L13" s="80"/>
    </row>
    <row r="14" spans="2:12" ht="15.75">
      <c r="B14" s="79"/>
      <c r="C14" s="72" t="s">
        <v>209</v>
      </c>
      <c r="D14" s="72"/>
      <c r="E14" s="72"/>
      <c r="F14" s="72"/>
      <c r="G14" s="72"/>
      <c r="H14" s="72"/>
      <c r="I14" s="72"/>
      <c r="J14" s="71"/>
      <c r="K14" s="71"/>
      <c r="L14" s="80"/>
    </row>
    <row r="15" spans="2:12" ht="15.75">
      <c r="B15" s="79"/>
      <c r="C15" s="54"/>
      <c r="D15" s="71"/>
      <c r="E15" s="71"/>
      <c r="F15" s="71"/>
      <c r="G15" s="71"/>
      <c r="H15" s="71"/>
      <c r="I15" s="71"/>
      <c r="J15" s="71"/>
      <c r="K15" s="71"/>
      <c r="L15" s="80"/>
    </row>
    <row r="16" spans="2:12" ht="15.75">
      <c r="B16" s="79"/>
      <c r="C16" s="54"/>
      <c r="D16" s="71"/>
      <c r="E16" s="71"/>
      <c r="F16" s="71"/>
      <c r="G16" s="71"/>
      <c r="H16" s="71"/>
      <c r="I16" s="71"/>
      <c r="J16" s="71"/>
      <c r="K16" s="71"/>
      <c r="L16" s="80"/>
    </row>
    <row r="17" spans="2:12" ht="15.75">
      <c r="B17" s="79"/>
      <c r="C17" s="54"/>
      <c r="D17" s="54"/>
      <c r="E17" s="54"/>
      <c r="F17" s="54"/>
      <c r="G17" s="54"/>
      <c r="H17" s="54"/>
      <c r="I17" s="54"/>
      <c r="J17" s="71"/>
      <c r="K17" s="71"/>
      <c r="L17" s="80"/>
    </row>
    <row r="18" spans="2:12" ht="15.75">
      <c r="B18" s="79"/>
      <c r="C18" s="54"/>
      <c r="D18" s="54"/>
      <c r="E18" s="54"/>
      <c r="F18" s="70"/>
      <c r="G18" s="70"/>
      <c r="H18" s="70"/>
      <c r="I18" s="70"/>
      <c r="J18" s="71"/>
      <c r="K18" s="71"/>
      <c r="L18" s="80"/>
    </row>
    <row r="19" spans="2:12" ht="15.75">
      <c r="B19" s="79"/>
      <c r="C19" s="54"/>
      <c r="D19" s="54"/>
      <c r="E19" s="54"/>
      <c r="F19" s="70"/>
      <c r="G19" s="70"/>
      <c r="H19" s="70"/>
      <c r="I19" s="70"/>
      <c r="J19" s="71"/>
      <c r="K19" s="71"/>
      <c r="L19" s="80"/>
    </row>
    <row r="20" spans="2:12" ht="15.75">
      <c r="B20" s="79"/>
      <c r="C20" s="54"/>
      <c r="D20" s="54"/>
      <c r="E20" s="54"/>
      <c r="F20" s="70"/>
      <c r="G20" s="70"/>
      <c r="H20" s="70"/>
      <c r="I20" s="70"/>
      <c r="J20" s="71"/>
      <c r="K20" s="71"/>
      <c r="L20" s="80"/>
    </row>
    <row r="21" spans="2:12" ht="15.75">
      <c r="B21" s="79"/>
      <c r="C21" s="54"/>
      <c r="D21" s="54"/>
      <c r="E21" s="54"/>
      <c r="F21" s="54"/>
      <c r="G21" s="54"/>
      <c r="H21" s="54"/>
      <c r="I21" s="54"/>
      <c r="J21" s="71"/>
      <c r="K21" s="71"/>
      <c r="L21" s="80"/>
    </row>
    <row r="22" spans="2:12" ht="15.75">
      <c r="B22" s="79"/>
      <c r="C22" s="54"/>
      <c r="D22" s="54"/>
      <c r="E22" s="54"/>
      <c r="F22" s="54"/>
      <c r="G22" s="54"/>
      <c r="H22" s="54"/>
      <c r="I22" s="54"/>
      <c r="J22" s="71"/>
      <c r="K22" s="71"/>
      <c r="L22" s="80"/>
    </row>
    <row r="23" spans="2:12" ht="18.75">
      <c r="B23" s="79"/>
      <c r="C23" s="54"/>
      <c r="D23" s="86"/>
      <c r="E23" s="86"/>
      <c r="F23" s="86"/>
      <c r="G23" s="86"/>
      <c r="H23" s="86"/>
      <c r="I23" s="54"/>
      <c r="J23" s="71"/>
      <c r="K23" s="71"/>
      <c r="L23" s="80"/>
    </row>
    <row r="24" spans="2:12" ht="15.75">
      <c r="B24" s="79"/>
      <c r="C24" s="54"/>
      <c r="D24" s="54"/>
      <c r="E24" s="54"/>
      <c r="F24" s="54"/>
      <c r="G24" s="54"/>
      <c r="H24" s="54"/>
      <c r="I24" s="54"/>
      <c r="J24" s="71"/>
      <c r="K24" s="71"/>
      <c r="L24" s="80"/>
    </row>
    <row r="25" spans="2:12" ht="15.75">
      <c r="B25" s="79"/>
      <c r="C25" s="49"/>
      <c r="D25" s="50"/>
      <c r="E25" s="50"/>
      <c r="F25" s="51"/>
      <c r="G25" s="54"/>
      <c r="H25" s="49"/>
      <c r="I25" s="50"/>
      <c r="J25" s="50"/>
      <c r="K25" s="51"/>
      <c r="L25" s="80"/>
    </row>
    <row r="26" spans="2:12" ht="15.75">
      <c r="B26" s="79"/>
      <c r="C26" s="52"/>
      <c r="D26" s="53" t="s">
        <v>194</v>
      </c>
      <c r="E26" s="54"/>
      <c r="F26" s="55"/>
      <c r="G26" s="54"/>
      <c r="H26" s="52"/>
      <c r="I26" s="53" t="s">
        <v>200</v>
      </c>
      <c r="J26" s="54"/>
      <c r="K26" s="55"/>
      <c r="L26" s="80"/>
    </row>
    <row r="27" spans="2:12" ht="15.75">
      <c r="B27" s="79"/>
      <c r="C27" s="52"/>
      <c r="D27" s="61"/>
      <c r="E27" s="61"/>
      <c r="F27" s="64"/>
      <c r="G27" s="54"/>
      <c r="H27" s="52"/>
      <c r="I27" s="67"/>
      <c r="J27" s="67"/>
      <c r="K27" s="68" t="s">
        <v>202</v>
      </c>
      <c r="L27" s="80"/>
    </row>
    <row r="28" spans="2:12" ht="15.75">
      <c r="B28" s="79"/>
      <c r="C28" s="52"/>
      <c r="D28" s="56" t="s">
        <v>195</v>
      </c>
      <c r="E28" s="56" t="s">
        <v>220</v>
      </c>
      <c r="F28" s="55"/>
      <c r="G28" s="54"/>
      <c r="H28" s="52"/>
      <c r="I28" s="56" t="s">
        <v>201</v>
      </c>
      <c r="J28" s="56"/>
      <c r="K28" s="69"/>
      <c r="L28" s="80"/>
    </row>
    <row r="29" spans="2:12" ht="15.75">
      <c r="B29" s="79"/>
      <c r="C29" s="52"/>
      <c r="D29" s="56"/>
      <c r="E29" s="56"/>
      <c r="F29" s="55"/>
      <c r="G29" s="54"/>
      <c r="H29" s="52"/>
      <c r="I29" s="56"/>
      <c r="J29" s="56"/>
      <c r="K29" s="69" t="s">
        <v>203</v>
      </c>
      <c r="L29" s="80"/>
    </row>
    <row r="30" spans="2:12" ht="15.75">
      <c r="B30" s="79"/>
      <c r="C30" s="52"/>
      <c r="D30" s="56" t="s">
        <v>196</v>
      </c>
      <c r="E30" s="56" t="s">
        <v>221</v>
      </c>
      <c r="F30" s="55"/>
      <c r="G30" s="54"/>
      <c r="H30" s="52"/>
      <c r="I30" s="56" t="s">
        <v>204</v>
      </c>
      <c r="J30" s="56" t="s">
        <v>223</v>
      </c>
      <c r="K30" s="69"/>
      <c r="L30" s="80"/>
    </row>
    <row r="31" spans="2:12" ht="15.75">
      <c r="B31" s="79"/>
      <c r="C31" s="52"/>
      <c r="D31" s="56"/>
      <c r="E31" s="56"/>
      <c r="F31" s="55"/>
      <c r="G31" s="54"/>
      <c r="H31" s="52"/>
      <c r="I31" s="56"/>
      <c r="J31" s="56"/>
      <c r="K31" s="69"/>
      <c r="L31" s="80"/>
    </row>
    <row r="32" spans="2:12" ht="15.75">
      <c r="B32" s="79"/>
      <c r="C32" s="52"/>
      <c r="D32" s="56" t="s">
        <v>197</v>
      </c>
      <c r="E32" s="62" t="s">
        <v>259</v>
      </c>
      <c r="F32" s="65"/>
      <c r="G32" s="54"/>
      <c r="H32" s="52"/>
      <c r="I32" s="56" t="s">
        <v>205</v>
      </c>
      <c r="J32" s="62"/>
      <c r="K32" s="65"/>
      <c r="L32" s="80"/>
    </row>
    <row r="33" spans="2:12" ht="15.75">
      <c r="B33" s="79"/>
      <c r="C33" s="52"/>
      <c r="D33" s="56"/>
      <c r="E33" s="56"/>
      <c r="F33" s="55"/>
      <c r="G33" s="54"/>
      <c r="H33" s="52"/>
      <c r="I33" s="56"/>
      <c r="J33" s="56"/>
      <c r="K33" s="69"/>
      <c r="L33" s="80"/>
    </row>
    <row r="34" spans="2:12" ht="15.75">
      <c r="B34" s="79"/>
      <c r="C34" s="52"/>
      <c r="D34" s="56" t="s">
        <v>198</v>
      </c>
      <c r="E34" s="57">
        <v>24177</v>
      </c>
      <c r="F34" s="55"/>
      <c r="G34" s="54"/>
      <c r="H34" s="52"/>
      <c r="I34" s="56" t="s">
        <v>206</v>
      </c>
      <c r="J34" s="57"/>
      <c r="K34" s="69"/>
      <c r="L34" s="80"/>
    </row>
    <row r="35" spans="2:12" ht="15.75">
      <c r="B35" s="79"/>
      <c r="C35" s="52"/>
      <c r="D35" s="56"/>
      <c r="E35" s="56"/>
      <c r="F35" s="55"/>
      <c r="G35" s="54"/>
      <c r="H35" s="52"/>
      <c r="I35" s="56" t="s">
        <v>239</v>
      </c>
      <c r="J35" s="56"/>
      <c r="K35" s="69"/>
      <c r="L35" s="80"/>
    </row>
    <row r="36" spans="2:12" ht="15.75">
      <c r="B36" s="79"/>
      <c r="C36" s="52"/>
      <c r="D36" s="56" t="s">
        <v>199</v>
      </c>
      <c r="E36" s="56"/>
      <c r="F36" s="66"/>
      <c r="G36" s="63"/>
      <c r="H36" s="52"/>
      <c r="I36" s="56" t="s">
        <v>240</v>
      </c>
      <c r="J36" s="56"/>
      <c r="K36" s="66"/>
      <c r="L36" s="80"/>
    </row>
    <row r="37" spans="2:12" ht="15.75">
      <c r="B37" s="79"/>
      <c r="C37" s="52"/>
      <c r="D37" s="56"/>
      <c r="E37" s="56" t="s">
        <v>222</v>
      </c>
      <c r="F37" s="55"/>
      <c r="G37" s="54"/>
      <c r="H37" s="52"/>
      <c r="I37" s="54"/>
      <c r="J37" s="54"/>
      <c r="K37" s="55"/>
      <c r="L37" s="80"/>
    </row>
    <row r="38" spans="2:12" ht="15.75">
      <c r="B38" s="79"/>
      <c r="C38" s="52"/>
      <c r="D38" s="54"/>
      <c r="E38" s="48"/>
      <c r="F38" s="65"/>
      <c r="G38" s="54"/>
      <c r="H38" s="52"/>
      <c r="I38" s="54"/>
      <c r="J38" s="48"/>
      <c r="K38" s="65"/>
      <c r="L38" s="80"/>
    </row>
    <row r="39" spans="2:12" ht="15.75">
      <c r="B39" s="79"/>
      <c r="C39" s="58"/>
      <c r="D39" s="59"/>
      <c r="E39" s="59"/>
      <c r="F39" s="60"/>
      <c r="G39" s="54"/>
      <c r="H39" s="58"/>
      <c r="I39" s="59"/>
      <c r="J39" s="59"/>
      <c r="K39" s="60"/>
      <c r="L39" s="80"/>
    </row>
    <row r="40" spans="2:12" ht="16.5" thickBot="1">
      <c r="B40" s="81"/>
      <c r="C40" s="82"/>
      <c r="D40" s="82"/>
      <c r="E40" s="82"/>
      <c r="F40" s="82"/>
      <c r="G40" s="82"/>
      <c r="H40" s="83"/>
      <c r="I40" s="82"/>
      <c r="J40" s="83"/>
      <c r="K40" s="83"/>
      <c r="L40" s="84"/>
    </row>
    <row r="41" spans="2:9" ht="15.75">
      <c r="B41" s="47"/>
      <c r="C41" s="47"/>
      <c r="D41" s="47"/>
      <c r="E41" s="47"/>
      <c r="F41" s="47"/>
      <c r="G41" s="47"/>
      <c r="H41" s="47"/>
      <c r="I41" s="47"/>
    </row>
    <row r="42" spans="2:9" ht="15.75">
      <c r="B42" s="47"/>
      <c r="C42" s="47"/>
      <c r="D42" s="47"/>
      <c r="E42" s="47"/>
      <c r="F42" s="47"/>
      <c r="G42" s="47"/>
      <c r="H42" s="47"/>
      <c r="I42" s="47"/>
    </row>
    <row r="43" spans="2:9" ht="15.75">
      <c r="B43" s="47"/>
      <c r="C43" s="47"/>
      <c r="D43" s="47"/>
      <c r="E43" s="47"/>
      <c r="F43" s="47"/>
      <c r="G43" s="47"/>
      <c r="H43" s="47"/>
      <c r="I43" s="47"/>
    </row>
  </sheetData>
  <sheetProtection/>
  <mergeCells count="3">
    <mergeCell ref="F2:H2"/>
    <mergeCell ref="F3:H3"/>
    <mergeCell ref="F11:I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2"/>
  <sheetViews>
    <sheetView zoomScalePageLayoutView="0" workbookViewId="0" topLeftCell="A79">
      <selection activeCell="M23" sqref="M23"/>
    </sheetView>
  </sheetViews>
  <sheetFormatPr defaultColWidth="9.140625" defaultRowHeight="12.75"/>
  <cols>
    <col min="1" max="1" width="6.00390625" style="5" customWidth="1"/>
    <col min="2" max="2" width="39.28125" style="5" customWidth="1"/>
    <col min="3" max="3" width="10.57421875" style="5" hidden="1" customWidth="1"/>
    <col min="4" max="6" width="10.421875" style="5" hidden="1" customWidth="1"/>
    <col min="7" max="7" width="16.140625" style="5" hidden="1" customWidth="1"/>
    <col min="8" max="8" width="14.7109375" style="5" customWidth="1"/>
    <col min="9" max="9" width="14.57421875" style="5" customWidth="1"/>
    <col min="10" max="10" width="20.421875" style="5" customWidth="1"/>
    <col min="11" max="11" width="12.8515625" style="5" bestFit="1" customWidth="1"/>
    <col min="12" max="12" width="12.00390625" style="5" bestFit="1" customWidth="1"/>
    <col min="13" max="13" width="12.00390625" style="5" customWidth="1"/>
    <col min="14" max="14" width="12.8515625" style="5" bestFit="1" customWidth="1"/>
    <col min="15" max="15" width="12.8515625" style="5" customWidth="1"/>
    <col min="16" max="16" width="10.7109375" style="5" customWidth="1"/>
    <col min="17" max="17" width="12.57421875" style="5" customWidth="1"/>
    <col min="18" max="16384" width="9.140625" style="5" customWidth="1"/>
  </cols>
  <sheetData>
    <row r="1" spans="1:9" ht="12.75" customHeight="1">
      <c r="A1" s="152" t="s">
        <v>238</v>
      </c>
      <c r="B1" s="152"/>
      <c r="C1" s="152"/>
      <c r="D1" s="152"/>
      <c r="E1" s="152"/>
      <c r="F1" s="152"/>
      <c r="G1" s="152"/>
      <c r="H1" s="152"/>
      <c r="I1" s="152"/>
    </row>
    <row r="2" spans="1:8" ht="12.75" customHeight="1">
      <c r="A2" s="7"/>
      <c r="B2" s="7"/>
      <c r="C2" s="7"/>
      <c r="D2" s="7"/>
      <c r="E2" s="7"/>
      <c r="F2" s="7"/>
      <c r="G2" s="7"/>
      <c r="H2" s="7" t="s">
        <v>225</v>
      </c>
    </row>
    <row r="3" spans="1:13" ht="12.75" customHeight="1">
      <c r="A3" s="151" t="s">
        <v>7</v>
      </c>
      <c r="B3" s="151"/>
      <c r="C3" s="8">
        <v>1999</v>
      </c>
      <c r="D3" s="8">
        <v>2000</v>
      </c>
      <c r="E3" s="9">
        <v>2001</v>
      </c>
      <c r="F3" s="14">
        <v>2002</v>
      </c>
      <c r="G3" s="14">
        <v>2003</v>
      </c>
      <c r="H3" s="14" t="s">
        <v>8</v>
      </c>
      <c r="I3" s="102">
        <v>2010</v>
      </c>
      <c r="J3" s="102">
        <v>2009</v>
      </c>
      <c r="M3" s="5">
        <v>2023</v>
      </c>
    </row>
    <row r="4" spans="1:10" ht="12.75" customHeight="1">
      <c r="A4" s="14" t="s">
        <v>0</v>
      </c>
      <c r="B4" s="32" t="s">
        <v>9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/>
      <c r="I4" s="88">
        <f>I5+I8+I12+I18+I25+I26+I27</f>
        <v>2185394321.2</v>
      </c>
      <c r="J4" s="88">
        <f>J5+J8+J12+J18+J25+J26+J27</f>
        <v>1922239979</v>
      </c>
    </row>
    <row r="5" spans="1:13" ht="12.75" customHeight="1">
      <c r="A5" s="14">
        <v>1</v>
      </c>
      <c r="B5" s="32" t="s">
        <v>10</v>
      </c>
      <c r="C5" s="24">
        <f>C8+C15+C22</f>
        <v>201263989</v>
      </c>
      <c r="D5" s="24">
        <f>D8+D15+D22</f>
        <v>336682728</v>
      </c>
      <c r="E5" s="24">
        <v>373521787</v>
      </c>
      <c r="F5" s="24">
        <f>F8+F15+F22</f>
        <v>425809640</v>
      </c>
      <c r="G5" s="24">
        <f>G8+G15+G22</f>
        <v>425143477</v>
      </c>
      <c r="H5" s="24">
        <v>512531</v>
      </c>
      <c r="I5" s="88">
        <f>I6+I7</f>
        <v>120198990</v>
      </c>
      <c r="J5" s="24">
        <f>J6+J7</f>
        <v>12652762</v>
      </c>
      <c r="K5" s="16">
        <f>I5-J5</f>
        <v>107546228</v>
      </c>
      <c r="M5" s="16"/>
    </row>
    <row r="6" spans="1:13" ht="12.75" customHeight="1">
      <c r="A6" s="22" t="s">
        <v>12</v>
      </c>
      <c r="B6" s="23" t="s">
        <v>226</v>
      </c>
      <c r="C6" s="24"/>
      <c r="D6" s="24"/>
      <c r="E6" s="24"/>
      <c r="F6" s="24"/>
      <c r="G6" s="24"/>
      <c r="H6" s="24"/>
      <c r="I6" s="24">
        <f>53298-32247</f>
        <v>21051</v>
      </c>
      <c r="J6" s="24">
        <v>4585511</v>
      </c>
      <c r="L6" s="5">
        <v>4585511</v>
      </c>
      <c r="M6" s="16">
        <f>I6-L6</f>
        <v>-4564460</v>
      </c>
    </row>
    <row r="7" spans="1:13" ht="12.75" customHeight="1">
      <c r="A7" s="22" t="s">
        <v>14</v>
      </c>
      <c r="B7" s="23" t="s">
        <v>227</v>
      </c>
      <c r="C7" s="24"/>
      <c r="D7" s="24"/>
      <c r="E7" s="24"/>
      <c r="F7" s="24"/>
      <c r="G7" s="24"/>
      <c r="H7" s="24"/>
      <c r="I7" s="24">
        <f>485+93531762+26599339+46353</f>
        <v>120177939</v>
      </c>
      <c r="J7" s="24">
        <f>4110998+15388+122204+87881+105+312+76+2+3035238+67+50668+644312</f>
        <v>8067251</v>
      </c>
      <c r="K7" s="16">
        <f>J7-I7</f>
        <v>-112110688</v>
      </c>
      <c r="L7" s="122">
        <f>'[1]Sheet1'!$H$16</f>
        <v>7422937.979000001</v>
      </c>
      <c r="M7" s="16">
        <f>I7-L7</f>
        <v>112755001.021</v>
      </c>
    </row>
    <row r="8" spans="1:10" ht="12.75" customHeight="1">
      <c r="A8" s="14">
        <v>2</v>
      </c>
      <c r="B8" s="32" t="s">
        <v>11</v>
      </c>
      <c r="C8" s="24">
        <f>C9+C10+C11+C12+C13+C14</f>
        <v>0</v>
      </c>
      <c r="D8" s="24">
        <f>D9+D10+D11+D12+D13+D14</f>
        <v>0</v>
      </c>
      <c r="E8" s="24">
        <v>0</v>
      </c>
      <c r="F8" s="24">
        <f>F9+F10+F11+F12+F13+F14</f>
        <v>0</v>
      </c>
      <c r="G8" s="24">
        <f>G9+G10+G11+G12+G13+G14</f>
        <v>0</v>
      </c>
      <c r="H8" s="24"/>
      <c r="I8" s="24">
        <f>I9+I10</f>
        <v>0</v>
      </c>
      <c r="J8" s="24">
        <f>J9+J10</f>
        <v>0</v>
      </c>
    </row>
    <row r="9" spans="1:10" ht="12.75" customHeight="1">
      <c r="A9" s="22" t="s">
        <v>12</v>
      </c>
      <c r="B9" s="23" t="s">
        <v>13</v>
      </c>
      <c r="C9" s="24">
        <v>0</v>
      </c>
      <c r="D9" s="24">
        <v>0</v>
      </c>
      <c r="E9" s="24">
        <v>0</v>
      </c>
      <c r="F9" s="24">
        <v>0</v>
      </c>
      <c r="G9" s="24"/>
      <c r="H9" s="24">
        <v>551559</v>
      </c>
      <c r="I9" s="29">
        <v>0</v>
      </c>
      <c r="J9" s="29">
        <v>0</v>
      </c>
    </row>
    <row r="10" spans="1:10" ht="12.75" customHeight="1">
      <c r="A10" s="22" t="s">
        <v>14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/>
      <c r="H10" s="24">
        <v>552559590</v>
      </c>
      <c r="I10" s="29">
        <v>0</v>
      </c>
      <c r="J10" s="29">
        <v>0</v>
      </c>
    </row>
    <row r="11" spans="1:10" ht="12.75" customHeight="1">
      <c r="A11" s="22"/>
      <c r="B11" s="32" t="s">
        <v>16</v>
      </c>
      <c r="C11" s="24">
        <v>0</v>
      </c>
      <c r="D11" s="24">
        <v>0</v>
      </c>
      <c r="E11" s="24">
        <v>0</v>
      </c>
      <c r="F11" s="24">
        <v>0</v>
      </c>
      <c r="G11" s="24"/>
      <c r="H11" s="24"/>
      <c r="I11" s="29">
        <f>I9+I10</f>
        <v>0</v>
      </c>
      <c r="J11" s="29">
        <f>J9+J10</f>
        <v>0</v>
      </c>
    </row>
    <row r="12" spans="1:10" ht="12.75" customHeight="1">
      <c r="A12" s="14">
        <v>3</v>
      </c>
      <c r="B12" s="32" t="s">
        <v>17</v>
      </c>
      <c r="C12" s="24">
        <v>0</v>
      </c>
      <c r="D12" s="24">
        <v>0</v>
      </c>
      <c r="E12" s="24">
        <v>0</v>
      </c>
      <c r="F12" s="24">
        <v>0</v>
      </c>
      <c r="G12" s="24"/>
      <c r="H12" s="24"/>
      <c r="I12" s="10">
        <f>I13+I14+I15+I16</f>
        <v>2032932737.2</v>
      </c>
      <c r="J12" s="10">
        <f>J13+J14+J15+J16</f>
        <v>1892503744</v>
      </c>
    </row>
    <row r="13" spans="1:13" ht="12.75" customHeight="1">
      <c r="A13" s="22" t="s">
        <v>12</v>
      </c>
      <c r="B13" s="23" t="s">
        <v>228</v>
      </c>
      <c r="C13" s="24">
        <v>0</v>
      </c>
      <c r="D13" s="24">
        <v>0</v>
      </c>
      <c r="E13" s="24">
        <v>0</v>
      </c>
      <c r="F13" s="24">
        <v>0</v>
      </c>
      <c r="G13" s="24"/>
      <c r="H13" s="24"/>
      <c r="I13" s="29">
        <f>2023394511</f>
        <v>2023394511</v>
      </c>
      <c r="J13" s="29">
        <f>1816292107-5138814</f>
        <v>1811153293</v>
      </c>
      <c r="K13" s="16">
        <f>I13-J13</f>
        <v>212241218</v>
      </c>
      <c r="L13" s="5">
        <f>'Te ardhura e shpenzime'!I10</f>
        <v>176867682</v>
      </c>
      <c r="M13" s="16">
        <f>L13-K13</f>
        <v>-35373536</v>
      </c>
    </row>
    <row r="14" spans="1:12" ht="12.75" customHeight="1">
      <c r="A14" s="22" t="s">
        <v>14</v>
      </c>
      <c r="B14" s="23" t="s">
        <v>18</v>
      </c>
      <c r="C14" s="24">
        <v>0</v>
      </c>
      <c r="D14" s="24">
        <v>0</v>
      </c>
      <c r="E14" s="24">
        <v>0</v>
      </c>
      <c r="F14" s="24">
        <v>0</v>
      </c>
      <c r="G14" s="24"/>
      <c r="H14" s="24" t="s">
        <v>211</v>
      </c>
      <c r="I14" s="24">
        <f>332570+3492116-'Te ardhura e shpenzime'!I29+32247</f>
        <v>3226467.2</v>
      </c>
      <c r="J14" s="29">
        <v>0</v>
      </c>
      <c r="L14" s="5" t="s">
        <v>210</v>
      </c>
    </row>
    <row r="15" spans="1:11" ht="12.75" customHeight="1">
      <c r="A15" s="22" t="s">
        <v>19</v>
      </c>
      <c r="B15" s="23" t="s">
        <v>230</v>
      </c>
      <c r="C15" s="24">
        <f>C16+C17+C18+C19+C20+C21</f>
        <v>196835689</v>
      </c>
      <c r="D15" s="24">
        <f>D16+D17+D18+D19+D20+D21</f>
        <v>336682728</v>
      </c>
      <c r="E15" s="24">
        <v>373521787</v>
      </c>
      <c r="F15" s="24">
        <f>F16+F17+F18+F19+F20+F21</f>
        <v>425809640</v>
      </c>
      <c r="G15" s="24">
        <f>G16+G17+G18+G19+G20+G21</f>
        <v>425143477</v>
      </c>
      <c r="H15" s="24">
        <v>469</v>
      </c>
      <c r="I15" s="127">
        <f>9420536-3108777</f>
        <v>6311759</v>
      </c>
      <c r="J15" s="24">
        <f>60230263+8500000+2725297+42320+105000+2471400-2471400+5138814-8500000+13108757</f>
        <v>81350451</v>
      </c>
      <c r="K15" s="16">
        <f>I15-J15</f>
        <v>-75038692</v>
      </c>
    </row>
    <row r="16" spans="1:11" ht="12.75" customHeight="1">
      <c r="A16" s="22" t="s">
        <v>20</v>
      </c>
      <c r="B16" s="23" t="s">
        <v>232</v>
      </c>
      <c r="C16" s="24">
        <v>45512084</v>
      </c>
      <c r="D16" s="24">
        <v>146103471</v>
      </c>
      <c r="E16" s="24">
        <v>146103471</v>
      </c>
      <c r="F16" s="24">
        <f>145479500+64505971</f>
        <v>209985471</v>
      </c>
      <c r="G16" s="24">
        <f>131693000+64505971</f>
        <v>196198971</v>
      </c>
      <c r="H16" s="24">
        <v>460</v>
      </c>
      <c r="I16" s="97">
        <v>0</v>
      </c>
      <c r="J16" s="97"/>
      <c r="K16" s="16">
        <f>I16-J16</f>
        <v>0</v>
      </c>
    </row>
    <row r="17" spans="1:11" ht="12.75" customHeight="1">
      <c r="A17" s="22"/>
      <c r="B17" s="32" t="s">
        <v>21</v>
      </c>
      <c r="C17" s="24">
        <v>89808807</v>
      </c>
      <c r="D17" s="24">
        <v>105953520</v>
      </c>
      <c r="E17" s="24">
        <v>205449592</v>
      </c>
      <c r="F17" s="24">
        <f>28805025+180115995+1407360</f>
        <v>210328380</v>
      </c>
      <c r="G17" s="24">
        <f>225855822+1407360</f>
        <v>227263182</v>
      </c>
      <c r="H17" s="24"/>
      <c r="I17" s="10">
        <f>I13+I14+I15+I16</f>
        <v>2032932737.2</v>
      </c>
      <c r="J17" s="10">
        <f>J13+J14+J15+J16</f>
        <v>1892503744</v>
      </c>
      <c r="K17" s="16">
        <f>K15-K16</f>
        <v>-75038692</v>
      </c>
    </row>
    <row r="18" spans="1:10" ht="12.75" customHeight="1">
      <c r="A18" s="14">
        <v>4</v>
      </c>
      <c r="B18" s="32" t="s">
        <v>22</v>
      </c>
      <c r="C18" s="24">
        <v>96204577</v>
      </c>
      <c r="D18" s="24">
        <v>162272174</v>
      </c>
      <c r="E18" s="24">
        <v>171204805</v>
      </c>
      <c r="F18" s="24">
        <f>173065760+3267439+1827725+1931387</f>
        <v>180092311</v>
      </c>
      <c r="G18" s="24">
        <f>224460536+3267439+2153882+1931387</f>
        <v>231813244</v>
      </c>
      <c r="H18" s="24"/>
      <c r="I18" s="10">
        <f>I19+I20+I21+I22+I23</f>
        <v>162447</v>
      </c>
      <c r="J18" s="10">
        <f>J19+J20+J21+J22+J23</f>
        <v>162447</v>
      </c>
    </row>
    <row r="19" spans="1:10" ht="12.75" customHeight="1">
      <c r="A19" s="22" t="s">
        <v>12</v>
      </c>
      <c r="B19" s="23" t="s">
        <v>24</v>
      </c>
      <c r="C19" s="24">
        <v>4708078</v>
      </c>
      <c r="D19" s="24">
        <v>0</v>
      </c>
      <c r="E19" s="24">
        <v>0</v>
      </c>
      <c r="F19" s="24">
        <v>0</v>
      </c>
      <c r="G19" s="24">
        <f>88319137-88319137</f>
        <v>0</v>
      </c>
      <c r="H19" s="24" t="s">
        <v>212</v>
      </c>
      <c r="I19" s="29">
        <v>0</v>
      </c>
      <c r="J19" s="29">
        <v>0</v>
      </c>
    </row>
    <row r="20" spans="1:13" ht="12.75" customHeight="1">
      <c r="A20" s="22" t="s">
        <v>14</v>
      </c>
      <c r="B20" s="23" t="s">
        <v>25</v>
      </c>
      <c r="C20" s="24">
        <v>-39397857</v>
      </c>
      <c r="D20" s="24">
        <v>-77646437</v>
      </c>
      <c r="E20" s="24">
        <v>-149236081</v>
      </c>
      <c r="F20" s="24">
        <f>-(6290169+89418873+75833866+3053614)</f>
        <v>-174596522</v>
      </c>
      <c r="G20" s="24">
        <f>-(9515468+115044258+101669438+3902756)</f>
        <v>-230131920</v>
      </c>
      <c r="H20" s="24" t="s">
        <v>213</v>
      </c>
      <c r="I20" s="29">
        <v>0</v>
      </c>
      <c r="J20" s="29">
        <v>0</v>
      </c>
      <c r="M20" s="5">
        <v>3492116</v>
      </c>
    </row>
    <row r="21" spans="1:13" ht="12.75" customHeight="1">
      <c r="A21" s="22" t="s">
        <v>19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341342394</v>
      </c>
      <c r="I21" s="29">
        <v>0</v>
      </c>
      <c r="J21" s="29">
        <v>0</v>
      </c>
      <c r="M21" s="5">
        <f>'Te ardhura e shpenzime'!I29</f>
        <v>630465.8</v>
      </c>
    </row>
    <row r="22" spans="1:13" ht="12.75" customHeight="1">
      <c r="A22" s="22" t="s">
        <v>20</v>
      </c>
      <c r="B22" s="23" t="s">
        <v>27</v>
      </c>
      <c r="C22" s="24">
        <f>SUM(C23:C26)</f>
        <v>4428300</v>
      </c>
      <c r="D22" s="24">
        <f>SUM(D23:D26)</f>
        <v>0</v>
      </c>
      <c r="E22" s="24">
        <v>0</v>
      </c>
      <c r="F22" s="24">
        <f>SUM(F23:F26)</f>
        <v>0</v>
      </c>
      <c r="G22" s="24">
        <f>SUM(G23:G26)</f>
        <v>0</v>
      </c>
      <c r="H22" s="24">
        <v>351395</v>
      </c>
      <c r="I22" s="24">
        <f>5432727</f>
        <v>5432727</v>
      </c>
      <c r="J22" s="24">
        <f>5432727</f>
        <v>5432727</v>
      </c>
      <c r="M22" s="5">
        <f>M20-M21</f>
        <v>2861650.2</v>
      </c>
    </row>
    <row r="23" spans="1:13" ht="12.75" customHeight="1">
      <c r="A23" s="22" t="s">
        <v>23</v>
      </c>
      <c r="B23" s="23" t="s">
        <v>236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 t="s">
        <v>214</v>
      </c>
      <c r="I23" s="106">
        <f>-5270280</f>
        <v>-5270280</v>
      </c>
      <c r="J23" s="106">
        <f>-5270280</f>
        <v>-5270280</v>
      </c>
      <c r="M23" s="5">
        <v>332570</v>
      </c>
    </row>
    <row r="24" spans="1:10" ht="12.75" customHeight="1">
      <c r="A24" s="22"/>
      <c r="B24" s="32" t="s">
        <v>28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/>
      <c r="I24" s="10">
        <f>I19+I20+I21+I22+I23</f>
        <v>162447</v>
      </c>
      <c r="J24" s="10">
        <f>J19+J20+J21+J22+J23</f>
        <v>162447</v>
      </c>
    </row>
    <row r="25" spans="1:11" ht="12.75" customHeight="1">
      <c r="A25" s="14">
        <v>5</v>
      </c>
      <c r="B25" s="32" t="s">
        <v>29</v>
      </c>
      <c r="C25" s="24">
        <v>4428300</v>
      </c>
      <c r="D25" s="24">
        <v>0</v>
      </c>
      <c r="E25" s="24">
        <v>0</v>
      </c>
      <c r="F25" s="24">
        <v>0</v>
      </c>
      <c r="G25" s="24">
        <v>0</v>
      </c>
      <c r="H25" s="24">
        <v>36</v>
      </c>
      <c r="I25" s="29"/>
      <c r="J25" s="29"/>
      <c r="K25" s="17"/>
    </row>
    <row r="26" spans="1:10" ht="12.75" customHeight="1">
      <c r="A26" s="14">
        <v>6</v>
      </c>
      <c r="B26" s="32" t="s">
        <v>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 t="s">
        <v>3</v>
      </c>
      <c r="I26" s="29">
        <v>0</v>
      </c>
      <c r="J26" s="29">
        <v>0</v>
      </c>
    </row>
    <row r="27" spans="1:11" ht="12.75" customHeight="1">
      <c r="A27" s="14">
        <v>7</v>
      </c>
      <c r="B27" s="32" t="s">
        <v>31</v>
      </c>
      <c r="C27" s="24">
        <f>C28+C34+C40+C43+C47</f>
        <v>75970003</v>
      </c>
      <c r="D27" s="24">
        <f>D28+D34+D40+D43+D47</f>
        <v>65872862</v>
      </c>
      <c r="E27" s="24">
        <v>91535489.25</v>
      </c>
      <c r="F27" s="24" t="e">
        <f>F28+F34+F40+F43+F47</f>
        <v>#REF!</v>
      </c>
      <c r="G27" s="24" t="e">
        <f>G28+G34+G40+G43+G47</f>
        <v>#REF!</v>
      </c>
      <c r="H27" s="24" t="s">
        <v>215</v>
      </c>
      <c r="I27" s="88">
        <f>16921026+12796221+2382900</f>
        <v>32100147</v>
      </c>
      <c r="J27" s="88">
        <f>16921026</f>
        <v>16921026</v>
      </c>
      <c r="K27" s="16"/>
    </row>
    <row r="28" spans="1:11" ht="12.75" customHeight="1">
      <c r="A28" s="22"/>
      <c r="B28" s="23"/>
      <c r="C28" s="24">
        <f>SUM(C29:C33)</f>
        <v>7700726</v>
      </c>
      <c r="D28" s="24">
        <f>SUM(D29:D33)</f>
        <v>23542873</v>
      </c>
      <c r="E28" s="24">
        <v>47861579</v>
      </c>
      <c r="F28" s="24">
        <f>SUM(F29:F33)</f>
        <v>41253384</v>
      </c>
      <c r="G28" s="24">
        <f>SUM(G29:G33)</f>
        <v>50444295</v>
      </c>
      <c r="H28" s="24"/>
      <c r="I28" s="24"/>
      <c r="J28" s="24"/>
      <c r="K28" s="16"/>
    </row>
    <row r="29" spans="1:11" ht="12.75" customHeight="1">
      <c r="A29" s="14" t="s">
        <v>1</v>
      </c>
      <c r="B29" s="32" t="s">
        <v>32</v>
      </c>
      <c r="C29" s="24">
        <v>7109995</v>
      </c>
      <c r="D29" s="24">
        <v>18559628</v>
      </c>
      <c r="E29" s="24">
        <v>32115465</v>
      </c>
      <c r="F29" s="24">
        <f>4196409+20215562+1434568+890237</f>
        <v>26736776</v>
      </c>
      <c r="G29" s="24">
        <f>8411650+688241+18958901+2788940+3797740</f>
        <v>34645472</v>
      </c>
      <c r="H29" s="24"/>
      <c r="I29" s="10" t="e">
        <f>I30+I36+I42+I43+I48+I49</f>
        <v>#REF!</v>
      </c>
      <c r="J29" s="10">
        <f>J30+J36+J42+J43+J48+J49</f>
        <v>82088095</v>
      </c>
      <c r="K29" s="16"/>
    </row>
    <row r="30" spans="1:13" ht="12.75" customHeight="1">
      <c r="A30" s="14">
        <v>1</v>
      </c>
      <c r="B30" s="32" t="s">
        <v>33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/>
      <c r="I30" s="29">
        <f>I31+I32+I33+I34</f>
        <v>2087100</v>
      </c>
      <c r="J30" s="29">
        <f>J31+J32+J33+J34</f>
        <v>82088095</v>
      </c>
      <c r="K30" s="16">
        <f>I30-J30</f>
        <v>-80000995</v>
      </c>
      <c r="M30" s="16"/>
    </row>
    <row r="31" spans="1:11" ht="12.75" customHeight="1">
      <c r="A31" s="22" t="s">
        <v>12</v>
      </c>
      <c r="B31" s="23" t="s">
        <v>34</v>
      </c>
      <c r="C31" s="24">
        <v>0</v>
      </c>
      <c r="D31" s="24">
        <v>4718872</v>
      </c>
      <c r="E31" s="24">
        <v>14544535</v>
      </c>
      <c r="F31" s="24">
        <f>1671310+11279261</f>
        <v>12950571</v>
      </c>
      <c r="G31" s="24">
        <f>7570540+6428196</f>
        <v>13998736</v>
      </c>
      <c r="H31" s="24">
        <v>261</v>
      </c>
      <c r="I31" s="29">
        <v>2087100</v>
      </c>
      <c r="J31" s="29"/>
      <c r="K31" s="16"/>
    </row>
    <row r="32" spans="1:11" ht="12.75" customHeight="1">
      <c r="A32" s="22" t="s">
        <v>14</v>
      </c>
      <c r="B32" s="23" t="s">
        <v>35</v>
      </c>
      <c r="C32" s="24">
        <v>590731</v>
      </c>
      <c r="D32" s="24">
        <v>264373</v>
      </c>
      <c r="E32" s="24">
        <v>1201579</v>
      </c>
      <c r="F32" s="24">
        <f>693737+872300</f>
        <v>1566037</v>
      </c>
      <c r="G32" s="24">
        <f>929409+870678</f>
        <v>1800087</v>
      </c>
      <c r="H32" s="24">
        <v>262</v>
      </c>
      <c r="I32" s="29"/>
      <c r="J32" s="29"/>
      <c r="K32" s="16"/>
    </row>
    <row r="33" spans="1:10" ht="12.75" customHeight="1">
      <c r="A33" s="22" t="s">
        <v>19</v>
      </c>
      <c r="B33" s="23" t="s">
        <v>36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263</v>
      </c>
      <c r="I33" s="29"/>
      <c r="J33" s="29"/>
    </row>
    <row r="34" spans="1:10" ht="12.75" customHeight="1">
      <c r="A34" s="22" t="s">
        <v>20</v>
      </c>
      <c r="B34" s="25" t="s">
        <v>37</v>
      </c>
      <c r="C34" s="24">
        <f>SUM(C35:C39)</f>
        <v>61561438</v>
      </c>
      <c r="D34" s="24">
        <f>SUM(D35:D39)</f>
        <v>33568786</v>
      </c>
      <c r="E34" s="24">
        <v>38296642.25</v>
      </c>
      <c r="F34" s="24" t="e">
        <f>SUM(F35:F39)</f>
        <v>#REF!</v>
      </c>
      <c r="G34" s="24" t="e">
        <f>SUM(G35:G39)</f>
        <v>#REF!</v>
      </c>
      <c r="H34" s="24">
        <v>265268451455</v>
      </c>
      <c r="I34" s="24">
        <v>0</v>
      </c>
      <c r="J34" s="24">
        <f>73588095+8500000</f>
        <v>82088095</v>
      </c>
    </row>
    <row r="35" spans="1:10" ht="12.75" customHeight="1">
      <c r="A35" s="22"/>
      <c r="B35" s="32" t="s">
        <v>38</v>
      </c>
      <c r="C35" s="24">
        <v>27761769</v>
      </c>
      <c r="D35" s="24">
        <v>15679466</v>
      </c>
      <c r="E35" s="24">
        <v>28007796</v>
      </c>
      <c r="F35" s="24">
        <f>43249534-18390838</f>
        <v>24858696</v>
      </c>
      <c r="G35" s="24">
        <v>56700754</v>
      </c>
      <c r="H35" s="24"/>
      <c r="I35" s="10">
        <f>I31+I32+I33+I34</f>
        <v>2087100</v>
      </c>
      <c r="J35" s="10">
        <f>J31+J32+J33+J34</f>
        <v>82088095</v>
      </c>
    </row>
    <row r="36" spans="1:10" ht="12.75" customHeight="1">
      <c r="A36" s="14">
        <v>2</v>
      </c>
      <c r="B36" s="32" t="s">
        <v>39</v>
      </c>
      <c r="C36" s="24">
        <v>0</v>
      </c>
      <c r="D36" s="24">
        <v>12029319</v>
      </c>
      <c r="E36" s="24">
        <v>0</v>
      </c>
      <c r="F36" s="24">
        <v>0</v>
      </c>
      <c r="G36" s="24">
        <v>0</v>
      </c>
      <c r="H36" s="24"/>
      <c r="I36" s="29" t="e">
        <f>I37+I38+I39+I40</f>
        <v>#REF!</v>
      </c>
      <c r="J36" s="29">
        <f>J37+J38+J39+J40</f>
        <v>0</v>
      </c>
    </row>
    <row r="37" spans="1:10" ht="12.75" customHeight="1">
      <c r="A37" s="22" t="s">
        <v>12</v>
      </c>
      <c r="B37" s="23" t="s">
        <v>40</v>
      </c>
      <c r="C37" s="24">
        <v>237000</v>
      </c>
      <c r="D37" s="24">
        <v>730001</v>
      </c>
      <c r="E37" s="24">
        <v>0</v>
      </c>
      <c r="F37" s="24">
        <f>317000</f>
        <v>317000</v>
      </c>
      <c r="G37" s="24">
        <v>0</v>
      </c>
      <c r="H37" s="24">
        <v>211291</v>
      </c>
      <c r="I37" s="29"/>
      <c r="J37" s="29"/>
    </row>
    <row r="38" spans="1:10" ht="12.75" customHeight="1">
      <c r="A38" s="22" t="s">
        <v>14</v>
      </c>
      <c r="B38" s="23" t="s">
        <v>6</v>
      </c>
      <c r="C38" s="24">
        <v>33562669</v>
      </c>
      <c r="D38" s="24">
        <v>5130000</v>
      </c>
      <c r="E38" s="24">
        <v>10288846.25</v>
      </c>
      <c r="F38" s="24" t="e">
        <f>17678006-'Te ardhura e shpenzime'!#REF!</f>
        <v>#REF!</v>
      </c>
      <c r="G38" s="24" t="e">
        <f>26487723-718910-'Te ardhura e shpenzime'!#REF!+5130000</f>
        <v>#REF!</v>
      </c>
      <c r="H38" s="24">
        <v>212281291</v>
      </c>
      <c r="I38" s="29"/>
      <c r="J38" s="29"/>
    </row>
    <row r="39" spans="1:10" ht="12.75" customHeight="1">
      <c r="A39" s="22" t="s">
        <v>19</v>
      </c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213215281291</v>
      </c>
      <c r="I39" s="29" t="e">
        <f>#REF!-#REF!</f>
        <v>#REF!</v>
      </c>
      <c r="J39" s="29"/>
    </row>
    <row r="40" spans="1:10" ht="12.75" customHeight="1">
      <c r="A40" s="22" t="s">
        <v>20</v>
      </c>
      <c r="B40" s="23" t="s">
        <v>42</v>
      </c>
      <c r="C40" s="24">
        <f>SUM(C41:C42)</f>
        <v>0</v>
      </c>
      <c r="D40" s="24">
        <f>SUM(D41:D42)</f>
        <v>0</v>
      </c>
      <c r="E40" s="24">
        <v>0</v>
      </c>
      <c r="F40" s="24">
        <f>SUM(F41:F42)</f>
        <v>0</v>
      </c>
      <c r="G40" s="24">
        <v>0</v>
      </c>
      <c r="H40" s="24">
        <v>218281291</v>
      </c>
      <c r="I40" s="29"/>
      <c r="J40" s="29"/>
    </row>
    <row r="41" spans="1:10" ht="12.75" customHeight="1">
      <c r="A41" s="22"/>
      <c r="B41" s="32" t="s">
        <v>16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/>
      <c r="I41" s="29" t="e">
        <f>I40+I39+I38+I37</f>
        <v>#REF!</v>
      </c>
      <c r="J41" s="29">
        <f>J40+J39+J38+J37</f>
        <v>0</v>
      </c>
    </row>
    <row r="42" spans="1:10" ht="12.75" customHeight="1">
      <c r="A42" s="14">
        <v>3</v>
      </c>
      <c r="B42" s="32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24284293</v>
      </c>
      <c r="I42" s="29"/>
      <c r="J42" s="29"/>
    </row>
    <row r="43" spans="1:10" ht="12.75" customHeight="1">
      <c r="A43" s="14">
        <v>4</v>
      </c>
      <c r="B43" s="32" t="s">
        <v>44</v>
      </c>
      <c r="C43" s="24">
        <f>SUM(C44:C46)</f>
        <v>6707839</v>
      </c>
      <c r="D43" s="24">
        <f>SUM(D44:D46)</f>
        <v>8761203</v>
      </c>
      <c r="E43" s="24">
        <v>5377268</v>
      </c>
      <c r="F43" s="24">
        <f>SUM(F44:F46)</f>
        <v>13013243</v>
      </c>
      <c r="G43" s="24">
        <f>SUM(G44:G46)</f>
        <v>1313177</v>
      </c>
      <c r="I43" s="24">
        <f>I44+I45+I46</f>
        <v>0</v>
      </c>
      <c r="J43" s="24">
        <f>J44+J45+J46</f>
        <v>0</v>
      </c>
    </row>
    <row r="44" spans="1:10" ht="12.75" customHeight="1">
      <c r="A44" s="22" t="s">
        <v>12</v>
      </c>
      <c r="B44" s="23" t="s">
        <v>45</v>
      </c>
      <c r="C44" s="24">
        <v>2555535</v>
      </c>
      <c r="D44" s="24">
        <v>1152332</v>
      </c>
      <c r="E44" s="24">
        <v>5053412</v>
      </c>
      <c r="F44" s="24">
        <f>4090529+859568+60696+18682+20198+71188+11962+20515+113315</f>
        <v>5266653</v>
      </c>
      <c r="G44" s="24">
        <f>1299+1759+60696+28211+13318+71188+76941+48487+203390-1616-3370</f>
        <v>500303</v>
      </c>
      <c r="H44" s="24">
        <v>201280290</v>
      </c>
      <c r="I44" s="29"/>
      <c r="J44" s="29"/>
    </row>
    <row r="45" spans="1:10" ht="12.75" customHeight="1">
      <c r="A45" s="22" t="s">
        <v>14</v>
      </c>
      <c r="B45" s="23" t="s">
        <v>46</v>
      </c>
      <c r="C45" s="24">
        <v>4152304</v>
      </c>
      <c r="D45" s="24">
        <v>7608871</v>
      </c>
      <c r="E45" s="24">
        <v>323856</v>
      </c>
      <c r="F45" s="24">
        <f>7249076+485180+12334</f>
        <v>7746590</v>
      </c>
      <c r="G45" s="24">
        <f>114281+687656+10937</f>
        <v>812874</v>
      </c>
      <c r="H45" s="24">
        <v>203280290</v>
      </c>
      <c r="I45" s="29"/>
      <c r="J45" s="29"/>
    </row>
    <row r="46" spans="1:10" ht="12.75" customHeight="1">
      <c r="A46" s="22" t="s">
        <v>19</v>
      </c>
      <c r="B46" s="23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205280290</v>
      </c>
      <c r="I46" s="29">
        <v>0</v>
      </c>
      <c r="J46" s="29">
        <v>0</v>
      </c>
    </row>
    <row r="47" spans="1:10" ht="12.75" customHeight="1">
      <c r="A47" s="22"/>
      <c r="B47" s="32" t="s">
        <v>28</v>
      </c>
      <c r="C47" s="24">
        <f>C48</f>
        <v>0</v>
      </c>
      <c r="D47" s="24">
        <f>D48</f>
        <v>0</v>
      </c>
      <c r="E47" s="24">
        <v>0</v>
      </c>
      <c r="F47" s="24">
        <f>F48</f>
        <v>0</v>
      </c>
      <c r="G47" s="24">
        <v>0</v>
      </c>
      <c r="H47" s="24"/>
      <c r="I47" s="29">
        <f>I44+I45+I46</f>
        <v>0</v>
      </c>
      <c r="J47" s="29">
        <f>J44+J45+J46</f>
        <v>0</v>
      </c>
    </row>
    <row r="48" spans="1:10" ht="12.75" customHeight="1">
      <c r="A48" s="14">
        <v>5</v>
      </c>
      <c r="B48" s="32" t="s">
        <v>48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456</v>
      </c>
      <c r="I48" s="29"/>
      <c r="J48" s="29"/>
    </row>
    <row r="49" spans="1:10" ht="12.75" customHeight="1">
      <c r="A49" s="14">
        <v>6</v>
      </c>
      <c r="B49" s="32" t="s">
        <v>49</v>
      </c>
      <c r="C49" s="24">
        <f>SUM(C50:C51)</f>
        <v>0</v>
      </c>
      <c r="D49" s="24">
        <f>SUM(D50:D51)</f>
        <v>0</v>
      </c>
      <c r="E49" s="24">
        <v>0</v>
      </c>
      <c r="F49" s="24">
        <f>SUM(F50:F51)</f>
        <v>0</v>
      </c>
      <c r="G49" s="24">
        <v>0</v>
      </c>
      <c r="H49" s="24"/>
      <c r="I49" s="29"/>
      <c r="J49" s="29"/>
    </row>
    <row r="50" spans="1:10" ht="12.75" customHeight="1" thickBot="1">
      <c r="A50" s="22"/>
      <c r="B50" s="32" t="s">
        <v>50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/>
      <c r="I50" s="111" t="e">
        <f>I35+I41+I42+I47+I48+I49</f>
        <v>#REF!</v>
      </c>
      <c r="J50" s="111">
        <f>J35+J41+J42+J47+J48+J49</f>
        <v>82088095</v>
      </c>
    </row>
    <row r="51" spans="1:10" ht="12.75" customHeight="1" thickBot="1">
      <c r="A51" s="22"/>
      <c r="B51" s="32" t="s">
        <v>51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98"/>
      <c r="I51" s="103" t="e">
        <f>I50+I4</f>
        <v>#REF!</v>
      </c>
      <c r="J51" s="103">
        <f>J50+J4</f>
        <v>2004328074</v>
      </c>
    </row>
    <row r="52" spans="1:10" ht="12.75" customHeight="1">
      <c r="A52" s="23"/>
      <c r="B52" s="23"/>
      <c r="C52" s="24"/>
      <c r="D52" s="24"/>
      <c r="E52" s="24">
        <v>0</v>
      </c>
      <c r="F52" s="24"/>
      <c r="G52" s="24"/>
      <c r="H52" s="24"/>
      <c r="I52" s="100"/>
      <c r="J52" s="29"/>
    </row>
    <row r="53" spans="1:10" ht="12.75" customHeight="1">
      <c r="A53" s="153"/>
      <c r="B53" s="153"/>
      <c r="C53" s="10">
        <f>C4+C5+C27+C49</f>
        <v>277233992</v>
      </c>
      <c r="D53" s="10">
        <f>D4+D5+D27+D49</f>
        <v>402555590</v>
      </c>
      <c r="E53" s="10">
        <v>465057276.25</v>
      </c>
      <c r="F53" s="10" t="e">
        <f>F4+F5+F27+F49</f>
        <v>#REF!</v>
      </c>
      <c r="G53" s="10" t="e">
        <f>G4+G5+G27+G49</f>
        <v>#REF!</v>
      </c>
      <c r="H53" s="10"/>
      <c r="I53" s="10"/>
      <c r="J53" s="10"/>
    </row>
    <row r="54" spans="1:10" ht="12.75" customHeight="1">
      <c r="A54" s="12"/>
      <c r="B54" s="12"/>
      <c r="C54" s="21"/>
      <c r="D54" s="21"/>
      <c r="E54" s="21"/>
      <c r="F54" s="21"/>
      <c r="G54" s="21"/>
      <c r="H54" s="21"/>
      <c r="I54" s="21">
        <v>0</v>
      </c>
      <c r="J54" s="21"/>
    </row>
    <row r="55" spans="1:17" ht="12.75" customHeight="1">
      <c r="A55" s="12"/>
      <c r="B55" s="12"/>
      <c r="C55" s="21"/>
      <c r="D55" s="21"/>
      <c r="E55" s="21"/>
      <c r="F55" s="21"/>
      <c r="G55" s="21"/>
      <c r="H55" s="21"/>
      <c r="I55" s="21">
        <f>I53+I54</f>
        <v>0</v>
      </c>
      <c r="J55" s="21"/>
      <c r="N55" s="5" t="s">
        <v>253</v>
      </c>
      <c r="O55" s="5" t="s">
        <v>255</v>
      </c>
      <c r="P55" s="5" t="s">
        <v>254</v>
      </c>
      <c r="Q55" s="5" t="s">
        <v>256</v>
      </c>
    </row>
    <row r="56" spans="1:17" ht="12.75" customHeight="1">
      <c r="A56" s="12"/>
      <c r="B56" s="12"/>
      <c r="C56" s="21"/>
      <c r="D56" s="21"/>
      <c r="E56" s="21"/>
      <c r="F56" s="21"/>
      <c r="G56" s="21"/>
      <c r="H56" s="21"/>
      <c r="I56" s="21"/>
      <c r="J56" s="21"/>
      <c r="M56" s="5" t="s">
        <v>247</v>
      </c>
      <c r="N56" s="141">
        <v>1076449</v>
      </c>
      <c r="O56" s="142">
        <f>N56/137*1000</f>
        <v>7857291.970802919</v>
      </c>
      <c r="P56" s="141">
        <v>1900000</v>
      </c>
      <c r="Q56" s="142">
        <f>O56-P56</f>
        <v>5957291.970802919</v>
      </c>
    </row>
    <row r="57" spans="1:17" ht="18.75" customHeight="1">
      <c r="A57" s="12"/>
      <c r="B57" s="12"/>
      <c r="C57" s="21"/>
      <c r="D57" s="21"/>
      <c r="E57" s="21"/>
      <c r="F57" s="21"/>
      <c r="G57" s="21"/>
      <c r="H57" s="21"/>
      <c r="J57" s="17"/>
      <c r="M57" s="5" t="s">
        <v>248</v>
      </c>
      <c r="N57" s="141">
        <v>773271</v>
      </c>
      <c r="O57" s="142">
        <f aca="true" t="shared" si="0" ref="O57:O62">N57/137*1000</f>
        <v>5644313.868613139</v>
      </c>
      <c r="P57" s="141">
        <v>400000</v>
      </c>
      <c r="Q57" s="142">
        <f aca="true" t="shared" si="1" ref="Q57:Q62">O57-P57</f>
        <v>5244313.868613139</v>
      </c>
    </row>
    <row r="58" spans="1:17" ht="12.75" customHeight="1" hidden="1">
      <c r="A58" s="152"/>
      <c r="B58" s="152"/>
      <c r="C58" s="17"/>
      <c r="D58" s="17"/>
      <c r="F58" s="15"/>
      <c r="G58" s="15"/>
      <c r="H58" s="15"/>
      <c r="J58" s="17"/>
      <c r="M58" s="5" t="s">
        <v>249</v>
      </c>
      <c r="N58" s="141"/>
      <c r="O58" s="142">
        <f t="shared" si="0"/>
        <v>0</v>
      </c>
      <c r="P58" s="141"/>
      <c r="Q58" s="142">
        <f t="shared" si="1"/>
        <v>0</v>
      </c>
    </row>
    <row r="59" spans="1:17" ht="9" customHeight="1" hidden="1">
      <c r="A59" s="7"/>
      <c r="B59" s="7"/>
      <c r="C59" s="17"/>
      <c r="D59" s="17"/>
      <c r="F59" s="15"/>
      <c r="G59" s="15"/>
      <c r="H59" s="15"/>
      <c r="J59" s="17"/>
      <c r="M59" s="5" t="s">
        <v>250</v>
      </c>
      <c r="N59" s="141"/>
      <c r="O59" s="142">
        <f t="shared" si="0"/>
        <v>0</v>
      </c>
      <c r="P59" s="141"/>
      <c r="Q59" s="142">
        <f t="shared" si="1"/>
        <v>0</v>
      </c>
    </row>
    <row r="60" spans="1:17" ht="12.75" customHeight="1" hidden="1">
      <c r="A60" s="7"/>
      <c r="B60" s="7"/>
      <c r="C60" s="17"/>
      <c r="D60" s="17"/>
      <c r="F60" s="15"/>
      <c r="G60" s="15"/>
      <c r="H60" s="15"/>
      <c r="J60" s="17"/>
      <c r="M60" s="5" t="s">
        <v>251</v>
      </c>
      <c r="N60" s="141"/>
      <c r="O60" s="142">
        <f t="shared" si="0"/>
        <v>0</v>
      </c>
      <c r="P60" s="141"/>
      <c r="Q60" s="142">
        <f t="shared" si="1"/>
        <v>0</v>
      </c>
    </row>
    <row r="61" spans="1:17" ht="12.75" customHeight="1">
      <c r="A61" s="152" t="s">
        <v>225</v>
      </c>
      <c r="B61" s="152"/>
      <c r="C61" s="152"/>
      <c r="D61" s="152"/>
      <c r="E61" s="152"/>
      <c r="F61" s="152"/>
      <c r="G61" s="152"/>
      <c r="H61" s="152"/>
      <c r="I61" s="152"/>
      <c r="J61" s="17"/>
      <c r="M61" s="5" t="s">
        <v>249</v>
      </c>
      <c r="N61" s="141">
        <v>784781</v>
      </c>
      <c r="O61" s="142">
        <f t="shared" si="0"/>
        <v>5728328.467153285</v>
      </c>
      <c r="P61" s="141">
        <v>420000</v>
      </c>
      <c r="Q61" s="142">
        <f t="shared" si="1"/>
        <v>5308328.467153285</v>
      </c>
    </row>
    <row r="62" spans="1:17" ht="12.75" customHeight="1">
      <c r="A62" s="151" t="s">
        <v>193</v>
      </c>
      <c r="B62" s="151"/>
      <c r="C62" s="8">
        <v>1999</v>
      </c>
      <c r="D62" s="8">
        <v>2000</v>
      </c>
      <c r="E62" s="9">
        <v>2001</v>
      </c>
      <c r="F62" s="14">
        <v>2002</v>
      </c>
      <c r="G62" s="14">
        <v>2003</v>
      </c>
      <c r="H62" s="14"/>
      <c r="I62" s="28">
        <v>2010</v>
      </c>
      <c r="J62" s="28">
        <v>2009</v>
      </c>
      <c r="M62" s="5" t="s">
        <v>252</v>
      </c>
      <c r="N62" s="141">
        <v>250256</v>
      </c>
      <c r="O62" s="142">
        <f t="shared" si="0"/>
        <v>1826686.1313868612</v>
      </c>
      <c r="P62" s="141">
        <v>500000</v>
      </c>
      <c r="Q62" s="142">
        <f t="shared" si="1"/>
        <v>1326686.1313868612</v>
      </c>
    </row>
    <row r="63" spans="1:17" ht="12.75" customHeight="1">
      <c r="A63" s="151" t="s">
        <v>52</v>
      </c>
      <c r="B63" s="151"/>
      <c r="C63" s="8"/>
      <c r="D63" s="8"/>
      <c r="E63" s="9"/>
      <c r="F63" s="14"/>
      <c r="G63" s="14"/>
      <c r="H63" s="14"/>
      <c r="I63" s="28"/>
      <c r="J63" s="28"/>
      <c r="N63" s="141">
        <f>SUM(N56:N62)</f>
        <v>2884757</v>
      </c>
      <c r="O63" s="142">
        <f>SUM(O56:O62)</f>
        <v>21056620.437956203</v>
      </c>
      <c r="P63" s="141">
        <f>SUM(P56:P62)</f>
        <v>3220000</v>
      </c>
      <c r="Q63" s="141">
        <f>SUM(Q56:Q62)</f>
        <v>17836620.437956203</v>
      </c>
    </row>
    <row r="64" spans="1:17" ht="12.75" customHeight="1">
      <c r="A64" s="14" t="s">
        <v>0</v>
      </c>
      <c r="B64" s="32" t="s">
        <v>53</v>
      </c>
      <c r="C64" s="24">
        <f>C65+C75+C80+C81</f>
        <v>56512963</v>
      </c>
      <c r="D64" s="24">
        <f>D65+D75+D80+D81</f>
        <v>113958327</v>
      </c>
      <c r="E64" s="24">
        <v>215426152.25</v>
      </c>
      <c r="F64" s="24" t="e">
        <f>F65+F75+F80+F81</f>
        <v>#REF!</v>
      </c>
      <c r="G64" s="24" t="e">
        <f>G65+G75+G80+G81</f>
        <v>#REF!</v>
      </c>
      <c r="H64" s="24"/>
      <c r="I64" s="88">
        <f>I65+I66+I71+I78+I79</f>
        <v>1937108386</v>
      </c>
      <c r="J64" s="88">
        <f>J65+J66+J71+J78+J79</f>
        <v>1721778672</v>
      </c>
      <c r="Q64" s="5">
        <v>13500000</v>
      </c>
    </row>
    <row r="65" spans="1:17" ht="12.75" customHeight="1">
      <c r="A65" s="14">
        <v>1</v>
      </c>
      <c r="B65" s="32" t="s">
        <v>13</v>
      </c>
      <c r="C65" s="24">
        <f>C66+C67+C68+C69+C73+C74</f>
        <v>39609170</v>
      </c>
      <c r="D65" s="24">
        <f>D66+D67+D68+D69+D73+D74</f>
        <v>79162316</v>
      </c>
      <c r="E65" s="24">
        <v>158062086.75</v>
      </c>
      <c r="F65" s="24" t="e">
        <f>F66+F67+F68+F69+F73+F74</f>
        <v>#REF!</v>
      </c>
      <c r="G65" s="24" t="e">
        <f>G66+G67+G68+G69+G73+G74</f>
        <v>#REF!</v>
      </c>
      <c r="H65" s="24">
        <v>551552</v>
      </c>
      <c r="I65" s="24"/>
      <c r="J65" s="24"/>
      <c r="Q65" s="5">
        <f>Q63-Q64</f>
        <v>4336620.437956203</v>
      </c>
    </row>
    <row r="66" spans="1:10" s="92" customFormat="1" ht="12.75" customHeight="1">
      <c r="A66" s="14">
        <v>2</v>
      </c>
      <c r="B66" s="32" t="s">
        <v>54</v>
      </c>
      <c r="C66" s="88">
        <v>100000</v>
      </c>
      <c r="D66" s="88">
        <v>100000</v>
      </c>
      <c r="E66" s="88">
        <v>72120000</v>
      </c>
      <c r="F66" s="88">
        <v>72120000</v>
      </c>
      <c r="G66" s="88">
        <v>72120000</v>
      </c>
      <c r="H66" s="88"/>
      <c r="I66" s="10">
        <f>I67+I68+I69</f>
        <v>22091489</v>
      </c>
      <c r="J66" s="10">
        <f>J67+J68+J69</f>
        <v>826217</v>
      </c>
    </row>
    <row r="67" spans="1:13" ht="12.75" customHeight="1">
      <c r="A67" s="22" t="s">
        <v>12</v>
      </c>
      <c r="B67" s="23" t="s">
        <v>55</v>
      </c>
      <c r="C67" s="24">
        <v>0</v>
      </c>
      <c r="D67" s="24">
        <v>0</v>
      </c>
      <c r="E67" s="24">
        <v>47205564.25</v>
      </c>
      <c r="F67" s="24">
        <v>47205564</v>
      </c>
      <c r="G67" s="24">
        <v>47205564</v>
      </c>
      <c r="H67" s="24">
        <v>519542544461</v>
      </c>
      <c r="I67" s="29"/>
      <c r="J67" s="29"/>
      <c r="M67" s="5" t="s">
        <v>216</v>
      </c>
    </row>
    <row r="68" spans="1:10" ht="12.75" customHeight="1">
      <c r="A68" s="22" t="s">
        <v>14</v>
      </c>
      <c r="B68" s="23" t="s">
        <v>56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468</v>
      </c>
      <c r="I68" s="91">
        <v>826217</v>
      </c>
      <c r="J68" s="91">
        <v>826217</v>
      </c>
    </row>
    <row r="69" spans="1:10" ht="12.75" customHeight="1">
      <c r="A69" s="22" t="s">
        <v>19</v>
      </c>
      <c r="B69" s="23" t="s">
        <v>257</v>
      </c>
      <c r="C69" s="24">
        <f>SUM(C70:C72)</f>
        <v>0</v>
      </c>
      <c r="D69" s="24">
        <f>SUM(D70:D72)</f>
        <v>0</v>
      </c>
      <c r="E69" s="24">
        <v>7042316</v>
      </c>
      <c r="F69" s="24">
        <f>SUM(F70:F72)</f>
        <v>7042316</v>
      </c>
      <c r="G69" s="24">
        <f>SUM(G70:G72)</f>
        <v>46364118</v>
      </c>
      <c r="H69" s="24"/>
      <c r="I69" s="24">
        <f>108360105-82088095-110959-4218563-158386-105000-42320-89280-32000-48000-105000-97230</f>
        <v>21265272</v>
      </c>
      <c r="J69" s="24"/>
    </row>
    <row r="70" spans="1:10" ht="12.75" customHeight="1">
      <c r="A70" s="22"/>
      <c r="B70" s="32" t="s">
        <v>16</v>
      </c>
      <c r="C70" s="24">
        <v>0</v>
      </c>
      <c r="D70" s="24">
        <v>0</v>
      </c>
      <c r="E70" s="24">
        <v>100000</v>
      </c>
      <c r="F70" s="24">
        <v>100000</v>
      </c>
      <c r="G70" s="24">
        <f>100000+7112000</f>
        <v>7212000</v>
      </c>
      <c r="H70" s="24"/>
      <c r="I70" s="10">
        <f>I69+I68+I67</f>
        <v>22091489</v>
      </c>
      <c r="J70" s="10">
        <f>J69+J68+J67</f>
        <v>826217</v>
      </c>
    </row>
    <row r="71" spans="1:10" ht="12.75" customHeight="1">
      <c r="A71" s="14">
        <v>3</v>
      </c>
      <c r="B71" s="32" t="s">
        <v>57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/>
      <c r="I71" s="10">
        <f>I72+I73+I74+I75+I76</f>
        <v>1915016897</v>
      </c>
      <c r="J71" s="10">
        <f>J72+J73+J74+J75+J76</f>
        <v>1720952455</v>
      </c>
    </row>
    <row r="72" spans="1:13" ht="12.75" customHeight="1">
      <c r="A72" s="22" t="s">
        <v>12</v>
      </c>
      <c r="B72" s="25" t="s">
        <v>58</v>
      </c>
      <c r="C72" s="24">
        <v>0</v>
      </c>
      <c r="D72" s="24">
        <v>0</v>
      </c>
      <c r="E72" s="24">
        <v>6942316</v>
      </c>
      <c r="F72" s="24">
        <v>6942316</v>
      </c>
      <c r="G72" s="24">
        <v>39152118</v>
      </c>
      <c r="H72" s="24">
        <v>401403404</v>
      </c>
      <c r="I72" s="29">
        <v>508779143</v>
      </c>
      <c r="J72" s="29">
        <f>403505596-93500</f>
        <v>403412096</v>
      </c>
      <c r="K72" s="16">
        <f>I72-J72</f>
        <v>105367047</v>
      </c>
      <c r="L72" s="5">
        <v>403505596</v>
      </c>
      <c r="M72" s="16">
        <f>L72-I72</f>
        <v>-105273547</v>
      </c>
    </row>
    <row r="73" spans="1:11" ht="12.75" customHeight="1">
      <c r="A73" s="22" t="s">
        <v>14</v>
      </c>
      <c r="B73" s="25" t="s">
        <v>59</v>
      </c>
      <c r="C73" s="24">
        <v>8149519</v>
      </c>
      <c r="D73" s="24">
        <v>39509170</v>
      </c>
      <c r="E73" s="24">
        <v>0</v>
      </c>
      <c r="F73" s="24">
        <v>25017223</v>
      </c>
      <c r="G73" s="24">
        <v>0</v>
      </c>
      <c r="H73" s="24">
        <v>421423</v>
      </c>
      <c r="I73" s="29">
        <f>2709412-2591810</f>
        <v>117602</v>
      </c>
      <c r="J73" s="29">
        <f>1211950</f>
        <v>1211950</v>
      </c>
      <c r="K73" s="16">
        <f>I73-J73</f>
        <v>-1094348</v>
      </c>
    </row>
    <row r="74" spans="1:11" ht="12.75" customHeight="1">
      <c r="A74" s="22" t="s">
        <v>19</v>
      </c>
      <c r="B74" s="25" t="s">
        <v>60</v>
      </c>
      <c r="C74" s="24">
        <v>31359651</v>
      </c>
      <c r="D74" s="24">
        <v>39553146</v>
      </c>
      <c r="E74" s="24">
        <v>31694206.5</v>
      </c>
      <c r="F74" s="24" t="e">
        <f>'Te ardhura e shpenzime'!#REF!</f>
        <v>#REF!</v>
      </c>
      <c r="G74" s="24" t="e">
        <f>'Te ardhura e shpenzime'!#REF!</f>
        <v>#REF!</v>
      </c>
      <c r="H74" s="24" t="s">
        <v>217</v>
      </c>
      <c r="I74" s="29">
        <f>48932+88588</f>
        <v>137520</v>
      </c>
      <c r="J74" s="29">
        <f>83333+47749+186962-5688940+3020695+'Te ardhura e shpenzime'!J29</f>
        <v>1141910</v>
      </c>
      <c r="K74" s="16">
        <f>I74-J74</f>
        <v>-1004390</v>
      </c>
    </row>
    <row r="75" spans="1:12" ht="12.75" customHeight="1">
      <c r="A75" s="22" t="s">
        <v>20</v>
      </c>
      <c r="B75" s="25" t="s">
        <v>4</v>
      </c>
      <c r="C75" s="24">
        <f>SUM(C76:C79)</f>
        <v>0</v>
      </c>
      <c r="D75" s="24">
        <f>SUM(D76:D79)</f>
        <v>0</v>
      </c>
      <c r="E75" s="24">
        <v>0</v>
      </c>
      <c r="F75" s="24">
        <f>SUM(F76:F79)</f>
        <v>0</v>
      </c>
      <c r="G75" s="24">
        <f>SUM(G76:G79)</f>
        <v>0</v>
      </c>
      <c r="H75" s="24" t="s">
        <v>218</v>
      </c>
      <c r="I75" s="24">
        <v>0</v>
      </c>
      <c r="J75" s="24">
        <v>0</v>
      </c>
      <c r="L75" s="5">
        <v>29530000</v>
      </c>
    </row>
    <row r="76" spans="1:15" ht="12.75" customHeight="1">
      <c r="A76" s="22" t="s">
        <v>23</v>
      </c>
      <c r="B76" s="25" t="s">
        <v>61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409</v>
      </c>
      <c r="I76" s="29">
        <f>1405982632</f>
        <v>1405982632</v>
      </c>
      <c r="J76" s="29">
        <f>1361102986-43212845-2471400-232242</f>
        <v>1315186499</v>
      </c>
      <c r="K76" s="16">
        <f>I76-J76</f>
        <v>90796133</v>
      </c>
      <c r="M76" s="5">
        <v>1361102986</v>
      </c>
      <c r="N76" s="16">
        <f>I76-M76</f>
        <v>44879646</v>
      </c>
      <c r="O76" s="16"/>
    </row>
    <row r="77" spans="1:12" ht="12.75" customHeight="1">
      <c r="A77" s="22"/>
      <c r="B77" s="32" t="s">
        <v>21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/>
      <c r="I77" s="10">
        <f>I76+I75+I74+I73+I72</f>
        <v>1915016897</v>
      </c>
      <c r="J77" s="10">
        <f>J76+J75+J74+J73+J72</f>
        <v>1720952455</v>
      </c>
      <c r="L77" s="140"/>
    </row>
    <row r="78" spans="1:12" ht="12.75" customHeight="1">
      <c r="A78" s="14">
        <v>4</v>
      </c>
      <c r="B78" s="32" t="s">
        <v>62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466484488</v>
      </c>
      <c r="I78" s="29"/>
      <c r="J78" s="29"/>
      <c r="L78" s="140"/>
    </row>
    <row r="79" spans="1:10" ht="12.75" customHeight="1">
      <c r="A79" s="14">
        <v>5</v>
      </c>
      <c r="B79" s="32" t="s">
        <v>63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463</v>
      </c>
      <c r="I79" s="29"/>
      <c r="J79" s="29"/>
    </row>
    <row r="80" spans="1:10" ht="12.75" customHeight="1">
      <c r="A80" s="22"/>
      <c r="B80" s="32" t="s">
        <v>64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/>
      <c r="I80" s="10">
        <f>I79+I78+I77+I70+I65</f>
        <v>1937108386</v>
      </c>
      <c r="J80" s="10">
        <f>J79+J78+J77+J70+J65</f>
        <v>1721778672</v>
      </c>
    </row>
    <row r="81" spans="1:10" ht="12.75" customHeight="1">
      <c r="A81" s="22"/>
      <c r="B81" s="25"/>
      <c r="C81" s="24">
        <f>SUM(C82:C83)</f>
        <v>16903793</v>
      </c>
      <c r="D81" s="24">
        <f>SUM(D82:D83)</f>
        <v>34796011</v>
      </c>
      <c r="E81" s="24">
        <v>57364065.5</v>
      </c>
      <c r="F81" s="24">
        <f>SUM(F82:F83)</f>
        <v>64041050</v>
      </c>
      <c r="G81" s="24">
        <f>SUM(G82:G83)</f>
        <v>64041050</v>
      </c>
      <c r="H81" s="24"/>
      <c r="I81" s="24"/>
      <c r="J81" s="24"/>
    </row>
    <row r="82" spans="1:10" ht="12.75" customHeight="1">
      <c r="A82" s="14" t="s">
        <v>1</v>
      </c>
      <c r="B82" s="32" t="s">
        <v>65</v>
      </c>
      <c r="C82" s="24">
        <v>16903793</v>
      </c>
      <c r="D82" s="24">
        <v>34796011</v>
      </c>
      <c r="E82" s="24">
        <v>57364065.5</v>
      </c>
      <c r="F82" s="24">
        <v>64041050</v>
      </c>
      <c r="G82" s="24">
        <v>64041050</v>
      </c>
      <c r="H82" s="24"/>
      <c r="I82" s="29">
        <f>I83+I87+I88+I89</f>
        <v>98880483</v>
      </c>
      <c r="J82" s="29">
        <f>J83+J87+J88+J89</f>
        <v>133751116</v>
      </c>
    </row>
    <row r="83" spans="1:10" ht="12.75" customHeight="1">
      <c r="A83" s="14">
        <v>1</v>
      </c>
      <c r="B83" s="32" t="s">
        <v>66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468460</v>
      </c>
      <c r="I83" s="29">
        <f>I84+I85</f>
        <v>98880483</v>
      </c>
      <c r="J83" s="29">
        <f>J84+J85</f>
        <v>133751116</v>
      </c>
    </row>
    <row r="84" spans="1:13" ht="12.75" customHeight="1">
      <c r="A84" s="22" t="s">
        <v>12</v>
      </c>
      <c r="B84" s="23" t="s">
        <v>231</v>
      </c>
      <c r="C84" s="24">
        <f>C85+C93</f>
        <v>220721029</v>
      </c>
      <c r="D84" s="24">
        <f>D85+D93</f>
        <v>288597263</v>
      </c>
      <c r="E84" s="24">
        <v>249631124</v>
      </c>
      <c r="F84" s="24">
        <f>F85+F93</f>
        <v>288008954</v>
      </c>
      <c r="G84" s="24">
        <f>G85+G93</f>
        <v>293613970</v>
      </c>
      <c r="H84" s="24"/>
      <c r="I84" s="24">
        <f>98880483</f>
        <v>98880483</v>
      </c>
      <c r="J84" s="24">
        <f>114087980+19663136</f>
        <v>133751116</v>
      </c>
      <c r="K84" s="16">
        <f>J84-I84</f>
        <v>34870633</v>
      </c>
      <c r="L84" s="140">
        <f>I84/138.7</f>
        <v>712909.0338860851</v>
      </c>
      <c r="M84" s="140">
        <f>J84/137</f>
        <v>976285.5182481752</v>
      </c>
    </row>
    <row r="85" spans="1:13" ht="12.75" customHeight="1">
      <c r="A85" s="22" t="s">
        <v>14</v>
      </c>
      <c r="B85" s="23" t="s">
        <v>67</v>
      </c>
      <c r="C85" s="24">
        <f>SUM(C86:C92)</f>
        <v>84481379</v>
      </c>
      <c r="D85" s="24">
        <f>SUM(D86:D92)</f>
        <v>145032122</v>
      </c>
      <c r="E85" s="24">
        <v>204986429</v>
      </c>
      <c r="F85" s="24">
        <f>SUM(F86:F92)</f>
        <v>218896549</v>
      </c>
      <c r="G85" s="24">
        <f>SUM(G86:G92)</f>
        <v>130802045</v>
      </c>
      <c r="H85" s="24"/>
      <c r="I85" s="24"/>
      <c r="J85" s="24"/>
      <c r="M85" s="140">
        <f>M84-L84</f>
        <v>263376.48436209</v>
      </c>
    </row>
    <row r="86" spans="1:10" ht="12.75" customHeight="1">
      <c r="A86" s="22"/>
      <c r="B86" s="32" t="s">
        <v>38</v>
      </c>
      <c r="C86" s="24">
        <v>27813645</v>
      </c>
      <c r="D86" s="24">
        <v>30215728</v>
      </c>
      <c r="E86" s="24">
        <v>51320728</v>
      </c>
      <c r="F86" s="24">
        <f>34925000+20490000</f>
        <v>55415000</v>
      </c>
      <c r="G86" s="24">
        <v>26184347</v>
      </c>
      <c r="H86" s="24"/>
      <c r="I86" s="10">
        <f>I85+I84</f>
        <v>98880483</v>
      </c>
      <c r="J86" s="10">
        <f>J85+J84</f>
        <v>133751116</v>
      </c>
    </row>
    <row r="87" spans="1:10" ht="12.75" customHeight="1">
      <c r="A87" s="14">
        <v>2</v>
      </c>
      <c r="B87" s="32" t="s">
        <v>68</v>
      </c>
      <c r="C87" s="24">
        <v>56667734</v>
      </c>
      <c r="D87" s="24">
        <v>114816394</v>
      </c>
      <c r="E87" s="24">
        <v>75318498</v>
      </c>
      <c r="F87" s="24">
        <f>6481212+70848337</f>
        <v>77329549</v>
      </c>
      <c r="G87" s="24">
        <f>56620069+26475469</f>
        <v>83095538</v>
      </c>
      <c r="H87" s="24" t="s">
        <v>219</v>
      </c>
      <c r="I87" s="29"/>
      <c r="J87" s="29"/>
    </row>
    <row r="88" spans="1:10" ht="12.75" customHeight="1">
      <c r="A88" s="14">
        <v>3</v>
      </c>
      <c r="B88" s="32" t="s">
        <v>69</v>
      </c>
      <c r="C88" s="24">
        <v>0</v>
      </c>
      <c r="D88" s="24">
        <v>0</v>
      </c>
      <c r="E88" s="24">
        <v>0</v>
      </c>
      <c r="F88" s="24">
        <v>13700000</v>
      </c>
      <c r="G88" s="24">
        <v>0</v>
      </c>
      <c r="H88" s="24">
        <v>463</v>
      </c>
      <c r="I88" s="29"/>
      <c r="J88" s="29"/>
    </row>
    <row r="89" spans="1:10" ht="12.75" customHeight="1">
      <c r="A89" s="14">
        <v>4</v>
      </c>
      <c r="B89" s="32" t="s">
        <v>62</v>
      </c>
      <c r="C89" s="24">
        <v>0</v>
      </c>
      <c r="D89" s="24">
        <v>0</v>
      </c>
      <c r="E89" s="24">
        <v>15801738</v>
      </c>
      <c r="F89" s="24">
        <f>33452000</f>
        <v>33452000</v>
      </c>
      <c r="G89" s="24">
        <f>11522160</f>
        <v>11522160</v>
      </c>
      <c r="H89" s="24">
        <v>466</v>
      </c>
      <c r="I89" s="29"/>
      <c r="J89" s="29"/>
    </row>
    <row r="90" spans="1:10" ht="12.75" customHeight="1">
      <c r="A90" s="22"/>
      <c r="B90" s="32" t="s">
        <v>70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/>
      <c r="I90" s="29">
        <f>I89+I88+I87+I86</f>
        <v>98880483</v>
      </c>
      <c r="J90" s="29">
        <f>J89+J88+J87+J86</f>
        <v>133751116</v>
      </c>
    </row>
    <row r="91" spans="1:12" ht="12.75" customHeight="1">
      <c r="A91" s="22"/>
      <c r="B91" s="32" t="s">
        <v>71</v>
      </c>
      <c r="C91" s="24">
        <v>0</v>
      </c>
      <c r="D91" s="24">
        <v>0</v>
      </c>
      <c r="E91" s="24">
        <v>45505465</v>
      </c>
      <c r="F91" s="24">
        <f>54228159+14409416+1954059-31591634</f>
        <v>39000000</v>
      </c>
      <c r="G91" s="24">
        <f>10000000</f>
        <v>10000000</v>
      </c>
      <c r="H91" s="24"/>
      <c r="I91" s="10">
        <f>I90+I80</f>
        <v>2035988869</v>
      </c>
      <c r="J91" s="10">
        <f>J90+J80</f>
        <v>1855529788</v>
      </c>
      <c r="L91" s="16"/>
    </row>
    <row r="92" spans="1:10" ht="12.75" customHeight="1">
      <c r="A92" s="22"/>
      <c r="B92" s="23"/>
      <c r="C92" s="24">
        <v>0</v>
      </c>
      <c r="D92" s="24">
        <v>0</v>
      </c>
      <c r="E92" s="24">
        <v>17040000</v>
      </c>
      <c r="F92" s="24">
        <v>0</v>
      </c>
      <c r="G92" s="24">
        <v>0</v>
      </c>
      <c r="H92" s="24"/>
      <c r="I92" s="29"/>
      <c r="J92" s="29"/>
    </row>
    <row r="93" spans="1:10" ht="12.75" customHeight="1">
      <c r="A93" s="14" t="s">
        <v>2</v>
      </c>
      <c r="B93" s="32" t="s">
        <v>72</v>
      </c>
      <c r="C93" s="24">
        <f>SUM(C94:C102)</f>
        <v>136239650</v>
      </c>
      <c r="D93" s="24">
        <f>SUM(D94:D102)</f>
        <v>143565141</v>
      </c>
      <c r="E93" s="24">
        <v>44644695</v>
      </c>
      <c r="F93" s="24">
        <f>SUM(F94:F102)</f>
        <v>69112405</v>
      </c>
      <c r="G93" s="24">
        <f>SUM(G94:G102)</f>
        <v>162811925</v>
      </c>
      <c r="H93" s="24"/>
      <c r="I93" s="88">
        <f>I94+I95+I96+I97+I98+I99+I100+I101+I102+I103</f>
        <v>153320510.2</v>
      </c>
      <c r="J93" s="88">
        <f>J94+J95+J96+J97+J98+J99+J100+J101+J102+J103</f>
        <v>148798286</v>
      </c>
    </row>
    <row r="94" spans="1:10" ht="27" customHeight="1">
      <c r="A94" s="14">
        <v>1</v>
      </c>
      <c r="B94" s="34" t="s">
        <v>73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/>
      <c r="I94" s="29"/>
      <c r="J94" s="29"/>
    </row>
    <row r="95" spans="1:10" ht="28.5" customHeight="1">
      <c r="A95" s="14">
        <v>2</v>
      </c>
      <c r="B95" s="33" t="s">
        <v>74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/>
      <c r="I95" s="29"/>
      <c r="J95" s="29"/>
    </row>
    <row r="96" spans="1:10" ht="12.75" customHeight="1">
      <c r="A96" s="14">
        <v>3</v>
      </c>
      <c r="B96" s="23" t="s">
        <v>75</v>
      </c>
      <c r="C96" s="24">
        <v>0</v>
      </c>
      <c r="D96" s="24">
        <v>0</v>
      </c>
      <c r="E96" s="24">
        <v>0</v>
      </c>
      <c r="F96" s="24">
        <v>0</v>
      </c>
      <c r="G96" s="24">
        <f>25502780+4928194</f>
        <v>30430974</v>
      </c>
      <c r="H96" s="24">
        <v>101102</v>
      </c>
      <c r="I96" s="29">
        <v>100000</v>
      </c>
      <c r="J96" s="29">
        <v>100000</v>
      </c>
    </row>
    <row r="97" spans="1:13" ht="12.75" customHeight="1">
      <c r="A97" s="14">
        <v>4</v>
      </c>
      <c r="B97" s="23" t="s">
        <v>76</v>
      </c>
      <c r="C97" s="24">
        <v>58100520</v>
      </c>
      <c r="D97" s="24">
        <v>29447042</v>
      </c>
      <c r="E97" s="24">
        <v>29596919</v>
      </c>
      <c r="F97" s="24">
        <f>62887782-3249540-21630746</f>
        <v>38007496</v>
      </c>
      <c r="G97" s="24">
        <f>90217943+25640002</f>
        <v>115857945</v>
      </c>
      <c r="H97" s="24">
        <v>104105</v>
      </c>
      <c r="I97" s="29"/>
      <c r="J97" s="29"/>
      <c r="M97" s="5">
        <v>1900</v>
      </c>
    </row>
    <row r="98" spans="1:13" ht="12.75" customHeight="1">
      <c r="A98" s="14">
        <v>5</v>
      </c>
      <c r="B98" s="23" t="s">
        <v>77</v>
      </c>
      <c r="C98" s="24">
        <v>275448</v>
      </c>
      <c r="D98" s="24">
        <v>604436</v>
      </c>
      <c r="E98" s="24">
        <v>1201616</v>
      </c>
      <c r="F98" s="24">
        <f>1243183+12000</f>
        <v>1255183</v>
      </c>
      <c r="G98" s="24">
        <f>2341575+12000</f>
        <v>2353575</v>
      </c>
      <c r="H98" s="24">
        <v>103</v>
      </c>
      <c r="I98" s="29"/>
      <c r="J98" s="29"/>
      <c r="M98" s="5">
        <v>1000</v>
      </c>
    </row>
    <row r="99" spans="1:13" ht="12.75" customHeight="1">
      <c r="A99" s="14">
        <v>6</v>
      </c>
      <c r="B99" s="23" t="s">
        <v>78</v>
      </c>
      <c r="C99" s="24">
        <v>372404</v>
      </c>
      <c r="D99" s="24">
        <v>1338666</v>
      </c>
      <c r="E99" s="24">
        <v>3050222</v>
      </c>
      <c r="F99" s="24">
        <v>2761080</v>
      </c>
      <c r="G99" s="24">
        <v>1981890</v>
      </c>
      <c r="H99" s="24">
        <v>107</v>
      </c>
      <c r="I99" s="29">
        <v>0</v>
      </c>
      <c r="J99" s="29"/>
      <c r="M99" s="5">
        <v>420</v>
      </c>
    </row>
    <row r="100" spans="1:10" ht="12.75" customHeight="1">
      <c r="A100" s="14">
        <v>7</v>
      </c>
      <c r="B100" s="23" t="s">
        <v>79</v>
      </c>
      <c r="C100" s="24">
        <v>207948</v>
      </c>
      <c r="D100" s="24">
        <v>400965</v>
      </c>
      <c r="E100" s="24">
        <v>5487669</v>
      </c>
      <c r="F100" s="24">
        <f>247869+2311200+6085558+80000</f>
        <v>8724627</v>
      </c>
      <c r="G100" s="24">
        <f>407094+2914156+80000+2646755-55000</f>
        <v>5993005</v>
      </c>
      <c r="H100" s="24">
        <v>107</v>
      </c>
      <c r="I100" s="29">
        <v>0</v>
      </c>
      <c r="J100" s="29"/>
    </row>
    <row r="101" spans="1:10" ht="12.75" customHeight="1">
      <c r="A101" s="14">
        <v>8</v>
      </c>
      <c r="B101" s="23" t="s">
        <v>80</v>
      </c>
      <c r="C101" s="24">
        <v>43362116</v>
      </c>
      <c r="D101" s="24">
        <v>76990330</v>
      </c>
      <c r="E101" s="24">
        <v>0</v>
      </c>
      <c r="F101" s="24">
        <f>48346168+3249540-18390838-20412993</f>
        <v>12791877</v>
      </c>
      <c r="G101" s="24">
        <v>0</v>
      </c>
      <c r="H101" s="24">
        <v>106</v>
      </c>
      <c r="I101" s="29">
        <v>148698286</v>
      </c>
      <c r="J101" s="29">
        <v>0</v>
      </c>
    </row>
    <row r="102" spans="1:10" ht="12.75" customHeight="1">
      <c r="A102" s="14">
        <v>9</v>
      </c>
      <c r="B102" s="23" t="s">
        <v>81</v>
      </c>
      <c r="C102" s="24">
        <v>33921214</v>
      </c>
      <c r="D102" s="24">
        <v>34783702</v>
      </c>
      <c r="E102" s="24">
        <v>5308269</v>
      </c>
      <c r="F102" s="24">
        <f>58800+1513342+4000000</f>
        <v>5572142</v>
      </c>
      <c r="G102" s="24">
        <f>6135736+58800</f>
        <v>6194536</v>
      </c>
      <c r="H102" s="24">
        <v>108</v>
      </c>
      <c r="I102" s="29">
        <v>0</v>
      </c>
      <c r="J102" s="29">
        <v>122107523</v>
      </c>
    </row>
    <row r="103" spans="1:10" ht="12.75" customHeight="1">
      <c r="A103" s="14">
        <v>10</v>
      </c>
      <c r="B103" s="23" t="s">
        <v>82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109</v>
      </c>
      <c r="I103" s="106">
        <f>'Te ardhura e shpenzime'!I30</f>
        <v>4522224.2</v>
      </c>
      <c r="J103" s="29">
        <v>26590763</v>
      </c>
    </row>
    <row r="104" spans="1:10" ht="12.75" customHeight="1">
      <c r="A104" s="22"/>
      <c r="B104" s="32" t="s">
        <v>83</v>
      </c>
      <c r="C104" s="24">
        <f>C105</f>
        <v>0</v>
      </c>
      <c r="D104" s="24">
        <f>D105</f>
        <v>0</v>
      </c>
      <c r="E104" s="24">
        <v>0</v>
      </c>
      <c r="F104" s="24">
        <f>F105</f>
        <v>0</v>
      </c>
      <c r="G104" s="24">
        <v>0</v>
      </c>
      <c r="H104" s="24"/>
      <c r="I104" s="10">
        <f>I103+I102+I101+I100+I99+I98+I97+I96+I95+I94</f>
        <v>153320510.2</v>
      </c>
      <c r="J104" s="10">
        <f>J103+J102+J101+J100+J99+J98+J97+J96+J95+J94</f>
        <v>148798286</v>
      </c>
    </row>
    <row r="105" spans="1:10" ht="12.75" customHeight="1" thickBot="1">
      <c r="A105" s="22"/>
      <c r="B105" s="23"/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99"/>
      <c r="J105" s="99"/>
    </row>
    <row r="106" spans="1:10" ht="12.75" customHeight="1" thickBot="1">
      <c r="A106" s="22"/>
      <c r="B106" s="32" t="s">
        <v>84</v>
      </c>
      <c r="C106" s="24"/>
      <c r="D106" s="24"/>
      <c r="E106" s="23"/>
      <c r="F106" s="23"/>
      <c r="G106" s="24"/>
      <c r="H106" s="98"/>
      <c r="I106" s="101">
        <f>I104+I82+I80</f>
        <v>2189309379.2</v>
      </c>
      <c r="J106" s="101">
        <f>J104+J82+J80</f>
        <v>2004328074</v>
      </c>
    </row>
    <row r="107" spans="1:10" ht="12.75" customHeight="1">
      <c r="A107" s="22"/>
      <c r="B107" s="23"/>
      <c r="C107" s="24"/>
      <c r="D107" s="24"/>
      <c r="E107" s="23"/>
      <c r="F107" s="23"/>
      <c r="G107" s="24"/>
      <c r="H107" s="24"/>
      <c r="I107" s="100"/>
      <c r="J107" s="29"/>
    </row>
    <row r="108" spans="6:9" ht="12.75" customHeight="1">
      <c r="F108" s="15"/>
      <c r="G108" s="15"/>
      <c r="H108" s="15"/>
      <c r="I108" s="16"/>
    </row>
    <row r="109" spans="6:8" ht="12.75" customHeight="1">
      <c r="F109" s="15"/>
      <c r="G109" s="4"/>
      <c r="H109" s="4"/>
    </row>
    <row r="110" spans="6:10" ht="12.75" customHeight="1">
      <c r="F110" s="15"/>
      <c r="G110" s="15"/>
      <c r="H110" s="15"/>
      <c r="I110" s="16" t="e">
        <f>I106-I51</f>
        <v>#REF!</v>
      </c>
      <c r="J110" s="16">
        <f>J106-J51</f>
        <v>0</v>
      </c>
    </row>
    <row r="111" spans="6:8" ht="12.75" customHeight="1">
      <c r="F111" s="15"/>
      <c r="G111" s="15"/>
      <c r="H111" s="15"/>
    </row>
    <row r="112" spans="3:8" ht="12.75" customHeight="1">
      <c r="C112" s="18"/>
      <c r="D112" s="18"/>
      <c r="F112" s="15"/>
      <c r="G112" s="15"/>
      <c r="H112" s="15"/>
    </row>
    <row r="113" spans="6:8" ht="12.75" customHeight="1">
      <c r="F113" s="15"/>
      <c r="G113" s="15"/>
      <c r="H113" s="15"/>
    </row>
    <row r="114" spans="6:8" ht="12.75" customHeight="1">
      <c r="F114" s="15"/>
      <c r="G114" s="4"/>
      <c r="H114" s="4"/>
    </row>
    <row r="115" spans="3:8" ht="12.75" customHeight="1">
      <c r="C115" s="18"/>
      <c r="F115" s="15"/>
      <c r="G115" s="15"/>
      <c r="H115" s="15"/>
    </row>
    <row r="116" spans="3:8" ht="12.75" customHeight="1">
      <c r="C116" s="19"/>
      <c r="F116" s="15"/>
      <c r="G116" s="15"/>
      <c r="H116" s="15"/>
    </row>
    <row r="117" spans="3:8" ht="12.75" customHeight="1">
      <c r="C117" s="18"/>
      <c r="F117" s="15"/>
      <c r="G117" s="15"/>
      <c r="H117" s="15"/>
    </row>
    <row r="118" spans="3:8" ht="12.75" customHeight="1">
      <c r="C118" s="18"/>
      <c r="F118" s="15"/>
      <c r="G118" s="15"/>
      <c r="H118" s="15"/>
    </row>
    <row r="119" spans="3:8" ht="12.75" customHeight="1">
      <c r="C119" s="18"/>
      <c r="F119" s="15"/>
      <c r="G119" s="15"/>
      <c r="H119" s="15"/>
    </row>
    <row r="120" spans="3:8" ht="12.75" customHeight="1">
      <c r="C120" s="18"/>
      <c r="F120" s="15"/>
      <c r="G120" s="15"/>
      <c r="H120" s="15"/>
    </row>
    <row r="121" spans="3:8" ht="12.75" customHeight="1">
      <c r="C121" s="18"/>
      <c r="F121" s="15"/>
      <c r="G121" s="15"/>
      <c r="H121" s="15"/>
    </row>
    <row r="122" spans="3:8" ht="12.75" customHeight="1">
      <c r="C122" s="18"/>
      <c r="F122" s="15"/>
      <c r="G122" s="15"/>
      <c r="H122" s="15"/>
    </row>
    <row r="123" spans="3:8" ht="12.75" customHeight="1">
      <c r="C123" s="18"/>
      <c r="F123" s="15"/>
      <c r="G123" s="15"/>
      <c r="H123" s="15"/>
    </row>
    <row r="124" spans="3:8" ht="11.25">
      <c r="C124" s="18"/>
      <c r="F124" s="15"/>
      <c r="G124" s="15"/>
      <c r="H124" s="15"/>
    </row>
    <row r="125" spans="3:8" ht="11.25">
      <c r="C125" s="18"/>
      <c r="F125" s="15"/>
      <c r="G125" s="15"/>
      <c r="H125" s="15"/>
    </row>
    <row r="126" spans="3:8" ht="11.25">
      <c r="C126" s="18"/>
      <c r="F126" s="15"/>
      <c r="G126" s="15"/>
      <c r="H126" s="15"/>
    </row>
    <row r="127" spans="3:8" ht="11.25">
      <c r="C127" s="18"/>
      <c r="F127" s="15"/>
      <c r="G127" s="15"/>
      <c r="H127" s="15"/>
    </row>
    <row r="128" spans="3:8" ht="11.25">
      <c r="C128" s="18"/>
      <c r="F128" s="15"/>
      <c r="G128" s="15"/>
      <c r="H128" s="15"/>
    </row>
    <row r="129" spans="3:8" ht="11.25">
      <c r="C129" s="18"/>
      <c r="F129" s="15"/>
      <c r="G129" s="15"/>
      <c r="H129" s="15"/>
    </row>
    <row r="130" spans="3:8" ht="11.25">
      <c r="C130" s="18"/>
      <c r="F130" s="15"/>
      <c r="G130" s="15"/>
      <c r="H130" s="15"/>
    </row>
    <row r="131" spans="3:8" ht="11.25">
      <c r="C131" s="18"/>
      <c r="F131" s="15"/>
      <c r="G131" s="15"/>
      <c r="H131" s="15"/>
    </row>
    <row r="132" spans="3:8" ht="11.25">
      <c r="C132" s="18"/>
      <c r="F132" s="15"/>
      <c r="G132" s="15"/>
      <c r="H132" s="15"/>
    </row>
    <row r="133" spans="3:8" ht="11.25">
      <c r="C133" s="18"/>
      <c r="F133" s="15"/>
      <c r="G133" s="15"/>
      <c r="H133" s="15"/>
    </row>
    <row r="134" spans="3:8" ht="11.25">
      <c r="C134" s="18"/>
      <c r="F134" s="15"/>
      <c r="G134" s="15"/>
      <c r="H134" s="15"/>
    </row>
    <row r="135" spans="3:8" ht="11.25">
      <c r="C135" s="20"/>
      <c r="F135" s="15"/>
      <c r="G135" s="15"/>
      <c r="H135" s="15"/>
    </row>
    <row r="136" spans="3:8" ht="11.25">
      <c r="C136" s="18"/>
      <c r="F136" s="15"/>
      <c r="G136" s="15"/>
      <c r="H136" s="15"/>
    </row>
    <row r="137" spans="3:8" ht="11.25">
      <c r="C137" s="18"/>
      <c r="F137" s="15"/>
      <c r="G137" s="15"/>
      <c r="H137" s="15"/>
    </row>
    <row r="138" spans="6:8" ht="11.25">
      <c r="F138" s="15"/>
      <c r="G138" s="15"/>
      <c r="H138" s="15"/>
    </row>
    <row r="139" spans="6:8" ht="11.25">
      <c r="F139" s="15"/>
      <c r="G139" s="15"/>
      <c r="H139" s="15"/>
    </row>
    <row r="140" spans="6:8" ht="11.25">
      <c r="F140" s="15"/>
      <c r="G140" s="15"/>
      <c r="H140" s="15"/>
    </row>
    <row r="141" spans="6:8" ht="11.25">
      <c r="F141" s="15"/>
      <c r="G141" s="15"/>
      <c r="H141" s="15"/>
    </row>
    <row r="142" spans="6:8" ht="11.25">
      <c r="F142" s="15"/>
      <c r="G142" s="15"/>
      <c r="H142" s="15"/>
    </row>
    <row r="143" spans="6:8" ht="11.25">
      <c r="F143" s="15"/>
      <c r="G143" s="15"/>
      <c r="H143" s="15"/>
    </row>
    <row r="144" spans="6:8" ht="11.25">
      <c r="F144" s="15"/>
      <c r="G144" s="15"/>
      <c r="H144" s="15"/>
    </row>
    <row r="145" spans="6:8" ht="11.25">
      <c r="F145" s="15"/>
      <c r="G145" s="15"/>
      <c r="H145" s="15"/>
    </row>
    <row r="146" spans="6:8" ht="11.25">
      <c r="F146" s="15"/>
      <c r="G146" s="15"/>
      <c r="H146" s="15"/>
    </row>
    <row r="147" spans="6:8" ht="11.25">
      <c r="F147" s="15"/>
      <c r="G147" s="15"/>
      <c r="H147" s="15"/>
    </row>
    <row r="148" spans="6:8" ht="11.25">
      <c r="F148" s="15"/>
      <c r="G148" s="15"/>
      <c r="H148" s="15"/>
    </row>
    <row r="149" spans="6:8" ht="11.25">
      <c r="F149" s="15"/>
      <c r="G149" s="15"/>
      <c r="H149" s="15"/>
    </row>
    <row r="150" spans="6:8" ht="11.25">
      <c r="F150" s="15"/>
      <c r="G150" s="15"/>
      <c r="H150" s="15"/>
    </row>
    <row r="151" spans="6:8" ht="11.25">
      <c r="F151" s="15"/>
      <c r="G151" s="15"/>
      <c r="H151" s="15"/>
    </row>
    <row r="152" spans="6:8" ht="11.25">
      <c r="F152" s="15"/>
      <c r="G152" s="15"/>
      <c r="H152" s="15"/>
    </row>
    <row r="153" spans="6:8" ht="11.25">
      <c r="F153" s="15"/>
      <c r="G153" s="15"/>
      <c r="H153" s="15"/>
    </row>
    <row r="154" spans="6:8" ht="11.25">
      <c r="F154" s="15"/>
      <c r="G154" s="15"/>
      <c r="H154" s="15"/>
    </row>
    <row r="155" spans="6:8" ht="11.25">
      <c r="F155" s="15"/>
      <c r="G155" s="15"/>
      <c r="H155" s="15"/>
    </row>
    <row r="156" spans="6:8" ht="11.25">
      <c r="F156" s="15"/>
      <c r="G156" s="15"/>
      <c r="H156" s="15"/>
    </row>
    <row r="157" spans="6:8" ht="11.25">
      <c r="F157" s="15"/>
      <c r="G157" s="15"/>
      <c r="H157" s="15"/>
    </row>
    <row r="158" spans="6:8" ht="11.25">
      <c r="F158" s="15"/>
      <c r="G158" s="15"/>
      <c r="H158" s="15"/>
    </row>
    <row r="159" spans="6:8" ht="11.25">
      <c r="F159" s="15"/>
      <c r="G159" s="15"/>
      <c r="H159" s="15"/>
    </row>
    <row r="160" spans="6:8" ht="11.25">
      <c r="F160" s="15"/>
      <c r="G160" s="15"/>
      <c r="H160" s="15"/>
    </row>
    <row r="161" spans="6:8" ht="11.25">
      <c r="F161" s="15"/>
      <c r="G161" s="15"/>
      <c r="H161" s="15"/>
    </row>
    <row r="162" spans="6:8" ht="11.25">
      <c r="F162" s="15"/>
      <c r="G162" s="15"/>
      <c r="H162" s="15"/>
    </row>
    <row r="163" spans="6:8" ht="11.25">
      <c r="F163" s="15"/>
      <c r="G163" s="15"/>
      <c r="H163" s="15"/>
    </row>
    <row r="164" spans="6:8" ht="11.25">
      <c r="F164" s="15"/>
      <c r="G164" s="15"/>
      <c r="H164" s="15"/>
    </row>
    <row r="165" spans="6:8" ht="11.25">
      <c r="F165" s="15"/>
      <c r="G165" s="15"/>
      <c r="H165" s="15"/>
    </row>
    <row r="166" spans="6:8" ht="11.25">
      <c r="F166" s="15"/>
      <c r="G166" s="15"/>
      <c r="H166" s="15"/>
    </row>
    <row r="167" spans="6:8" ht="11.25">
      <c r="F167" s="15"/>
      <c r="G167" s="15"/>
      <c r="H167" s="15"/>
    </row>
    <row r="168" spans="6:8" ht="11.25">
      <c r="F168" s="15"/>
      <c r="G168" s="15"/>
      <c r="H168" s="15"/>
    </row>
    <row r="169" spans="6:8" ht="11.25">
      <c r="F169" s="15"/>
      <c r="G169" s="15"/>
      <c r="H169" s="15"/>
    </row>
    <row r="170" spans="6:8" ht="11.25">
      <c r="F170" s="15"/>
      <c r="G170" s="15"/>
      <c r="H170" s="15"/>
    </row>
    <row r="171" spans="6:8" ht="11.25">
      <c r="F171" s="15"/>
      <c r="G171" s="15"/>
      <c r="H171" s="15"/>
    </row>
    <row r="172" spans="6:8" ht="11.25">
      <c r="F172" s="15"/>
      <c r="G172" s="15"/>
      <c r="H172" s="15"/>
    </row>
    <row r="173" spans="6:8" ht="11.25">
      <c r="F173" s="15"/>
      <c r="G173" s="15"/>
      <c r="H173" s="15"/>
    </row>
    <row r="174" spans="6:8" ht="11.25">
      <c r="F174" s="15"/>
      <c r="G174" s="15"/>
      <c r="H174" s="15"/>
    </row>
    <row r="175" spans="6:8" ht="11.25">
      <c r="F175" s="15"/>
      <c r="G175" s="15"/>
      <c r="H175" s="15"/>
    </row>
    <row r="176" spans="6:8" ht="11.25">
      <c r="F176" s="15"/>
      <c r="G176" s="15"/>
      <c r="H176" s="15"/>
    </row>
    <row r="177" spans="6:8" ht="11.25">
      <c r="F177" s="15"/>
      <c r="G177" s="15"/>
      <c r="H177" s="15"/>
    </row>
    <row r="178" spans="6:8" ht="11.25">
      <c r="F178" s="15"/>
      <c r="G178" s="15"/>
      <c r="H178" s="15"/>
    </row>
    <row r="179" spans="6:8" ht="11.25">
      <c r="F179" s="15"/>
      <c r="G179" s="15"/>
      <c r="H179" s="15"/>
    </row>
    <row r="180" spans="6:8" ht="11.25">
      <c r="F180" s="15"/>
      <c r="G180" s="15"/>
      <c r="H180" s="15"/>
    </row>
    <row r="181" spans="6:8" ht="11.25">
      <c r="F181" s="15"/>
      <c r="G181" s="15"/>
      <c r="H181" s="15"/>
    </row>
    <row r="182" spans="6:8" ht="11.25">
      <c r="F182" s="15"/>
      <c r="G182" s="15"/>
      <c r="H182" s="15"/>
    </row>
  </sheetData>
  <sheetProtection/>
  <mergeCells count="7">
    <mergeCell ref="A1:I1"/>
    <mergeCell ref="A61:I61"/>
    <mergeCell ref="A63:B63"/>
    <mergeCell ref="A53:B53"/>
    <mergeCell ref="A3:B3"/>
    <mergeCell ref="A62:B62"/>
    <mergeCell ref="A58:B58"/>
  </mergeCells>
  <printOptions/>
  <pageMargins left="0.143700787" right="0.143700787" top="1" bottom="1" header="0.511811023622047" footer="0.511811023622047"/>
  <pageSetup horizontalDpi="300" verticalDpi="300" orientation="portrait" paperSize="9" r:id="rId3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O57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.8515625" style="1" customWidth="1"/>
    <col min="2" max="2" width="30.57421875" style="1" customWidth="1"/>
    <col min="3" max="3" width="11.421875" style="1" hidden="1" customWidth="1"/>
    <col min="4" max="4" width="10.7109375" style="1" hidden="1" customWidth="1"/>
    <col min="5" max="5" width="10.421875" style="1" hidden="1" customWidth="1"/>
    <col min="6" max="6" width="11.00390625" style="1" hidden="1" customWidth="1"/>
    <col min="7" max="7" width="0.13671875" style="1" hidden="1" customWidth="1"/>
    <col min="8" max="8" width="10.57421875" style="1" customWidth="1"/>
    <col min="9" max="9" width="14.7109375" style="1" customWidth="1"/>
    <col min="10" max="10" width="14.00390625" style="1" customWidth="1"/>
    <col min="11" max="11" width="10.7109375" style="1" customWidth="1"/>
    <col min="12" max="12" width="11.8515625" style="128" customWidth="1"/>
    <col min="13" max="13" width="9.8515625" style="1" bestFit="1" customWidth="1"/>
    <col min="14" max="16384" width="9.140625" style="1" customWidth="1"/>
  </cols>
  <sheetData>
    <row r="1" ht="12.75" customHeight="1"/>
    <row r="2" spans="1:10" ht="12.75" customHeight="1">
      <c r="A2" s="152" t="s">
        <v>121</v>
      </c>
      <c r="B2" s="152"/>
      <c r="C2" s="152"/>
      <c r="I2" s="2"/>
      <c r="J2" s="2"/>
    </row>
    <row r="3" spans="1:10" ht="12.75" customHeight="1">
      <c r="A3" s="158" t="s">
        <v>162</v>
      </c>
      <c r="B3" s="158"/>
      <c r="C3" s="158"/>
      <c r="D3" s="158"/>
      <c r="E3" s="158"/>
      <c r="F3" s="158"/>
      <c r="G3" s="158"/>
      <c r="H3" s="158"/>
      <c r="I3" s="158"/>
      <c r="J3" s="2" t="s">
        <v>224</v>
      </c>
    </row>
    <row r="4" spans="1:10" ht="12.75" customHeight="1">
      <c r="A4" s="2"/>
      <c r="B4" s="7" t="s">
        <v>225</v>
      </c>
      <c r="C4" s="2"/>
      <c r="D4" s="2"/>
      <c r="E4" s="2"/>
      <c r="F4" s="2"/>
      <c r="G4" s="2"/>
      <c r="H4" s="2"/>
      <c r="I4" s="2"/>
      <c r="J4" s="2"/>
    </row>
    <row r="5" spans="1:15" ht="33.75" customHeight="1">
      <c r="A5" s="156" t="s">
        <v>85</v>
      </c>
      <c r="B5" s="157"/>
      <c r="C5" s="8">
        <v>1999</v>
      </c>
      <c r="D5" s="8">
        <v>2000</v>
      </c>
      <c r="E5" s="11">
        <v>2001</v>
      </c>
      <c r="F5" s="11">
        <v>2002</v>
      </c>
      <c r="G5" s="11">
        <v>2003</v>
      </c>
      <c r="H5" s="11" t="s">
        <v>86</v>
      </c>
      <c r="I5" s="11" t="s">
        <v>241</v>
      </c>
      <c r="J5" s="11" t="s">
        <v>237</v>
      </c>
      <c r="K5" s="3"/>
      <c r="L5" s="129"/>
      <c r="M5" s="3"/>
      <c r="N5" s="3"/>
      <c r="O5" s="3"/>
    </row>
    <row r="6" spans="1:15" ht="12.75" customHeight="1">
      <c r="A6" s="23"/>
      <c r="B6" s="23"/>
      <c r="C6" s="24">
        <v>0</v>
      </c>
      <c r="D6" s="26">
        <v>0</v>
      </c>
      <c r="E6" s="24">
        <v>0</v>
      </c>
      <c r="F6" s="24">
        <f>'Aktivet e detajuara'!E31-'Aktivet e detajuara'!F31</f>
        <v>1593964</v>
      </c>
      <c r="G6" s="24">
        <v>0</v>
      </c>
      <c r="H6" s="24"/>
      <c r="I6" s="27"/>
      <c r="J6" s="27"/>
      <c r="K6" s="3"/>
      <c r="L6" s="129"/>
      <c r="M6" s="3"/>
      <c r="N6" s="3"/>
      <c r="O6" s="3"/>
    </row>
    <row r="7" spans="1:15" ht="19.5" customHeight="1">
      <c r="A7" s="32">
        <v>1</v>
      </c>
      <c r="B7" s="23" t="s">
        <v>87</v>
      </c>
      <c r="C7" s="24">
        <f>C8+C12+C15+C16+C20+C21+C25</f>
        <v>541358641</v>
      </c>
      <c r="D7" s="24">
        <f>D8+D12+D15+D16+D20+D21+D25</f>
        <v>417225377</v>
      </c>
      <c r="E7" s="24">
        <v>565649575</v>
      </c>
      <c r="F7" s="24">
        <f>F8+F12+F15+F16+F20+F21+F25</f>
        <v>260278207</v>
      </c>
      <c r="G7" s="24">
        <f>G8+G12+G15+G16+G20+G21+G25</f>
        <v>581491941</v>
      </c>
      <c r="H7" s="24" t="s">
        <v>88</v>
      </c>
      <c r="I7" s="24">
        <f>80114929+96752753</f>
        <v>176867682</v>
      </c>
      <c r="J7" s="24">
        <f>191441367+3114249</f>
        <v>194555616</v>
      </c>
      <c r="K7" s="3"/>
      <c r="L7" s="129"/>
      <c r="M7" s="3"/>
      <c r="N7" s="3"/>
      <c r="O7" s="3"/>
    </row>
    <row r="8" spans="1:15" ht="19.5" customHeight="1">
      <c r="A8" s="32">
        <v>2</v>
      </c>
      <c r="B8" s="23" t="s">
        <v>89</v>
      </c>
      <c r="C8" s="24">
        <f>SUM(C9:C11)</f>
        <v>281594015</v>
      </c>
      <c r="D8" s="24">
        <f>SUM(D9:D11)</f>
        <v>252470578</v>
      </c>
      <c r="E8" s="24">
        <v>303959204</v>
      </c>
      <c r="F8" s="24">
        <f>SUM(F9:F11)</f>
        <v>148907802</v>
      </c>
      <c r="G8" s="24">
        <f>SUM(G9:G11)</f>
        <v>263681174</v>
      </c>
      <c r="H8" s="24" t="s">
        <v>90</v>
      </c>
      <c r="I8" s="24">
        <v>0</v>
      </c>
      <c r="J8" s="24">
        <f>43212845</f>
        <v>43212845</v>
      </c>
      <c r="K8" s="3"/>
      <c r="L8" s="129"/>
      <c r="M8" s="3"/>
      <c r="N8" s="3"/>
      <c r="O8" s="3"/>
    </row>
    <row r="9" spans="1:15" ht="28.5" customHeight="1">
      <c r="A9" s="32">
        <v>3</v>
      </c>
      <c r="B9" s="33" t="s">
        <v>91</v>
      </c>
      <c r="C9" s="24">
        <v>253764778</v>
      </c>
      <c r="D9" s="24">
        <v>263593845</v>
      </c>
      <c r="E9" s="24">
        <v>316322549</v>
      </c>
      <c r="F9" s="24">
        <f>63647107+18231128+33972894+23679584+3911250+451608</f>
        <v>143893571</v>
      </c>
      <c r="G9" s="27">
        <f>72163857+26501016+122501153+38004134+10419569+2234191</f>
        <v>271823920</v>
      </c>
      <c r="H9" s="35">
        <v>71</v>
      </c>
      <c r="I9" s="27"/>
      <c r="J9" s="27"/>
      <c r="K9" s="3"/>
      <c r="L9" s="129"/>
      <c r="M9" s="3"/>
      <c r="N9" s="3"/>
      <c r="O9" s="3"/>
    </row>
    <row r="10" spans="1:15" ht="28.5" customHeight="1">
      <c r="A10" s="32"/>
      <c r="B10" s="32" t="s">
        <v>161</v>
      </c>
      <c r="C10" s="3"/>
      <c r="D10" s="3"/>
      <c r="E10" s="24"/>
      <c r="F10" s="24"/>
      <c r="G10" s="27"/>
      <c r="H10" s="35"/>
      <c r="I10" s="87">
        <f>I7+I8+I9</f>
        <v>176867682</v>
      </c>
      <c r="J10" s="87">
        <f>J7+J8+J9</f>
        <v>237768461</v>
      </c>
      <c r="K10" s="3"/>
      <c r="L10" s="129"/>
      <c r="M10" s="3"/>
      <c r="N10" s="3"/>
      <c r="O10" s="3"/>
    </row>
    <row r="11" spans="1:15" ht="19.5" customHeight="1">
      <c r="A11" s="32">
        <v>4</v>
      </c>
      <c r="B11" s="23" t="s">
        <v>92</v>
      </c>
      <c r="C11" s="24">
        <v>27829237</v>
      </c>
      <c r="D11" s="24">
        <v>-11123267</v>
      </c>
      <c r="E11" s="24">
        <v>-12363345</v>
      </c>
      <c r="F11" s="24">
        <f>'Aktivet e detajuara'!E29+'Aktivet e detajuara'!E32-'Aktivet e detajuara'!F29-'Aktivet e detajuara'!F32</f>
        <v>5014231</v>
      </c>
      <c r="G11" s="24">
        <f>'Aktivet e detajuara'!F29+'Aktivet e detajuara'!F32-'Aktivet e detajuara'!G29-'Aktivet e detajuara'!G32</f>
        <v>-8142746</v>
      </c>
      <c r="H11" s="24" t="s">
        <v>94</v>
      </c>
      <c r="I11" s="24">
        <f>85161721-1827629-51776764</f>
        <v>31557328</v>
      </c>
      <c r="J11" s="27">
        <f>61303499+377789</f>
        <v>61681288</v>
      </c>
      <c r="K11" s="3"/>
      <c r="L11" s="130"/>
      <c r="M11" s="3"/>
      <c r="N11" s="3">
        <v>862329</v>
      </c>
      <c r="O11" s="3"/>
    </row>
    <row r="12" spans="1:15" ht="19.5" customHeight="1">
      <c r="A12" s="32">
        <v>5</v>
      </c>
      <c r="B12" s="33" t="s">
        <v>93</v>
      </c>
      <c r="C12" s="24">
        <f>SUM(C13:C14)</f>
        <v>0</v>
      </c>
      <c r="D12" s="24">
        <f>SUM(D13:D14)</f>
        <v>0</v>
      </c>
      <c r="E12" s="24">
        <v>0</v>
      </c>
      <c r="F12" s="24">
        <f>SUM(F13:F14)</f>
        <v>0</v>
      </c>
      <c r="G12" s="24">
        <f>SUM(G13:G14)</f>
        <v>0</v>
      </c>
      <c r="H12" s="24" t="s">
        <v>95</v>
      </c>
      <c r="I12" s="24">
        <f>I13+I14</f>
        <v>8203254</v>
      </c>
      <c r="J12" s="24">
        <f>J13+J14</f>
        <v>8632351</v>
      </c>
      <c r="K12" s="3"/>
      <c r="L12" s="129"/>
      <c r="M12" s="3"/>
      <c r="N12" s="3"/>
      <c r="O12" s="3"/>
    </row>
    <row r="13" spans="1:15" ht="19.5" customHeight="1">
      <c r="A13" s="32"/>
      <c r="B13" s="23" t="s">
        <v>96</v>
      </c>
      <c r="C13" s="24">
        <v>0</v>
      </c>
      <c r="D13" s="24">
        <v>0</v>
      </c>
      <c r="E13" s="24">
        <v>0</v>
      </c>
      <c r="F13" s="24">
        <v>0</v>
      </c>
      <c r="G13" s="27">
        <v>0</v>
      </c>
      <c r="H13" s="27">
        <v>641</v>
      </c>
      <c r="I13" s="24">
        <v>7433480</v>
      </c>
      <c r="J13" s="27">
        <f>7743534</f>
        <v>7743534</v>
      </c>
      <c r="K13" s="3"/>
      <c r="L13" s="129"/>
      <c r="M13" s="3"/>
      <c r="N13" s="3"/>
      <c r="O13" s="3"/>
    </row>
    <row r="14" spans="1:15" ht="19.5" customHeight="1">
      <c r="A14" s="32"/>
      <c r="B14" s="23" t="s">
        <v>97</v>
      </c>
      <c r="C14" s="24">
        <v>0</v>
      </c>
      <c r="D14" s="24">
        <v>0</v>
      </c>
      <c r="E14" s="24">
        <v>0</v>
      </c>
      <c r="F14" s="24">
        <v>0</v>
      </c>
      <c r="G14" s="27">
        <v>0</v>
      </c>
      <c r="H14" s="27">
        <v>644</v>
      </c>
      <c r="I14" s="24">
        <v>769774</v>
      </c>
      <c r="J14" s="27">
        <f>888817</f>
        <v>888817</v>
      </c>
      <c r="K14" s="3"/>
      <c r="L14" s="129"/>
      <c r="M14" s="3"/>
      <c r="N14" s="3"/>
      <c r="O14" s="3"/>
    </row>
    <row r="15" spans="1:15" ht="19.5" customHeight="1">
      <c r="A15" s="32">
        <v>6</v>
      </c>
      <c r="B15" s="23" t="s">
        <v>98</v>
      </c>
      <c r="C15" s="24">
        <v>192556090</v>
      </c>
      <c r="D15" s="24">
        <v>83180025</v>
      </c>
      <c r="E15" s="24">
        <v>104024258</v>
      </c>
      <c r="F15" s="24">
        <f>406422+4800000+707058+1782342+14492886+5180515+288614+2951948+2554592+120000+14916906+256024+549531</f>
        <v>49006838</v>
      </c>
      <c r="G15" s="27">
        <f>493155+12750000+433533+1296531+35191993+857000+21000+1459095+3379018+2000000+23351678+764002</f>
        <v>81997005</v>
      </c>
      <c r="H15" s="27" t="s">
        <v>99</v>
      </c>
      <c r="I15" s="24">
        <v>0</v>
      </c>
      <c r="J15" s="24">
        <v>0</v>
      </c>
      <c r="K15" s="3"/>
      <c r="L15" s="129"/>
      <c r="M15" s="3"/>
      <c r="N15" s="3"/>
      <c r="O15" s="3"/>
    </row>
    <row r="16" spans="1:15" ht="19.5" customHeight="1">
      <c r="A16" s="32">
        <v>7</v>
      </c>
      <c r="B16" s="23" t="s">
        <v>5</v>
      </c>
      <c r="C16" s="24">
        <f>SUM(C17:C19)</f>
        <v>12642716</v>
      </c>
      <c r="D16" s="24">
        <f>SUM(D17:D19)</f>
        <v>24102410</v>
      </c>
      <c r="E16" s="24">
        <v>45984287</v>
      </c>
      <c r="F16" s="24">
        <f>SUM(F17:F19)</f>
        <v>32386693</v>
      </c>
      <c r="G16" s="24">
        <f>SUM(G17:G19)</f>
        <v>56638589</v>
      </c>
      <c r="H16" s="24" t="s">
        <v>100</v>
      </c>
      <c r="I16" s="24">
        <f>51776764+74320076+313070+2000+12329+163452+1056462+206165+59409+3272692+62501+1086867+2600</f>
        <v>132334387</v>
      </c>
      <c r="J16" s="24">
        <f>1417540+1982400+71819+601491+50000+700+1547606+60630+364053+5833+376249+114268266+5101224+3020695</f>
        <v>128868506</v>
      </c>
      <c r="K16" s="3"/>
      <c r="L16" s="129"/>
      <c r="M16" s="3"/>
      <c r="N16" s="3"/>
      <c r="O16" s="3"/>
    </row>
    <row r="17" spans="1:15" ht="19.5" customHeight="1">
      <c r="A17" s="32">
        <v>8</v>
      </c>
      <c r="B17" s="32" t="s">
        <v>101</v>
      </c>
      <c r="C17" s="24">
        <v>10836259</v>
      </c>
      <c r="D17" s="24">
        <v>16915380</v>
      </c>
      <c r="E17" s="24">
        <v>36016075</v>
      </c>
      <c r="F17" s="24">
        <v>25320125</v>
      </c>
      <c r="G17" s="27">
        <v>44674080</v>
      </c>
      <c r="H17" s="27"/>
      <c r="I17" s="87">
        <f>I11+I12+I15+I16</f>
        <v>172094969</v>
      </c>
      <c r="J17" s="87">
        <f>J11+J12+J15+J16</f>
        <v>199182145</v>
      </c>
      <c r="K17" s="3"/>
      <c r="L17" s="129"/>
      <c r="M17" s="3"/>
      <c r="N17" s="3"/>
      <c r="O17" s="3"/>
    </row>
    <row r="18" spans="1:15" ht="19.5" customHeight="1">
      <c r="A18" s="32">
        <v>9</v>
      </c>
      <c r="B18" s="32" t="s">
        <v>102</v>
      </c>
      <c r="C18" s="24">
        <v>0</v>
      </c>
      <c r="D18" s="24">
        <v>3444586</v>
      </c>
      <c r="E18" s="24">
        <v>2692215</v>
      </c>
      <c r="F18" s="24">
        <v>0</v>
      </c>
      <c r="G18" s="27">
        <v>0</v>
      </c>
      <c r="H18" s="27"/>
      <c r="I18" s="87">
        <f>I10-I17</f>
        <v>4772713</v>
      </c>
      <c r="J18" s="87">
        <f>J10-J17</f>
        <v>38586316</v>
      </c>
      <c r="K18" s="3"/>
      <c r="L18" s="129"/>
      <c r="M18" s="3"/>
      <c r="N18" s="3"/>
      <c r="O18" s="3"/>
    </row>
    <row r="19" spans="1:15" ht="24.75" customHeight="1">
      <c r="A19" s="32">
        <v>10</v>
      </c>
      <c r="B19" s="33" t="s">
        <v>103</v>
      </c>
      <c r="C19" s="24">
        <v>1806457</v>
      </c>
      <c r="D19" s="24">
        <v>3742444</v>
      </c>
      <c r="E19" s="24">
        <v>7275997</v>
      </c>
      <c r="F19" s="24">
        <v>7066568</v>
      </c>
      <c r="G19" s="27">
        <v>11964509</v>
      </c>
      <c r="H19" s="27" t="s">
        <v>108</v>
      </c>
      <c r="I19" s="27"/>
      <c r="J19" s="27"/>
      <c r="K19" s="3"/>
      <c r="L19" s="129"/>
      <c r="M19" s="3"/>
      <c r="N19" s="3"/>
      <c r="O19" s="3"/>
    </row>
    <row r="20" spans="1:15" ht="26.25" customHeight="1">
      <c r="A20" s="32">
        <v>11</v>
      </c>
      <c r="B20" s="33" t="s">
        <v>104</v>
      </c>
      <c r="C20" s="24">
        <v>12648936</v>
      </c>
      <c r="D20" s="24">
        <v>15810271</v>
      </c>
      <c r="E20" s="24">
        <v>12493291</v>
      </c>
      <c r="F20" s="24">
        <v>3350165</v>
      </c>
      <c r="G20" s="27">
        <v>18811263</v>
      </c>
      <c r="H20" s="27" t="s">
        <v>109</v>
      </c>
      <c r="I20" s="27"/>
      <c r="J20" s="27"/>
      <c r="K20" s="3"/>
      <c r="L20" s="129"/>
      <c r="M20" s="3"/>
      <c r="N20" s="3"/>
      <c r="O20" s="3"/>
    </row>
    <row r="21" spans="1:15" ht="19.5" customHeight="1">
      <c r="A21" s="32">
        <v>12</v>
      </c>
      <c r="B21" s="33" t="s">
        <v>105</v>
      </c>
      <c r="C21" s="24">
        <f>SUM(C22:C24)</f>
        <v>3574147</v>
      </c>
      <c r="D21" s="24">
        <f>SUM(D22:D24)</f>
        <v>2859063</v>
      </c>
      <c r="E21" s="24">
        <v>43545363</v>
      </c>
      <c r="F21" s="24">
        <f>SUM(F22:F24)</f>
        <v>1266268</v>
      </c>
      <c r="G21" s="24">
        <f>SUM(G22:G24)</f>
        <v>104828512</v>
      </c>
      <c r="H21" s="24"/>
      <c r="I21" s="105">
        <f>I22+I23+I24+I25</f>
        <v>379977</v>
      </c>
      <c r="J21" s="105">
        <f>J22+J23+J24+J25</f>
        <v>-8503442</v>
      </c>
      <c r="K21" s="3"/>
      <c r="L21" s="129"/>
      <c r="M21" s="3"/>
      <c r="N21" s="3"/>
      <c r="O21" s="3"/>
    </row>
    <row r="22" spans="1:15" ht="30" customHeight="1">
      <c r="A22" s="32">
        <v>12.1</v>
      </c>
      <c r="B22" s="33" t="s">
        <v>106</v>
      </c>
      <c r="C22" s="24">
        <v>976562</v>
      </c>
      <c r="D22" s="24">
        <v>240068</v>
      </c>
      <c r="E22" s="24">
        <v>40064339</v>
      </c>
      <c r="F22" s="24">
        <v>0</v>
      </c>
      <c r="G22" s="27">
        <v>102105637</v>
      </c>
      <c r="H22" s="36" t="s">
        <v>110</v>
      </c>
      <c r="I22" s="27"/>
      <c r="J22" s="27"/>
      <c r="K22" s="3"/>
      <c r="L22" s="129"/>
      <c r="M22" s="3"/>
      <c r="N22" s="3"/>
      <c r="O22" s="3"/>
    </row>
    <row r="23" spans="1:15" ht="19.5" customHeight="1">
      <c r="A23" s="32">
        <v>12.2</v>
      </c>
      <c r="B23" s="33" t="s">
        <v>107</v>
      </c>
      <c r="C23" s="24">
        <v>0</v>
      </c>
      <c r="D23" s="24">
        <v>2102245</v>
      </c>
      <c r="E23" s="24">
        <v>0</v>
      </c>
      <c r="F23" s="24">
        <v>0</v>
      </c>
      <c r="G23" s="27">
        <v>0</v>
      </c>
      <c r="H23" s="27" t="s">
        <v>111</v>
      </c>
      <c r="I23" s="110">
        <f>-9420536+9420536+123410-3108777</f>
        <v>-2985367</v>
      </c>
      <c r="J23" s="110">
        <f>-(12583617-8500000-10828+6554379)</f>
        <v>-10627168</v>
      </c>
      <c r="K23" s="3"/>
      <c r="L23" s="129"/>
      <c r="M23" s="3"/>
      <c r="N23" s="3"/>
      <c r="O23" s="3"/>
    </row>
    <row r="24" spans="1:15" ht="19.5" customHeight="1">
      <c r="A24" s="32">
        <v>12.3</v>
      </c>
      <c r="B24" s="23" t="s">
        <v>112</v>
      </c>
      <c r="C24" s="24">
        <v>2597585</v>
      </c>
      <c r="D24" s="24">
        <v>516750</v>
      </c>
      <c r="E24" s="24">
        <v>3481024</v>
      </c>
      <c r="F24" s="24">
        <f>295933+284+920051+50000</f>
        <v>1266268</v>
      </c>
      <c r="G24" s="27">
        <f>158788+461457+1383720+718910</f>
        <v>2722875</v>
      </c>
      <c r="H24" s="27" t="s">
        <v>113</v>
      </c>
      <c r="I24" s="27">
        <f>4214660-849316</f>
        <v>3365344</v>
      </c>
      <c r="J24" s="27">
        <f>1416689+707037</f>
        <v>2123726</v>
      </c>
      <c r="K24" s="3"/>
      <c r="L24" s="129"/>
      <c r="M24" s="3"/>
      <c r="N24" s="3"/>
      <c r="O24" s="3"/>
    </row>
    <row r="25" spans="1:15" ht="19.5" customHeight="1">
      <c r="A25" s="32">
        <v>12.4</v>
      </c>
      <c r="B25" s="23" t="s">
        <v>114</v>
      </c>
      <c r="C25" s="24">
        <f>SUM(C26:C31)</f>
        <v>38342737</v>
      </c>
      <c r="D25" s="24">
        <f>SUM(D26:D31)</f>
        <v>38803030</v>
      </c>
      <c r="E25" s="24">
        <v>55643172</v>
      </c>
      <c r="F25" s="24">
        <f>SUM(F26:F31)</f>
        <v>25360441</v>
      </c>
      <c r="G25" s="24">
        <f>SUM(G26:G31)</f>
        <v>55535398</v>
      </c>
      <c r="H25" s="24" t="s">
        <v>115</v>
      </c>
      <c r="I25" s="24"/>
      <c r="J25" s="24"/>
      <c r="K25" s="3"/>
      <c r="L25" s="129"/>
      <c r="M25" s="3"/>
      <c r="N25" s="3"/>
      <c r="O25" s="3"/>
    </row>
    <row r="26" spans="1:15" ht="26.25" customHeight="1">
      <c r="A26" s="32">
        <v>13</v>
      </c>
      <c r="B26" s="37" t="s">
        <v>116</v>
      </c>
      <c r="C26" s="24">
        <v>38342737</v>
      </c>
      <c r="D26" s="24">
        <v>38803030</v>
      </c>
      <c r="E26" s="24">
        <v>55643172</v>
      </c>
      <c r="F26" s="24">
        <v>25360441</v>
      </c>
      <c r="G26" s="27">
        <v>55535398</v>
      </c>
      <c r="H26" s="27"/>
      <c r="I26" s="123">
        <f>I22+I23+I24+I25</f>
        <v>379977</v>
      </c>
      <c r="J26" s="123">
        <f>J22+J23+J24+J25</f>
        <v>-8503442</v>
      </c>
      <c r="K26" s="3"/>
      <c r="L26" s="129"/>
      <c r="M26" s="3"/>
      <c r="N26" s="3"/>
      <c r="O26" s="3"/>
    </row>
    <row r="27" spans="1:15" s="90" customFormat="1" ht="19.5" customHeight="1">
      <c r="A27" s="32">
        <v>14</v>
      </c>
      <c r="B27" s="32" t="s">
        <v>117</v>
      </c>
      <c r="C27" s="88">
        <v>0</v>
      </c>
      <c r="D27" s="88">
        <v>0</v>
      </c>
      <c r="E27" s="88">
        <v>0</v>
      </c>
      <c r="F27" s="88">
        <v>0</v>
      </c>
      <c r="G27" s="87">
        <v>0</v>
      </c>
      <c r="H27" s="87"/>
      <c r="I27" s="144">
        <f>I18+I26</f>
        <v>5152690</v>
      </c>
      <c r="J27" s="87">
        <f>J18+J26</f>
        <v>30082874</v>
      </c>
      <c r="K27" s="89"/>
      <c r="L27" s="131"/>
      <c r="M27" s="108"/>
      <c r="N27" s="109"/>
      <c r="O27" s="89"/>
    </row>
    <row r="28" spans="1:15" s="96" customFormat="1" ht="15.75" customHeight="1">
      <c r="A28" s="93">
        <v>14.1</v>
      </c>
      <c r="B28" s="93" t="s">
        <v>229</v>
      </c>
      <c r="C28" s="94"/>
      <c r="D28" s="94"/>
      <c r="E28" s="94"/>
      <c r="F28" s="94"/>
      <c r="G28" s="85"/>
      <c r="H28" s="85"/>
      <c r="I28" s="85">
        <f>62501+1086867+2600</f>
        <v>1151968</v>
      </c>
      <c r="J28" s="85">
        <f>1417540+3020695+400000</f>
        <v>4838235</v>
      </c>
      <c r="K28" s="95"/>
      <c r="L28" s="132">
        <v>2600</v>
      </c>
      <c r="M28" s="95" t="s">
        <v>243</v>
      </c>
      <c r="N28" s="95"/>
      <c r="O28" s="95"/>
    </row>
    <row r="29" spans="1:15" ht="19.5" customHeight="1">
      <c r="A29" s="32">
        <v>15</v>
      </c>
      <c r="B29" s="23" t="s">
        <v>118</v>
      </c>
      <c r="C29" s="24">
        <v>0</v>
      </c>
      <c r="D29" s="24">
        <v>0</v>
      </c>
      <c r="E29" s="24">
        <v>0</v>
      </c>
      <c r="F29" s="24">
        <v>0</v>
      </c>
      <c r="G29" s="27">
        <v>0</v>
      </c>
      <c r="H29" s="27">
        <v>69</v>
      </c>
      <c r="I29" s="27">
        <f>(I27+I28)*0.1</f>
        <v>630465.8</v>
      </c>
      <c r="J29" s="27">
        <v>3492111</v>
      </c>
      <c r="K29" s="3"/>
      <c r="L29" s="133">
        <v>62501</v>
      </c>
      <c r="M29" s="3" t="s">
        <v>242</v>
      </c>
      <c r="N29" s="3"/>
      <c r="O29" s="3"/>
    </row>
    <row r="30" spans="1:15" s="90" customFormat="1" ht="19.5" customHeight="1">
      <c r="A30" s="32">
        <v>16</v>
      </c>
      <c r="B30" s="32" t="s">
        <v>119</v>
      </c>
      <c r="C30" s="88">
        <v>0</v>
      </c>
      <c r="D30" s="88">
        <v>0</v>
      </c>
      <c r="E30" s="88">
        <v>0</v>
      </c>
      <c r="F30" s="88">
        <v>0</v>
      </c>
      <c r="G30" s="87">
        <v>0</v>
      </c>
      <c r="H30" s="87"/>
      <c r="I30" s="87">
        <f>I27-I29</f>
        <v>4522224.2</v>
      </c>
      <c r="J30" s="87">
        <f>J27-J29</f>
        <v>26590763</v>
      </c>
      <c r="K30" s="89"/>
      <c r="L30" s="134">
        <v>1086867</v>
      </c>
      <c r="M30" s="89" t="s">
        <v>242</v>
      </c>
      <c r="N30" s="89"/>
      <c r="O30" s="89"/>
    </row>
    <row r="31" spans="1:15" ht="19.5" customHeight="1">
      <c r="A31" s="32">
        <v>17</v>
      </c>
      <c r="B31" s="23" t="s">
        <v>120</v>
      </c>
      <c r="C31" s="24">
        <v>0</v>
      </c>
      <c r="D31" s="24">
        <v>0</v>
      </c>
      <c r="E31" s="24">
        <v>0</v>
      </c>
      <c r="F31" s="24">
        <v>0</v>
      </c>
      <c r="G31" s="27">
        <v>0</v>
      </c>
      <c r="H31" s="27"/>
      <c r="I31" s="27"/>
      <c r="J31" s="27"/>
      <c r="K31" s="3"/>
      <c r="L31" s="143">
        <f>SUM(L28:L30)</f>
        <v>1151968</v>
      </c>
      <c r="M31" s="3"/>
      <c r="N31" s="3"/>
      <c r="O31" s="3"/>
    </row>
    <row r="32" spans="1:15" ht="12.75" customHeight="1">
      <c r="A32" s="5"/>
      <c r="B32" s="5"/>
      <c r="C32" s="6"/>
      <c r="D32" s="6"/>
      <c r="E32" s="6"/>
      <c r="F32" s="6"/>
      <c r="G32" s="6"/>
      <c r="H32" s="6"/>
      <c r="I32" s="13"/>
      <c r="J32" s="30"/>
      <c r="K32" s="3"/>
      <c r="L32" s="129"/>
      <c r="M32" s="3"/>
      <c r="N32" s="3"/>
      <c r="O32" s="3"/>
    </row>
    <row r="33" spans="1:15" ht="12.75" customHeight="1">
      <c r="A33" s="5"/>
      <c r="B33" s="5"/>
      <c r="C33" s="6"/>
      <c r="D33" s="6"/>
      <c r="E33" s="6"/>
      <c r="F33" s="6"/>
      <c r="G33" s="6"/>
      <c r="H33" s="6"/>
      <c r="I33" s="13"/>
      <c r="J33" s="31"/>
      <c r="K33" s="3"/>
      <c r="L33" s="129"/>
      <c r="M33" s="3"/>
      <c r="N33" s="3"/>
      <c r="O33" s="3"/>
    </row>
    <row r="34" ht="12.75">
      <c r="I34" s="107"/>
    </row>
    <row r="38" ht="12.75">
      <c r="I38" s="145"/>
    </row>
    <row r="39" ht="12.75">
      <c r="I39" s="145">
        <v>51776764</v>
      </c>
    </row>
    <row r="40" spans="8:10" ht="12.75">
      <c r="H40" s="1" t="s">
        <v>258</v>
      </c>
      <c r="I40" s="147">
        <v>74320076</v>
      </c>
      <c r="J40" s="145">
        <v>935329</v>
      </c>
    </row>
    <row r="41" spans="9:10" ht="12.75">
      <c r="I41" s="146">
        <v>313070</v>
      </c>
      <c r="J41" s="145">
        <v>9548936</v>
      </c>
    </row>
    <row r="42" spans="9:10" ht="12.75">
      <c r="I42" s="146">
        <v>2000</v>
      </c>
      <c r="J42" s="145">
        <v>5059181</v>
      </c>
    </row>
    <row r="43" spans="9:10" ht="12.75">
      <c r="I43" s="146">
        <v>12329</v>
      </c>
      <c r="J43" s="145">
        <v>9263338</v>
      </c>
    </row>
    <row r="44" spans="9:10" ht="12.75">
      <c r="I44" s="146">
        <v>163452</v>
      </c>
      <c r="J44" s="145">
        <v>1036267</v>
      </c>
    </row>
    <row r="45" spans="9:10" ht="12.75">
      <c r="I45" s="146">
        <v>1056462</v>
      </c>
      <c r="J45" s="145">
        <v>13676400</v>
      </c>
    </row>
    <row r="46" spans="9:10" ht="12.75">
      <c r="I46" s="146">
        <v>206165</v>
      </c>
      <c r="J46" s="145">
        <v>443700</v>
      </c>
    </row>
    <row r="47" spans="9:10" ht="12.75">
      <c r="I47" s="146">
        <v>59409</v>
      </c>
      <c r="J47" s="145">
        <v>2385010</v>
      </c>
    </row>
    <row r="48" spans="9:10" ht="12.75">
      <c r="I48" s="146">
        <v>3272692</v>
      </c>
      <c r="J48" s="145">
        <v>3736635</v>
      </c>
    </row>
    <row r="49" spans="9:10" ht="12.75">
      <c r="I49" s="149">
        <v>62501</v>
      </c>
      <c r="J49" s="145">
        <v>1747420</v>
      </c>
    </row>
    <row r="50" spans="8:10" ht="12.75">
      <c r="H50" s="1" t="s">
        <v>242</v>
      </c>
      <c r="I50" s="149">
        <v>1086867</v>
      </c>
      <c r="J50" s="145">
        <v>82835</v>
      </c>
    </row>
    <row r="51" spans="9:10" ht="12.75">
      <c r="I51" s="149">
        <v>2600</v>
      </c>
      <c r="J51" s="145">
        <v>145494</v>
      </c>
    </row>
    <row r="52" spans="9:10" ht="12.75">
      <c r="I52" s="145"/>
      <c r="J52" s="145">
        <v>12908706</v>
      </c>
    </row>
    <row r="53" spans="9:10" ht="12.75">
      <c r="I53" s="145">
        <f>SUM(I39:I52)</f>
        <v>132334387</v>
      </c>
      <c r="J53" s="145">
        <v>2970000</v>
      </c>
    </row>
    <row r="54" spans="9:10" ht="12.75">
      <c r="I54" s="145"/>
      <c r="J54" s="145">
        <v>8839165</v>
      </c>
    </row>
    <row r="55" spans="9:10" ht="12.75">
      <c r="I55" s="145"/>
      <c r="J55" s="145">
        <v>821660</v>
      </c>
    </row>
    <row r="56" ht="12.75">
      <c r="J56" s="145">
        <v>720000</v>
      </c>
    </row>
    <row r="57" ht="12.75">
      <c r="J57" s="148">
        <f>SUM(J40:J56)</f>
        <v>74320076</v>
      </c>
    </row>
  </sheetData>
  <sheetProtection/>
  <mergeCells count="3">
    <mergeCell ref="A2:C2"/>
    <mergeCell ref="A5:B5"/>
    <mergeCell ref="A3:I3"/>
  </mergeCells>
  <printOptions horizontalCentered="1" verticalCentered="1"/>
  <pageMargins left="0.143700787" right="0.36" top="0.6" bottom="0.57" header="0.38" footer="0.34"/>
  <pageSetup horizontalDpi="600" verticalDpi="600" orientation="portrait" paperSize="9" scale="12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5.8515625" style="124" customWidth="1"/>
    <col min="4" max="4" width="13.140625" style="0" customWidth="1"/>
    <col min="5" max="5" width="16.00390625" style="0" customWidth="1"/>
    <col min="8" max="8" width="10.28125" style="0" bestFit="1" customWidth="1"/>
    <col min="9" max="9" width="10.00390625" style="0" bestFit="1" customWidth="1"/>
  </cols>
  <sheetData>
    <row r="1" ht="12.75">
      <c r="B1" s="38" t="s">
        <v>233</v>
      </c>
    </row>
    <row r="2" ht="12.75">
      <c r="B2" s="38" t="s">
        <v>234</v>
      </c>
    </row>
    <row r="3" spans="2:3" ht="12.75">
      <c r="B3" s="44" t="s">
        <v>122</v>
      </c>
      <c r="C3" s="124" t="s">
        <v>224</v>
      </c>
    </row>
    <row r="4" ht="12.75">
      <c r="B4" s="7" t="s">
        <v>225</v>
      </c>
    </row>
    <row r="5" spans="1:4" ht="36" customHeight="1">
      <c r="A5" s="41"/>
      <c r="B5" s="39" t="s">
        <v>190</v>
      </c>
      <c r="C5" s="125" t="s">
        <v>241</v>
      </c>
      <c r="D5" s="125" t="s">
        <v>237</v>
      </c>
    </row>
    <row r="6" spans="1:4" ht="12.75">
      <c r="A6" s="41"/>
      <c r="B6" s="41"/>
      <c r="C6" s="126"/>
      <c r="D6" s="126"/>
    </row>
    <row r="7" spans="1:4" ht="19.5" customHeight="1">
      <c r="A7" s="42" t="s">
        <v>0</v>
      </c>
      <c r="B7" s="42" t="s">
        <v>123</v>
      </c>
      <c r="C7" s="126">
        <f>C8+C9+C10+C11+C12</f>
        <v>-41916960</v>
      </c>
      <c r="D7" s="126">
        <f>D8+D9+D10+D11+D12</f>
        <v>-82149322</v>
      </c>
    </row>
    <row r="8" spans="1:7" ht="19.5" customHeight="1">
      <c r="A8" s="41">
        <v>1</v>
      </c>
      <c r="B8" s="41" t="s">
        <v>124</v>
      </c>
      <c r="C8" s="126">
        <f>90796133+123385</f>
        <v>90919518</v>
      </c>
      <c r="D8" s="126">
        <f>177888226</f>
        <v>177888226</v>
      </c>
      <c r="E8" s="40" t="s">
        <v>182</v>
      </c>
      <c r="F8" t="s">
        <v>164</v>
      </c>
      <c r="G8" t="s">
        <v>165</v>
      </c>
    </row>
    <row r="9" spans="1:7" ht="19.5" customHeight="1">
      <c r="A9" s="41">
        <v>2</v>
      </c>
      <c r="B9" s="41" t="s">
        <v>125</v>
      </c>
      <c r="C9" s="126">
        <f>-(102312991+7385518+1280882+624768+2790096+1056462+206165+57794+2543880+62501+936649+32247)</f>
        <v>-119289953</v>
      </c>
      <c r="D9" s="126">
        <f>-245060764</f>
        <v>-245060764</v>
      </c>
      <c r="E9" s="40" t="s">
        <v>183</v>
      </c>
      <c r="F9" t="s">
        <v>166</v>
      </c>
      <c r="G9" t="s">
        <v>167</v>
      </c>
    </row>
    <row r="10" spans="1:6" ht="19.5" customHeight="1">
      <c r="A10" s="41">
        <v>3</v>
      </c>
      <c r="B10" s="41" t="s">
        <v>126</v>
      </c>
      <c r="C10" s="126"/>
      <c r="D10" s="126"/>
      <c r="E10" s="40" t="s">
        <v>182</v>
      </c>
      <c r="F10" t="s">
        <v>168</v>
      </c>
    </row>
    <row r="11" spans="1:6" ht="19.5" customHeight="1">
      <c r="A11" s="41">
        <v>4</v>
      </c>
      <c r="B11" s="41" t="s">
        <v>127</v>
      </c>
      <c r="C11" s="126">
        <f>-9420536</f>
        <v>-9420536</v>
      </c>
      <c r="D11" s="126">
        <f>-12696784</f>
        <v>-12696784</v>
      </c>
      <c r="E11" s="40" t="s">
        <v>183</v>
      </c>
      <c r="F11" t="s">
        <v>169</v>
      </c>
    </row>
    <row r="12" spans="1:6" ht="19.5" customHeight="1">
      <c r="A12" s="41">
        <v>5</v>
      </c>
      <c r="B12" s="41" t="s">
        <v>128</v>
      </c>
      <c r="C12" s="126">
        <f>-4125989</f>
        <v>-4125989</v>
      </c>
      <c r="D12" s="126">
        <f>-2280000</f>
        <v>-2280000</v>
      </c>
      <c r="E12" s="40" t="s">
        <v>183</v>
      </c>
      <c r="F12" t="s">
        <v>170</v>
      </c>
    </row>
    <row r="13" spans="1:5" ht="19.5" customHeight="1">
      <c r="A13" s="41"/>
      <c r="B13" s="43" t="s">
        <v>129</v>
      </c>
      <c r="C13" s="126">
        <f>C8+C9+C10+C11+C12</f>
        <v>-41916960</v>
      </c>
      <c r="D13" s="126">
        <f>D8+D9+D10+D11+D12</f>
        <v>-82149322</v>
      </c>
      <c r="E13" s="40"/>
    </row>
    <row r="14" spans="1:5" ht="19.5" customHeight="1">
      <c r="A14" s="41"/>
      <c r="B14" s="41"/>
      <c r="C14" s="126"/>
      <c r="D14" s="126"/>
      <c r="E14" s="40"/>
    </row>
    <row r="15" spans="1:5" ht="19.5" customHeight="1">
      <c r="A15" s="42" t="s">
        <v>1</v>
      </c>
      <c r="B15" s="42" t="s">
        <v>130</v>
      </c>
      <c r="C15" s="126">
        <f>C16+C17+C18+C19+C20</f>
        <v>-2087100</v>
      </c>
      <c r="D15" s="126">
        <f>D16+D17+D18+D19+D20</f>
        <v>0</v>
      </c>
      <c r="E15" s="40"/>
    </row>
    <row r="16" spans="1:6" ht="19.5" customHeight="1">
      <c r="A16" s="41">
        <v>1</v>
      </c>
      <c r="B16" s="41" t="s">
        <v>131</v>
      </c>
      <c r="C16" s="126">
        <f>-2087100</f>
        <v>-2087100</v>
      </c>
      <c r="D16" s="126"/>
      <c r="E16" s="40" t="s">
        <v>184</v>
      </c>
      <c r="F16" t="s">
        <v>175</v>
      </c>
    </row>
    <row r="17" spans="1:6" ht="19.5" customHeight="1">
      <c r="A17" s="41">
        <v>2</v>
      </c>
      <c r="B17" s="41" t="s">
        <v>132</v>
      </c>
      <c r="C17" s="126"/>
      <c r="D17" s="126"/>
      <c r="E17" s="40" t="s">
        <v>183</v>
      </c>
      <c r="F17" t="s">
        <v>171</v>
      </c>
    </row>
    <row r="18" spans="1:6" ht="19.5" customHeight="1">
      <c r="A18" s="41">
        <v>3</v>
      </c>
      <c r="B18" s="41" t="s">
        <v>133</v>
      </c>
      <c r="C18" s="126"/>
      <c r="D18" s="126"/>
      <c r="E18" s="40" t="s">
        <v>182</v>
      </c>
      <c r="F18" t="s">
        <v>172</v>
      </c>
    </row>
    <row r="19" spans="1:6" ht="19.5" customHeight="1">
      <c r="A19" s="41">
        <v>4</v>
      </c>
      <c r="B19" s="41" t="s">
        <v>173</v>
      </c>
      <c r="C19" s="126"/>
      <c r="D19" s="126"/>
      <c r="E19" s="40" t="s">
        <v>182</v>
      </c>
      <c r="F19" t="s">
        <v>185</v>
      </c>
    </row>
    <row r="20" spans="1:6" ht="19.5" customHeight="1">
      <c r="A20" s="41">
        <v>5</v>
      </c>
      <c r="B20" s="41" t="s">
        <v>134</v>
      </c>
      <c r="C20" s="126"/>
      <c r="D20" s="126"/>
      <c r="E20" s="40" t="s">
        <v>182</v>
      </c>
      <c r="F20" t="s">
        <v>174</v>
      </c>
    </row>
    <row r="21" spans="1:5" ht="19.5" customHeight="1">
      <c r="A21" s="41"/>
      <c r="B21" s="43" t="s">
        <v>135</v>
      </c>
      <c r="C21" s="126">
        <f>C16+C17+C18+C19+C20</f>
        <v>-2087100</v>
      </c>
      <c r="D21" s="126">
        <f>D16+D17+D18+D19+D20</f>
        <v>0</v>
      </c>
      <c r="E21" s="40"/>
    </row>
    <row r="22" spans="1:5" ht="19.5" customHeight="1">
      <c r="A22" s="41"/>
      <c r="B22" s="41"/>
      <c r="C22" s="126"/>
      <c r="D22" s="126"/>
      <c r="E22" s="40"/>
    </row>
    <row r="23" spans="1:5" ht="19.5" customHeight="1">
      <c r="A23" s="42" t="s">
        <v>2</v>
      </c>
      <c r="B23" s="42" t="s">
        <v>136</v>
      </c>
      <c r="C23" s="126">
        <f>C24+C25+C26+C27</f>
        <v>151550288</v>
      </c>
      <c r="D23" s="126">
        <f>D24+D25+D26+D27</f>
        <v>0</v>
      </c>
      <c r="E23" s="40"/>
    </row>
    <row r="24" spans="1:6" ht="19.5" customHeight="1">
      <c r="A24" s="41">
        <v>1</v>
      </c>
      <c r="B24" s="41" t="s">
        <v>137</v>
      </c>
      <c r="C24" s="126"/>
      <c r="D24" s="126"/>
      <c r="E24" s="40" t="s">
        <v>182</v>
      </c>
      <c r="F24" t="s">
        <v>176</v>
      </c>
    </row>
    <row r="25" spans="1:9" ht="19.5" customHeight="1">
      <c r="A25" s="41">
        <v>2</v>
      </c>
      <c r="B25" s="41" t="s">
        <v>138</v>
      </c>
      <c r="C25" s="126">
        <f>78799679+80000995+21265272+6354975</f>
        <v>186420921</v>
      </c>
      <c r="D25" s="126"/>
      <c r="E25" s="40" t="s">
        <v>182</v>
      </c>
      <c r="F25" t="s">
        <v>177</v>
      </c>
      <c r="H25" s="124">
        <f>C25-I25</f>
        <v>1759422</v>
      </c>
      <c r="I25">
        <v>184661499</v>
      </c>
    </row>
    <row r="26" spans="1:6" ht="19.5" customHeight="1">
      <c r="A26" s="41">
        <v>3</v>
      </c>
      <c r="B26" s="41" t="s">
        <v>244</v>
      </c>
      <c r="C26" s="126">
        <f>-34870633</f>
        <v>-34870633</v>
      </c>
      <c r="D26" s="126"/>
      <c r="E26" s="40" t="s">
        <v>183</v>
      </c>
      <c r="F26" t="s">
        <v>178</v>
      </c>
    </row>
    <row r="27" spans="1:6" ht="19.5" customHeight="1">
      <c r="A27" s="41">
        <v>4</v>
      </c>
      <c r="B27" s="41" t="s">
        <v>139</v>
      </c>
      <c r="C27" s="126"/>
      <c r="D27" s="126"/>
      <c r="E27" s="40" t="s">
        <v>183</v>
      </c>
      <c r="F27" t="s">
        <v>179</v>
      </c>
    </row>
    <row r="28" spans="1:5" ht="19.5" customHeight="1">
      <c r="A28" s="41"/>
      <c r="B28" s="43" t="s">
        <v>140</v>
      </c>
      <c r="C28" s="126">
        <f>C24+C25+C26+C27</f>
        <v>151550288</v>
      </c>
      <c r="D28" s="126">
        <f>D24+D25+D26+D27</f>
        <v>0</v>
      </c>
      <c r="E28" s="40"/>
    </row>
    <row r="29" spans="1:5" ht="19.5" customHeight="1">
      <c r="A29" s="41"/>
      <c r="B29" s="41"/>
      <c r="C29" s="126"/>
      <c r="D29" s="126"/>
      <c r="E29" s="40"/>
    </row>
    <row r="30" spans="1:5" ht="19.5" customHeight="1">
      <c r="A30" s="42" t="s">
        <v>187</v>
      </c>
      <c r="B30" s="42" t="s">
        <v>141</v>
      </c>
      <c r="C30" s="150">
        <f>C7+C15+C23</f>
        <v>107546228</v>
      </c>
      <c r="D30" s="126">
        <f>D7+D15+D23</f>
        <v>-82149322</v>
      </c>
      <c r="E30" s="40" t="s">
        <v>184</v>
      </c>
    </row>
    <row r="31" spans="1:6" ht="19.5" customHeight="1">
      <c r="A31" s="42" t="s">
        <v>188</v>
      </c>
      <c r="B31" s="42" t="s">
        <v>142</v>
      </c>
      <c r="C31" s="126">
        <v>12652762</v>
      </c>
      <c r="D31" s="126">
        <v>94802084</v>
      </c>
      <c r="E31" s="40"/>
      <c r="F31" t="s">
        <v>180</v>
      </c>
    </row>
    <row r="32" spans="1:6" ht="19.5" customHeight="1">
      <c r="A32" s="42" t="s">
        <v>189</v>
      </c>
      <c r="B32" s="42" t="s">
        <v>143</v>
      </c>
      <c r="C32" s="126">
        <f>'Aktivet e detajuara'!I5</f>
        <v>120198990</v>
      </c>
      <c r="D32" s="126">
        <f>'Aktivet e detajuara'!J5</f>
        <v>12652762</v>
      </c>
      <c r="E32" s="40"/>
      <c r="F32" t="s">
        <v>181</v>
      </c>
    </row>
    <row r="33" spans="1:5" ht="19.5" customHeight="1">
      <c r="A33" s="41"/>
      <c r="B33" s="42" t="s">
        <v>186</v>
      </c>
      <c r="C33" s="150">
        <f>C32-C31</f>
        <v>107546228</v>
      </c>
      <c r="D33" s="126">
        <f>D32-D31</f>
        <v>-82149322</v>
      </c>
      <c r="E33" s="40"/>
    </row>
    <row r="34" ht="12" customHeight="1"/>
    <row r="35" ht="12.75" hidden="1"/>
    <row r="37" spans="3:4" ht="12.75">
      <c r="C37" s="124">
        <f>C33-C30</f>
        <v>0</v>
      </c>
      <c r="D37" s="104">
        <f>D30-D33</f>
        <v>0</v>
      </c>
    </row>
    <row r="39" ht="12.75">
      <c r="C39" s="124">
        <v>0</v>
      </c>
    </row>
    <row r="40" ht="19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tabSelected="1" zoomScalePageLayoutView="0" workbookViewId="0" topLeftCell="B7">
      <selection activeCell="D19" sqref="D19"/>
    </sheetView>
  </sheetViews>
  <sheetFormatPr defaultColWidth="9.140625" defaultRowHeight="12.75"/>
  <cols>
    <col min="1" max="1" width="6.421875" style="0" customWidth="1"/>
    <col min="2" max="2" width="28.57421875" style="0" customWidth="1"/>
    <col min="3" max="3" width="14.140625" style="0" customWidth="1"/>
    <col min="4" max="4" width="9.421875" style="0" customWidth="1"/>
    <col min="5" max="5" width="7.421875" style="0" customWidth="1"/>
    <col min="6" max="6" width="13.7109375" style="0" customWidth="1"/>
    <col min="7" max="7" width="10.00390625" style="124" customWidth="1"/>
    <col min="8" max="8" width="14.140625" style="124" customWidth="1"/>
    <col min="9" max="9" width="10.421875" style="124" customWidth="1"/>
    <col min="10" max="10" width="10.28125" style="0" customWidth="1"/>
    <col min="11" max="11" width="12.28125" style="0" customWidth="1"/>
  </cols>
  <sheetData>
    <row r="1" spans="2:4" ht="12.75">
      <c r="B1" s="38" t="s">
        <v>192</v>
      </c>
      <c r="D1" s="7" t="s">
        <v>225</v>
      </c>
    </row>
    <row r="2" ht="12.75">
      <c r="B2" s="38" t="s">
        <v>191</v>
      </c>
    </row>
    <row r="3" spans="1:11" ht="13.5">
      <c r="A3" s="46"/>
      <c r="B3" s="114"/>
      <c r="C3" s="115" t="s">
        <v>144</v>
      </c>
      <c r="D3" s="115"/>
      <c r="E3" s="115"/>
      <c r="F3" s="115"/>
      <c r="G3" s="135"/>
      <c r="H3" s="136" t="s">
        <v>224</v>
      </c>
      <c r="I3" s="136"/>
      <c r="J3" s="114"/>
      <c r="K3" s="114"/>
    </row>
    <row r="4" spans="1:11" ht="51">
      <c r="A4" s="45"/>
      <c r="B4" s="116"/>
      <c r="C4" s="112" t="s">
        <v>75</v>
      </c>
      <c r="D4" s="113" t="s">
        <v>76</v>
      </c>
      <c r="E4" s="113" t="s">
        <v>145</v>
      </c>
      <c r="F4" s="113" t="s">
        <v>246</v>
      </c>
      <c r="G4" s="137" t="s">
        <v>146</v>
      </c>
      <c r="H4" s="137" t="s">
        <v>147</v>
      </c>
      <c r="I4" s="137" t="s">
        <v>148</v>
      </c>
      <c r="J4" s="113" t="s">
        <v>149</v>
      </c>
      <c r="K4" s="113" t="s">
        <v>148</v>
      </c>
    </row>
    <row r="5" spans="1:11" ht="15" customHeight="1">
      <c r="A5" s="42" t="s">
        <v>0</v>
      </c>
      <c r="B5" s="117" t="s">
        <v>160</v>
      </c>
      <c r="C5" s="120">
        <v>100000</v>
      </c>
      <c r="D5" s="120">
        <v>0</v>
      </c>
      <c r="E5" s="120">
        <v>0</v>
      </c>
      <c r="F5" s="120">
        <v>0</v>
      </c>
      <c r="G5" s="138">
        <v>0</v>
      </c>
      <c r="H5" s="138">
        <v>122107723</v>
      </c>
      <c r="I5" s="138">
        <v>122207723</v>
      </c>
      <c r="J5" s="120">
        <v>0</v>
      </c>
      <c r="K5" s="120">
        <v>122207723</v>
      </c>
    </row>
    <row r="6" spans="1:11" ht="13.5">
      <c r="A6" s="41">
        <v>1</v>
      </c>
      <c r="B6" s="118" t="s">
        <v>150</v>
      </c>
      <c r="C6" s="120">
        <v>0</v>
      </c>
      <c r="D6" s="120"/>
      <c r="E6" s="120"/>
      <c r="F6" s="120"/>
      <c r="G6" s="138"/>
      <c r="H6" s="138">
        <v>0</v>
      </c>
      <c r="I6" s="138">
        <v>0</v>
      </c>
      <c r="J6" s="120"/>
      <c r="K6" s="120"/>
    </row>
    <row r="7" spans="1:11" ht="15" customHeight="1">
      <c r="A7" s="41">
        <v>2</v>
      </c>
      <c r="B7" s="119" t="s">
        <v>151</v>
      </c>
      <c r="C7" s="120"/>
      <c r="D7" s="120"/>
      <c r="E7" s="120"/>
      <c r="F7" s="120"/>
      <c r="G7" s="138"/>
      <c r="H7" s="138"/>
      <c r="I7" s="138">
        <v>0</v>
      </c>
      <c r="J7" s="120"/>
      <c r="K7" s="120">
        <v>0</v>
      </c>
    </row>
    <row r="8" spans="1:11" ht="25.5">
      <c r="A8" s="41">
        <v>3</v>
      </c>
      <c r="B8" s="118" t="s">
        <v>152</v>
      </c>
      <c r="C8" s="120"/>
      <c r="D8" s="120"/>
      <c r="E8" s="120"/>
      <c r="F8" s="120"/>
      <c r="G8" s="138"/>
      <c r="H8" s="138"/>
      <c r="I8" s="138">
        <v>0</v>
      </c>
      <c r="J8" s="120"/>
      <c r="K8" s="120">
        <v>0</v>
      </c>
    </row>
    <row r="9" spans="1:11" ht="38.25">
      <c r="A9" s="41">
        <v>4</v>
      </c>
      <c r="B9" s="118" t="s">
        <v>153</v>
      </c>
      <c r="C9" s="120"/>
      <c r="D9" s="120"/>
      <c r="E9" s="120"/>
      <c r="F9" s="120"/>
      <c r="G9" s="138"/>
      <c r="H9" s="138"/>
      <c r="I9" s="138">
        <v>0</v>
      </c>
      <c r="J9" s="120"/>
      <c r="K9" s="120">
        <v>0</v>
      </c>
    </row>
    <row r="10" spans="1:11" ht="15" customHeight="1">
      <c r="A10" s="41">
        <v>5</v>
      </c>
      <c r="B10" s="118" t="s">
        <v>154</v>
      </c>
      <c r="C10" s="120"/>
      <c r="D10" s="120"/>
      <c r="E10" s="120"/>
      <c r="F10" s="120"/>
      <c r="G10" s="138"/>
      <c r="H10" s="138">
        <v>26590763.1</v>
      </c>
      <c r="I10" s="138">
        <v>26590763.1</v>
      </c>
      <c r="J10" s="120"/>
      <c r="K10" s="120">
        <v>26590763.1</v>
      </c>
    </row>
    <row r="11" spans="1:11" ht="15" customHeight="1">
      <c r="A11" s="41">
        <v>6</v>
      </c>
      <c r="B11" s="118" t="s">
        <v>155</v>
      </c>
      <c r="C11" s="120"/>
      <c r="D11" s="120"/>
      <c r="E11" s="120"/>
      <c r="F11" s="120"/>
      <c r="G11" s="138"/>
      <c r="H11" s="138"/>
      <c r="I11" s="138">
        <v>0</v>
      </c>
      <c r="J11" s="120"/>
      <c r="K11" s="120">
        <v>0</v>
      </c>
    </row>
    <row r="12" spans="1:11" ht="25.5">
      <c r="A12" s="41">
        <v>7</v>
      </c>
      <c r="B12" s="118" t="s">
        <v>156</v>
      </c>
      <c r="C12" s="120"/>
      <c r="D12" s="120"/>
      <c r="E12" s="120"/>
      <c r="F12" s="120"/>
      <c r="G12" s="138"/>
      <c r="H12" s="138"/>
      <c r="I12" s="138">
        <v>0</v>
      </c>
      <c r="J12" s="120"/>
      <c r="K12" s="120">
        <v>0</v>
      </c>
    </row>
    <row r="13" spans="1:11" ht="15.75" customHeight="1">
      <c r="A13" s="41">
        <v>8</v>
      </c>
      <c r="B13" s="118" t="s">
        <v>157</v>
      </c>
      <c r="C13" s="120"/>
      <c r="D13" s="120"/>
      <c r="E13" s="120"/>
      <c r="F13" s="120"/>
      <c r="G13" s="138"/>
      <c r="H13" s="138"/>
      <c r="I13" s="138">
        <v>0</v>
      </c>
      <c r="J13" s="120"/>
      <c r="K13" s="120">
        <v>0</v>
      </c>
    </row>
    <row r="14" spans="1:11" ht="15.75" customHeight="1">
      <c r="A14" s="42" t="s">
        <v>1</v>
      </c>
      <c r="B14" s="117" t="s">
        <v>163</v>
      </c>
      <c r="C14" s="120">
        <v>100000</v>
      </c>
      <c r="D14" s="120">
        <v>0</v>
      </c>
      <c r="E14" s="120">
        <v>0</v>
      </c>
      <c r="F14" s="120">
        <v>0</v>
      </c>
      <c r="G14" s="138">
        <v>0</v>
      </c>
      <c r="H14" s="138">
        <v>148698486.1</v>
      </c>
      <c r="I14" s="138">
        <v>148798486.1</v>
      </c>
      <c r="J14" s="120">
        <v>0</v>
      </c>
      <c r="K14" s="120">
        <v>148798486.1</v>
      </c>
    </row>
    <row r="15" spans="1:11" ht="13.5">
      <c r="A15" s="41">
        <v>1</v>
      </c>
      <c r="B15" s="119"/>
      <c r="C15" s="121">
        <v>0</v>
      </c>
      <c r="D15" s="120"/>
      <c r="E15" s="120"/>
      <c r="F15" s="120"/>
      <c r="G15" s="138"/>
      <c r="H15" s="139">
        <v>0</v>
      </c>
      <c r="I15" s="139">
        <v>0</v>
      </c>
      <c r="J15" s="120"/>
      <c r="K15" s="120"/>
    </row>
    <row r="16" spans="1:11" ht="25.5">
      <c r="A16" s="41">
        <v>2</v>
      </c>
      <c r="B16" s="118" t="s">
        <v>152</v>
      </c>
      <c r="C16" s="120"/>
      <c r="D16" s="120"/>
      <c r="E16" s="120"/>
      <c r="F16" s="120"/>
      <c r="G16" s="138"/>
      <c r="H16" s="138"/>
      <c r="I16" s="138">
        <f>H16+G16+F16+E16+D16+C16</f>
        <v>0</v>
      </c>
      <c r="J16" s="120"/>
      <c r="K16" s="120">
        <f aca="true" t="shared" si="0" ref="K16:K22">I16+J16</f>
        <v>0</v>
      </c>
    </row>
    <row r="17" spans="1:11" ht="38.25">
      <c r="A17" s="41">
        <v>3</v>
      </c>
      <c r="B17" s="118" t="s">
        <v>153</v>
      </c>
      <c r="C17" s="120"/>
      <c r="D17" s="120"/>
      <c r="E17" s="120"/>
      <c r="F17" s="120"/>
      <c r="G17" s="138"/>
      <c r="H17" s="138"/>
      <c r="I17" s="138">
        <f aca="true" t="shared" si="1" ref="I17:I22">H17+G17+F17+E17+D17+C17</f>
        <v>0</v>
      </c>
      <c r="J17" s="120"/>
      <c r="K17" s="120">
        <f t="shared" si="0"/>
        <v>0</v>
      </c>
    </row>
    <row r="18" spans="1:11" ht="13.5">
      <c r="A18" s="41">
        <v>4</v>
      </c>
      <c r="B18" s="118" t="s">
        <v>245</v>
      </c>
      <c r="C18" s="120"/>
      <c r="D18" s="120"/>
      <c r="E18" s="120"/>
      <c r="F18" s="120">
        <v>148698486</v>
      </c>
      <c r="G18" s="138"/>
      <c r="H18" s="138">
        <f>-148698486</f>
        <v>-148698486</v>
      </c>
      <c r="I18" s="138">
        <f t="shared" si="1"/>
        <v>0</v>
      </c>
      <c r="J18" s="120"/>
      <c r="K18" s="120">
        <f t="shared" si="0"/>
        <v>0</v>
      </c>
    </row>
    <row r="19" spans="1:11" ht="13.5">
      <c r="A19" s="41">
        <v>5</v>
      </c>
      <c r="B19" s="118" t="s">
        <v>158</v>
      </c>
      <c r="C19" s="120"/>
      <c r="D19" s="120"/>
      <c r="E19" s="120"/>
      <c r="F19" s="120"/>
      <c r="G19" s="138"/>
      <c r="H19" s="138">
        <f>'Aktivet e detajuara'!I103</f>
        <v>4522224.2</v>
      </c>
      <c r="I19" s="138">
        <f t="shared" si="1"/>
        <v>4522224.2</v>
      </c>
      <c r="J19" s="120"/>
      <c r="K19" s="120">
        <f t="shared" si="0"/>
        <v>4522224.2</v>
      </c>
    </row>
    <row r="20" spans="1:11" ht="15" customHeight="1">
      <c r="A20" s="41">
        <v>6</v>
      </c>
      <c r="B20" s="118" t="s">
        <v>155</v>
      </c>
      <c r="C20" s="120"/>
      <c r="D20" s="120"/>
      <c r="E20" s="120"/>
      <c r="F20" s="120"/>
      <c r="G20" s="138"/>
      <c r="H20" s="138"/>
      <c r="I20" s="138">
        <f t="shared" si="1"/>
        <v>0</v>
      </c>
      <c r="J20" s="120"/>
      <c r="K20" s="120">
        <f t="shared" si="0"/>
        <v>0</v>
      </c>
    </row>
    <row r="21" spans="1:11" ht="15" customHeight="1">
      <c r="A21" s="41">
        <v>7</v>
      </c>
      <c r="B21" s="118" t="s">
        <v>157</v>
      </c>
      <c r="C21" s="120"/>
      <c r="D21" s="120"/>
      <c r="E21" s="120"/>
      <c r="F21" s="120"/>
      <c r="G21" s="138"/>
      <c r="H21" s="138"/>
      <c r="I21" s="138">
        <f t="shared" si="1"/>
        <v>0</v>
      </c>
      <c r="J21" s="120"/>
      <c r="K21" s="120">
        <f t="shared" si="0"/>
        <v>0</v>
      </c>
    </row>
    <row r="22" spans="1:11" ht="15" customHeight="1">
      <c r="A22" s="41">
        <v>8</v>
      </c>
      <c r="B22" s="118" t="s">
        <v>159</v>
      </c>
      <c r="C22" s="120"/>
      <c r="D22" s="120"/>
      <c r="E22" s="120"/>
      <c r="F22" s="120"/>
      <c r="G22" s="138"/>
      <c r="H22" s="138"/>
      <c r="I22" s="138">
        <f t="shared" si="1"/>
        <v>0</v>
      </c>
      <c r="J22" s="120"/>
      <c r="K22" s="120">
        <f t="shared" si="0"/>
        <v>0</v>
      </c>
    </row>
    <row r="23" spans="1:11" ht="15" customHeight="1">
      <c r="A23" s="42" t="s">
        <v>2</v>
      </c>
      <c r="B23" s="117" t="s">
        <v>235</v>
      </c>
      <c r="C23" s="120">
        <f aca="true" t="shared" si="2" ref="C23:K23">SUM(C14:C22)</f>
        <v>100000</v>
      </c>
      <c r="D23" s="120">
        <f t="shared" si="2"/>
        <v>0</v>
      </c>
      <c r="E23" s="120">
        <f t="shared" si="2"/>
        <v>0</v>
      </c>
      <c r="F23" s="120">
        <f t="shared" si="2"/>
        <v>148698486</v>
      </c>
      <c r="G23" s="138">
        <f t="shared" si="2"/>
        <v>0</v>
      </c>
      <c r="H23" s="138">
        <f t="shared" si="2"/>
        <v>4522224.299999994</v>
      </c>
      <c r="I23" s="138">
        <f t="shared" si="2"/>
        <v>153320710.29999998</v>
      </c>
      <c r="J23" s="120">
        <f t="shared" si="2"/>
        <v>0</v>
      </c>
      <c r="K23" s="120">
        <f t="shared" si="2"/>
        <v>153320710.29999998</v>
      </c>
    </row>
  </sheetData>
  <sheetProtection/>
  <printOptions/>
  <pageMargins left="0.25" right="0.14" top="0.5" bottom="0.89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newnetalb</cp:lastModifiedBy>
  <cp:lastPrinted>2011-04-29T13:50:58Z</cp:lastPrinted>
  <dcterms:created xsi:type="dcterms:W3CDTF">2001-01-12T15:48:55Z</dcterms:created>
  <dcterms:modified xsi:type="dcterms:W3CDTF">2011-07-07T09:32:11Z</dcterms:modified>
  <cp:category/>
  <cp:version/>
  <cp:contentType/>
  <cp:contentStatus/>
</cp:coreProperties>
</file>