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UROTREMA PEQIN\BILANIC\"/>
    </mc:Choice>
  </mc:AlternateContent>
  <bookViews>
    <workbookView xWindow="0" yWindow="0" windowWidth="15360" windowHeight="7755" tabRatio="731"/>
  </bookViews>
  <sheets>
    <sheet name="kapaku" sheetId="4" r:id="rId1"/>
    <sheet name="Aktiv-Pasiv" sheetId="1" r:id="rId2"/>
    <sheet name="te ardhura e shpenzime" sheetId="2" r:id="rId3"/>
    <sheet name="Fluksi Monetar" sheetId="3" r:id="rId4"/>
    <sheet name="Kapitali" sheetId="10" r:id="rId5"/>
    <sheet name="Shenim-2" sheetId="8" r:id="rId6"/>
    <sheet name="Aktive Qendrushme" sheetId="7" r:id="rId7"/>
    <sheet name="Amortizimi" sheetId="6" r:id="rId8"/>
    <sheet name="AAM" sheetId="13" r:id="rId9"/>
    <sheet name="Aneks Statistikor" sheetId="12" r:id="rId10"/>
    <sheet name="rezultati tatimor" sheetId="26" r:id="rId11"/>
    <sheet name="Aktivitet per BM" sheetId="11" r:id="rId12"/>
    <sheet name="Fondi_Pagave" sheetId="32" r:id="rId13"/>
    <sheet name="Mjete_Transporti" sheetId="31" r:id="rId14"/>
    <sheet name="Magazina_Tabela" sheetId="29" r:id="rId15"/>
    <sheet name="Magazina_Analitike" sheetId="30" r:id="rId16"/>
    <sheet name="Shenime" sheetId="5" r:id="rId17"/>
  </sheets>
  <externalReferences>
    <externalReference r:id="rId18"/>
  </externalReferences>
  <definedNames>
    <definedName name="_xlnm.Print_Area" localSheetId="8">AAM!$A$1:$G$55</definedName>
    <definedName name="_xlnm.Print_Area" localSheetId="6">'Aktive Qendrushme'!$A$1:$M$35</definedName>
    <definedName name="_xlnm.Print_Area" localSheetId="11">'Aktivitet per BM'!$A$1:$D$59</definedName>
    <definedName name="_xlnm.Print_Area" localSheetId="1">'Aktiv-Pasiv'!$A$1:$H$108</definedName>
    <definedName name="_xlnm.Print_Area" localSheetId="7">Amortizimi!$A$1:$N$33</definedName>
    <definedName name="_xlnm.Print_Area" localSheetId="9">'Aneks Statistikor'!$A$1:$L$87</definedName>
    <definedName name="_xlnm.Print_Area" localSheetId="3">'Fluksi Monetar'!$A$1:$H$45</definedName>
    <definedName name="_xlnm.Print_Area" localSheetId="13">Mjete_Transporti!$A$1:$F$54</definedName>
    <definedName name="_xlnm.Print_Area" localSheetId="5">'Shenim-2'!$A$1:$K$219</definedName>
    <definedName name="_xlnm.Print_Area" localSheetId="2">'te ardhura e shpenzime'!$A$1:$H$42</definedName>
    <definedName name="_xlnm.Print_Titles" localSheetId="13">Mjete_Transporti!$8:$8</definedName>
  </definedNames>
  <calcPr calcId="152511"/>
</workbook>
</file>

<file path=xl/calcChain.xml><?xml version="1.0" encoding="utf-8"?>
<calcChain xmlns="http://schemas.openxmlformats.org/spreadsheetml/2006/main">
  <c r="H152" i="8" l="1"/>
  <c r="I54" i="12"/>
  <c r="F117" i="8"/>
  <c r="F17" i="6"/>
  <c r="E41" i="1"/>
  <c r="E38" i="1" s="1"/>
  <c r="E53" i="1" s="1"/>
  <c r="E17" i="2"/>
  <c r="F25" i="31"/>
  <c r="F48" i="31" s="1"/>
  <c r="D55" i="11"/>
  <c r="H150" i="8"/>
  <c r="H148" i="8"/>
  <c r="F31" i="2"/>
  <c r="F73" i="1" s="1"/>
  <c r="F22" i="3"/>
  <c r="F32" i="3"/>
  <c r="F30" i="3"/>
  <c r="F34" i="3"/>
  <c r="F21" i="3"/>
  <c r="F19" i="3"/>
  <c r="E14" i="1"/>
  <c r="E25" i="2"/>
  <c r="E11" i="2"/>
  <c r="K13" i="32"/>
  <c r="J13" i="32"/>
  <c r="I13" i="32"/>
  <c r="H13" i="32"/>
  <c r="G13" i="32"/>
  <c r="F13" i="32"/>
  <c r="E13" i="32"/>
  <c r="D13" i="32"/>
  <c r="C13" i="32"/>
  <c r="B13" i="32"/>
  <c r="E13" i="2"/>
  <c r="F31" i="3"/>
  <c r="F15" i="3"/>
  <c r="F42" i="3"/>
  <c r="E26" i="3"/>
  <c r="E15" i="3"/>
  <c r="E40" i="3"/>
  <c r="F40" i="3"/>
  <c r="F35" i="3"/>
  <c r="I46" i="12"/>
  <c r="I62" i="12"/>
  <c r="I75" i="12"/>
  <c r="I66" i="12"/>
  <c r="I61" i="12"/>
  <c r="D25" i="13"/>
  <c r="D41" i="13" s="1"/>
  <c r="F41" i="13"/>
  <c r="D40" i="13"/>
  <c r="D28" i="13"/>
  <c r="D27" i="13"/>
  <c r="D26" i="13"/>
  <c r="E8" i="13"/>
  <c r="E42" i="1"/>
  <c r="B18" i="7"/>
  <c r="D13" i="26"/>
  <c r="H205" i="8" s="1"/>
  <c r="H198" i="8"/>
  <c r="J198" i="8"/>
  <c r="H196" i="8"/>
  <c r="J196" i="8"/>
  <c r="H188" i="8"/>
  <c r="J188" i="8"/>
  <c r="H146" i="8"/>
  <c r="H144" i="8"/>
  <c r="F118" i="8"/>
  <c r="E118" i="8"/>
  <c r="J120" i="8"/>
  <c r="I120" i="8"/>
  <c r="H120" i="8"/>
  <c r="H49" i="8"/>
  <c r="J49" i="8"/>
  <c r="I35" i="10"/>
  <c r="K35" i="10"/>
  <c r="I36" i="10"/>
  <c r="K36" i="10"/>
  <c r="I37" i="10"/>
  <c r="K37" i="10"/>
  <c r="I39" i="10"/>
  <c r="K39" i="10"/>
  <c r="I41" i="10"/>
  <c r="K41" i="10"/>
  <c r="E8" i="1"/>
  <c r="E26" i="2"/>
  <c r="E18" i="2"/>
  <c r="E12" i="2"/>
  <c r="E7" i="2"/>
  <c r="E6" i="2"/>
  <c r="E74" i="1"/>
  <c r="E84" i="1"/>
  <c r="E86" i="1" s="1"/>
  <c r="E90" i="1" s="1"/>
  <c r="H176" i="8" s="1"/>
  <c r="E66" i="1"/>
  <c r="E65" i="1" s="1"/>
  <c r="E23" i="1"/>
  <c r="E21" i="1"/>
  <c r="H82" i="8" s="1"/>
  <c r="E36" i="1"/>
  <c r="E37" i="1" s="1"/>
  <c r="E34" i="1"/>
  <c r="E32" i="1"/>
  <c r="H108" i="8" s="1"/>
  <c r="E40" i="1"/>
  <c r="E9" i="1"/>
  <c r="E7" i="1" s="1"/>
  <c r="E43" i="3" s="1"/>
  <c r="I45" i="12"/>
  <c r="I51" i="12"/>
  <c r="I71" i="12"/>
  <c r="I8" i="12"/>
  <c r="I12" i="12"/>
  <c r="I16" i="12"/>
  <c r="I24" i="12" s="1"/>
  <c r="E10" i="1"/>
  <c r="E50" i="1"/>
  <c r="E46" i="1"/>
  <c r="E19" i="1"/>
  <c r="E13" i="1"/>
  <c r="G113" i="30"/>
  <c r="G54" i="30"/>
  <c r="G55" i="30"/>
  <c r="G56" i="30"/>
  <c r="G106" i="30"/>
  <c r="G107" i="30"/>
  <c r="G114" i="30"/>
  <c r="G115" i="30"/>
  <c r="G185" i="30"/>
  <c r="G217" i="30"/>
  <c r="G218" i="30"/>
  <c r="G219" i="30"/>
  <c r="E16" i="29" s="1"/>
  <c r="F16" i="29" s="1"/>
  <c r="G313" i="30"/>
  <c r="G321" i="30"/>
  <c r="E18" i="29" s="1"/>
  <c r="F18" i="29" s="1"/>
  <c r="G331" i="30"/>
  <c r="E19" i="29" s="1"/>
  <c r="F19" i="29" s="1"/>
  <c r="E15" i="29"/>
  <c r="F15" i="29" s="1"/>
  <c r="E122" i="30"/>
  <c r="G122" i="30"/>
  <c r="G123" i="30" s="1"/>
  <c r="E14" i="29" s="1"/>
  <c r="F14" i="29" s="1"/>
  <c r="G38" i="30"/>
  <c r="G39" i="30" s="1"/>
  <c r="G20" i="30"/>
  <c r="G21" i="30" s="1"/>
  <c r="E11" i="29" s="1"/>
  <c r="F11" i="29" s="1"/>
  <c r="G16" i="30"/>
  <c r="E10" i="29" s="1"/>
  <c r="F10" i="29" s="1"/>
  <c r="G8" i="30"/>
  <c r="E9" i="29"/>
  <c r="F9" i="29" s="1"/>
  <c r="D20" i="29"/>
  <c r="F17" i="29"/>
  <c r="F21" i="1"/>
  <c r="F66" i="1"/>
  <c r="F65" i="1" s="1"/>
  <c r="G22" i="7"/>
  <c r="E10" i="13" s="1"/>
  <c r="L22" i="7"/>
  <c r="M22" i="7" s="1"/>
  <c r="F18" i="2"/>
  <c r="F26" i="2"/>
  <c r="M18" i="6"/>
  <c r="F27" i="13"/>
  <c r="M17" i="6"/>
  <c r="F26" i="13"/>
  <c r="F42" i="13" s="1"/>
  <c r="H15" i="6"/>
  <c r="E25" i="13"/>
  <c r="F71" i="1"/>
  <c r="J144" i="8"/>
  <c r="F11" i="2"/>
  <c r="F12" i="2"/>
  <c r="F13" i="2"/>
  <c r="F19" i="2"/>
  <c r="H17" i="6"/>
  <c r="E26" i="13"/>
  <c r="G26" i="13" s="1"/>
  <c r="H19" i="6"/>
  <c r="E28" i="13"/>
  <c r="H18" i="6"/>
  <c r="L23" i="7"/>
  <c r="F11" i="13" s="1"/>
  <c r="G11" i="13" s="1"/>
  <c r="G24" i="7"/>
  <c r="E12" i="13" s="1"/>
  <c r="G23" i="7"/>
  <c r="M23" i="7" s="1"/>
  <c r="G19" i="7"/>
  <c r="L19" i="7"/>
  <c r="D13" i="6"/>
  <c r="D27" i="6" s="1"/>
  <c r="F27" i="2"/>
  <c r="F25" i="2"/>
  <c r="F23" i="2" s="1"/>
  <c r="F28" i="2" s="1"/>
  <c r="F6" i="2"/>
  <c r="F7" i="2"/>
  <c r="D14" i="11"/>
  <c r="D18" i="11"/>
  <c r="D27" i="11"/>
  <c r="D32" i="11"/>
  <c r="D44" i="11"/>
  <c r="L45" i="12"/>
  <c r="L51" i="12"/>
  <c r="L64" i="12"/>
  <c r="L66" i="12"/>
  <c r="L55" i="12" s="1"/>
  <c r="L71" i="12"/>
  <c r="K45" i="12"/>
  <c r="K51" i="12"/>
  <c r="K76" i="12" s="1"/>
  <c r="K55" i="12"/>
  <c r="K71" i="12"/>
  <c r="J45" i="12"/>
  <c r="J51" i="12"/>
  <c r="J58" i="12"/>
  <c r="J55" i="12" s="1"/>
  <c r="J62" i="12"/>
  <c r="J66" i="12"/>
  <c r="J71" i="12"/>
  <c r="L8" i="12"/>
  <c r="L16" i="12"/>
  <c r="K8" i="12"/>
  <c r="K12" i="12"/>
  <c r="K16" i="12"/>
  <c r="J8" i="12"/>
  <c r="J12" i="12"/>
  <c r="J16" i="12"/>
  <c r="G8" i="13"/>
  <c r="G24" i="13"/>
  <c r="G40" i="13"/>
  <c r="G9" i="13"/>
  <c r="G13" i="13"/>
  <c r="G45" i="13" s="1"/>
  <c r="G14" i="13"/>
  <c r="G30" i="13"/>
  <c r="G46" i="13" s="1"/>
  <c r="G47" i="13"/>
  <c r="G48" i="13"/>
  <c r="F40" i="13"/>
  <c r="F44" i="13"/>
  <c r="F45" i="13"/>
  <c r="F46" i="13"/>
  <c r="E40" i="13"/>
  <c r="E45" i="13"/>
  <c r="E46" i="13"/>
  <c r="D42" i="13"/>
  <c r="D43" i="13"/>
  <c r="D44" i="13"/>
  <c r="D45" i="13"/>
  <c r="D46" i="13"/>
  <c r="G31" i="13"/>
  <c r="G32" i="13"/>
  <c r="D33" i="13"/>
  <c r="G15" i="13"/>
  <c r="G16" i="13"/>
  <c r="D17" i="13"/>
  <c r="P77" i="1"/>
  <c r="O77" i="1"/>
  <c r="P73" i="1"/>
  <c r="O73" i="1"/>
  <c r="Q73" i="1"/>
  <c r="G6" i="2"/>
  <c r="G7" i="2"/>
  <c r="G8" i="2"/>
  <c r="G11" i="2"/>
  <c r="G12" i="2"/>
  <c r="G16" i="2"/>
  <c r="G13" i="2" s="1"/>
  <c r="G18" i="2"/>
  <c r="G25" i="2"/>
  <c r="G23" i="2" s="1"/>
  <c r="G28" i="2" s="1"/>
  <c r="G26" i="2"/>
  <c r="G27" i="2"/>
  <c r="G31" i="2"/>
  <c r="F36" i="1"/>
  <c r="F17" i="1"/>
  <c r="F42" i="1"/>
  <c r="F41" i="1"/>
  <c r="H164" i="8"/>
  <c r="G28" i="7"/>
  <c r="L28" i="7"/>
  <c r="H18" i="7"/>
  <c r="G21" i="7"/>
  <c r="L21" i="7"/>
  <c r="M21" i="7" s="1"/>
  <c r="L24" i="7"/>
  <c r="G25" i="7"/>
  <c r="L25" i="7"/>
  <c r="G26" i="7"/>
  <c r="L26" i="7"/>
  <c r="M26" i="7"/>
  <c r="G27" i="7"/>
  <c r="L27" i="7"/>
  <c r="M27" i="7" s="1"/>
  <c r="L20" i="7"/>
  <c r="G20" i="7"/>
  <c r="M19" i="6"/>
  <c r="F13" i="6"/>
  <c r="F27" i="6" s="1"/>
  <c r="D15" i="10"/>
  <c r="D24" i="10" s="1"/>
  <c r="D33" i="10"/>
  <c r="D42" i="10" s="1"/>
  <c r="E15" i="10"/>
  <c r="F15" i="10"/>
  <c r="F24" i="10" s="1"/>
  <c r="F33" i="10" s="1"/>
  <c r="F42" i="10" s="1"/>
  <c r="G15" i="10"/>
  <c r="G24" i="10" s="1"/>
  <c r="G33" i="10" s="1"/>
  <c r="G42" i="10" s="1"/>
  <c r="H15" i="10"/>
  <c r="I15" i="10"/>
  <c r="I26" i="10"/>
  <c r="K26" i="10" s="1"/>
  <c r="I27" i="10"/>
  <c r="K27" i="10" s="1"/>
  <c r="I28" i="10"/>
  <c r="K28" i="10" s="1"/>
  <c r="I30" i="10"/>
  <c r="I32" i="10"/>
  <c r="K32" i="10" s="1"/>
  <c r="J15" i="10"/>
  <c r="J24" i="10" s="1"/>
  <c r="J33" i="10" s="1"/>
  <c r="J42" i="10" s="1"/>
  <c r="K15" i="10"/>
  <c r="K30" i="10"/>
  <c r="C15" i="10"/>
  <c r="C24" i="10"/>
  <c r="C33" i="10" s="1"/>
  <c r="C42" i="10" s="1"/>
  <c r="F8" i="1"/>
  <c r="F7" i="1" s="1"/>
  <c r="E42" i="3" s="1"/>
  <c r="F43" i="3" s="1"/>
  <c r="F45" i="3" s="1"/>
  <c r="F23" i="1"/>
  <c r="F20" i="1" s="1"/>
  <c r="H25" i="2"/>
  <c r="H26" i="2"/>
  <c r="H23" i="2" s="1"/>
  <c r="F84" i="1"/>
  <c r="F86" i="1" s="1"/>
  <c r="G73" i="1"/>
  <c r="G70" i="1" s="1"/>
  <c r="F72" i="1"/>
  <c r="J146" i="8" s="1"/>
  <c r="F40" i="1"/>
  <c r="F83" i="1"/>
  <c r="F82" i="1" s="1"/>
  <c r="F76" i="1"/>
  <c r="H162" i="8" s="1"/>
  <c r="F34" i="1"/>
  <c r="F10" i="1"/>
  <c r="F90" i="1"/>
  <c r="J176" i="8" s="1"/>
  <c r="F50" i="1"/>
  <c r="F46" i="1"/>
  <c r="F13" i="1"/>
  <c r="L11" i="26"/>
  <c r="L12" i="26"/>
  <c r="L17" i="26" s="1"/>
  <c r="L26" i="26" s="1"/>
  <c r="K12" i="26"/>
  <c r="K18" i="26"/>
  <c r="L18" i="26"/>
  <c r="D9" i="26"/>
  <c r="G21" i="1"/>
  <c r="H21" i="2"/>
  <c r="G23" i="1"/>
  <c r="G20" i="1" s="1"/>
  <c r="H16" i="1"/>
  <c r="H14" i="6"/>
  <c r="H16" i="6"/>
  <c r="M14" i="6"/>
  <c r="M15" i="6"/>
  <c r="N15" i="6" s="1"/>
  <c r="M16" i="6"/>
  <c r="N16" i="6" s="1"/>
  <c r="H20" i="6"/>
  <c r="M20" i="6"/>
  <c r="N20" i="6" s="1"/>
  <c r="H21" i="6"/>
  <c r="M21" i="6"/>
  <c r="H22" i="6"/>
  <c r="M22" i="6"/>
  <c r="N22" i="6"/>
  <c r="H23" i="6"/>
  <c r="M23" i="6"/>
  <c r="N23" i="6" s="1"/>
  <c r="L13" i="6"/>
  <c r="L27" i="6" s="1"/>
  <c r="K13" i="6"/>
  <c r="K27" i="6" s="1"/>
  <c r="J13" i="6"/>
  <c r="J27" i="6" s="1"/>
  <c r="I13" i="6"/>
  <c r="I27" i="6" s="1"/>
  <c r="G13" i="6"/>
  <c r="G27" i="6" s="1"/>
  <c r="E13" i="6"/>
  <c r="E27" i="6" s="1"/>
  <c r="G11" i="7"/>
  <c r="L11" i="7"/>
  <c r="M11" i="7" s="1"/>
  <c r="G12" i="7"/>
  <c r="L12" i="7"/>
  <c r="G13" i="7"/>
  <c r="L13" i="7"/>
  <c r="M13" i="7"/>
  <c r="G14" i="7"/>
  <c r="L14" i="7"/>
  <c r="M14" i="7" s="1"/>
  <c r="G15" i="7"/>
  <c r="L15" i="7"/>
  <c r="M15" i="7" s="1"/>
  <c r="G16" i="7"/>
  <c r="L16" i="7"/>
  <c r="K10" i="7"/>
  <c r="K18" i="7"/>
  <c r="J10" i="7"/>
  <c r="J18" i="7"/>
  <c r="J30" i="7"/>
  <c r="I10" i="7"/>
  <c r="I18" i="7"/>
  <c r="I30" i="7" s="1"/>
  <c r="H10" i="7"/>
  <c r="G10" i="7"/>
  <c r="F10" i="7"/>
  <c r="F18" i="7"/>
  <c r="F30" i="7" s="1"/>
  <c r="E10" i="7"/>
  <c r="E18" i="7"/>
  <c r="E30" i="7" s="1"/>
  <c r="D10" i="7"/>
  <c r="D18" i="7"/>
  <c r="C10" i="7"/>
  <c r="C18" i="7"/>
  <c r="C30" i="7"/>
  <c r="B10" i="7"/>
  <c r="B30" i="7"/>
  <c r="G115" i="8"/>
  <c r="G117" i="8"/>
  <c r="F120" i="8"/>
  <c r="I17" i="10"/>
  <c r="K17" i="10"/>
  <c r="I18" i="10"/>
  <c r="K18" i="10"/>
  <c r="I19" i="10"/>
  <c r="K19" i="10"/>
  <c r="I21" i="10"/>
  <c r="K21" i="10"/>
  <c r="H22" i="10"/>
  <c r="E22" i="10"/>
  <c r="I22" i="10" s="1"/>
  <c r="K22" i="10" s="1"/>
  <c r="I23" i="10"/>
  <c r="K23" i="10" s="1"/>
  <c r="H6" i="2"/>
  <c r="H7" i="2"/>
  <c r="H9" i="2"/>
  <c r="H8" i="2"/>
  <c r="H11" i="2"/>
  <c r="H12" i="2"/>
  <c r="H14" i="2"/>
  <c r="H15" i="2"/>
  <c r="H13" i="2"/>
  <c r="H17" i="2"/>
  <c r="H18" i="2"/>
  <c r="G17" i="1"/>
  <c r="G14" i="1"/>
  <c r="H101" i="1"/>
  <c r="H100" i="1"/>
  <c r="H104" i="1" s="1"/>
  <c r="H84" i="1"/>
  <c r="H83" i="1"/>
  <c r="H82" i="1" s="1"/>
  <c r="H75" i="1"/>
  <c r="H73" i="1"/>
  <c r="H72" i="1"/>
  <c r="H71" i="1"/>
  <c r="H70" i="1" s="1"/>
  <c r="H63" i="1" s="1"/>
  <c r="H76" i="1"/>
  <c r="H69" i="1"/>
  <c r="H34" i="1"/>
  <c r="H36" i="1"/>
  <c r="H32" i="1" s="1"/>
  <c r="H39" i="1"/>
  <c r="H40" i="1"/>
  <c r="H41" i="1"/>
  <c r="H42" i="1"/>
  <c r="H43" i="1"/>
  <c r="H8" i="1"/>
  <c r="H9" i="1"/>
  <c r="H7" i="1" s="1"/>
  <c r="H10" i="1"/>
  <c r="H15" i="1"/>
  <c r="H14" i="1" s="1"/>
  <c r="H21" i="1"/>
  <c r="H20" i="1" s="1"/>
  <c r="H23" i="1"/>
  <c r="G101" i="1"/>
  <c r="G100" i="1"/>
  <c r="G84" i="1"/>
  <c r="G83" i="1" s="1"/>
  <c r="G89" i="1"/>
  <c r="J164" i="8" s="1"/>
  <c r="G75" i="1"/>
  <c r="G76" i="1"/>
  <c r="J162" i="8"/>
  <c r="G69" i="1"/>
  <c r="G34" i="1"/>
  <c r="G37" i="1" s="1"/>
  <c r="G36" i="1"/>
  <c r="G32" i="1"/>
  <c r="G40" i="1"/>
  <c r="G41" i="1"/>
  <c r="G42" i="1"/>
  <c r="G8" i="1"/>
  <c r="G9" i="1"/>
  <c r="G7" i="1"/>
  <c r="G10" i="1"/>
  <c r="H93" i="1"/>
  <c r="H86" i="1"/>
  <c r="H90" i="1"/>
  <c r="H65" i="1"/>
  <c r="G65" i="1"/>
  <c r="H50" i="1"/>
  <c r="G50" i="1"/>
  <c r="H46" i="1"/>
  <c r="G46" i="1"/>
  <c r="H44" i="1"/>
  <c r="G26" i="1"/>
  <c r="H19" i="1"/>
  <c r="H13" i="1"/>
  <c r="G13" i="1"/>
  <c r="F33" i="13"/>
  <c r="F43" i="13"/>
  <c r="E41" i="13"/>
  <c r="G10" i="13"/>
  <c r="G42" i="13" s="1"/>
  <c r="E12" i="29"/>
  <c r="F12" i="29" s="1"/>
  <c r="G19" i="2"/>
  <c r="G6" i="1"/>
  <c r="G19" i="1"/>
  <c r="G86" i="1"/>
  <c r="M13" i="6"/>
  <c r="M27" i="6" s="1"/>
  <c r="N17" i="6"/>
  <c r="N18" i="6"/>
  <c r="N19" i="6"/>
  <c r="F70" i="1"/>
  <c r="E26" i="1"/>
  <c r="E69" i="1"/>
  <c r="E10" i="2"/>
  <c r="M24" i="7"/>
  <c r="F49" i="13"/>
  <c r="J76" i="12" l="1"/>
  <c r="L76" i="12"/>
  <c r="F63" i="1"/>
  <c r="E45" i="3"/>
  <c r="E21" i="3"/>
  <c r="K24" i="12"/>
  <c r="D49" i="13"/>
  <c r="E23" i="2"/>
  <c r="E28" i="2" s="1"/>
  <c r="H140" i="8"/>
  <c r="J88" i="8"/>
  <c r="F69" i="1"/>
  <c r="G90" i="1"/>
  <c r="E31" i="1"/>
  <c r="G25" i="13"/>
  <c r="G41" i="13" s="1"/>
  <c r="F17" i="13"/>
  <c r="H26" i="1"/>
  <c r="G44" i="1"/>
  <c r="G77" i="1"/>
  <c r="G80" i="1" s="1"/>
  <c r="H37" i="1"/>
  <c r="D30" i="7"/>
  <c r="H30" i="7"/>
  <c r="K30" i="7"/>
  <c r="M16" i="7"/>
  <c r="M12" i="7"/>
  <c r="M10" i="7" s="1"/>
  <c r="N21" i="6"/>
  <c r="H28" i="2"/>
  <c r="M25" i="7"/>
  <c r="M28" i="7"/>
  <c r="E119" i="8" s="1"/>
  <c r="G119" i="8" s="1"/>
  <c r="L24" i="12"/>
  <c r="F10" i="2"/>
  <c r="F20" i="2" s="1"/>
  <c r="F29" i="2" s="1"/>
  <c r="E44" i="1"/>
  <c r="E83" i="1"/>
  <c r="E82" i="1" s="1"/>
  <c r="E20" i="1"/>
  <c r="E6" i="1" s="1"/>
  <c r="E54" i="1" s="1"/>
  <c r="G118" i="8"/>
  <c r="G63" i="1"/>
  <c r="G38" i="1"/>
  <c r="G53" i="1" s="1"/>
  <c r="G54" i="1" s="1"/>
  <c r="H38" i="1"/>
  <c r="H53" i="1" s="1"/>
  <c r="H10" i="2"/>
  <c r="F32" i="1"/>
  <c r="F37" i="1"/>
  <c r="M19" i="7"/>
  <c r="L18" i="7"/>
  <c r="G12" i="13"/>
  <c r="E44" i="13"/>
  <c r="E27" i="13"/>
  <c r="H13" i="6"/>
  <c r="H27" i="6" s="1"/>
  <c r="E42" i="13"/>
  <c r="E17" i="13"/>
  <c r="E30" i="3" s="1"/>
  <c r="J82" i="8"/>
  <c r="J80" i="8" s="1"/>
  <c r="F26" i="1"/>
  <c r="I55" i="12"/>
  <c r="I76" i="12" s="1"/>
  <c r="F77" i="1"/>
  <c r="F80" i="1" s="1"/>
  <c r="G82" i="1"/>
  <c r="H6" i="1"/>
  <c r="H77" i="1"/>
  <c r="H80" i="1" s="1"/>
  <c r="H106" i="1" s="1"/>
  <c r="H19" i="2"/>
  <c r="L10" i="7"/>
  <c r="L30" i="7" s="1"/>
  <c r="M20" i="7"/>
  <c r="E116" i="8" s="1"/>
  <c r="G18" i="7"/>
  <c r="G30" i="7" s="1"/>
  <c r="F19" i="1"/>
  <c r="F14" i="1"/>
  <c r="D45" i="11"/>
  <c r="G118" i="30"/>
  <c r="E19" i="2"/>
  <c r="E20" i="2" s="1"/>
  <c r="E29" i="2" s="1"/>
  <c r="N14" i="6"/>
  <c r="N13" i="6" s="1"/>
  <c r="N27" i="6" s="1"/>
  <c r="F38" i="1"/>
  <c r="E24" i="10"/>
  <c r="F44" i="1"/>
  <c r="G10" i="2"/>
  <c r="J24" i="12"/>
  <c r="H80" i="8"/>
  <c r="H88" i="8"/>
  <c r="G28" i="13"/>
  <c r="J204" i="8" l="1"/>
  <c r="J206" i="8" s="1"/>
  <c r="J207" i="8" s="1"/>
  <c r="F13" i="3"/>
  <c r="F24" i="3" s="1"/>
  <c r="F27" i="3" s="1"/>
  <c r="F41" i="3" s="1"/>
  <c r="F48" i="3" s="1"/>
  <c r="F32" i="2"/>
  <c r="F103" i="1" s="1"/>
  <c r="G91" i="1"/>
  <c r="E13" i="29"/>
  <c r="G335" i="30"/>
  <c r="E19" i="3"/>
  <c r="F6" i="1"/>
  <c r="F91" i="1"/>
  <c r="E43" i="13"/>
  <c r="E49" i="13" s="1"/>
  <c r="E33" i="13"/>
  <c r="G27" i="13"/>
  <c r="G44" i="13"/>
  <c r="G17" i="13"/>
  <c r="M18" i="7"/>
  <c r="F53" i="1"/>
  <c r="F54" i="1" s="1"/>
  <c r="F31" i="1"/>
  <c r="E32" i="3"/>
  <c r="J108" i="8"/>
  <c r="H33" i="2"/>
  <c r="H20" i="2"/>
  <c r="H29" i="2" s="1"/>
  <c r="H32" i="2" s="1"/>
  <c r="G31" i="1"/>
  <c r="H31" i="1"/>
  <c r="G20" i="2"/>
  <c r="G29" i="2" s="1"/>
  <c r="G32" i="2" s="1"/>
  <c r="G103" i="1" s="1"/>
  <c r="G33" i="2"/>
  <c r="E31" i="2"/>
  <c r="H204" i="8"/>
  <c r="H206" i="8" s="1"/>
  <c r="H207" i="8" s="1"/>
  <c r="D12" i="26"/>
  <c r="D20" i="26" s="1"/>
  <c r="D22" i="26" s="1"/>
  <c r="D26" i="26" s="1"/>
  <c r="E13" i="3"/>
  <c r="E32" i="2"/>
  <c r="G116" i="8"/>
  <c r="G120" i="8" s="1"/>
  <c r="E120" i="8"/>
  <c r="H91" i="1"/>
  <c r="E34" i="3"/>
  <c r="M30" i="7"/>
  <c r="H54" i="1"/>
  <c r="H108" i="1" s="1"/>
  <c r="H29" i="10" l="1"/>
  <c r="F104" i="1"/>
  <c r="F106" i="1" s="1"/>
  <c r="F93" i="1"/>
  <c r="J202" i="8"/>
  <c r="J11" i="26"/>
  <c r="E103" i="1"/>
  <c r="H202" i="8"/>
  <c r="E73" i="1"/>
  <c r="H64" i="8"/>
  <c r="G104" i="1"/>
  <c r="G106" i="1" s="1"/>
  <c r="G108" i="1" s="1"/>
  <c r="J10" i="26"/>
  <c r="H20" i="10"/>
  <c r="J21" i="26"/>
  <c r="J18" i="26" s="1"/>
  <c r="G93" i="1"/>
  <c r="G43" i="13"/>
  <c r="G49" i="13" s="1"/>
  <c r="G33" i="13"/>
  <c r="F108" i="1"/>
  <c r="F13" i="29"/>
  <c r="E20" i="29"/>
  <c r="F20" i="29" s="1"/>
  <c r="E40" i="10" l="1"/>
  <c r="H40" i="10" s="1"/>
  <c r="I40" i="10" s="1"/>
  <c r="K40" i="10" s="1"/>
  <c r="I29" i="10"/>
  <c r="K29" i="10" s="1"/>
  <c r="J17" i="26"/>
  <c r="J26" i="26" s="1"/>
  <c r="K11" i="26"/>
  <c r="K17" i="26" s="1"/>
  <c r="K26" i="26" s="1"/>
  <c r="E31" i="10"/>
  <c r="H24" i="10"/>
  <c r="I20" i="10"/>
  <c r="E70" i="1"/>
  <c r="E63" i="1" s="1"/>
  <c r="E77" i="1"/>
  <c r="E80" i="1" s="1"/>
  <c r="E91" i="1" s="1"/>
  <c r="E22" i="3" s="1"/>
  <c r="E24" i="3" s="1"/>
  <c r="E27" i="3" s="1"/>
  <c r="E41" i="3" s="1"/>
  <c r="E48" i="3" s="1"/>
  <c r="E104" i="1"/>
  <c r="H38" i="10"/>
  <c r="I38" i="10" s="1"/>
  <c r="K38" i="10" s="1"/>
  <c r="E93" i="1"/>
  <c r="E106" i="1" l="1"/>
  <c r="E108" i="1" s="1"/>
  <c r="K20" i="10"/>
  <c r="K24" i="10" s="1"/>
  <c r="I24" i="10"/>
  <c r="H31" i="10"/>
  <c r="I31" i="10" s="1"/>
  <c r="K31" i="10" s="1"/>
  <c r="E33" i="10"/>
  <c r="E42" i="10" s="1"/>
  <c r="K33" i="10" l="1"/>
  <c r="K42" i="10" s="1"/>
  <c r="I33" i="10"/>
  <c r="I42" i="10" s="1"/>
  <c r="H33" i="10"/>
  <c r="H42" i="10" s="1"/>
</calcChain>
</file>

<file path=xl/sharedStrings.xml><?xml version="1.0" encoding="utf-8"?>
<sst xmlns="http://schemas.openxmlformats.org/spreadsheetml/2006/main" count="2513" uniqueCount="1382">
  <si>
    <t xml:space="preserve">Veneto Banka </t>
  </si>
  <si>
    <t xml:space="preserve">Fiat Riportabel </t>
  </si>
  <si>
    <t>TR 3930 K</t>
  </si>
  <si>
    <t>TR 8887 D</t>
  </si>
  <si>
    <t xml:space="preserve">TR 8885 D </t>
  </si>
  <si>
    <t>TR 2502 E</t>
  </si>
  <si>
    <t>TR 2963 E</t>
  </si>
  <si>
    <t>TR 9818 E</t>
  </si>
  <si>
    <t>TR 9824 E</t>
  </si>
  <si>
    <t>Motrice FIAT sh.1938T105671</t>
  </si>
  <si>
    <t>TR 9822 E</t>
  </si>
  <si>
    <t>TR 5181 G</t>
  </si>
  <si>
    <t>TR 8641 J</t>
  </si>
  <si>
    <t>TR 2973 J</t>
  </si>
  <si>
    <t>Kamion platform ajrore FIAT sh.358008441</t>
  </si>
  <si>
    <t>TR 4156 K</t>
  </si>
  <si>
    <t>Autobe.IVECO Magirus sh.W..11288</t>
  </si>
  <si>
    <t>TR 7328 J</t>
  </si>
  <si>
    <t>Koke trajl,Fiat Iveco sh,165974        TR0194C</t>
  </si>
  <si>
    <t>TR 0194 C</t>
  </si>
  <si>
    <t>TR 6749 K</t>
  </si>
  <si>
    <t>TR 6997 I</t>
  </si>
  <si>
    <t>Autoveture Land Rover SALLAAA145A342838</t>
  </si>
  <si>
    <t>TR 7915 P</t>
  </si>
  <si>
    <t>TR 9041 P</t>
  </si>
  <si>
    <t>Peugeot V.2003  SH.VF33EPHSB83257482</t>
  </si>
  <si>
    <t>TR 8734 S</t>
  </si>
  <si>
    <t>TR 7093 S</t>
  </si>
  <si>
    <t>TR 6219 U</t>
  </si>
  <si>
    <t>PASQYRAT    FINANCIARE</t>
  </si>
  <si>
    <t>( Mbeshtetur ne ligjin nr 9228 dt 29.04.2004 " Per Kontabilitetin dhe Pasqyrat Financiare</t>
  </si>
  <si>
    <t>te ndryshuar , dhe ne Standartet Kombetare te Kontabilitetit - SNK-2</t>
  </si>
  <si>
    <t>Te dhena identifikuese</t>
  </si>
  <si>
    <t>Te dhena te tjera</t>
  </si>
  <si>
    <r>
      <t xml:space="preserve"> </t>
    </r>
    <r>
      <rPr>
        <i/>
        <sz val="12"/>
        <rFont val="Times New Roman"/>
        <family val="1"/>
      </rPr>
      <t>x-Individuale</t>
    </r>
  </si>
  <si>
    <r>
      <t>Emri</t>
    </r>
    <r>
      <rPr>
        <i/>
        <sz val="12"/>
        <rFont val="Times New Roman"/>
        <family val="1"/>
      </rPr>
      <t xml:space="preserve"> : Euroteorema Peqin shpk</t>
    </r>
  </si>
  <si>
    <t xml:space="preserve">Pasqyra Finaciare </t>
  </si>
  <si>
    <t>Konsoliduara</t>
  </si>
  <si>
    <r>
      <t>Nipt</t>
    </r>
    <r>
      <rPr>
        <i/>
        <sz val="12"/>
        <rFont val="Times New Roman"/>
        <family val="1"/>
      </rPr>
      <t xml:space="preserve"> J61905050M</t>
    </r>
  </si>
  <si>
    <r>
      <t>Monedha:   L</t>
    </r>
    <r>
      <rPr>
        <i/>
        <sz val="12"/>
        <rFont val="Times New Roman"/>
        <family val="1"/>
      </rPr>
      <t>eke</t>
    </r>
  </si>
  <si>
    <t>Rrumbullakimi</t>
  </si>
  <si>
    <t>Data e krijimit: 15 Korrik 1993</t>
  </si>
  <si>
    <t>Periudha Kontabel :</t>
  </si>
  <si>
    <t>Nr Regjistrit Tregetar 5629</t>
  </si>
  <si>
    <r>
      <t>Fusha e veprimtarise</t>
    </r>
    <r>
      <rPr>
        <i/>
        <sz val="12"/>
        <rFont val="Times New Roman"/>
        <family val="1"/>
      </rPr>
      <t xml:space="preserve"> : Ndertim</t>
    </r>
  </si>
  <si>
    <t>,Prodh.Mat.Ndertimi,Inerte</t>
  </si>
  <si>
    <t>Kodi</t>
  </si>
  <si>
    <t>Cmimi</t>
  </si>
  <si>
    <t>HEKUR (blerje)</t>
  </si>
  <si>
    <t>KG</t>
  </si>
  <si>
    <t>TRALICE H 12.5 (blerje)</t>
  </si>
  <si>
    <t>ML</t>
  </si>
  <si>
    <t>RRJETE (7) FI 5 99/99 (1.45*5.10) (blerje)</t>
  </si>
  <si>
    <t>Administratori</t>
  </si>
  <si>
    <t>Hidajet RRAKLLI</t>
  </si>
  <si>
    <t>CIMENTO TN</t>
  </si>
  <si>
    <t>TN</t>
  </si>
  <si>
    <t>OMEGA 9.95*1.20*0.05 (blerje)</t>
  </si>
  <si>
    <t>CP</t>
  </si>
  <si>
    <t>OMEGA 9.97*1.20*0.20 (blerje)</t>
  </si>
  <si>
    <t>PANELE TE NDRYSHME PARAFABRIKAT (blerje)</t>
  </si>
  <si>
    <t>M2</t>
  </si>
  <si>
    <t>ANTIFRIZE</t>
  </si>
  <si>
    <t>LT</t>
  </si>
  <si>
    <t>NEOPREME 400*200*52</t>
  </si>
  <si>
    <t>MBESHTETESE PER TABELA RRUGORE</t>
  </si>
  <si>
    <t>LLAMPA FOSFORESHENTE TE KUQE ME DOPIO BATERI</t>
  </si>
  <si>
    <t>LLAMPA FOSFORESHENTE TE VERDHA ME DOPIO BATERI</t>
  </si>
  <si>
    <t>BATERI PER LLAMPA FOSFORESHENTE</t>
  </si>
  <si>
    <t>KUARC PER XHAMA 100-850</t>
  </si>
  <si>
    <t>KRIK 30 TN</t>
  </si>
  <si>
    <t>GOZHDE PANELI T 7.5 L=300</t>
  </si>
  <si>
    <t>GRASO</t>
  </si>
  <si>
    <t>GOZHDE PANELI L=180 TN 10</t>
  </si>
  <si>
    <t>UJE BATERIE</t>
  </si>
  <si>
    <t>VAJ HIDRAULIK 68</t>
  </si>
  <si>
    <t>VAJ MOTORRI</t>
  </si>
  <si>
    <t>VAJ SA-E-90</t>
  </si>
  <si>
    <t>DIZARMANT</t>
  </si>
  <si>
    <t>KALLEP KOLLONE 4.52 FI 1200</t>
  </si>
  <si>
    <t>KRIK 2 TON</t>
  </si>
  <si>
    <t>SYZE AXHUSTIMI</t>
  </si>
  <si>
    <t>ELEKTRODA NORMALE 2.5</t>
  </si>
  <si>
    <t>DYNAMON</t>
  </si>
  <si>
    <t>BOBINE TREFIJESH 3*3</t>
  </si>
  <si>
    <t>BILANCI ME 31.12.2011</t>
  </si>
  <si>
    <t>Viti 2011</t>
  </si>
  <si>
    <t>SODE KAUSTIKE</t>
  </si>
  <si>
    <t>BOBINE TREFOLO 6/10</t>
  </si>
  <si>
    <t>NAFTE</t>
  </si>
  <si>
    <t>FILTER NAFTE DN 258</t>
  </si>
  <si>
    <t>RRIP 17*1275</t>
  </si>
  <si>
    <t>KUSHINETE 6206</t>
  </si>
  <si>
    <t>KUSHINETE 6207</t>
  </si>
  <si>
    <t>KIT PESHORE</t>
  </si>
  <si>
    <t>ALKOL FRENI</t>
  </si>
  <si>
    <t>KUSHINETE 22324</t>
  </si>
  <si>
    <t>KUSHINETE 30311</t>
  </si>
  <si>
    <t>KUSHINETE 6209</t>
  </si>
  <si>
    <t>RRIP 17*1700</t>
  </si>
  <si>
    <t>RRIP 22*2400</t>
  </si>
  <si>
    <t>RRIP 22*3150</t>
  </si>
  <si>
    <t>RRIP 22*3500</t>
  </si>
  <si>
    <t>VIBRATOR</t>
  </si>
  <si>
    <t>POMPE UJI</t>
  </si>
  <si>
    <t>TR 9042 P</t>
  </si>
  <si>
    <t>Lloji i automjetit</t>
  </si>
  <si>
    <t>Inventari automjeteve ne pronesi te subjektit 31.12.2012</t>
  </si>
  <si>
    <t>Kg</t>
  </si>
  <si>
    <r>
      <t>TOTALI</t>
    </r>
    <r>
      <rPr>
        <sz val="10"/>
        <rFont val="Times New Roman"/>
        <family val="1"/>
      </rPr>
      <t xml:space="preserve"> "1+ 2 + 3 + 4 + 5 + 6 + 7 + 8 + 9 + 10 + 11"</t>
    </r>
  </si>
  <si>
    <t>FORMA KUBIKE 150 mm</t>
  </si>
  <si>
    <t>KUTI E NDIHMES SE SHPEJTE MOD.102/M</t>
  </si>
  <si>
    <t>TABELA FIKESE DHE KUTI NDIHMES SE SHPEJTE</t>
  </si>
  <si>
    <t>POMPA UJI</t>
  </si>
  <si>
    <t>DYSHEKE</t>
  </si>
  <si>
    <t>FORMA KUBIKE LAB</t>
  </si>
  <si>
    <t>FORME TUBI</t>
  </si>
  <si>
    <t>FORME TUBI 1000</t>
  </si>
  <si>
    <t>FORME TUBI 1500</t>
  </si>
  <si>
    <t>FORME TUBI 200*280*1000</t>
  </si>
  <si>
    <t>FORME TUBI 300*400*1000</t>
  </si>
  <si>
    <t>FORME TUBI 600</t>
  </si>
  <si>
    <t>FRESIBEL METALI 327</t>
  </si>
  <si>
    <t>KREVATE</t>
  </si>
  <si>
    <t>MAKINE SHKRIMI</t>
  </si>
  <si>
    <t>NGROHESE KUNTEL</t>
  </si>
  <si>
    <t>PERDE GRILA</t>
  </si>
  <si>
    <t>PISTOLETE GRASATIMI</t>
  </si>
  <si>
    <t>PISTOLETE ME AJER</t>
  </si>
  <si>
    <t>POMPE DW 300</t>
  </si>
  <si>
    <t>SHABLLON TUBI</t>
  </si>
  <si>
    <t>SHKALLE 2*11</t>
  </si>
  <si>
    <t>TRAPAN MATRAPIK</t>
  </si>
  <si>
    <t>TUB KOMPLET 2000</t>
  </si>
  <si>
    <t>TV PETALER</t>
  </si>
  <si>
    <t>VIBRATOR THELLESIE</t>
  </si>
  <si>
    <t>FORME ZEMRE BETONI 800</t>
  </si>
  <si>
    <t>APARAT FOTOGRAFIK</t>
  </si>
  <si>
    <t>GAMA 12.00*1.20*0.40 (prodhim)</t>
  </si>
  <si>
    <t>PREDALE 2.50*0.40*0.05 (prodhim)</t>
  </si>
  <si>
    <t>VELETA 0.49*0.70*0.05-0.10 (prodhim)</t>
  </si>
  <si>
    <t>VELETA 1.50*0.70*0.5-10.10 (prodhim)</t>
  </si>
  <si>
    <t>VELETA 2.34*0.70*0.05-0.10 (prodhim)</t>
  </si>
  <si>
    <t>PREDALE 2.25*0.60*0.05 (prodhim)</t>
  </si>
  <si>
    <t>PREDALE 1.27-0.87*0.40*0.05 (prodhim)</t>
  </si>
  <si>
    <t>PREDALE 3.67*0.63*3.05*0.05 (prodhim)</t>
  </si>
  <si>
    <t>PREDALE 3.30*0.63-2.67*0.05 (prodhim)</t>
  </si>
  <si>
    <t>KAPRIATA 20.00 (prodhim)</t>
  </si>
  <si>
    <t>KOLLONE 3.60*0.50*0.50 (prodhim)</t>
  </si>
  <si>
    <t>TUBA BETONI FI 1000 (prodhim)</t>
  </si>
  <si>
    <t>TUBA BETONI FI 600 (prodhim)</t>
  </si>
  <si>
    <t>BORDURA 0.50*0.21*0.30 (prodhim)</t>
  </si>
  <si>
    <t>BORDURA 1.00*0.21*0.30 (prodhim)</t>
  </si>
  <si>
    <t>BORDURA 0.68*0.14*0.15 (prodhim)</t>
  </si>
  <si>
    <t>GAMA (prodhim)</t>
  </si>
  <si>
    <t>GAMA 10.64*1.120*0.35 (prodhim)</t>
  </si>
  <si>
    <t>GAMA 11.20*1.20*0.35 (prodhim)</t>
  </si>
  <si>
    <t>GAMA 11.95*1.20*0.35 (prodhim)</t>
  </si>
  <si>
    <t>GAMA 4.64*1.20*0.95 (prodhim)</t>
  </si>
  <si>
    <t>GAMA 8.82*1.20*0.35 (prodhim)</t>
  </si>
  <si>
    <t>GAMA 9.05*1.20*0.35 (prodhim)</t>
  </si>
  <si>
    <t>KAPRIATA 19.94*0.50*0.86 (prodhim)</t>
  </si>
  <si>
    <t>KEND (prodhim)</t>
  </si>
  <si>
    <t>KEND 2.80*0.45*0.30 (prodhim)</t>
  </si>
  <si>
    <t>KENDE 11.25*0.50*0.50 (prodhim)</t>
  </si>
  <si>
    <t>KENDE 11.57*0.50*0.15 (prodhim)</t>
  </si>
  <si>
    <t>KENDE 3.05*0.50*0.15 (prodhim)</t>
  </si>
  <si>
    <t>KOLLONA EKSPERIMENTALE (prodhim)</t>
  </si>
  <si>
    <t>PREDALE 3.50*2.50*0.05 (prodhim)</t>
  </si>
  <si>
    <t>NEWXHERSE 3.60*0.60*1.00 (prodhim)</t>
  </si>
  <si>
    <t>PANELE 1.49*2.10*0.20 (prodhim)</t>
  </si>
  <si>
    <t>PANELE 1.55*1.50*0.20 (prodhim)</t>
  </si>
  <si>
    <t>PANELE 11.50*2.50*0.20 (prodhim)</t>
  </si>
  <si>
    <t>PANELE 12.00*2.50*0.20 (prodhim)</t>
  </si>
  <si>
    <t>PANELE 12.30*2.50*0.20 (prodhim)</t>
  </si>
  <si>
    <t>PANELE 3.00*2.10*0.20 (prodhim)</t>
  </si>
  <si>
    <t>PANELE 3.56*3.17*0.20 (prodhim)</t>
  </si>
  <si>
    <t>PANELE 4.20*2.50*0.20 (prodhim)</t>
  </si>
  <si>
    <t>PANELE 5.30*2.50*0.20 (prodhim)</t>
  </si>
  <si>
    <t>PANELE 6.62*2.50*0.20 (prodhim)</t>
  </si>
  <si>
    <t>PANELE 7.50*2.15*0.20 (prodhim)</t>
  </si>
  <si>
    <t>PANELE 9.97*2.15*0.20 (prodhim)</t>
  </si>
  <si>
    <t>PANELE 9.97*3.10*0.20 (prodhim)</t>
  </si>
  <si>
    <t>PANELE 9.97*3.30*0.20 (prodhim)</t>
  </si>
  <si>
    <t>PANELE 9.98*2.50*0.20 (prodhim)</t>
  </si>
  <si>
    <t>PANELE TT 01 (prodhim)</t>
  </si>
  <si>
    <t>PANELE TT 02 (prodhim)</t>
  </si>
  <si>
    <t>PANELE TT 05 (5.80) (prodhim)</t>
  </si>
  <si>
    <t>PANELE TT 03 (prodhim)</t>
  </si>
  <si>
    <t>SOLETA SP 1-2.90 (prodhim)</t>
  </si>
  <si>
    <t>SOLETE SP 1-2.20 (prodhim)</t>
  </si>
  <si>
    <t>SOLETE SP 1-2.30 (prodhim)</t>
  </si>
  <si>
    <t>SOLETE SP 1-3.80 (prodhim)</t>
  </si>
  <si>
    <t>TRARE 9.36*0.60*0.80 (prodhim)</t>
  </si>
  <si>
    <t>TRARE 9.96*0.50*0.90 (prodhim)</t>
  </si>
  <si>
    <t>ULLUK 9.98*0.85*0.50 (prodhim)</t>
  </si>
  <si>
    <t>VELETA 2.80*0.70*0.5-0.10 (prodhim)</t>
  </si>
  <si>
    <t>TRARE 17.00*0.60*1.03 (prodhim)</t>
  </si>
  <si>
    <t>BORDURA 1.00*0.14*0.25 (prodhim)</t>
  </si>
  <si>
    <t>VELETA 1.64*0.70*0.50-0.10 (prodhim)</t>
  </si>
  <si>
    <t>PANELE 11.00*2.50*0.20 (prodhim)</t>
  </si>
  <si>
    <t>OMEGA 9.97*1.20*0.31 (prodhim)</t>
  </si>
  <si>
    <t>OMEGA 11.97*1.20*0.31 (prodhim)</t>
  </si>
  <si>
    <t>PANELE 3.10*2.50*0.16 (prodhim)</t>
  </si>
  <si>
    <t>KAPRIATA 17.94*0.50*1.70 (prodhim)</t>
  </si>
  <si>
    <t>KOLLONE 3.00*0.66*0.52 (prodhim)</t>
  </si>
  <si>
    <t>GRANIL (prodhim)</t>
  </si>
  <si>
    <t>STABILIZANT (prodhim)</t>
  </si>
  <si>
    <t>ZHAVORR (prodhim)</t>
  </si>
  <si>
    <t>RERE (prodhim)</t>
  </si>
  <si>
    <t>NDRYSHIMI I GJENDJES</t>
  </si>
  <si>
    <t>311/3</t>
  </si>
  <si>
    <t>311/5</t>
  </si>
  <si>
    <t>CIMENTO</t>
  </si>
  <si>
    <t>312/3</t>
  </si>
  <si>
    <t>312/4</t>
  </si>
  <si>
    <t>312/5</t>
  </si>
  <si>
    <t>327/1</t>
  </si>
  <si>
    <t>327/3</t>
  </si>
  <si>
    <t>342/2</t>
  </si>
  <si>
    <t>PARAFABRIKAT (prodhim)</t>
  </si>
  <si>
    <t>342/4</t>
  </si>
  <si>
    <t>N. 000/LEKE</t>
  </si>
  <si>
    <t>KATEGORITE</t>
  </si>
  <si>
    <t>NR.</t>
  </si>
  <si>
    <t>NR. I PUNONJESVE</t>
  </si>
  <si>
    <t>FONDI I PAGAVE DHE KONTRIBUTET</t>
  </si>
  <si>
    <t>MESATAR</t>
  </si>
  <si>
    <t>NDRYSHIME GJATE VITIT (NR. FIZIK)</t>
  </si>
  <si>
    <t>FONDI I</t>
  </si>
  <si>
    <t>SHPERBLI-</t>
  </si>
  <si>
    <t>NDIHMA</t>
  </si>
  <si>
    <t>KONR. PER</t>
  </si>
  <si>
    <t>TATIME</t>
  </si>
  <si>
    <t>VJETOR I</t>
  </si>
  <si>
    <t>PRANUAR</t>
  </si>
  <si>
    <t>GJENDJE NE</t>
  </si>
  <si>
    <t>PAGAVE</t>
  </si>
  <si>
    <t>ME SUPLEM-</t>
  </si>
  <si>
    <t>ME TE</t>
  </si>
  <si>
    <t>SHOQERO-</t>
  </si>
  <si>
    <t>SIG. SHOQ.</t>
  </si>
  <si>
    <t>MBI TE</t>
  </si>
  <si>
    <t>PUNONJESVE</t>
  </si>
  <si>
    <t>TE RI</t>
  </si>
  <si>
    <t>LARGUAR</t>
  </si>
  <si>
    <t>FUND TE</t>
  </si>
  <si>
    <t>GJITHSEJ</t>
  </si>
  <si>
    <t>ENTARE</t>
  </si>
  <si>
    <t>TJERA</t>
  </si>
  <si>
    <t>RE TE MEN.</t>
  </si>
  <si>
    <t>DHE PERK.</t>
  </si>
  <si>
    <t>ARDHURAT</t>
  </si>
  <si>
    <t>VITIT USH.</t>
  </si>
  <si>
    <t>SPECIALE</t>
  </si>
  <si>
    <t>Nr.i punonjesve gjithsej      (1+2+3+4+5)</t>
  </si>
  <si>
    <t>1 - DREJTUES, PRONARE</t>
  </si>
  <si>
    <t>2 - PUNETORE</t>
  </si>
  <si>
    <t>3 - SPECIALISTE ME ARSIM TE LARTE</t>
  </si>
  <si>
    <t>4 - TEKNIKE</t>
  </si>
  <si>
    <t>5 - NEPUNES TE THJESHTE</t>
  </si>
  <si>
    <t>NUMRI I PUNONJESVE DHE FONDI I PAGAVE VITI 2012</t>
  </si>
  <si>
    <t>REZULTATI TATIMOR</t>
  </si>
  <si>
    <t>CAKTIMI  I  FITIMIT</t>
  </si>
  <si>
    <t>SHUMA</t>
  </si>
  <si>
    <t>HUMBJE E MBARTUR</t>
  </si>
  <si>
    <t>ORIGJINA</t>
  </si>
  <si>
    <t xml:space="preserve">    a)Nga viti</t>
  </si>
  <si>
    <t>Fitime ose humbje te mbartura</t>
  </si>
  <si>
    <t xml:space="preserve">    b)Nga viti</t>
  </si>
  <si>
    <t>Fitime ose humbje te ushtrimit</t>
  </si>
  <si>
    <t>FITIMI  I  USHTRIMIT</t>
  </si>
  <si>
    <t>Marre nga rezervat</t>
  </si>
  <si>
    <t>SHPENZIME TE PAZBRITSHME  (+)</t>
  </si>
  <si>
    <t xml:space="preserve">       a-</t>
  </si>
  <si>
    <t xml:space="preserve">     a)Am, tej norm. Tatimore(mj.j.perdorimi)</t>
  </si>
  <si>
    <t xml:space="preserve">       b-</t>
  </si>
  <si>
    <t xml:space="preserve">     b)Shpenzime pritje e dhurime tej kufirit tat</t>
  </si>
  <si>
    <t xml:space="preserve">       c-</t>
  </si>
  <si>
    <t xml:space="preserve">     c)Gjoba, penalitete, demshperblime</t>
  </si>
  <si>
    <t xml:space="preserve">       d- Provigjone per lehtesi tatimore</t>
  </si>
  <si>
    <t xml:space="preserve">     d)Provizione qe nuk njihen nga dispozitat</t>
  </si>
  <si>
    <t xml:space="preserve">     e)Te tjera :mosaeketim i debitoreve</t>
  </si>
  <si>
    <t>Per rezervat</t>
  </si>
  <si>
    <t xml:space="preserve">     f)Sponsorizime,te tjera rrjedhese</t>
  </si>
  <si>
    <t xml:space="preserve">     a-Rezerva  ligjore</t>
  </si>
  <si>
    <t>FITIMI  TATIMOR  I  USHTRIMIT  (2+3)</t>
  </si>
  <si>
    <t xml:space="preserve">     b-Rezerva statutore</t>
  </si>
  <si>
    <t>PJESA E HUMBJES SE MBARTUR  ( - )</t>
  </si>
  <si>
    <t xml:space="preserve">     c-Rezerva te tjera</t>
  </si>
  <si>
    <t>FITIMI  I  TATUESHEM  (4 - 5)</t>
  </si>
  <si>
    <t xml:space="preserve">     d-Rezerva per zhvillim (Ndermarrjet shtetrore)</t>
  </si>
  <si>
    <t xml:space="preserve">     e-Rezerva per shperblim suplementar</t>
  </si>
  <si>
    <t>Perqindja e tatimit mbi fitimin</t>
  </si>
  <si>
    <t xml:space="preserve">     f-Rezerva te tjera</t>
  </si>
  <si>
    <t>Dividente</t>
  </si>
  <si>
    <t>SHUMA E TATIMIT TE LLOGARITUR</t>
  </si>
  <si>
    <t xml:space="preserve">Fitimi i pacaktuar </t>
  </si>
  <si>
    <r>
      <t xml:space="preserve">Adresa : </t>
    </r>
    <r>
      <rPr>
        <sz val="10"/>
        <rFont val="Arial"/>
        <family val="2"/>
      </rPr>
      <t>Fushe-Mezez, Ndertese 4 kateshe, Kashar, Tirane</t>
    </r>
  </si>
  <si>
    <t>EUROTEOREMA PEQIN SHPK</t>
  </si>
  <si>
    <t>AKTIVET</t>
  </si>
  <si>
    <t>llog.</t>
  </si>
  <si>
    <t>Shenimet</t>
  </si>
  <si>
    <t>I</t>
  </si>
  <si>
    <t>AKTIVET AFATSHKURTERA</t>
  </si>
  <si>
    <t>Aktive monetare</t>
  </si>
  <si>
    <t>(i)</t>
  </si>
  <si>
    <t>Banka</t>
  </si>
  <si>
    <t>(ii)</t>
  </si>
  <si>
    <t>Arka</t>
  </si>
  <si>
    <t>Derivative dhe aktive te mbajtura per tregetim</t>
  </si>
  <si>
    <t>Derivativet</t>
  </si>
  <si>
    <t>Aktivet e mbajtura per tregetim</t>
  </si>
  <si>
    <t>Totali 2</t>
  </si>
  <si>
    <t>Aktive te tjera financiare afatshkurtera</t>
  </si>
  <si>
    <t>Llogari / Kerkesa te arketueshme afatgjata( kliente)</t>
  </si>
  <si>
    <t>Llogari / Kerkesa te tjera  te arketueshme</t>
  </si>
  <si>
    <t>401,442-469</t>
  </si>
  <si>
    <t>(iii)</t>
  </si>
  <si>
    <t>Instrumente te tjera borxhi( financim)</t>
  </si>
  <si>
    <t>(iv)</t>
  </si>
  <si>
    <t>Investime te tjera financiare</t>
  </si>
  <si>
    <t>Totali 3</t>
  </si>
  <si>
    <t>Inventari</t>
  </si>
  <si>
    <t>Ledet e para</t>
  </si>
  <si>
    <t>311-327,391</t>
  </si>
  <si>
    <t>Prodhimi ne proces</t>
  </si>
  <si>
    <t>331-333,393</t>
  </si>
  <si>
    <t>Produkte te gateshme</t>
  </si>
  <si>
    <t>Mallra per rishitje</t>
  </si>
  <si>
    <t>(v)</t>
  </si>
  <si>
    <t>Parapagesat per furnizime</t>
  </si>
  <si>
    <t>371-374-376</t>
  </si>
  <si>
    <t>Totali 4</t>
  </si>
  <si>
    <t>Aktivet biologjike afatshkurtera</t>
  </si>
  <si>
    <t>Aktivet afatshkurtera te mbajtura per shitje</t>
  </si>
  <si>
    <t xml:space="preserve"> </t>
  </si>
  <si>
    <t>Parapagimet dhe shpenzimet e shtyra</t>
  </si>
  <si>
    <t>481-83,486-88</t>
  </si>
  <si>
    <t>II</t>
  </si>
  <si>
    <t>AKTIVET AFATGJATA</t>
  </si>
  <si>
    <t>Investimet financiare afatgjata</t>
  </si>
  <si>
    <t>Pjesemarrje te tjera ne njesi te kontrolluara (vetem ne PF )</t>
  </si>
  <si>
    <t>Aksione dhe investime te tjera ne pjesemarrje</t>
  </si>
  <si>
    <t>Aksione dhe letra te tjera me vlere</t>
  </si>
  <si>
    <t>Llogari / 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</si>
  <si>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</si>
  <si>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</si>
  <si>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</si>
  <si>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</si>
  <si>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</si>
  <si>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 me vl. kontabel )</t>
  </si>
  <si>
    <t>Aktive ne proces</t>
  </si>
  <si>
    <t>Aktivet biologjike afatgjata</t>
  </si>
  <si>
    <t>Aktive afatgjata jomateriale</t>
  </si>
  <si>
    <t>Emri I mire</t>
  </si>
  <si>
    <t>Shpenzimet e zhvillimit</t>
  </si>
  <si>
    <t>Aktive te tjera afatgjata jomateriale</t>
  </si>
  <si>
    <t>Kapital aksionar I pa paguar</t>
  </si>
  <si>
    <t xml:space="preserve">Aktive te tjera afatgjata </t>
  </si>
  <si>
    <t>TOTALI I AKTIVEVE AFATGJATA ( II )</t>
  </si>
  <si>
    <t>TOTALI I AKTIVEVE  ( I + II )</t>
  </si>
  <si>
    <t>PASIVET</t>
  </si>
  <si>
    <t>DETYRIMET DHE KAPITALI</t>
  </si>
  <si>
    <t>Motrice Trakt.Benz 193S sh.WDB..75462</t>
  </si>
  <si>
    <t>AA520 AK</t>
  </si>
  <si>
    <t>TR 9520 F</t>
  </si>
  <si>
    <t>TR 0881 J</t>
  </si>
  <si>
    <t>TR 6340 I</t>
  </si>
  <si>
    <t>TR 8519 K</t>
  </si>
  <si>
    <t>TR 4403L</t>
  </si>
  <si>
    <t>TR 0615 N</t>
  </si>
  <si>
    <t>TR 5149 D</t>
  </si>
  <si>
    <t>TR 9530 P</t>
  </si>
  <si>
    <t>TR 0941 G</t>
  </si>
  <si>
    <t>TR 8300 R</t>
  </si>
  <si>
    <t>TR 0943 R</t>
  </si>
  <si>
    <t>TR 9083 R</t>
  </si>
  <si>
    <t>Njesia</t>
  </si>
  <si>
    <t>PANELE 4.70*2.00*0.20 (blerje)</t>
  </si>
  <si>
    <t>KOLLONA 4.10*0.50*0.50 (blerje)</t>
  </si>
  <si>
    <t>PANELE 6.03*2.50*0.20 (blerje)</t>
  </si>
  <si>
    <t>BOJE PLASTIKE</t>
  </si>
  <si>
    <t>KO</t>
  </si>
  <si>
    <t>DOREZA PUNE</t>
  </si>
  <si>
    <t>ELEKTRODA BAZIKE 2.5</t>
  </si>
  <si>
    <t>ELEKTRODA BAZIKE 3.25</t>
  </si>
  <si>
    <t>GOZHDE PANELI 5 TN</t>
  </si>
  <si>
    <t>KUFJE ANTIZHURME</t>
  </si>
  <si>
    <t>MALLA</t>
  </si>
  <si>
    <t>PIASTRA 500*180*12 Cod PM02 (me vrime ansore)</t>
  </si>
  <si>
    <t>TEL BARI</t>
  </si>
  <si>
    <t>TEL XINGATO</t>
  </si>
  <si>
    <t>FILTER NAFTE DN 220</t>
  </si>
  <si>
    <t>FILTER NAFTE DN 323</t>
  </si>
  <si>
    <t>FILTER VAJI DO 268</t>
  </si>
  <si>
    <t>KUSHINETE</t>
  </si>
  <si>
    <t>KUSHINETE 22220</t>
  </si>
  <si>
    <t>LLAMPA SINJALI</t>
  </si>
  <si>
    <t>MORSETA BATERIE</t>
  </si>
  <si>
    <t>PARAFILTER</t>
  </si>
  <si>
    <t>POMPE GRASO</t>
  </si>
  <si>
    <t>Ne   Leke</t>
  </si>
  <si>
    <t>Pasqyra   e   Fluksit   Monetar  -  Metoda  Indirekte   2012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</si>
  <si>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</si>
  <si>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</si>
  <si>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</si>
  <si>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</si>
  <si>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</si>
  <si>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</si>
  <si>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</si>
  <si>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</si>
  <si>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</si>
  <si>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</si>
  <si>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</si>
  <si>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</si>
  <si>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</si>
  <si>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</si>
  <si>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</si>
  <si>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Blerja e njesisese kontrolluar X minus parate e Arketuara</t>
  </si>
  <si>
    <t>Blerja e aktiveve afatgjata materiale</t>
  </si>
  <si>
    <t>Te ardhura nga shitja e paisjeve</t>
  </si>
  <si>
    <t>MM neto te perdoruara ne veprimtarite investuese</t>
  </si>
  <si>
    <t>Te ardhura nga emetimi i kapitalit aksioner</t>
  </si>
  <si>
    <t>Te ardhura nga huamarrje afatgjata</t>
  </si>
  <si>
    <t>Pagesat e detyrimive te qerase financiare</t>
  </si>
  <si>
    <t>MM neto e perdorur ne veprimtarite Financiare</t>
  </si>
  <si>
    <t>Rritja/Renia neto e mjeteve monetare</t>
  </si>
  <si>
    <t>Shoqeria Euroteorema Group Sh.p.k</t>
  </si>
  <si>
    <t>NIPTI J81608007S</t>
  </si>
  <si>
    <t>Periudha Raportuese</t>
  </si>
  <si>
    <t>Periudha           Para ardhese</t>
  </si>
  <si>
    <t>Investim afat gjata</t>
  </si>
  <si>
    <t>RRIP DINAMO</t>
  </si>
  <si>
    <t>ANGOLARI 4.45*0.45/0.45*0.15 (prodhim) codi ANG.1-2.2.4.3</t>
  </si>
  <si>
    <t>BORDURA 1.00*0.18*0.15 (prodhim)</t>
  </si>
  <si>
    <t>BOX CULVERT 2.50*2.50*0.25 (prodhim)</t>
  </si>
  <si>
    <t>NEWXHERSE 3.60*0.60/0.14*1.00 (prodhim)</t>
  </si>
  <si>
    <t>OMEGA 11.97*1.20*0.31 (prodhim) cod O 3001</t>
  </si>
  <si>
    <t>OMEGA 12.27*1.20*0.31 (prodhim) cod O.3004</t>
  </si>
  <si>
    <t xml:space="preserve">Ndertime ne proces </t>
  </si>
  <si>
    <t>Ndertime ne proces</t>
  </si>
  <si>
    <t>Shoqeria Euroteorema Peqin Sh.p.k</t>
  </si>
  <si>
    <t>Fushe - Mezez, Komuna - Kashar</t>
  </si>
  <si>
    <t>NIPTI J61905050M</t>
  </si>
  <si>
    <t>Tirane</t>
  </si>
  <si>
    <t>I N V E N T A R I            DHJETOR    2 0 1 2</t>
  </si>
  <si>
    <t>N°</t>
  </si>
  <si>
    <t>LLOGARIA</t>
  </si>
  <si>
    <t>PERSHKRIMI</t>
  </si>
  <si>
    <t>GJENDJA ME 31/12/2011</t>
  </si>
  <si>
    <t>GJENDJA ME 31/12/2012</t>
  </si>
  <si>
    <t>311/2</t>
  </si>
  <si>
    <t>INERTE BLERJE</t>
  </si>
  <si>
    <t>HEKUR</t>
  </si>
  <si>
    <t>351/1</t>
  </si>
  <si>
    <t>BETON ARME BLERJE</t>
  </si>
  <si>
    <t>MATERIALE NDIHMESE</t>
  </si>
  <si>
    <t>KARBURANTI</t>
  </si>
  <si>
    <t>PJESE KEMBIMI</t>
  </si>
  <si>
    <t>INVENTARI I IMET</t>
  </si>
  <si>
    <t>GOMA</t>
  </si>
  <si>
    <t>INERTE PRODHIM</t>
  </si>
  <si>
    <t>Per Euroteorema Peqin Shpk</t>
  </si>
  <si>
    <t>MEGR00015</t>
  </si>
  <si>
    <t>GRANIL (blerje)</t>
  </si>
  <si>
    <t>C134</t>
  </si>
  <si>
    <t>MPHE00001</t>
  </si>
  <si>
    <t>00001</t>
  </si>
  <si>
    <t>00002</t>
  </si>
  <si>
    <t>MPRR00006</t>
  </si>
  <si>
    <t>MPTR00007</t>
  </si>
  <si>
    <t>MPCI00010</t>
  </si>
  <si>
    <t>MEKE00013</t>
  </si>
  <si>
    <t>KENDE 1.00*0.49*0.49 (blerje)</t>
  </si>
  <si>
    <t>MEKE00012</t>
  </si>
  <si>
    <t>KENDE 10.00*0.60*0.60 (blerje)</t>
  </si>
  <si>
    <t>MEKE00014</t>
  </si>
  <si>
    <t>KENDE 4.50*0.40*0.40 (blerje)</t>
  </si>
  <si>
    <t>MEKE00011</t>
  </si>
  <si>
    <t>KENDE 9,65*0,45*0,45 (blerje)</t>
  </si>
  <si>
    <t>MEKO00005</t>
  </si>
  <si>
    <t>MEOM00001</t>
  </si>
  <si>
    <t>MEOM00008</t>
  </si>
  <si>
    <t>OMEGA 9.97*0.20*0.05 (blerje)</t>
  </si>
  <si>
    <t>MEOM00002</t>
  </si>
  <si>
    <t>MEPA00004</t>
  </si>
  <si>
    <t>MEPA00006</t>
  </si>
  <si>
    <t>MEPA00003</t>
  </si>
  <si>
    <t>MESO00009</t>
  </si>
  <si>
    <t>SOLETA TT 9,70*2,50*0,50 (blerje)</t>
  </si>
  <si>
    <t>MEUL00010</t>
  </si>
  <si>
    <t>ULLUK 10,32*0,60*0,80 (blerje)</t>
  </si>
  <si>
    <t>MEOM00024</t>
  </si>
  <si>
    <t>OMEGA (blerje)</t>
  </si>
  <si>
    <t>COAD00001</t>
  </si>
  <si>
    <t>ADITIV INTERAL AL98 (210 kg)</t>
  </si>
  <si>
    <t>COAD00002</t>
  </si>
  <si>
    <t>ADITIV INTERLENE EN / 400 (200 kg)</t>
  </si>
  <si>
    <t>COAD00003</t>
  </si>
  <si>
    <t>ADITIV INTEROIL G-50 (170 kg)</t>
  </si>
  <si>
    <t>COAD00004</t>
  </si>
  <si>
    <t>ADITIV INTERPICH B (200 kg)</t>
  </si>
  <si>
    <t>COAL00006</t>
  </si>
  <si>
    <t>COAL00008</t>
  </si>
  <si>
    <t>COBA00265</t>
  </si>
  <si>
    <t>BARRA MONOTORAIA H 6000</t>
  </si>
  <si>
    <t>COBA00561</t>
  </si>
  <si>
    <t>BARRE FILETATO FI 24*1000 4,8 ZINC</t>
  </si>
  <si>
    <t>COBA00011</t>
  </si>
  <si>
    <t>COBI00276</t>
  </si>
  <si>
    <t>BISHTA KAZME</t>
  </si>
  <si>
    <t>COBO00013</t>
  </si>
  <si>
    <t>COBO00014</t>
  </si>
  <si>
    <t>COBO00012</t>
  </si>
  <si>
    <t>BOBINE TREFOLO 1/2</t>
  </si>
  <si>
    <t>COBO00015</t>
  </si>
  <si>
    <t>COBO00228</t>
  </si>
  <si>
    <t>BOJE SPRAJT</t>
  </si>
  <si>
    <t>COCI00307</t>
  </si>
  <si>
    <t>CIZME PUNE</t>
  </si>
  <si>
    <t>COCO00575</t>
  </si>
  <si>
    <t>COLLANTE PER MBESHTETESE ME GOMA</t>
  </si>
  <si>
    <t>CODI00022</t>
  </si>
  <si>
    <t>DISQE FRESIBEL PRERJE</t>
  </si>
  <si>
    <t>CODI00023</t>
  </si>
  <si>
    <t>CODO00024</t>
  </si>
  <si>
    <t>CODR00259</t>
  </si>
  <si>
    <t>DRYN</t>
  </si>
  <si>
    <t>CODY00025</t>
  </si>
  <si>
    <t>COEL00026</t>
  </si>
  <si>
    <t>COEL00027</t>
  </si>
  <si>
    <t>COEL00028</t>
  </si>
  <si>
    <t>COGO00863</t>
  </si>
  <si>
    <t>GOMA NGARESE TRAFIKU</t>
  </si>
  <si>
    <t>COGO00190</t>
  </si>
  <si>
    <t>GOZHDE  FI 6</t>
  </si>
  <si>
    <t>COGO00512</t>
  </si>
  <si>
    <t>GOZHDE BETONI (kg)</t>
  </si>
  <si>
    <t>COGO00049</t>
  </si>
  <si>
    <t>COGO00050</t>
  </si>
  <si>
    <t>COGO00051</t>
  </si>
  <si>
    <t>COGR00052</t>
  </si>
  <si>
    <t>COGU00308</t>
  </si>
  <si>
    <t>GURE DIAMANTI</t>
  </si>
  <si>
    <t>COJE00292</t>
  </si>
  <si>
    <t>JELEKE PUNE</t>
  </si>
  <si>
    <t>COKA00055</t>
  </si>
  <si>
    <t>COKA00681</t>
  </si>
  <si>
    <t>KAPELE PAMBUKU ME LOGO</t>
  </si>
  <si>
    <t>COKI00062</t>
  </si>
  <si>
    <t>COKU00067</t>
  </si>
  <si>
    <t>COKU00068</t>
  </si>
  <si>
    <t>COLE00862</t>
  </si>
  <si>
    <t>LETER ADEZIVE CL 1 HCM 123</t>
  </si>
  <si>
    <t>COLL00691</t>
  </si>
  <si>
    <t>LLAMPA 150W R7S</t>
  </si>
  <si>
    <t>COLL00080</t>
  </si>
  <si>
    <t>COLL00081</t>
  </si>
  <si>
    <t>COLL00281</t>
  </si>
  <si>
    <t>LLAMPA TE THJESHTA</t>
  </si>
  <si>
    <t>COMB00086</t>
  </si>
  <si>
    <t>CONE00090</t>
  </si>
  <si>
    <t>CONE00559</t>
  </si>
  <si>
    <t>Kamion Mercedes Benz ( me vinc ), Tip 1726 , me Numer Identifikimi WDB65204515593914 , me Kod Karrocerie E8 , Ngjyre Portokalli , Vit Prodhimi 1991</t>
  </si>
  <si>
    <t>Kamion Fiat 10914hp i perdorur ( G P)</t>
  </si>
  <si>
    <t>TR 7092 S</t>
  </si>
  <si>
    <t xml:space="preserve">Rimorkio RTM Bartoletti, Tip 4A52P9 , me Numer Identifikimi ZCB4A52P920061327 , me Kod Karrocerie A1 , Ngjyre e Kuqe , Vit Prodhimi 2002 </t>
  </si>
  <si>
    <t xml:space="preserve">Kamion Volvo, Tip H3A , me Numer Identifikimi YV2H3A2D3NA374786 , me Kod Karrocerie E1 , Ngjyre e Bardhe + e Kuqe , Vit Prodhimi 1992 </t>
  </si>
  <si>
    <t>Furgon Fiat Ducato Tip 244 , me Numer Identifikimi ZFA24400007473840 , me Kod Karrocerie B1 , Ngjyre e Bardhe  , Vit Prodhimi 2004</t>
  </si>
  <si>
    <t>Kamion Fiat,Tip 160  (Autobitumatrice Boti Emulsionit ) Me numer Indentifikimi 002284  Kodi i Karrocerise F8, Ngjyre e Bardhe,Viti i Prodhimit 1982</t>
  </si>
  <si>
    <t>Gjysem rimorkio cometto (KARELONI) Tip XG44L,Nr identifikimi ZCAXG44L030013144, Kod Karrocerie A1, e Bardhe, Viti i prodhimit 2003</t>
  </si>
  <si>
    <t>Autokarro Fiat Iveco Daily me Batipal NR Identifikimi ZCFC3550105972368,Kod Karrocerie B2,E Bardhe, Viti i Prodhimit 1992</t>
  </si>
  <si>
    <t>Gjysem rimorkio cometto ZGJATUES deri 27 mt. Tip XA44DAX Nr.identifikimi ZCAXA44DAX0012058, Kod karrocerie A1,Blu Viti i Prodhimit 2000</t>
  </si>
  <si>
    <t xml:space="preserve">Autopompe betoni tip 659 me Numer Identifikimi  WDB65913415921267, Ngjyre e kuqe,  me Vit Prodhimi  1992 </t>
  </si>
  <si>
    <t>Eskavator caterpilar me goma,tip 438 B, me Numer Identifikimi 3KK01535, me tip A1, ngjyre e verdhe, me Vit Prodhimi 1997.</t>
  </si>
  <si>
    <t>Kok Terheqese MAN Tip T48, me Numer Identifikimi  WMAT48ZZZYL024309, me kod Karrocerie K3,Ngjyre e bardhe, me Vit Prodhimi 2000.</t>
  </si>
  <si>
    <t xml:space="preserve">Bjellorus caterpilar TIP 438B me Numer Indentifikimi 3KK01646,Ngjyre e verdhe, me Vit Prodhimi 1995 </t>
  </si>
  <si>
    <t>Autofshirese fiat 1LD, me Numer Identifikimi ZCFA1LD000B011500, Ngjyre e  bardhe, me Vit Prodhimi 1994.</t>
  </si>
  <si>
    <t>Kamioncine Ford VA me Numer Identifikimi SFAAXXBDVAST33911 me kod karrocerie B8 , ngjyre e  bardhe,meViti i Prodhimit 1995</t>
  </si>
  <si>
    <t>Kamioncine Mercedes Benz , Tip 601 me Numer Identifikimi WDB6013161 P039666 me kod karrocerie B9, ngjyre e verdhe, me Viti i Prodhimit 1990</t>
  </si>
  <si>
    <t>Autobuz mercedes Benz, Tip 602,me Numer Identifikimi  60236718208154, me kod BA, Ngjyre e Bardhe, me Vit Prodhimi  1989.</t>
  </si>
  <si>
    <t>Gjysem Rimorkio Pjanale (Trajler Cardi),Tip 503,me Numer Identifikimi  8534, me kod karrocerie A1, ngjyre e Kuqe, me Vit Prodhimi  1979.</t>
  </si>
  <si>
    <t xml:space="preserve">Kamion Iveco Magirus ,Tip  MJ3 , Me numer Indentifikimi WJM3JNSM04138394   Kodi i Karrocerise F1, Ngjyre e Verdhe ,Viti i Prodhimit 1993 </t>
  </si>
  <si>
    <t>NEOPREME 450*200*15 (pa vrime)</t>
  </si>
  <si>
    <t>CONE00560</t>
  </si>
  <si>
    <t>NEOPREME 500*250*40 (pa vrime)</t>
  </si>
  <si>
    <t>COPI00554</t>
  </si>
  <si>
    <t>PIASTRA 150*150*8(me vrime qendrore)</t>
  </si>
  <si>
    <t>COPI00097</t>
  </si>
  <si>
    <t>COPL00299</t>
  </si>
  <si>
    <t>PLLAKA HEKURI  (piesipiagatio per format ne peqin)</t>
  </si>
  <si>
    <t>COPR00264</t>
  </si>
  <si>
    <t>PROFILE KUADRATE 200*200*3</t>
  </si>
  <si>
    <t>CORA00910</t>
  </si>
  <si>
    <t>RAKORDERI PRESIONI KOMPRESORI</t>
  </si>
  <si>
    <t>CORE00581</t>
  </si>
  <si>
    <t>REDUKSION PE FI 400*315</t>
  </si>
  <si>
    <t>CORE00263</t>
  </si>
  <si>
    <t>RETT 80*50*2</t>
  </si>
  <si>
    <t>CORR00708</t>
  </si>
  <si>
    <t>RRJETE RRETHIMI</t>
  </si>
  <si>
    <t>COSI00285</t>
  </si>
  <si>
    <t>SINJALISTIKA RRUG.NDRICUESE 90*90</t>
  </si>
  <si>
    <t>COSO00122</t>
  </si>
  <si>
    <t>COSY00124</t>
  </si>
  <si>
    <t>COTE00125</t>
  </si>
  <si>
    <t>COTE00126</t>
  </si>
  <si>
    <t>COTU00210</t>
  </si>
  <si>
    <t>TUB FRESIBEL FI 25</t>
  </si>
  <si>
    <t>COUJ00127</t>
  </si>
  <si>
    <t>COVA00129</t>
  </si>
  <si>
    <t>VAJ ATF (I KUQ )</t>
  </si>
  <si>
    <t>COVA00888</t>
  </si>
  <si>
    <t>VAJ HIDRAULIK 10 XKOMPRESORE</t>
  </si>
  <si>
    <t>COVA00128</t>
  </si>
  <si>
    <t>COVA00130</t>
  </si>
  <si>
    <t>COVA00134</t>
  </si>
  <si>
    <t>COVI00131</t>
  </si>
  <si>
    <t>COXH00555</t>
  </si>
  <si>
    <t>XHUNTO MBESHTETESE algaflex aw 100</t>
  </si>
  <si>
    <t>MPNA00009</t>
  </si>
  <si>
    <t>COBL00755</t>
  </si>
  <si>
    <t>BLLOKUES RADIATORI (turafall)</t>
  </si>
  <si>
    <t>CODI00781</t>
  </si>
  <si>
    <t>DISK ALUMINI PER TUAREG</t>
  </si>
  <si>
    <t>COFI00814</t>
  </si>
  <si>
    <t>FILTER AJRI HF 5012</t>
  </si>
  <si>
    <t>COFI00447</t>
  </si>
  <si>
    <t>FILTER AJRI MA 793 (x furgonin benx)</t>
  </si>
  <si>
    <t>COFI00534</t>
  </si>
  <si>
    <t>FILTER HIDRAULIKE CE 1234H</t>
  </si>
  <si>
    <t>COFI00038</t>
  </si>
  <si>
    <t>COFI00872</t>
  </si>
  <si>
    <t>FILTER NAFTE DN 222</t>
  </si>
  <si>
    <t>COFI00642</t>
  </si>
  <si>
    <t>FILTER NAFTE DN 244</t>
  </si>
  <si>
    <t>COFI00064</t>
  </si>
  <si>
    <t>FILTER NAFTE DN 256</t>
  </si>
  <si>
    <t>COFI00039</t>
  </si>
  <si>
    <t>COFI00040</t>
  </si>
  <si>
    <t>COFI00874</t>
  </si>
  <si>
    <t>FILTER NAFTE FS 5135</t>
  </si>
  <si>
    <t>COFI00137</t>
  </si>
  <si>
    <t>FILTER NAFTE MG 089</t>
  </si>
  <si>
    <t>COFI00553</t>
  </si>
  <si>
    <t>FILTER NAFTE MMEK 24321</t>
  </si>
  <si>
    <t>COFI00636</t>
  </si>
  <si>
    <t>FILTER VAJI 2324200 (rruli)</t>
  </si>
  <si>
    <t>COFI00178</t>
  </si>
  <si>
    <t>FILTER VAJI 2346900</t>
  </si>
  <si>
    <t>COFI00042</t>
  </si>
  <si>
    <t>COGO00880</t>
  </si>
  <si>
    <t>GOMINA AMORTIZATORI</t>
  </si>
  <si>
    <t>COKI00650</t>
  </si>
  <si>
    <t>KIT KUSHINETE</t>
  </si>
  <si>
    <t>COKI00687</t>
  </si>
  <si>
    <t>KIT SHOSHA X GRUP LEVIZES VAGLIO ST 352 TE DIMENSIONEVE TE #</t>
  </si>
  <si>
    <t>COKO00181</t>
  </si>
  <si>
    <t>KOKE ZBARE</t>
  </si>
  <si>
    <t>COKO00812</t>
  </si>
  <si>
    <t>KOKLEA 150*50 MM, SP,ELICA 12mm per makinen e shtrimit te bordurave</t>
  </si>
  <si>
    <t>COKR00484</t>
  </si>
  <si>
    <t>KRYQ TRASMESIONI</t>
  </si>
  <si>
    <t>COKU00070</t>
  </si>
  <si>
    <t>COKU00071</t>
  </si>
  <si>
    <t>COKU00072</t>
  </si>
  <si>
    <t>COKU00073</t>
  </si>
  <si>
    <t>COKU00075</t>
  </si>
  <si>
    <t>COKU00076</t>
  </si>
  <si>
    <t>COKU00077</t>
  </si>
  <si>
    <t>COKU00590</t>
  </si>
  <si>
    <t>KUSHINETE 6303</t>
  </si>
  <si>
    <t>COKU00649</t>
  </si>
  <si>
    <t>KUSHINETE 95043</t>
  </si>
  <si>
    <t>COKU00437</t>
  </si>
  <si>
    <t>KUSHINETE G 640</t>
  </si>
  <si>
    <t>COLL00082</t>
  </si>
  <si>
    <t>LLAMPA FENERI</t>
  </si>
  <si>
    <t>COLL00105</t>
  </si>
  <si>
    <t>COMA00084</t>
  </si>
  <si>
    <t>C133</t>
  </si>
  <si>
    <t>COMO00087</t>
  </si>
  <si>
    <t>COMO00686</t>
  </si>
  <si>
    <t>MOTOR HATZ 1D90V</t>
  </si>
  <si>
    <t>COPA00094</t>
  </si>
  <si>
    <t>COPI00859</t>
  </si>
  <si>
    <t>Trajtime te pergjithshme , humbje nga kembimi</t>
  </si>
  <si>
    <t>PISTONCINE FRENI</t>
  </si>
  <si>
    <t>COPL00811</t>
  </si>
  <si>
    <t>PLLAKA DALTE CEKICI</t>
  </si>
  <si>
    <t>COPO00100</t>
  </si>
  <si>
    <t>COPO00101</t>
  </si>
  <si>
    <t>CORE00870</t>
  </si>
  <si>
    <t>RELE SINJALI</t>
  </si>
  <si>
    <t>CORR00245</t>
  </si>
  <si>
    <t>RREGULLATOR DINAMO</t>
  </si>
  <si>
    <t>CORR00106</t>
  </si>
  <si>
    <t>CORR00107</t>
  </si>
  <si>
    <t>CORR00875</t>
  </si>
  <si>
    <t>RRIP 17*2050</t>
  </si>
  <si>
    <t>CORR00108</t>
  </si>
  <si>
    <t>CORR00109</t>
  </si>
  <si>
    <t>CORR00110</t>
  </si>
  <si>
    <t>CORR00111</t>
  </si>
  <si>
    <t>CORU00682</t>
  </si>
  <si>
    <t>RUBINETE UJI</t>
  </si>
  <si>
    <t>COSI00119</t>
  </si>
  <si>
    <t>SIGURESA MAKINE</t>
  </si>
  <si>
    <t>COSP00603</t>
  </si>
  <si>
    <t>SPINA PER SPIRALE ELEKTRIKE</t>
  </si>
  <si>
    <t>COTO00310</t>
  </si>
  <si>
    <t>TOPA SFUNGJERI X(pompe betoni)</t>
  </si>
  <si>
    <t>COUN00309</t>
  </si>
  <si>
    <t>UNAZE X (pompe betoni)</t>
  </si>
  <si>
    <t>ATAP00029</t>
  </si>
  <si>
    <t>ATDY00006</t>
  </si>
  <si>
    <t>ATFO00002</t>
  </si>
  <si>
    <t>ATFO00007</t>
  </si>
  <si>
    <t>ATFO00008</t>
  </si>
  <si>
    <t>ATFO00009</t>
  </si>
  <si>
    <t>ATFO00010</t>
  </si>
  <si>
    <t>ATFO00011</t>
  </si>
  <si>
    <t>ATFO00012</t>
  </si>
  <si>
    <t>ATFO00013</t>
  </si>
  <si>
    <t>ATFO00028</t>
  </si>
  <si>
    <t>ATFR00014</t>
  </si>
  <si>
    <t>ATKR00015</t>
  </si>
  <si>
    <t>ATKR00030</t>
  </si>
  <si>
    <t>ATKR00031</t>
  </si>
  <si>
    <t>ATKU00003</t>
  </si>
  <si>
    <t>ATMA00016</t>
  </si>
  <si>
    <t>ATNG00017</t>
  </si>
  <si>
    <t>ATPE00018</t>
  </si>
  <si>
    <t>ATPI00019</t>
  </si>
  <si>
    <t>ATPI00020</t>
  </si>
  <si>
    <t>ATPO00005</t>
  </si>
  <si>
    <t>ATPO00021</t>
  </si>
  <si>
    <t>ATSH00022</t>
  </si>
  <si>
    <t>ATSH00023</t>
  </si>
  <si>
    <t>ATTA00004</t>
  </si>
  <si>
    <t>ATTR00024</t>
  </si>
  <si>
    <t>ATTU00025</t>
  </si>
  <si>
    <t>ATTV00026</t>
  </si>
  <si>
    <t>ATVI00027</t>
  </si>
  <si>
    <t>C137ANG1/2243</t>
  </si>
  <si>
    <t>PFBL00105</t>
  </si>
  <si>
    <t>BLLOQE BETONI 1.00*1.00*1.00</t>
  </si>
  <si>
    <t>PFBO00070</t>
  </si>
  <si>
    <t>BORDURA (qoshe) 0.85*0.21*0.30</t>
  </si>
  <si>
    <t>PFBO00001</t>
  </si>
  <si>
    <t>PFBO00002</t>
  </si>
  <si>
    <t>PFBO00003</t>
  </si>
  <si>
    <t>PFBO00004</t>
  </si>
  <si>
    <t>PFBO00005</t>
  </si>
  <si>
    <t>PFBO00006</t>
  </si>
  <si>
    <t>PFGA00009</t>
  </si>
  <si>
    <t>PFGA00010</t>
  </si>
  <si>
    <t>PFGA00011</t>
  </si>
  <si>
    <t>PFGA00012</t>
  </si>
  <si>
    <t>PFGA00013</t>
  </si>
  <si>
    <t>PFGA00014</t>
  </si>
  <si>
    <t>PFGA00015</t>
  </si>
  <si>
    <t>PFGA00016</t>
  </si>
  <si>
    <t>PFKA00017</t>
  </si>
  <si>
    <t>PFKA00018</t>
  </si>
  <si>
    <t>PFKA00019</t>
  </si>
  <si>
    <t>PFKE00020</t>
  </si>
  <si>
    <t>PFKE00021</t>
  </si>
  <si>
    <t>PFKE00022</t>
  </si>
  <si>
    <t>PFKE00023</t>
  </si>
  <si>
    <t>PFKE00024</t>
  </si>
  <si>
    <t>PFKO00100</t>
  </si>
  <si>
    <t>KOLLONA 8.45*0.70*0.70 (prodhim)</t>
  </si>
  <si>
    <t>PFKO00025</t>
  </si>
  <si>
    <t>PFKO00027</t>
  </si>
  <si>
    <t>PFKO00028</t>
  </si>
  <si>
    <t>PFNE00029</t>
  </si>
  <si>
    <t>PFNE00030</t>
  </si>
  <si>
    <t>PFOM00031</t>
  </si>
  <si>
    <t>PFOM00032</t>
  </si>
  <si>
    <t>C140OM3001</t>
  </si>
  <si>
    <t>OMEGA 11.97*1.20*0.31 (prodhim) codi OM 3001</t>
  </si>
  <si>
    <t>C140OM3001A</t>
  </si>
  <si>
    <t>OMEGA 11.97*1.20*0.31 (prodhim) codi OM 3001a</t>
  </si>
  <si>
    <t>PFOM00033</t>
  </si>
  <si>
    <t>C140OM3005</t>
  </si>
  <si>
    <t>OMEGA 12.27*1.20*0.31 (prodhim) codi OM 3005</t>
  </si>
  <si>
    <t>PFOM00034</t>
  </si>
  <si>
    <t>PFPA00035</t>
  </si>
  <si>
    <t>PFPA00036</t>
  </si>
  <si>
    <t>PFPA00037</t>
  </si>
  <si>
    <t>PFPA00038</t>
  </si>
  <si>
    <t>PFPA00039</t>
  </si>
  <si>
    <t>PFPA00040</t>
  </si>
  <si>
    <t>PFPA00041</t>
  </si>
  <si>
    <t>PFPA00042</t>
  </si>
  <si>
    <t>PFPA00043</t>
  </si>
  <si>
    <t>PFPA00044</t>
  </si>
  <si>
    <t>PFPA00045</t>
  </si>
  <si>
    <t>PANELE 3.99*3.30*0.20 (prodhim)</t>
  </si>
  <si>
    <t>PFPA00046</t>
  </si>
  <si>
    <t>PFPA00047</t>
  </si>
  <si>
    <t>C137PAN5C01</t>
  </si>
  <si>
    <t>PFPA00048</t>
  </si>
  <si>
    <t>PFPA00049</t>
  </si>
  <si>
    <t>PFPA00050</t>
  </si>
  <si>
    <t>PFPA00051</t>
  </si>
  <si>
    <t>PANELE 8.82*3.10*0.20 (prodhim)</t>
  </si>
  <si>
    <t>PFPA00052</t>
  </si>
  <si>
    <t>PANELE 8.98*2.50*0.20 (prodhim)</t>
  </si>
  <si>
    <t>PFPA00053</t>
  </si>
  <si>
    <t>PFPA00054</t>
  </si>
  <si>
    <t>PFPA00055</t>
  </si>
  <si>
    <t>PFPA00056</t>
  </si>
  <si>
    <t>PFPA00057</t>
  </si>
  <si>
    <t>PFPA00058</t>
  </si>
  <si>
    <t>PFPA00059</t>
  </si>
  <si>
    <t>PFPA00060</t>
  </si>
  <si>
    <t>PFPA00061</t>
  </si>
  <si>
    <t>PFPL00105</t>
  </si>
  <si>
    <t>PLLAKA 0.50*0.50*0.03 (prodhim)</t>
  </si>
  <si>
    <t>PFPR00062</t>
  </si>
  <si>
    <t>PFPR00063</t>
  </si>
  <si>
    <t>PFPR00064</t>
  </si>
  <si>
    <t>PFPR00065</t>
  </si>
  <si>
    <t>PFPR00066</t>
  </si>
  <si>
    <t>PFPR00067</t>
  </si>
  <si>
    <t>PFPR00068</t>
  </si>
  <si>
    <t>PFSO00076</t>
  </si>
  <si>
    <t>PFSP1-2-90</t>
  </si>
  <si>
    <t>PFSP1-2-20</t>
  </si>
  <si>
    <t>PFSP1-2-30</t>
  </si>
  <si>
    <t>PFSP1-3-80</t>
  </si>
  <si>
    <t>C021TRAGJ08</t>
  </si>
  <si>
    <t>PFTR00081</t>
  </si>
  <si>
    <t>PFTR00082</t>
  </si>
  <si>
    <t>C137T05-2245</t>
  </si>
  <si>
    <t>C137T06-2245</t>
  </si>
  <si>
    <t>PFTR00083</t>
  </si>
  <si>
    <t>PFTR00084</t>
  </si>
  <si>
    <t>PFTR00085</t>
  </si>
  <si>
    <t>PFTU00077</t>
  </si>
  <si>
    <t>TUBA BETONI 1200 (prodhim)</t>
  </si>
  <si>
    <t>PFTU00087</t>
  </si>
  <si>
    <t>PFTU00088</t>
  </si>
  <si>
    <t>PFUL00089</t>
  </si>
  <si>
    <t>PFVE00090</t>
  </si>
  <si>
    <t>PFVE00091</t>
  </si>
  <si>
    <t>PFVE00092</t>
  </si>
  <si>
    <t>PFVE00093</t>
  </si>
  <si>
    <t>PFVE00094</t>
  </si>
  <si>
    <t>PFCA00097</t>
  </si>
  <si>
    <t>PFGR00095</t>
  </si>
  <si>
    <t>PFRE00099</t>
  </si>
  <si>
    <t>PFST00096</t>
  </si>
  <si>
    <t>PFZH00098</t>
  </si>
  <si>
    <t>Pershkrimi</t>
  </si>
  <si>
    <t>mag</t>
  </si>
  <si>
    <t>TOTALI</t>
  </si>
  <si>
    <t>PANELE 5.78*1.20*0.20 (prodhim) codi 5 C 01</t>
  </si>
  <si>
    <t>PANELE 6.80*3.10*0.20 (prodhim)</t>
  </si>
  <si>
    <t>PANELE 9.00*2.50*0.20 (prodhim)</t>
  </si>
  <si>
    <t>PREDALE 2.50*1.40*0.05 (prodhim) cod P.01</t>
  </si>
  <si>
    <t>SOLETA 5.60*1.05*0.30 (prodhim)</t>
  </si>
  <si>
    <t>TRARE 10.00*1.20*0.40 (prodhim) cod Gj-08</t>
  </si>
  <si>
    <t>TRARE 20.80*0.60*1.00 (prodhim)</t>
  </si>
  <si>
    <t>TRARE 5.98*0.42*0.50 (prodhim) codi T.05-2.2.4.5</t>
  </si>
  <si>
    <t>TRARE 6.03*0.42*0.50 (prodhim) codi T.06-2.2.4.5</t>
  </si>
  <si>
    <t>TRARE 8.50*1.20*0.40 (prodhim)</t>
  </si>
  <si>
    <t>CAKULL (prodhim)</t>
  </si>
  <si>
    <t>DETYRIMET AFATSHKURTERA</t>
  </si>
  <si>
    <t>Huamarrjet</t>
  </si>
  <si>
    <t>Huat dhe obligacionet afatshkurtera</t>
  </si>
  <si>
    <t>Kthimet / ripagesat e huave afatgjata</t>
  </si>
  <si>
    <t>Bono te konvertueshme</t>
  </si>
  <si>
    <t>Huat dhe parapagimet</t>
  </si>
  <si>
    <t>Te pagueshme ndaj furnitoreve</t>
  </si>
  <si>
    <t>Te pagueshme ndaj punonjesve</t>
  </si>
  <si>
    <t>Detyrime tatimore</t>
  </si>
  <si>
    <t xml:space="preserve"> 431,437,441-449</t>
  </si>
  <si>
    <t>Hua te tjera</t>
  </si>
  <si>
    <t>451,455-457,467</t>
  </si>
  <si>
    <t>Parapagimet e arketuara dhe garanci</t>
  </si>
  <si>
    <t>vi</t>
  </si>
  <si>
    <t>Detyrime te tjera</t>
  </si>
  <si>
    <t>Grantet dhe te ardhurat e shtyra</t>
  </si>
  <si>
    <t>Provizionet afatshkurtera</t>
  </si>
  <si>
    <t>TOTALI I DETYRIMEVE AFATSHKURTERA</t>
  </si>
  <si>
    <t>DETYRIME AFATGJATA</t>
  </si>
  <si>
    <t>Huat afatgjata</t>
  </si>
  <si>
    <t xml:space="preserve">Hua nga Bankat </t>
  </si>
  <si>
    <t>Bonot e konvertueshme</t>
  </si>
  <si>
    <t>Huamarrje te tjera afatgjata</t>
  </si>
  <si>
    <t>401-409,451-467</t>
  </si>
  <si>
    <t>Provizionet afatgjata</t>
  </si>
  <si>
    <t>TOTALI I DETYRIMEVE AFATGJATA ( II )</t>
  </si>
  <si>
    <t>TOTALI I DETYRIMEVE</t>
  </si>
  <si>
    <t>III</t>
  </si>
  <si>
    <t>KAPITALI</t>
  </si>
  <si>
    <t>Aksionet e pakices ( perdoret vetem ne pasqyrat financiare te konsoliduara )</t>
  </si>
  <si>
    <t>Kapitali qe I perket aksionareve te shoqerise meme ( perdoret vetem ne PF te konsoliduara )</t>
  </si>
  <si>
    <t>Kapitali aksionar</t>
  </si>
  <si>
    <t>Primi I aksionit</t>
  </si>
  <si>
    <t>Njesite dhe aksionet e thesarit ( negative )</t>
  </si>
  <si>
    <t>Rezerva statusore</t>
  </si>
  <si>
    <t>Rezerva ligjore</t>
  </si>
  <si>
    <t>Rezerva te tjera</t>
  </si>
  <si>
    <t>Fitimet e pa shperndara</t>
  </si>
  <si>
    <t>Fitimi ( humbja ) e vitit financiar</t>
  </si>
  <si>
    <t>TOTALI I KAPITALIT ( III )</t>
  </si>
  <si>
    <t>TOTALI I DETYRIMEVE KAPITALIT ( I,II,III )</t>
  </si>
  <si>
    <t>EUROTEOREMA PEQIN SH.P.K</t>
  </si>
  <si>
    <t>Pershkrimi I Elementeve</t>
  </si>
  <si>
    <t>Referencat  Nr  llog.</t>
  </si>
  <si>
    <t>Viti 2009</t>
  </si>
  <si>
    <t>Shitjet neto</t>
  </si>
  <si>
    <t>701, 705</t>
  </si>
  <si>
    <t>Te ardhura te tjera nga veprimtarite e shfrytezimit</t>
  </si>
  <si>
    <t>702 - 708 X</t>
  </si>
  <si>
    <t>Te ardhura te tjera (Pervec atyre Financiare)</t>
  </si>
  <si>
    <t>Ndryshimet ne inventarin e produkteve te gatshme dhe prodhimit ne proces</t>
  </si>
  <si>
    <t>Totali I te Ardhurave  ( shuma 1+2+/-3 )</t>
  </si>
  <si>
    <t>Materialet e konsumuara</t>
  </si>
  <si>
    <t>601 - 608 X</t>
  </si>
  <si>
    <t>Furnitura,Nentrajtime dhe sherbime</t>
  </si>
  <si>
    <t>607,604,61-628</t>
  </si>
  <si>
    <t>61-62</t>
  </si>
  <si>
    <t>Kosto e punes</t>
  </si>
  <si>
    <t>641 - 648</t>
  </si>
  <si>
    <t>pagat e personelit</t>
  </si>
  <si>
    <t>shpenzimet per sigurimet shoqerore dhe shendetesore</t>
  </si>
  <si>
    <t>Amortizimet dhe zhvleresimet</t>
  </si>
  <si>
    <t>68 X</t>
  </si>
  <si>
    <t>Shpenzime te tjera rrjedhese ( 63-65)</t>
  </si>
  <si>
    <t>61 - 63-65</t>
  </si>
  <si>
    <t>Totali I shpenzimeve  ( shuma 5 - 10 )</t>
  </si>
  <si>
    <t>Fitimi apo humbja nga vepr. kryesore (I-II+)</t>
  </si>
  <si>
    <t>Te ardhurat dhe shpenzimet financiare nga njesite e kontrolluara</t>
  </si>
  <si>
    <t>761, 661</t>
  </si>
  <si>
    <t>Te ardhurat dhe shpenzimet financiare nga pjesemarrjet</t>
  </si>
  <si>
    <t>762, 662</t>
  </si>
  <si>
    <t xml:space="preserve">Te ardhurat dhe shpenzimet financiare </t>
  </si>
  <si>
    <t>Te ardhurat dhe shpenzimet financiare nga investime te tjera financiare afatgjata</t>
  </si>
  <si>
    <t xml:space="preserve">763, 764, 765   664, 665    </t>
  </si>
  <si>
    <t xml:space="preserve">Te ardhurat dhe shpenzimet nga interesat </t>
  </si>
  <si>
    <t>767, 667</t>
  </si>
  <si>
    <t>Fitimet ( humbjet ) nga kursi I kembimit</t>
  </si>
  <si>
    <t>76, 66</t>
  </si>
  <si>
    <t>769, 669</t>
  </si>
  <si>
    <t>Te ardhura dhe shpenzime te tjera financiare</t>
  </si>
  <si>
    <t>768, 668</t>
  </si>
  <si>
    <t>Totali I te ardhurave dhe shpenzimeve financiare ( 12.1+/-12.2+/-12.3+/-12.4 )</t>
  </si>
  <si>
    <t>Fitimi ( humbja ) para tatimit ( 9+/-13 )Fitimi  Bilancit</t>
  </si>
  <si>
    <t>Fitimi para Tatimit</t>
  </si>
  <si>
    <t>Shpenzimet e tatimit mbi fitimin</t>
  </si>
  <si>
    <t>Fitimi ( humbja ) neto e vitit financiar ( 14 - 15 )</t>
  </si>
  <si>
    <t>Viti 2010</t>
  </si>
  <si>
    <t>Fluksi monetar nga veprimtarite investuese</t>
  </si>
  <si>
    <t>Dividentet e arketuar</t>
  </si>
  <si>
    <t>Fluksi monetar nga aktivitetet financiare</t>
  </si>
  <si>
    <t>Dividente te paguar</t>
  </si>
  <si>
    <t>IV</t>
  </si>
  <si>
    <t>Mjetet monetare ne fillim te periudhes kontabel</t>
  </si>
  <si>
    <t>Mjetet monetare ne fund te periudhes kontabel</t>
  </si>
  <si>
    <t>Per EUROTEOREMA PEQIN SH.P.K</t>
  </si>
  <si>
    <t>ADMINISTRATORI</t>
  </si>
  <si>
    <t>HIDAJET RRAKLLI</t>
  </si>
  <si>
    <t>NIPT J 61905050 M</t>
  </si>
  <si>
    <t>Kapitali aksionar qe I perket aksionereve te shoqerise meme</t>
  </si>
  <si>
    <t>Rezerva statusore dhe ligjore</t>
  </si>
  <si>
    <t>Rezerva te konvertimit te monedhave te huaja</t>
  </si>
  <si>
    <t>Fitimi I pashperndare</t>
  </si>
  <si>
    <t>Totali</t>
  </si>
  <si>
    <t>Zoterimet e aksionereve te pakices</t>
  </si>
  <si>
    <t>Pozicioni me 31 dhjetor 2008</t>
  </si>
  <si>
    <t>Efekti I ndryshimeve ne politikat kontabel</t>
  </si>
  <si>
    <t>Pozicioni I rregulluar</t>
  </si>
  <si>
    <t>Efektet e ndryshimit te kurseve te kembimit gjate konsolidimit</t>
  </si>
  <si>
    <t>Totali I te ardhurave apo I shpenzimeve, qe nuk jane njohur ne pasqyren e te ardhurave dhe shpenzimeve</t>
  </si>
  <si>
    <t>Fitimi neto I vitit financiar</t>
  </si>
  <si>
    <t>Dividentet e paguar</t>
  </si>
  <si>
    <t>Transferime ne rezerven e detyrueshme statutore</t>
  </si>
  <si>
    <t>Pozicioni me 31 dhjetor 2012</t>
  </si>
  <si>
    <t>Aktivet Afatgjata Materiale  me vlere fillestare   2012</t>
  </si>
  <si>
    <t>Amortizimi A.A.Materiale   2012</t>
  </si>
  <si>
    <t>Vlera Kontabel Neto e A.A.Materiale  2012</t>
  </si>
  <si>
    <t>Emetim I kapitalit aksionar</t>
  </si>
  <si>
    <t>Pozicioni me 31 dhjetor 2009</t>
  </si>
  <si>
    <t>Fitimi neto per periudhen kontabel</t>
  </si>
  <si>
    <t>Trnsferimi I fitimit ne rezerva</t>
  </si>
  <si>
    <t>Aksione te thesarit te riblera</t>
  </si>
  <si>
    <t>Pozicioni me 31 dhjetor 2010</t>
  </si>
  <si>
    <t>TR 7701 F</t>
  </si>
  <si>
    <t>B</t>
  </si>
  <si>
    <t>Shënimet qe shpjegojnë zërat e ndryshëm të pasqyrave financiare</t>
  </si>
  <si>
    <t>AKTIVET  AFAT SHKURTERA</t>
  </si>
  <si>
    <t>Aktivet  monetare</t>
  </si>
  <si>
    <t>Nr</t>
  </si>
  <si>
    <t>Emri i Bankes</t>
  </si>
  <si>
    <t>Monedha</t>
  </si>
  <si>
    <t>Nr llogarise</t>
  </si>
  <si>
    <t>Vlera ne</t>
  </si>
  <si>
    <t>valute</t>
  </si>
  <si>
    <t>leke</t>
  </si>
  <si>
    <t>Intesa San Paolo</t>
  </si>
  <si>
    <t>Leke</t>
  </si>
  <si>
    <t xml:space="preserve">Intesa San Paolo </t>
  </si>
  <si>
    <t>Euro</t>
  </si>
  <si>
    <t>Usd</t>
  </si>
  <si>
    <t xml:space="preserve">Credins Bank </t>
  </si>
  <si>
    <t>Credins Bank</t>
  </si>
  <si>
    <t xml:space="preserve">Emporiki Bank </t>
  </si>
  <si>
    <t xml:space="preserve">Raiffeisen Bank </t>
  </si>
  <si>
    <t>Kapaciteti</t>
  </si>
  <si>
    <t xml:space="preserve">Banka Kombetare Tregtare </t>
  </si>
  <si>
    <t xml:space="preserve">Tirana Bank </t>
  </si>
  <si>
    <t xml:space="preserve">CBA (Banka Arabe) </t>
  </si>
  <si>
    <t>010123010000035</t>
  </si>
  <si>
    <t>E M E R T I M I</t>
  </si>
  <si>
    <t>Arka ne Leke</t>
  </si>
  <si>
    <t>Arka ne Euro</t>
  </si>
  <si>
    <t>Arka ne Dollare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</si>
  <si>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</si>
  <si>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</si>
  <si>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</si>
  <si>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</si>
  <si>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SRL</t>
  </si>
  <si>
    <t>GIOVANI</t>
  </si>
  <si>
    <t>Kliente per mallra,produkte e sherbime</t>
  </si>
  <si>
    <t xml:space="preserve">   Fatura gjithsej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</si>
  <si>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</si>
  <si>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</si>
  <si>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</si>
  <si>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</si>
  <si>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</si>
  <si>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</si>
  <si>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</si>
  <si>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</si>
  <si>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Debitore,Kreditore te tjere</t>
  </si>
  <si>
    <t>Tatim mbi fitimin</t>
  </si>
  <si>
    <t>Tatimi i derdhur paradhenie</t>
  </si>
  <si>
    <t>Tatimi i vitit ushtrimor</t>
  </si>
  <si>
    <t>Tatimi i derdhur teper</t>
  </si>
  <si>
    <t>Tatim rimbursuar</t>
  </si>
  <si>
    <t>Tatim nga viti kaluar</t>
  </si>
  <si>
    <t>Tvsh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</si>
  <si>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</si>
  <si>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</si>
  <si>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</si>
  <si>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</si>
  <si>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>Te drejta e detyrime ndaj ortakeve</t>
  </si>
  <si>
    <t>Lendet e para</t>
  </si>
  <si>
    <t>Inventari Imet</t>
  </si>
  <si>
    <t>Prodhim ne proces</t>
  </si>
  <si>
    <t>Produkte te gatshme</t>
  </si>
  <si>
    <t>Parapagesa per furnizime</t>
  </si>
  <si>
    <t>Aktive biologjike afatshkurtra</t>
  </si>
  <si>
    <t xml:space="preserve">Nuk ka </t>
  </si>
  <si>
    <t>Aktive afatshkurtra te mbajtura per rishitje</t>
  </si>
  <si>
    <t>Parapagime dhe shpenzime te shtyra</t>
  </si>
  <si>
    <t>Shpenzime te periudhave te ardhshme</t>
  </si>
  <si>
    <t>Investimet  financiare afatgjata</t>
  </si>
  <si>
    <t>Analiza e posteve te amortizushme</t>
  </si>
  <si>
    <t>Emertimi</t>
  </si>
  <si>
    <t>Viti raportues</t>
  </si>
  <si>
    <t>Viti paraardhes</t>
  </si>
  <si>
    <t>Vlera</t>
  </si>
  <si>
    <t>Amortizimi</t>
  </si>
  <si>
    <t>Vl.mbetur</t>
  </si>
  <si>
    <t>Makineri,paisje</t>
  </si>
  <si>
    <t xml:space="preserve">AAM te tjera </t>
  </si>
  <si>
    <t xml:space="preserve">Ne proces </t>
  </si>
  <si>
    <t>Ativet biologjike afatgjata</t>
  </si>
  <si>
    <t>Aktive afatgjata jo materiale</t>
  </si>
  <si>
    <t>Kapitali aksioner i pa paguar</t>
  </si>
  <si>
    <t>Aktive te tjera afatgjata</t>
  </si>
  <si>
    <t>PASIVET  AFATSHKURTRA</t>
  </si>
  <si>
    <t>Huamarjet</t>
  </si>
  <si>
    <t>Overdraftet bankare</t>
  </si>
  <si>
    <t>Huamarrje afat shkuatra</t>
  </si>
  <si>
    <t>Huat  dhe  parapagimet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</si>
  <si>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</si>
  <si>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</si>
  <si>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</si>
  <si>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</si>
  <si>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</si>
  <si>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</si>
  <si>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</si>
  <si>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Provizionet afatshkurtra</t>
  </si>
  <si>
    <t>PASIVET  AFATGJATA</t>
  </si>
  <si>
    <t>Huat  afatgjata</t>
  </si>
  <si>
    <t>Hua,bono dhe detyrime nga qeraja financiare</t>
  </si>
  <si>
    <t>Huamarje te tjera afatgjata</t>
  </si>
  <si>
    <t xml:space="preserve">KAPITALI </t>
  </si>
  <si>
    <t>Aksionet e pakices (PF te konsoliduara)</t>
  </si>
  <si>
    <t>Kapitali aksionereve te shoq.meme (PF te kons.)</t>
  </si>
  <si>
    <t>Primi aksionit</t>
  </si>
  <si>
    <t>Njesite ose aksionet e thesarit (Negative)</t>
  </si>
  <si>
    <t>Rezervat statutore</t>
  </si>
  <si>
    <t>Rezervat ligjore</t>
  </si>
  <si>
    <t>Rezervat e tjera</t>
  </si>
  <si>
    <t>Fitimi (Humbja) e vitit financiar</t>
  </si>
  <si>
    <t>●</t>
  </si>
  <si>
    <t>Fitimi i ushtrimit</t>
  </si>
  <si>
    <t>Shpenzime te pa zbriteshme</t>
  </si>
  <si>
    <t>Fitimi para tatimit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</si>
  <si>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</si>
  <si>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</si>
  <si>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</si>
  <si>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</si>
  <si>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</si>
  <si>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</si>
  <si>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</si>
  <si>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</si>
  <si>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t>(   ________________  )</t>
  </si>
  <si>
    <t>EUROTEOREMA PEQIN  SHPK</t>
  </si>
  <si>
    <t xml:space="preserve">GJENDJA DHE NDRYSHIMET E AKTIVEVE TE QENDRUESHME </t>
  </si>
  <si>
    <t>ME VLEREN BRUTO</t>
  </si>
  <si>
    <t>Gjendje</t>
  </si>
  <si>
    <t>SHTESA GJATE USHTRIMIT</t>
  </si>
  <si>
    <t>PAKSIME GJATE USHTRIMIT</t>
  </si>
  <si>
    <t xml:space="preserve">Gjendja </t>
  </si>
  <si>
    <t>ne çelje</t>
  </si>
  <si>
    <t>Kontrib</t>
  </si>
  <si>
    <t>Blere</t>
  </si>
  <si>
    <t>sistem.</t>
  </si>
  <si>
    <t>Rivler</t>
  </si>
  <si>
    <t>Nxjerre</t>
  </si>
  <si>
    <t>Paksime</t>
  </si>
  <si>
    <t>Korigj</t>
  </si>
  <si>
    <t>ne</t>
  </si>
  <si>
    <t>te</t>
  </si>
  <si>
    <t>dhe</t>
  </si>
  <si>
    <t>sime</t>
  </si>
  <si>
    <t>Gjithsej</t>
  </si>
  <si>
    <t>Shitje</t>
  </si>
  <si>
    <t>jashte</t>
  </si>
  <si>
    <t>te tjera</t>
  </si>
  <si>
    <t>vleres</t>
  </si>
  <si>
    <t>mbyllje te</t>
  </si>
  <si>
    <t>ushtrimit</t>
  </si>
  <si>
    <t>kapial</t>
  </si>
  <si>
    <t>krijuar</t>
  </si>
  <si>
    <t>perdorim</t>
  </si>
  <si>
    <t>sistemim</t>
  </si>
  <si>
    <t>bruto</t>
  </si>
  <si>
    <t>I. TE  PATRUPEZUARA</t>
  </si>
  <si>
    <t xml:space="preserve">    1. Shpenzime te nisjes e zgjerimit</t>
  </si>
  <si>
    <t xml:space="preserve">    2. Shpenz te kerk te aplikuara e zhvill</t>
  </si>
  <si>
    <t xml:space="preserve">    3. Koncensione,patenta, marka etj</t>
  </si>
  <si>
    <t xml:space="preserve">    4. Fond tregtar</t>
  </si>
  <si>
    <t xml:space="preserve">shpenzimet te tjera </t>
  </si>
  <si>
    <t xml:space="preserve">    5. Te tjera ne shfrytzim</t>
  </si>
  <si>
    <t xml:space="preserve">    6. Ne proces e pagesa pjesore</t>
  </si>
  <si>
    <t>II. TE TRUPEZUARA</t>
  </si>
  <si>
    <t xml:space="preserve">    7. Toka, troje, terrene</t>
  </si>
  <si>
    <t xml:space="preserve">    8. Ndertesa</t>
  </si>
  <si>
    <t xml:space="preserve">    9. Ndertime e instalime te pergjith</t>
  </si>
  <si>
    <t xml:space="preserve">  10. Instal tekn, makineri, pajisje, vegla</t>
  </si>
  <si>
    <t xml:space="preserve">  11. Mjete transporti</t>
  </si>
  <si>
    <t>BILANCI ME 31.12.2012</t>
  </si>
  <si>
    <t xml:space="preserve">                     PASQYRA E TE ARDHURAVE DHE SHPENZIMEVE       2012</t>
  </si>
  <si>
    <t>Viti 2012</t>
  </si>
  <si>
    <t>PASQYRA  E  AMORTIZIMEVE  VITI  2012</t>
  </si>
  <si>
    <t>Te punesuar mesatarisht per vitin 2012:</t>
  </si>
  <si>
    <t xml:space="preserve">  12. Pajisje zyre e informatike</t>
  </si>
  <si>
    <t xml:space="preserve">  13. Gje e gjalle pune e prodhimi</t>
  </si>
  <si>
    <t xml:space="preserve">  14. Kultura drufrutore</t>
  </si>
  <si>
    <t xml:space="preserve">  15. Te tjera ne shfrytzim</t>
  </si>
  <si>
    <t xml:space="preserve">  16. Ne proces dhe pagesa pjesore</t>
  </si>
  <si>
    <t>T O T A L I     I + II</t>
  </si>
  <si>
    <t>GJENDJA E NDRYSHIMET</t>
  </si>
  <si>
    <t>Shuma e</t>
  </si>
  <si>
    <t>akumuluar</t>
  </si>
  <si>
    <t>Plotsime</t>
  </si>
  <si>
    <t>Elemente</t>
  </si>
  <si>
    <t xml:space="preserve">Elemente </t>
  </si>
  <si>
    <t>Akumuluar</t>
  </si>
  <si>
    <t>ne celje</t>
  </si>
  <si>
    <t>te lidhura</t>
  </si>
  <si>
    <t>te kaluar</t>
  </si>
  <si>
    <t>te nxjerre</t>
  </si>
  <si>
    <t>Gjithsejt</t>
  </si>
  <si>
    <t>ne mbyllje</t>
  </si>
  <si>
    <t>RUBRIKAT E POSTET</t>
  </si>
  <si>
    <t>me nje</t>
  </si>
  <si>
    <t>vjetor</t>
  </si>
  <si>
    <t>ne aktive</t>
  </si>
  <si>
    <t>te shitur</t>
  </si>
  <si>
    <t>rivlersim</t>
  </si>
  <si>
    <t>qarkulluse</t>
  </si>
  <si>
    <t>perdorimit</t>
  </si>
  <si>
    <t xml:space="preserve">    I.TE PATRUPEZUARA</t>
  </si>
  <si>
    <t>II.TE TRUPEZUARA</t>
  </si>
  <si>
    <t>Toka, troje, terrene</t>
  </si>
  <si>
    <t>Ndertime e instalime te pergjith</t>
  </si>
  <si>
    <t>Instal tekn, makineri, pajisje, vegla</t>
  </si>
  <si>
    <t xml:space="preserve"> Mjete transporti</t>
  </si>
  <si>
    <t>Pajisje zyre e informatike, etj</t>
  </si>
  <si>
    <t>T O T A L I</t>
  </si>
  <si>
    <t>SHENIME SHPJEGUESE TE PASYRAVE FINACIARE</t>
  </si>
  <si>
    <t>HARTUESI</t>
  </si>
  <si>
    <t>DREJTUESI</t>
  </si>
  <si>
    <t>(</t>
  </si>
  <si>
    <t xml:space="preserve">                   )</t>
  </si>
  <si>
    <t>Sasia</t>
  </si>
  <si>
    <t>Shtesa</t>
  </si>
  <si>
    <t>Pakesime</t>
  </si>
  <si>
    <t>Ndertime</t>
  </si>
  <si>
    <t>Mjete transporti</t>
  </si>
  <si>
    <t>kompjuterike</t>
  </si>
  <si>
    <t>Zyre</t>
  </si>
  <si>
    <t xml:space="preserve">             TOTALI</t>
  </si>
  <si>
    <t>Makineri,paisje,vegla</t>
  </si>
  <si>
    <t>SHOQERIA: EUROTEOREMA PEQIN SHPK</t>
  </si>
  <si>
    <t>NIPT: J 61905050 M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</si>
  <si>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</si>
  <si>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</si>
  <si>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</si>
  <si>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</si>
  <si>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</si>
  <si>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</si>
  <si>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</si>
  <si>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</si>
  <si>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</si>
  <si>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</si>
  <si>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</si>
  <si>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</si>
  <si>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</si>
  <si>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</si>
  <si>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</si>
  <si>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</si>
  <si>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</si>
  <si>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</si>
  <si>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</si>
  <si>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</si>
  <si>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</si>
  <si>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</si>
  <si>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</si>
  <si>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</si>
  <si>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</si>
  <si>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</si>
  <si>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</si>
  <si>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</si>
  <si>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</si>
  <si>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</si>
  <si>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 xml:space="preserve">   Per EUROTEOREMA PEQIN SH.P.K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</si>
  <si>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</si>
  <si>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</si>
  <si>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</si>
  <si>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</si>
  <si>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</si>
  <si>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</si>
  <si>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</si>
  <si>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</si>
  <si>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</si>
  <si>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</si>
  <si>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</si>
  <si>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</si>
  <si>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</si>
  <si>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</si>
  <si>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</si>
  <si>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</si>
  <si>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</si>
  <si>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</si>
  <si>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</si>
  <si>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</si>
  <si>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</si>
  <si>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</si>
  <si>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</si>
  <si>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Qera</t>
  </si>
  <si>
    <t>d)</t>
  </si>
  <si>
    <t>Mirembajtje dhe riparime</t>
  </si>
  <si>
    <t>e)</t>
  </si>
  <si>
    <t>Shpenzime për Siguracione</t>
  </si>
  <si>
    <t>f)</t>
  </si>
  <si>
    <t>Penalitete dhe gjoba</t>
  </si>
  <si>
    <t>g)</t>
  </si>
  <si>
    <t>Sherbime të tjera</t>
  </si>
  <si>
    <t>h)</t>
  </si>
  <si>
    <t>Shpenzime per koncesione, patenta dhe licensa</t>
  </si>
  <si>
    <t>i)</t>
  </si>
  <si>
    <t>Shpenzime per interesa</t>
  </si>
  <si>
    <t>j)</t>
  </si>
  <si>
    <t>Transferime, udhetime, dieta</t>
  </si>
  <si>
    <t>k)</t>
  </si>
  <si>
    <t>Shpenzime postare dhe telekomunikacioni , energji elektrike</t>
  </si>
  <si>
    <t>l)</t>
  </si>
  <si>
    <t>Shpenzime transporti</t>
  </si>
  <si>
    <t xml:space="preserve">   per Blerje </t>
  </si>
  <si>
    <t>Nga 01.01.2012 deri 31.12.2012</t>
  </si>
  <si>
    <r>
      <t>Data e plotesimit te PF:  2</t>
    </r>
    <r>
      <rPr>
        <i/>
        <sz val="12"/>
        <rFont val="Times New Roman"/>
        <family val="1"/>
      </rPr>
      <t>5.03.2013</t>
    </r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</si>
  <si>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</si>
  <si>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</si>
  <si>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</si>
  <si>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</si>
  <si>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</si>
  <si>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</si>
  <si>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</si>
  <si>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</si>
  <si>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</si>
  <si>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</si>
  <si>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</si>
  <si>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</si>
  <si>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</si>
  <si>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</si>
  <si>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</si>
  <si>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</si>
  <si>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</si>
  <si>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</si>
  <si>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</si>
  <si>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</si>
  <si>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</si>
  <si>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</si>
  <si>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</si>
  <si>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</si>
  <si>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</si>
  <si>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</si>
  <si>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</si>
  <si>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</si>
  <si>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</si>
  <si>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</si>
  <si>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</si>
  <si>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</si>
  <si>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</si>
  <si>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</si>
  <si>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</si>
  <si>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</si>
  <si>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</si>
  <si>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</si>
  <si>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</si>
  <si>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Kamioncine Iveco Fiat Tip C35, me Numer Identifikimi ZCFC3561005206526, me Kod Karrocerie B2, Ngjyre  e Kuqe e erret , Vit Prodhimi  1999</t>
  </si>
  <si>
    <t>Gjysem rimorkio Astra ( Semirimorkio) , Tip 701T/A   me Numer Identifikimi 70077, me Kod Karrocerie A1, Ngjyre e  Bardhe , Vit Prodhimi 1983</t>
  </si>
  <si>
    <t>Gjysem rimorkio Farid ( Semirimorkio) , Tip S450   me Numer Identifikimi S4508R020, me Kod Karrocerie H3, Ngjyre e  Kuqe , Vit Prodhimi 1979</t>
  </si>
  <si>
    <t>Gjysem rimorkio Minerva ( Semirimorkio) , Tip S56   me Numer Identifikimi ZA9S5690001C71973, me Kod Karrocerie A1, Ngjyre e  Bardhe , Vit Prodhimi 1992</t>
  </si>
  <si>
    <t>Gjysem rimorkio Viberti ( Semirimorkio) , Tip 375  me Numer Identifikimi 37S11051470, me Kod Karrocerie H1, Ngjyre e  Kuqe , Vit Prodhimi 1977</t>
  </si>
  <si>
    <t>Gjysem rimorkio Viberti ( Semirimorkio) , Tip 37S3  me Numer Identifikimi 37S31250281, me Kod Karrocerie H1, Ngjyre Blu , Vit Prodhimi 1979</t>
  </si>
  <si>
    <t xml:space="preserve">Koke Terheqese Fiat , Tip 190/42 , me Numer Identifikimi ZCFM1VSH001145748 , me Kod Karrocerie K3 , Ngjyre e Kuqe , Vit Prodhimi 1988 </t>
  </si>
  <si>
    <t>Koke Terheqese Volvo , Tip 1220 , me Numer Identifikimi YV2H2A3A2JB065371 , me Kod Karrocerie K3 , Ngjyre e Bardhe , Vit Prodhimi 1988</t>
  </si>
  <si>
    <t>Gjysem rimorkio Cardi  , Tip 503  me Numer Identifikimi 8549, me Kod Karrocerie A1, Ngjyre Gri + e Blu , Vit Prodhimi 1978</t>
  </si>
  <si>
    <t>Kamion Iveco Fiat ( Bitumatrice), Tip C35 , me Numer Identifikimi ZCFC3570105128673 , me Kod Karrocerie B2 , Ngjyre e Bardhe , Vit Prodhimi 1997</t>
  </si>
  <si>
    <t xml:space="preserve">Autovinc Marchetti  , Tip MG 1922 , me Numer Identifikimi ZA9MG1922PCA29223 , me Kod Karrocerie KH , Ngjyre e Verdhe , Vit Prodhimi 1990  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</si>
  <si>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</si>
  <si>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</si>
  <si>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</si>
  <si>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</si>
  <si>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</si>
  <si>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</si>
  <si>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</si>
  <si>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</si>
  <si>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</si>
  <si>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</si>
  <si>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</si>
  <si>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</si>
  <si>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</si>
  <si>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</si>
  <si>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</si>
  <si>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</si>
  <si>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</si>
  <si>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</si>
  <si>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</si>
  <si>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</si>
  <si>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</si>
  <si>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</si>
  <si>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</si>
  <si>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</si>
  <si>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</si>
  <si>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</si>
  <si>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</si>
  <si>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</si>
  <si>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</si>
  <si>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</si>
  <si>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</si>
  <si>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</si>
  <si>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</si>
  <si>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</si>
  <si>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Targa</t>
  </si>
  <si>
    <t>Autobot cimento(kamion pianale)</t>
  </si>
  <si>
    <t>PE 0486 A</t>
  </si>
  <si>
    <t>Pozicioni me 31 dhjetor 2011</t>
  </si>
  <si>
    <t>Procredit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</si>
</sst>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  <numFmt numFmtId="167" formatCode="_-* #,##0.0_-;\-* #,##0.0_-;_-* &quot;-&quot;??_-;_-@_-"/>
    <numFmt numFmtId="168" formatCode="_-* #,##0.000_-;\-* #,##0.000_-;_-* &quot;-&quot;??_-;_-@_-"/>
    <numFmt numFmtId="169" formatCode="_-* #,##0.00_L_e_k_-;\-* #,##0.00_L_e_k_-;_-* &quot;-&quot;??_L_e_k_-;_-@_-"/>
    <numFmt numFmtId="170" formatCode="_(* #,##0_);_(* \(#,##0\);_(* &quot;-&quot;??_);_(@_)"/>
    <numFmt numFmtId="171" formatCode="_(* #,##0.0_);_(* \(#,##0.0\);_(* &quot;-&quot;??_);_(@_)"/>
  </numFmts>
  <fonts count="71">
    <font>
      <sz val="10"/>
      <name val="Arial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8"/>
      <color indexed="10"/>
      <name val="Times New Roman"/>
      <family val="1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i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/>
      <sz val="14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7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u/>
      <sz val="12"/>
      <name val="Times New Roman"/>
      <family val="1"/>
    </font>
    <font>
      <i/>
      <sz val="12"/>
      <name val="Times New Roman"/>
      <family val="1"/>
    </font>
    <font>
      <sz val="36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u/>
      <sz val="12"/>
      <name val="Times New Roman"/>
      <family val="1"/>
    </font>
    <font>
      <u/>
      <sz val="12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 CE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u/>
      <sz val="14"/>
      <name val="Times New Roman"/>
      <family val="1"/>
    </font>
    <font>
      <b/>
      <sz val="16"/>
      <name val="Times New Roman"/>
      <family val="1"/>
    </font>
    <font>
      <b/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49"/>
      <name val="Times New Roman"/>
      <family val="1"/>
    </font>
    <font>
      <b/>
      <sz val="10"/>
      <color indexed="46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5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51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10"/>
      <name val="Arial"/>
      <family val="2"/>
    </font>
    <font>
      <sz val="8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5" fillId="0" borderId="0"/>
    <xf numFmtId="0" fontId="45" fillId="0" borderId="0"/>
  </cellStyleXfs>
  <cellXfs count="883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2" fillId="0" borderId="1" xfId="2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166" fontId="3" fillId="0" borderId="1" xfId="2" applyNumberFormat="1" applyFont="1" applyFill="1" applyBorder="1" applyAlignment="1">
      <alignment vertical="center"/>
    </xf>
    <xf numFmtId="166" fontId="2" fillId="0" borderId="1" xfId="2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6" fontId="3" fillId="0" borderId="0" xfId="0" applyNumberFormat="1" applyFont="1" applyFill="1"/>
    <xf numFmtId="166" fontId="3" fillId="0" borderId="1" xfId="2" applyNumberFormat="1" applyFont="1" applyFill="1" applyBorder="1"/>
    <xf numFmtId="166" fontId="2" fillId="0" borderId="1" xfId="2" applyNumberFormat="1" applyFont="1" applyFill="1" applyBorder="1"/>
    <xf numFmtId="166" fontId="5" fillId="0" borderId="1" xfId="2" applyNumberFormat="1" applyFont="1" applyBorder="1"/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2" fillId="0" borderId="0" xfId="2" applyNumberFormat="1" applyFont="1" applyFill="1" applyBorder="1"/>
    <xf numFmtId="166" fontId="3" fillId="0" borderId="0" xfId="2" applyNumberFormat="1" applyFont="1" applyFill="1"/>
    <xf numFmtId="0" fontId="3" fillId="0" borderId="0" xfId="0" applyFont="1" applyFill="1" applyBorder="1"/>
    <xf numFmtId="0" fontId="2" fillId="0" borderId="1" xfId="0" applyFont="1" applyFill="1" applyBorder="1" applyAlignment="1">
      <alignment horizontal="left" vertical="center"/>
    </xf>
    <xf numFmtId="166" fontId="6" fillId="0" borderId="1" xfId="2" applyNumberFormat="1" applyFont="1" applyFill="1" applyBorder="1"/>
    <xf numFmtId="0" fontId="7" fillId="0" borderId="0" xfId="0" applyFont="1"/>
    <xf numFmtId="166" fontId="8" fillId="0" borderId="0" xfId="2" applyNumberFormat="1" applyFont="1"/>
    <xf numFmtId="3" fontId="6" fillId="0" borderId="0" xfId="0" applyNumberFormat="1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0" xfId="0" applyNumberFormat="1" applyFont="1" applyFill="1"/>
    <xf numFmtId="166" fontId="3" fillId="0" borderId="0" xfId="2" applyNumberFormat="1" applyFont="1" applyFill="1" applyBorder="1"/>
    <xf numFmtId="0" fontId="10" fillId="0" borderId="0" xfId="0" applyFont="1"/>
    <xf numFmtId="37" fontId="2" fillId="0" borderId="0" xfId="0" applyNumberFormat="1" applyFont="1" applyFill="1" applyAlignment="1">
      <alignment horizontal="center"/>
    </xf>
    <xf numFmtId="0" fontId="10" fillId="0" borderId="1" xfId="0" applyFont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7" fontId="11" fillId="0" borderId="1" xfId="0" applyNumberFormat="1" applyFont="1" applyBorder="1" applyAlignment="1">
      <alignment horizontal="center" vertical="center" wrapText="1"/>
    </xf>
    <xf numFmtId="37" fontId="3" fillId="0" borderId="1" xfId="2" applyNumberFormat="1" applyFont="1" applyBorder="1" applyAlignment="1">
      <alignment vertical="center"/>
    </xf>
    <xf numFmtId="166" fontId="3" fillId="0" borderId="1" xfId="2" applyNumberFormat="1" applyFont="1" applyBorder="1" applyAlignment="1">
      <alignment vertical="center"/>
    </xf>
    <xf numFmtId="166" fontId="3" fillId="0" borderId="1" xfId="2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166" fontId="12" fillId="0" borderId="1" xfId="2" applyNumberFormat="1" applyFont="1" applyBorder="1" applyAlignment="1">
      <alignment horizontal="left" vertical="center"/>
    </xf>
    <xf numFmtId="37" fontId="11" fillId="0" borderId="1" xfId="2" applyNumberFormat="1" applyFont="1" applyBorder="1" applyAlignment="1">
      <alignment vertical="center"/>
    </xf>
    <xf numFmtId="166" fontId="11" fillId="0" borderId="1" xfId="2" applyNumberFormat="1" applyFont="1" applyBorder="1" applyAlignment="1">
      <alignment vertical="center"/>
    </xf>
    <xf numFmtId="166" fontId="5" fillId="0" borderId="0" xfId="2" applyNumberFormat="1" applyFont="1"/>
    <xf numFmtId="166" fontId="3" fillId="0" borderId="1" xfId="2" applyNumberFormat="1" applyFont="1" applyFill="1" applyBorder="1" applyAlignment="1">
      <alignment horizontal="center" vertical="center"/>
    </xf>
    <xf numFmtId="37" fontId="3" fillId="0" borderId="1" xfId="2" applyNumberFormat="1" applyFont="1" applyFill="1" applyBorder="1" applyAlignment="1">
      <alignment vertical="center"/>
    </xf>
    <xf numFmtId="165" fontId="2" fillId="0" borderId="1" xfId="2" applyFont="1" applyFill="1" applyBorder="1" applyAlignment="1">
      <alignment vertical="center"/>
    </xf>
    <xf numFmtId="166" fontId="3" fillId="0" borderId="2" xfId="2" applyNumberFormat="1" applyFont="1" applyBorder="1" applyAlignment="1">
      <alignment vertical="center"/>
    </xf>
    <xf numFmtId="166" fontId="3" fillId="0" borderId="2" xfId="2" applyNumberFormat="1" applyFont="1" applyFill="1" applyBorder="1" applyAlignment="1">
      <alignment vertical="center"/>
    </xf>
    <xf numFmtId="166" fontId="12" fillId="0" borderId="1" xfId="2" applyNumberFormat="1" applyFont="1" applyBorder="1" applyAlignment="1">
      <alignment vertical="center"/>
    </xf>
    <xf numFmtId="37" fontId="2" fillId="0" borderId="1" xfId="2" applyNumberFormat="1" applyFont="1" applyBorder="1" applyAlignment="1">
      <alignment vertical="center"/>
    </xf>
    <xf numFmtId="166" fontId="2" fillId="0" borderId="1" xfId="2" applyNumberFormat="1" applyFont="1" applyBorder="1" applyAlignment="1">
      <alignment vertical="center"/>
    </xf>
    <xf numFmtId="166" fontId="3" fillId="0" borderId="1" xfId="2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166" fontId="9" fillId="0" borderId="1" xfId="2" applyNumberFormat="1" applyFont="1" applyBorder="1" applyAlignment="1">
      <alignment vertical="center"/>
    </xf>
    <xf numFmtId="37" fontId="9" fillId="0" borderId="1" xfId="2" applyNumberFormat="1" applyFont="1" applyBorder="1" applyAlignment="1">
      <alignment vertical="center"/>
    </xf>
    <xf numFmtId="37" fontId="10" fillId="0" borderId="0" xfId="0" applyNumberFormat="1" applyFont="1"/>
    <xf numFmtId="0" fontId="10" fillId="0" borderId="0" xfId="0" applyFont="1" applyAlignment="1">
      <alignment horizontal="right"/>
    </xf>
    <xf numFmtId="37" fontId="13" fillId="0" borderId="0" xfId="2" applyNumberFormat="1" applyFont="1" applyAlignment="1"/>
    <xf numFmtId="0" fontId="9" fillId="0" borderId="0" xfId="0" applyFont="1"/>
    <xf numFmtId="0" fontId="13" fillId="0" borderId="0" xfId="0" applyFont="1"/>
    <xf numFmtId="0" fontId="17" fillId="0" borderId="0" xfId="0" applyFont="1"/>
    <xf numFmtId="0" fontId="19" fillId="0" borderId="1" xfId="0" applyFont="1" applyBorder="1"/>
    <xf numFmtId="0" fontId="13" fillId="0" borderId="1" xfId="0" applyFont="1" applyBorder="1"/>
    <xf numFmtId="37" fontId="19" fillId="0" borderId="1" xfId="2" applyNumberFormat="1" applyFont="1" applyBorder="1"/>
    <xf numFmtId="0" fontId="18" fillId="0" borderId="1" xfId="0" applyFont="1" applyBorder="1"/>
    <xf numFmtId="37" fontId="18" fillId="0" borderId="1" xfId="2" applyNumberFormat="1" applyFont="1" applyBorder="1"/>
    <xf numFmtId="0" fontId="0" fillId="0" borderId="1" xfId="0" applyBorder="1"/>
    <xf numFmtId="0" fontId="1" fillId="0" borderId="0" xfId="0" applyFont="1"/>
    <xf numFmtId="0" fontId="19" fillId="0" borderId="3" xfId="0" applyFont="1" applyBorder="1"/>
    <xf numFmtId="0" fontId="19" fillId="0" borderId="3" xfId="0" applyFont="1" applyBorder="1" applyAlignment="1"/>
    <xf numFmtId="0" fontId="19" fillId="0" borderId="4" xfId="0" applyFont="1" applyBorder="1"/>
    <xf numFmtId="2" fontId="19" fillId="0" borderId="4" xfId="0" applyNumberFormat="1" applyFont="1" applyBorder="1" applyAlignment="1">
      <alignment wrapText="1"/>
    </xf>
    <xf numFmtId="0" fontId="19" fillId="0" borderId="4" xfId="0" applyFont="1" applyBorder="1" applyAlignment="1">
      <alignment wrapText="1"/>
    </xf>
    <xf numFmtId="0" fontId="18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/>
    </xf>
    <xf numFmtId="166" fontId="13" fillId="0" borderId="0" xfId="2" applyNumberFormat="1" applyFont="1"/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/>
    <xf numFmtId="0" fontId="21" fillId="0" borderId="0" xfId="0" applyFont="1"/>
    <xf numFmtId="0" fontId="0" fillId="0" borderId="0" xfId="0" applyBorder="1"/>
    <xf numFmtId="0" fontId="22" fillId="0" borderId="0" xfId="0" applyFont="1" applyBorder="1" applyAlignment="1">
      <alignment vertical="center"/>
    </xf>
    <xf numFmtId="0" fontId="23" fillId="0" borderId="0" xfId="0" applyFont="1" applyFill="1" applyBorder="1"/>
    <xf numFmtId="0" fontId="23" fillId="0" borderId="0" xfId="0" applyFont="1" applyBorder="1"/>
    <xf numFmtId="0" fontId="23" fillId="0" borderId="0" xfId="0" applyFont="1"/>
    <xf numFmtId="166" fontId="5" fillId="0" borderId="0" xfId="2" applyNumberFormat="1" applyFont="1" applyBorder="1"/>
    <xf numFmtId="3" fontId="0" fillId="0" borderId="0" xfId="0" applyNumberFormat="1" applyBorder="1"/>
    <xf numFmtId="166" fontId="24" fillId="0" borderId="0" xfId="2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0" fontId="22" fillId="0" borderId="5" xfId="0" applyFont="1" applyBorder="1"/>
    <xf numFmtId="166" fontId="5" fillId="0" borderId="0" xfId="2" applyNumberFormat="1" applyFont="1" applyBorder="1" applyAlignment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166" fontId="26" fillId="0" borderId="0" xfId="2" applyNumberFormat="1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166" fontId="5" fillId="0" borderId="0" xfId="2" applyNumberFormat="1" applyFont="1" applyBorder="1" applyAlignment="1">
      <alignment vertical="center"/>
    </xf>
    <xf numFmtId="0" fontId="0" fillId="0" borderId="6" xfId="0" applyBorder="1" applyAlignment="1">
      <alignment horizontal="center"/>
    </xf>
    <xf numFmtId="0" fontId="5" fillId="0" borderId="0" xfId="0" applyFont="1" applyBorder="1"/>
    <xf numFmtId="166" fontId="5" fillId="0" borderId="0" xfId="2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/>
    <xf numFmtId="166" fontId="5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3" fontId="5" fillId="0" borderId="0" xfId="0" applyNumberFormat="1" applyFont="1" applyBorder="1"/>
    <xf numFmtId="0" fontId="0" fillId="0" borderId="1" xfId="0" applyFill="1" applyBorder="1"/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/>
    </xf>
    <xf numFmtId="3" fontId="23" fillId="0" borderId="0" xfId="0" applyNumberFormat="1" applyFont="1" applyBorder="1"/>
    <xf numFmtId="0" fontId="30" fillId="0" borderId="0" xfId="0" applyFont="1" applyBorder="1"/>
    <xf numFmtId="3" fontId="30" fillId="0" borderId="0" xfId="0" applyNumberFormat="1" applyFont="1" applyBorder="1"/>
    <xf numFmtId="166" fontId="23" fillId="0" borderId="0" xfId="0" applyNumberFormat="1" applyFont="1" applyBorder="1"/>
    <xf numFmtId="166" fontId="5" fillId="0" borderId="0" xfId="2" applyNumberFormat="1" applyFont="1" applyBorder="1" applyAlignment="1">
      <alignment horizontal="left"/>
    </xf>
    <xf numFmtId="0" fontId="13" fillId="0" borderId="0" xfId="0" applyFont="1" applyBorder="1"/>
    <xf numFmtId="166" fontId="26" fillId="0" borderId="0" xfId="2" applyNumberFormat="1" applyFont="1" applyBorder="1"/>
    <xf numFmtId="3" fontId="13" fillId="0" borderId="0" xfId="0" applyNumberFormat="1" applyFont="1" applyBorder="1"/>
    <xf numFmtId="166" fontId="25" fillId="0" borderId="0" xfId="2" applyNumberFormat="1" applyFont="1" applyBorder="1"/>
    <xf numFmtId="0" fontId="25" fillId="0" borderId="0" xfId="0" applyFont="1" applyBorder="1" applyAlignment="1">
      <alignment horizontal="right" vertical="center"/>
    </xf>
    <xf numFmtId="3" fontId="0" fillId="0" borderId="0" xfId="0" applyNumberFormat="1"/>
    <xf numFmtId="166" fontId="5" fillId="0" borderId="0" xfId="2" applyNumberFormat="1" applyFont="1" applyFill="1" applyBorder="1" applyAlignment="1"/>
    <xf numFmtId="0" fontId="25" fillId="0" borderId="0" xfId="0" applyFont="1" applyBorder="1" applyAlignment="1">
      <alignment horizontal="left" vertical="center"/>
    </xf>
    <xf numFmtId="0" fontId="29" fillId="0" borderId="0" xfId="0" applyFont="1" applyFill="1" applyBorder="1" applyAlignment="1"/>
    <xf numFmtId="0" fontId="29" fillId="0" borderId="0" xfId="0" applyFont="1"/>
    <xf numFmtId="166" fontId="5" fillId="0" borderId="0" xfId="2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Border="1"/>
    <xf numFmtId="0" fontId="29" fillId="0" borderId="0" xfId="0" applyFont="1" applyBorder="1" applyAlignment="1">
      <alignment horizontal="center"/>
    </xf>
    <xf numFmtId="0" fontId="13" fillId="0" borderId="0" xfId="0" applyFont="1" applyFill="1" applyBorder="1"/>
    <xf numFmtId="166" fontId="5" fillId="0" borderId="1" xfId="2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25" fillId="0" borderId="0" xfId="0" applyFont="1" applyBorder="1"/>
    <xf numFmtId="3" fontId="25" fillId="0" borderId="0" xfId="2" applyNumberFormat="1" applyFont="1" applyBorder="1"/>
    <xf numFmtId="3" fontId="25" fillId="0" borderId="0" xfId="0" applyNumberFormat="1" applyFont="1" applyBorder="1"/>
    <xf numFmtId="0" fontId="25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66" fontId="5" fillId="0" borderId="0" xfId="2" applyNumberFormat="1" applyFont="1" applyFill="1" applyBorder="1"/>
    <xf numFmtId="0" fontId="32" fillId="0" borderId="0" xfId="0" applyFont="1"/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7" xfId="0" applyFont="1" applyBorder="1"/>
    <xf numFmtId="0" fontId="12" fillId="0" borderId="7" xfId="0" applyFont="1" applyBorder="1" applyAlignment="1">
      <alignment horizontal="center"/>
    </xf>
    <xf numFmtId="0" fontId="12" fillId="0" borderId="6" xfId="0" applyFont="1" applyBorder="1"/>
    <xf numFmtId="0" fontId="12" fillId="0" borderId="0" xfId="0" applyFont="1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164" fontId="12" fillId="0" borderId="1" xfId="3" applyFont="1" applyBorder="1"/>
    <xf numFmtId="0" fontId="12" fillId="0" borderId="1" xfId="0" applyFont="1" applyBorder="1"/>
    <xf numFmtId="166" fontId="12" fillId="0" borderId="1" xfId="2" applyNumberFormat="1" applyFont="1" applyBorder="1"/>
    <xf numFmtId="166" fontId="12" fillId="0" borderId="0" xfId="2" applyNumberFormat="1" applyFont="1"/>
    <xf numFmtId="164" fontId="12" fillId="0" borderId="1" xfId="3" applyFont="1" applyFill="1" applyBorder="1"/>
    <xf numFmtId="0" fontId="11" fillId="0" borderId="1" xfId="0" applyFont="1" applyBorder="1" applyAlignment="1">
      <alignment horizontal="center"/>
    </xf>
    <xf numFmtId="164" fontId="11" fillId="0" borderId="1" xfId="3" applyFont="1" applyBorder="1"/>
    <xf numFmtId="0" fontId="1" fillId="0" borderId="8" xfId="0" applyFont="1" applyBorder="1"/>
    <xf numFmtId="164" fontId="10" fillId="0" borderId="1" xfId="3" applyFont="1" applyFill="1" applyBorder="1"/>
    <xf numFmtId="164" fontId="10" fillId="0" borderId="1" xfId="3" applyFont="1" applyBorder="1"/>
    <xf numFmtId="0" fontId="35" fillId="0" borderId="0" xfId="0" applyFont="1"/>
    <xf numFmtId="0" fontId="35" fillId="0" borderId="9" xfId="0" applyFont="1" applyBorder="1"/>
    <xf numFmtId="0" fontId="35" fillId="0" borderId="10" xfId="0" applyFont="1" applyBorder="1"/>
    <xf numFmtId="0" fontId="0" fillId="0" borderId="10" xfId="0" applyBorder="1"/>
    <xf numFmtId="0" fontId="0" fillId="0" borderId="11" xfId="0" applyBorder="1"/>
    <xf numFmtId="0" fontId="35" fillId="0" borderId="12" xfId="0" applyFont="1" applyBorder="1"/>
    <xf numFmtId="0" fontId="35" fillId="0" borderId="0" xfId="0" applyFont="1" applyBorder="1"/>
    <xf numFmtId="0" fontId="36" fillId="0" borderId="0" xfId="0" applyFont="1" applyBorder="1" applyAlignment="1">
      <alignment horizontal="center"/>
    </xf>
    <xf numFmtId="0" fontId="37" fillId="0" borderId="0" xfId="0" applyFont="1" applyBorder="1"/>
    <xf numFmtId="0" fontId="0" fillId="0" borderId="13" xfId="0" applyBorder="1"/>
    <xf numFmtId="0" fontId="0" fillId="0" borderId="12" xfId="0" applyBorder="1"/>
    <xf numFmtId="0" fontId="38" fillId="0" borderId="12" xfId="0" applyFont="1" applyBorder="1" applyAlignment="1"/>
    <xf numFmtId="0" fontId="38" fillId="0" borderId="0" xfId="0" applyFont="1" applyBorder="1" applyAlignment="1"/>
    <xf numFmtId="0" fontId="38" fillId="0" borderId="13" xfId="0" applyFont="1" applyBorder="1" applyAlignment="1"/>
    <xf numFmtId="0" fontId="35" fillId="0" borderId="12" xfId="0" applyFont="1" applyBorder="1" applyAlignment="1"/>
    <xf numFmtId="0" fontId="35" fillId="0" borderId="0" xfId="0" applyFont="1" applyBorder="1" applyAlignment="1"/>
    <xf numFmtId="0" fontId="36" fillId="0" borderId="0" xfId="0" applyFont="1" applyBorder="1" applyAlignment="1"/>
    <xf numFmtId="0" fontId="35" fillId="0" borderId="13" xfId="0" applyFont="1" applyBorder="1"/>
    <xf numFmtId="0" fontId="35" fillId="0" borderId="12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4" fillId="0" borderId="12" xfId="0" applyFont="1" applyBorder="1" applyAlignment="1"/>
    <xf numFmtId="0" fontId="34" fillId="0" borderId="0" xfId="0" applyFont="1" applyBorder="1" applyAlignment="1"/>
    <xf numFmtId="0" fontId="34" fillId="0" borderId="13" xfId="0" applyFont="1" applyBorder="1" applyAlignment="1"/>
    <xf numFmtId="0" fontId="40" fillId="0" borderId="0" xfId="0" applyFont="1" applyBorder="1"/>
    <xf numFmtId="0" fontId="40" fillId="0" borderId="13" xfId="0" applyFont="1" applyBorder="1"/>
    <xf numFmtId="14" fontId="41" fillId="0" borderId="0" xfId="0" applyNumberFormat="1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41" fillId="0" borderId="0" xfId="0" applyFont="1" applyBorder="1"/>
    <xf numFmtId="0" fontId="37" fillId="0" borderId="13" xfId="0" applyFont="1" applyBorder="1"/>
    <xf numFmtId="0" fontId="36" fillId="0" borderId="0" xfId="0" applyFont="1" applyBorder="1"/>
    <xf numFmtId="0" fontId="42" fillId="0" borderId="0" xfId="0" applyFont="1" applyBorder="1"/>
    <xf numFmtId="0" fontId="41" fillId="0" borderId="13" xfId="0" applyFont="1" applyBorder="1"/>
    <xf numFmtId="0" fontId="34" fillId="0" borderId="0" xfId="0" applyFont="1" applyBorder="1"/>
    <xf numFmtId="0" fontId="34" fillId="0" borderId="13" xfId="0" applyFont="1" applyBorder="1"/>
    <xf numFmtId="0" fontId="41" fillId="0" borderId="0" xfId="0" applyFont="1" applyBorder="1" applyAlignment="1">
      <alignment horizontal="center"/>
    </xf>
    <xf numFmtId="0" fontId="35" fillId="0" borderId="14" xfId="0" applyFont="1" applyBorder="1"/>
    <xf numFmtId="0" fontId="35" fillId="0" borderId="15" xfId="0" applyFont="1" applyBorder="1"/>
    <xf numFmtId="0" fontId="0" fillId="0" borderId="15" xfId="0" applyBorder="1"/>
    <xf numFmtId="0" fontId="0" fillId="0" borderId="16" xfId="0" applyBorder="1"/>
    <xf numFmtId="0" fontId="0" fillId="0" borderId="1" xfId="0" applyBorder="1" applyAlignment="1">
      <alignment horizontal="center"/>
    </xf>
    <xf numFmtId="3" fontId="1" fillId="0" borderId="1" xfId="1" applyNumberFormat="1" applyBorder="1"/>
    <xf numFmtId="3" fontId="21" fillId="0" borderId="0" xfId="0" applyNumberFormat="1" applyFont="1" applyBorder="1"/>
    <xf numFmtId="0" fontId="23" fillId="0" borderId="1" xfId="0" applyFont="1" applyBorder="1"/>
    <xf numFmtId="0" fontId="0" fillId="0" borderId="6" xfId="0" applyBorder="1"/>
    <xf numFmtId="3" fontId="1" fillId="0" borderId="6" xfId="1" applyNumberFormat="1" applyBorder="1"/>
    <xf numFmtId="0" fontId="23" fillId="0" borderId="17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8" xfId="0" applyFont="1" applyBorder="1" applyAlignment="1">
      <alignment horizontal="center" vertical="center"/>
    </xf>
    <xf numFmtId="3" fontId="43" fillId="0" borderId="18" xfId="1" applyNumberFormat="1" applyFont="1" applyBorder="1" applyAlignment="1">
      <alignment vertical="center"/>
    </xf>
    <xf numFmtId="3" fontId="43" fillId="0" borderId="19" xfId="1" applyNumberFormat="1" applyFont="1" applyBorder="1" applyAlignment="1">
      <alignment vertical="center"/>
    </xf>
    <xf numFmtId="1" fontId="0" fillId="0" borderId="0" xfId="0" applyNumberFormat="1"/>
    <xf numFmtId="0" fontId="21" fillId="0" borderId="1" xfId="0" applyFont="1" applyBorder="1"/>
    <xf numFmtId="3" fontId="1" fillId="0" borderId="0" xfId="1" applyNumberFormat="1" applyFill="1" applyBorder="1"/>
    <xf numFmtId="166" fontId="0" fillId="0" borderId="0" xfId="0" applyNumberFormat="1" applyBorder="1"/>
    <xf numFmtId="0" fontId="43" fillId="0" borderId="0" xfId="0" applyFont="1"/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2" fontId="34" fillId="0" borderId="0" xfId="5" applyNumberFormat="1" applyFont="1" applyBorder="1" applyAlignment="1">
      <alignment wrapText="1"/>
    </xf>
    <xf numFmtId="0" fontId="13" fillId="0" borderId="20" xfId="5" applyFont="1" applyBorder="1" applyAlignment="1">
      <alignment horizontal="center"/>
    </xf>
    <xf numFmtId="0" fontId="13" fillId="0" borderId="21" xfId="5" applyFont="1" applyBorder="1" applyAlignment="1">
      <alignment horizontal="left" wrapText="1"/>
    </xf>
    <xf numFmtId="170" fontId="13" fillId="0" borderId="21" xfId="2" applyNumberFormat="1" applyFont="1" applyBorder="1" applyAlignment="1">
      <alignment horizontal="left"/>
    </xf>
    <xf numFmtId="170" fontId="13" fillId="0" borderId="22" xfId="2" applyNumberFormat="1" applyFont="1" applyBorder="1" applyAlignment="1">
      <alignment horizontal="left"/>
    </xf>
    <xf numFmtId="0" fontId="23" fillId="0" borderId="23" xfId="5" applyFont="1" applyBorder="1" applyAlignment="1">
      <alignment horizontal="center"/>
    </xf>
    <xf numFmtId="0" fontId="23" fillId="0" borderId="24" xfId="5" applyFont="1" applyBorder="1" applyAlignment="1">
      <alignment horizontal="left" wrapText="1"/>
    </xf>
    <xf numFmtId="170" fontId="23" fillId="0" borderId="25" xfId="2" applyNumberFormat="1" applyFont="1" applyBorder="1" applyAlignment="1">
      <alignment horizontal="right"/>
    </xf>
    <xf numFmtId="0" fontId="23" fillId="0" borderId="26" xfId="5" applyFont="1" applyBorder="1" applyAlignment="1">
      <alignment horizontal="center"/>
    </xf>
    <xf numFmtId="0" fontId="43" fillId="0" borderId="24" xfId="5" applyFont="1" applyBorder="1" applyAlignment="1">
      <alignment horizontal="left" wrapText="1"/>
    </xf>
    <xf numFmtId="0" fontId="13" fillId="0" borderId="25" xfId="5" applyFont="1" applyBorder="1" applyAlignment="1">
      <alignment horizontal="left"/>
    </xf>
    <xf numFmtId="0" fontId="13" fillId="0" borderId="27" xfId="5" applyFont="1" applyBorder="1" applyAlignment="1">
      <alignment horizontal="center"/>
    </xf>
    <xf numFmtId="0" fontId="13" fillId="0" borderId="24" xfId="5" applyFont="1" applyBorder="1" applyAlignment="1">
      <alignment horizontal="left" wrapText="1"/>
    </xf>
    <xf numFmtId="0" fontId="23" fillId="0" borderId="28" xfId="5" applyFont="1" applyBorder="1" applyAlignment="1">
      <alignment horizontal="center"/>
    </xf>
    <xf numFmtId="0" fontId="13" fillId="0" borderId="27" xfId="5" applyFont="1" applyBorder="1" applyAlignment="1">
      <alignment horizontal="center" vertical="center"/>
    </xf>
    <xf numFmtId="170" fontId="13" fillId="0" borderId="25" xfId="2" applyNumberFormat="1" applyFont="1" applyBorder="1" applyAlignment="1">
      <alignment horizontal="left"/>
    </xf>
    <xf numFmtId="0" fontId="13" fillId="0" borderId="26" xfId="5" applyFont="1" applyBorder="1" applyAlignment="1">
      <alignment horizontal="center" vertical="center"/>
    </xf>
    <xf numFmtId="0" fontId="23" fillId="0" borderId="24" xfId="5" applyFont="1" applyBorder="1" applyAlignment="1">
      <alignment horizontal="center" wrapText="1"/>
    </xf>
    <xf numFmtId="170" fontId="23" fillId="0" borderId="25" xfId="2" applyNumberFormat="1" applyFont="1" applyBorder="1" applyAlignment="1">
      <alignment horizontal="left"/>
    </xf>
    <xf numFmtId="0" fontId="13" fillId="0" borderId="23" xfId="5" applyFont="1" applyBorder="1" applyAlignment="1">
      <alignment horizontal="center"/>
    </xf>
    <xf numFmtId="0" fontId="13" fillId="0" borderId="26" xfId="5" applyFont="1" applyBorder="1" applyAlignment="1">
      <alignment horizontal="center"/>
    </xf>
    <xf numFmtId="0" fontId="13" fillId="0" borderId="28" xfId="5" applyFont="1" applyBorder="1" applyAlignment="1">
      <alignment horizontal="center"/>
    </xf>
    <xf numFmtId="171" fontId="13" fillId="0" borderId="25" xfId="2" applyNumberFormat="1" applyFont="1" applyBorder="1" applyAlignment="1">
      <alignment horizontal="left"/>
    </xf>
    <xf numFmtId="0" fontId="13" fillId="0" borderId="29" xfId="5" applyFont="1" applyBorder="1" applyAlignment="1">
      <alignment horizontal="center"/>
    </xf>
    <xf numFmtId="0" fontId="13" fillId="0" borderId="30" xfId="5" applyFont="1" applyBorder="1" applyAlignment="1">
      <alignment horizontal="left" wrapText="1"/>
    </xf>
    <xf numFmtId="170" fontId="13" fillId="0" borderId="30" xfId="2" applyNumberFormat="1" applyFont="1" applyBorder="1" applyAlignment="1">
      <alignment horizontal="left"/>
    </xf>
    <xf numFmtId="170" fontId="13" fillId="0" borderId="31" xfId="2" applyNumberFormat="1" applyFont="1" applyBorder="1" applyAlignment="1">
      <alignment horizontal="left"/>
    </xf>
    <xf numFmtId="37" fontId="33" fillId="0" borderId="0" xfId="2" applyNumberFormat="1" applyFont="1" applyAlignment="1"/>
    <xf numFmtId="0" fontId="33" fillId="0" borderId="32" xfId="5" applyFont="1" applyBorder="1" applyAlignment="1">
      <alignment horizontal="center"/>
    </xf>
    <xf numFmtId="0" fontId="33" fillId="0" borderId="21" xfId="5" applyFont="1" applyBorder="1" applyAlignment="1">
      <alignment horizontal="left" wrapText="1"/>
    </xf>
    <xf numFmtId="170" fontId="33" fillId="0" borderId="21" xfId="2" applyNumberFormat="1" applyFont="1" applyBorder="1" applyAlignment="1">
      <alignment horizontal="left"/>
    </xf>
    <xf numFmtId="170" fontId="33" fillId="0" borderId="22" xfId="2" applyNumberFormat="1" applyFont="1" applyBorder="1" applyAlignment="1">
      <alignment horizontal="left"/>
    </xf>
    <xf numFmtId="0" fontId="21" fillId="0" borderId="1" xfId="6" applyFont="1" applyFill="1" applyBorder="1" applyAlignment="1">
      <alignment horizontal="left" wrapText="1"/>
    </xf>
    <xf numFmtId="170" fontId="21" fillId="0" borderId="25" xfId="2" applyNumberFormat="1" applyFont="1" applyBorder="1" applyAlignment="1">
      <alignment horizontal="left"/>
    </xf>
    <xf numFmtId="0" fontId="21" fillId="0" borderId="1" xfId="5" applyFont="1" applyBorder="1" applyAlignment="1">
      <alignment horizontal="left" wrapText="1"/>
    </xf>
    <xf numFmtId="0" fontId="33" fillId="0" borderId="27" xfId="5" applyFont="1" applyBorder="1" applyAlignment="1">
      <alignment horizontal="center"/>
    </xf>
    <xf numFmtId="170" fontId="33" fillId="0" borderId="25" xfId="2" applyNumberFormat="1" applyFont="1" applyBorder="1" applyAlignment="1">
      <alignment horizontal="left"/>
    </xf>
    <xf numFmtId="0" fontId="21" fillId="0" borderId="1" xfId="5" applyFont="1" applyBorder="1" applyAlignment="1">
      <alignment horizontal="left"/>
    </xf>
    <xf numFmtId="170" fontId="21" fillId="0" borderId="25" xfId="2" applyNumberFormat="1" applyFont="1" applyBorder="1" applyAlignment="1">
      <alignment horizontal="right"/>
    </xf>
    <xf numFmtId="170" fontId="21" fillId="0" borderId="1" xfId="2" applyNumberFormat="1" applyFont="1" applyBorder="1" applyAlignment="1">
      <alignment horizontal="left"/>
    </xf>
    <xf numFmtId="0" fontId="48" fillId="0" borderId="1" xfId="0" applyFont="1" applyBorder="1" applyAlignment="1">
      <alignment horizontal="center" vertical="center"/>
    </xf>
    <xf numFmtId="0" fontId="33" fillId="0" borderId="1" xfId="5" applyFont="1" applyBorder="1" applyAlignment="1">
      <alignment horizontal="left"/>
    </xf>
    <xf numFmtId="0" fontId="21" fillId="0" borderId="12" xfId="0" applyFont="1" applyBorder="1"/>
    <xf numFmtId="0" fontId="33" fillId="0" borderId="0" xfId="0" applyFont="1" applyBorder="1"/>
    <xf numFmtId="170" fontId="33" fillId="0" borderId="33" xfId="2" applyNumberFormat="1" applyFont="1" applyBorder="1" applyAlignment="1">
      <alignment horizontal="center" vertical="center" wrapText="1"/>
    </xf>
    <xf numFmtId="0" fontId="33" fillId="0" borderId="27" xfId="5" applyFont="1" applyBorder="1"/>
    <xf numFmtId="164" fontId="10" fillId="0" borderId="1" xfId="3" applyFont="1" applyFill="1" applyBorder="1" applyAlignment="1">
      <alignment vertical="center"/>
    </xf>
    <xf numFmtId="0" fontId="21" fillId="0" borderId="29" xfId="5" applyFont="1" applyBorder="1"/>
    <xf numFmtId="0" fontId="33" fillId="0" borderId="30" xfId="5" applyFont="1" applyBorder="1" applyAlignment="1">
      <alignment horizontal="left"/>
    </xf>
    <xf numFmtId="0" fontId="21" fillId="0" borderId="30" xfId="5" applyFont="1" applyBorder="1" applyAlignment="1">
      <alignment horizontal="left"/>
    </xf>
    <xf numFmtId="170" fontId="33" fillId="0" borderId="30" xfId="2" applyNumberFormat="1" applyFont="1" applyBorder="1" applyAlignment="1">
      <alignment horizontal="left"/>
    </xf>
    <xf numFmtId="170" fontId="33" fillId="0" borderId="31" xfId="2" applyNumberFormat="1" applyFont="1" applyBorder="1" applyAlignment="1">
      <alignment horizontal="left"/>
    </xf>
    <xf numFmtId="0" fontId="33" fillId="0" borderId="0" xfId="5" applyFont="1" applyBorder="1" applyAlignment="1">
      <alignment horizontal="left"/>
    </xf>
    <xf numFmtId="170" fontId="23" fillId="0" borderId="0" xfId="0" applyNumberFormat="1" applyFont="1"/>
    <xf numFmtId="0" fontId="44" fillId="0" borderId="0" xfId="5" applyFont="1" applyBorder="1" applyAlignment="1">
      <alignment horizontal="left"/>
    </xf>
    <xf numFmtId="0" fontId="23" fillId="0" borderId="0" xfId="5" applyFont="1"/>
    <xf numFmtId="170" fontId="13" fillId="0" borderId="1" xfId="2" applyNumberFormat="1" applyFont="1" applyBorder="1"/>
    <xf numFmtId="170" fontId="23" fillId="0" borderId="1" xfId="2" applyNumberFormat="1" applyFont="1" applyBorder="1"/>
    <xf numFmtId="170" fontId="0" fillId="0" borderId="1" xfId="0" applyNumberFormat="1" applyBorder="1"/>
    <xf numFmtId="0" fontId="23" fillId="0" borderId="7" xfId="0" applyFont="1" applyFill="1" applyBorder="1"/>
    <xf numFmtId="3" fontId="13" fillId="0" borderId="1" xfId="0" applyNumberFormat="1" applyFont="1" applyBorder="1"/>
    <xf numFmtId="0" fontId="13" fillId="0" borderId="6" xfId="0" applyFont="1" applyBorder="1"/>
    <xf numFmtId="0" fontId="0" fillId="0" borderId="2" xfId="0" applyBorder="1"/>
    <xf numFmtId="0" fontId="0" fillId="0" borderId="24" xfId="0" applyBorder="1"/>
    <xf numFmtId="0" fontId="0" fillId="0" borderId="4" xfId="0" applyBorder="1"/>
    <xf numFmtId="0" fontId="23" fillId="0" borderId="6" xfId="0" applyFont="1" applyBorder="1"/>
    <xf numFmtId="0" fontId="13" fillId="0" borderId="2" xfId="0" applyFont="1" applyBorder="1"/>
    <xf numFmtId="0" fontId="13" fillId="0" borderId="24" xfId="0" applyFont="1" applyBorder="1"/>
    <xf numFmtId="0" fontId="44" fillId="0" borderId="0" xfId="0" applyFont="1" applyAlignment="1"/>
    <xf numFmtId="0" fontId="0" fillId="0" borderId="0" xfId="0" applyAlignment="1"/>
    <xf numFmtId="0" fontId="35" fillId="0" borderId="10" xfId="0" applyFont="1" applyBorder="1" applyAlignment="1"/>
    <xf numFmtId="0" fontId="38" fillId="0" borderId="34" xfId="0" applyFont="1" applyBorder="1" applyAlignment="1"/>
    <xf numFmtId="0" fontId="39" fillId="0" borderId="0" xfId="0" applyFont="1" applyBorder="1" applyAlignment="1"/>
    <xf numFmtId="0" fontId="35" fillId="0" borderId="35" xfId="0" applyFont="1" applyBorder="1"/>
    <xf numFmtId="0" fontId="35" fillId="0" borderId="8" xfId="0" applyFont="1" applyBorder="1"/>
    <xf numFmtId="0" fontId="35" fillId="0" borderId="36" xfId="0" applyFont="1" applyBorder="1"/>
    <xf numFmtId="0" fontId="35" fillId="0" borderId="37" xfId="0" applyFont="1" applyBorder="1"/>
    <xf numFmtId="0" fontId="35" fillId="0" borderId="34" xfId="0" applyFont="1" applyBorder="1"/>
    <xf numFmtId="0" fontId="35" fillId="0" borderId="34" xfId="0" applyFont="1" applyBorder="1" applyAlignment="1">
      <alignment horizontal="center"/>
    </xf>
    <xf numFmtId="0" fontId="40" fillId="0" borderId="34" xfId="0" applyFont="1" applyBorder="1" applyAlignment="1">
      <alignment horizontal="left"/>
    </xf>
    <xf numFmtId="0" fontId="40" fillId="0" borderId="34" xfId="0" applyFont="1" applyBorder="1"/>
    <xf numFmtId="0" fontId="37" fillId="0" borderId="34" xfId="0" applyFont="1" applyBorder="1"/>
    <xf numFmtId="0" fontId="41" fillId="0" borderId="34" xfId="0" applyFont="1" applyBorder="1" applyAlignment="1">
      <alignment horizontal="center"/>
    </xf>
    <xf numFmtId="0" fontId="36" fillId="0" borderId="34" xfId="0" applyFont="1" applyBorder="1"/>
    <xf numFmtId="0" fontId="34" fillId="0" borderId="34" xfId="0" applyFont="1" applyBorder="1"/>
    <xf numFmtId="0" fontId="35" fillId="0" borderId="38" xfId="0" applyFont="1" applyBorder="1"/>
    <xf numFmtId="0" fontId="35" fillId="0" borderId="3" xfId="0" applyFont="1" applyBorder="1"/>
    <xf numFmtId="0" fontId="35" fillId="0" borderId="39" xfId="0" applyFont="1" applyBorder="1"/>
    <xf numFmtId="0" fontId="48" fillId="0" borderId="0" xfId="0" applyFont="1"/>
    <xf numFmtId="0" fontId="48" fillId="0" borderId="0" xfId="0" applyFont="1" applyBorder="1" applyAlignment="1">
      <alignment horizontal="center"/>
    </xf>
    <xf numFmtId="0" fontId="48" fillId="0" borderId="0" xfId="0" applyFont="1" applyBorder="1"/>
    <xf numFmtId="3" fontId="48" fillId="0" borderId="0" xfId="0" applyNumberFormat="1" applyFont="1" applyBorder="1"/>
    <xf numFmtId="0" fontId="48" fillId="0" borderId="0" xfId="0" applyFont="1" applyAlignment="1">
      <alignment vertical="center"/>
    </xf>
    <xf numFmtId="0" fontId="48" fillId="0" borderId="0" xfId="0" applyFont="1" applyBorder="1" applyAlignment="1"/>
    <xf numFmtId="3" fontId="48" fillId="0" borderId="0" xfId="0" applyNumberFormat="1" applyFont="1" applyBorder="1" applyAlignment="1"/>
    <xf numFmtId="0" fontId="48" fillId="0" borderId="6" xfId="0" applyFont="1" applyBorder="1" applyAlignment="1">
      <alignment horizontal="center"/>
    </xf>
    <xf numFmtId="165" fontId="48" fillId="0" borderId="0" xfId="2" applyFont="1"/>
    <xf numFmtId="0" fontId="48" fillId="0" borderId="4" xfId="0" applyFont="1" applyBorder="1" applyAlignment="1">
      <alignment horizontal="center"/>
    </xf>
    <xf numFmtId="166" fontId="48" fillId="0" borderId="4" xfId="0" applyNumberFormat="1" applyFont="1" applyBorder="1" applyAlignment="1">
      <alignment horizontal="center"/>
    </xf>
    <xf numFmtId="166" fontId="48" fillId="0" borderId="1" xfId="2" applyNumberFormat="1" applyFont="1" applyFill="1" applyBorder="1"/>
    <xf numFmtId="166" fontId="48" fillId="0" borderId="1" xfId="2" applyNumberFormat="1" applyFont="1" applyBorder="1"/>
    <xf numFmtId="166" fontId="48" fillId="0" borderId="0" xfId="2" applyNumberFormat="1" applyFont="1"/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1" xfId="0" applyFont="1" applyBorder="1" applyAlignment="1">
      <alignment vertical="center"/>
    </xf>
    <xf numFmtId="166" fontId="48" fillId="0" borderId="1" xfId="0" applyNumberFormat="1" applyFont="1" applyBorder="1" applyAlignment="1">
      <alignment vertical="center"/>
    </xf>
    <xf numFmtId="0" fontId="48" fillId="0" borderId="35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166" fontId="48" fillId="0" borderId="0" xfId="2" applyNumberFormat="1" applyFont="1" applyBorder="1"/>
    <xf numFmtId="0" fontId="48" fillId="0" borderId="1" xfId="0" applyFont="1" applyFill="1" applyBorder="1"/>
    <xf numFmtId="166" fontId="48" fillId="0" borderId="4" xfId="2" applyNumberFormat="1" applyFont="1" applyBorder="1" applyAlignment="1"/>
    <xf numFmtId="166" fontId="48" fillId="0" borderId="4" xfId="2" applyNumberFormat="1" applyFont="1" applyBorder="1"/>
    <xf numFmtId="0" fontId="48" fillId="0" borderId="1" xfId="0" applyFont="1" applyBorder="1"/>
    <xf numFmtId="3" fontId="48" fillId="0" borderId="0" xfId="0" applyNumberFormat="1" applyFont="1" applyBorder="1" applyAlignment="1">
      <alignment horizontal="center"/>
    </xf>
    <xf numFmtId="3" fontId="48" fillId="0" borderId="40" xfId="0" applyNumberFormat="1" applyFont="1" applyBorder="1"/>
    <xf numFmtId="166" fontId="48" fillId="0" borderId="40" xfId="2" applyNumberFormat="1" applyFont="1" applyBorder="1"/>
    <xf numFmtId="0" fontId="48" fillId="0" borderId="0" xfId="0" applyFont="1" applyFill="1" applyBorder="1"/>
    <xf numFmtId="166" fontId="48" fillId="0" borderId="3" xfId="2" applyNumberFormat="1" applyFont="1" applyBorder="1"/>
    <xf numFmtId="166" fontId="13" fillId="0" borderId="3" xfId="2" applyNumberFormat="1" applyFont="1" applyBorder="1"/>
    <xf numFmtId="3" fontId="48" fillId="0" borderId="0" xfId="0" applyNumberFormat="1" applyFont="1"/>
    <xf numFmtId="166" fontId="48" fillId="0" borderId="0" xfId="2" applyNumberFormat="1" applyFont="1" applyBorder="1" applyAlignment="1"/>
    <xf numFmtId="3" fontId="48" fillId="0" borderId="0" xfId="0" applyNumberFormat="1" applyFont="1" applyBorder="1" applyAlignment="1">
      <alignment vertical="center"/>
    </xf>
    <xf numFmtId="166" fontId="48" fillId="0" borderId="0" xfId="2" applyNumberFormat="1" applyFont="1" applyBorder="1" applyAlignment="1">
      <alignment horizontal="center"/>
    </xf>
    <xf numFmtId="0" fontId="48" fillId="0" borderId="0" xfId="0" applyFont="1" applyFill="1" applyBorder="1" applyAlignment="1"/>
    <xf numFmtId="0" fontId="48" fillId="0" borderId="0" xfId="0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vertical="center"/>
    </xf>
    <xf numFmtId="166" fontId="48" fillId="0" borderId="0" xfId="2" applyNumberFormat="1" applyFont="1" applyFill="1" applyBorder="1" applyAlignment="1">
      <alignment vertical="center"/>
    </xf>
    <xf numFmtId="3" fontId="48" fillId="0" borderId="0" xfId="0" applyNumberFormat="1" applyFont="1" applyFill="1" applyBorder="1" applyAlignment="1"/>
    <xf numFmtId="3" fontId="48" fillId="0" borderId="1" xfId="2" applyNumberFormat="1" applyFont="1" applyBorder="1"/>
    <xf numFmtId="166" fontId="21" fillId="0" borderId="0" xfId="2" applyNumberFormat="1" applyFont="1" applyBorder="1"/>
    <xf numFmtId="166" fontId="0" fillId="0" borderId="0" xfId="2" applyNumberFormat="1" applyFont="1"/>
    <xf numFmtId="164" fontId="9" fillId="0" borderId="1" xfId="3" applyFont="1" applyBorder="1"/>
    <xf numFmtId="166" fontId="10" fillId="0" borderId="0" xfId="2" applyNumberFormat="1" applyFont="1"/>
    <xf numFmtId="0" fontId="10" fillId="0" borderId="35" xfId="0" applyFont="1" applyBorder="1"/>
    <xf numFmtId="0" fontId="10" fillId="0" borderId="8" xfId="0" applyFont="1" applyBorder="1"/>
    <xf numFmtId="166" fontId="10" fillId="0" borderId="1" xfId="2" applyNumberFormat="1" applyFont="1" applyBorder="1"/>
    <xf numFmtId="166" fontId="10" fillId="0" borderId="35" xfId="2" applyNumberFormat="1" applyFont="1" applyBorder="1"/>
    <xf numFmtId="166" fontId="10" fillId="0" borderId="8" xfId="2" applyNumberFormat="1" applyFont="1" applyBorder="1"/>
    <xf numFmtId="166" fontId="10" fillId="0" borderId="36" xfId="2" applyNumberFormat="1" applyFont="1" applyBorder="1"/>
    <xf numFmtId="0" fontId="10" fillId="0" borderId="37" xfId="0" applyFont="1" applyBorder="1"/>
    <xf numFmtId="0" fontId="10" fillId="0" borderId="0" xfId="0" applyFont="1" applyBorder="1"/>
    <xf numFmtId="166" fontId="10" fillId="0" borderId="37" xfId="2" applyNumberFormat="1" applyFont="1" applyBorder="1"/>
    <xf numFmtId="166" fontId="10" fillId="0" borderId="0" xfId="2" applyNumberFormat="1" applyFont="1" applyBorder="1"/>
    <xf numFmtId="166" fontId="10" fillId="0" borderId="34" xfId="2" applyNumberFormat="1" applyFont="1" applyBorder="1"/>
    <xf numFmtId="0" fontId="10" fillId="0" borderId="38" xfId="0" applyFont="1" applyBorder="1"/>
    <xf numFmtId="0" fontId="10" fillId="0" borderId="3" xfId="0" applyFont="1" applyBorder="1"/>
    <xf numFmtId="166" fontId="10" fillId="0" borderId="38" xfId="2" applyNumberFormat="1" applyFont="1" applyBorder="1"/>
    <xf numFmtId="166" fontId="10" fillId="0" borderId="3" xfId="2" applyNumberFormat="1" applyFont="1" applyBorder="1"/>
    <xf numFmtId="166" fontId="10" fillId="0" borderId="39" xfId="2" applyNumberFormat="1" applyFont="1" applyBorder="1"/>
    <xf numFmtId="166" fontId="9" fillId="0" borderId="1" xfId="2" applyNumberFormat="1" applyFont="1" applyBorder="1"/>
    <xf numFmtId="166" fontId="10" fillId="0" borderId="1" xfId="2" applyNumberFormat="1" applyFont="1" applyBorder="1" applyAlignment="1">
      <alignment horizontal="center"/>
    </xf>
    <xf numFmtId="37" fontId="13" fillId="0" borderId="0" xfId="2" applyNumberFormat="1" applyFont="1" applyFill="1" applyBorder="1" applyAlignment="1"/>
    <xf numFmtId="166" fontId="15" fillId="0" borderId="0" xfId="2" applyNumberFormat="1" applyFont="1" applyFill="1" applyBorder="1"/>
    <xf numFmtId="37" fontId="10" fillId="0" borderId="0" xfId="0" applyNumberFormat="1" applyFont="1" applyFill="1" applyBorder="1"/>
    <xf numFmtId="165" fontId="10" fillId="0" borderId="0" xfId="2" applyFont="1"/>
    <xf numFmtId="166" fontId="5" fillId="0" borderId="1" xfId="2" applyNumberFormat="1" applyFont="1" applyFill="1" applyBorder="1"/>
    <xf numFmtId="37" fontId="11" fillId="0" borderId="1" xfId="2" applyNumberFormat="1" applyFont="1" applyFill="1" applyBorder="1" applyAlignment="1">
      <alignment vertical="center"/>
    </xf>
    <xf numFmtId="168" fontId="10" fillId="0" borderId="0" xfId="2" applyNumberFormat="1" applyFont="1"/>
    <xf numFmtId="164" fontId="0" fillId="0" borderId="0" xfId="0" applyNumberFormat="1"/>
    <xf numFmtId="164" fontId="12" fillId="0" borderId="0" xfId="3" applyFont="1" applyBorder="1"/>
    <xf numFmtId="166" fontId="0" fillId="0" borderId="0" xfId="2" applyNumberFormat="1" applyFont="1" applyFill="1"/>
    <xf numFmtId="0" fontId="0" fillId="0" borderId="0" xfId="0" applyFill="1"/>
    <xf numFmtId="166" fontId="0" fillId="0" borderId="0" xfId="0" applyNumberFormat="1" applyFill="1"/>
    <xf numFmtId="166" fontId="0" fillId="0" borderId="0" xfId="2" applyNumberFormat="1" applyFont="1" applyBorder="1"/>
    <xf numFmtId="3" fontId="1" fillId="0" borderId="0" xfId="0" applyNumberFormat="1" applyFont="1" applyBorder="1"/>
    <xf numFmtId="166" fontId="1" fillId="0" borderId="3" xfId="2" applyNumberFormat="1" applyFont="1" applyBorder="1"/>
    <xf numFmtId="3" fontId="48" fillId="0" borderId="0" xfId="0" applyNumberFormat="1" applyFont="1" applyFill="1"/>
    <xf numFmtId="1" fontId="0" fillId="0" borderId="0" xfId="0" applyNumberFormat="1" applyBorder="1"/>
    <xf numFmtId="165" fontId="10" fillId="0" borderId="0" xfId="2" applyNumberFormat="1" applyFont="1"/>
    <xf numFmtId="0" fontId="33" fillId="0" borderId="1" xfId="5" applyFont="1" applyBorder="1" applyAlignment="1">
      <alignment horizontal="left" wrapText="1"/>
    </xf>
    <xf numFmtId="166" fontId="3" fillId="2" borderId="0" xfId="2" applyNumberFormat="1" applyFont="1" applyFill="1"/>
    <xf numFmtId="0" fontId="23" fillId="0" borderId="6" xfId="0" applyFont="1" applyBorder="1" applyAlignment="1">
      <alignment horizontal="center"/>
    </xf>
    <xf numFmtId="14" fontId="23" fillId="0" borderId="4" xfId="0" applyNumberFormat="1" applyFont="1" applyBorder="1" applyAlignment="1">
      <alignment horizontal="center"/>
    </xf>
    <xf numFmtId="37" fontId="1" fillId="0" borderId="1" xfId="1" applyNumberFormat="1" applyBorder="1"/>
    <xf numFmtId="0" fontId="13" fillId="0" borderId="0" xfId="5" applyFont="1" applyBorder="1" applyAlignment="1">
      <alignment horizontal="left"/>
    </xf>
    <xf numFmtId="0" fontId="13" fillId="0" borderId="6" xfId="5" applyFont="1" applyBorder="1" applyAlignment="1">
      <alignment horizontal="center"/>
    </xf>
    <xf numFmtId="2" fontId="46" fillId="0" borderId="34" xfId="5" applyNumberFormat="1" applyFont="1" applyBorder="1" applyAlignment="1">
      <alignment horizontal="center" wrapText="1"/>
    </xf>
    <xf numFmtId="0" fontId="33" fillId="0" borderId="7" xfId="5" applyFont="1" applyBorder="1" applyAlignment="1">
      <alignment horizontal="center" vertical="center" wrapText="1"/>
    </xf>
    <xf numFmtId="170" fontId="23" fillId="0" borderId="1" xfId="2" applyNumberFormat="1" applyFont="1" applyBorder="1" applyAlignment="1">
      <alignment horizontal="left"/>
    </xf>
    <xf numFmtId="0" fontId="23" fillId="0" borderId="4" xfId="5" applyFont="1" applyBorder="1" applyAlignment="1">
      <alignment horizontal="left" wrapText="1"/>
    </xf>
    <xf numFmtId="0" fontId="23" fillId="0" borderId="39" xfId="5" applyFont="1" applyBorder="1" applyAlignment="1">
      <alignment horizontal="left" wrapText="1"/>
    </xf>
    <xf numFmtId="170" fontId="13" fillId="0" borderId="1" xfId="2" applyNumberFormat="1" applyFont="1" applyBorder="1" applyAlignment="1">
      <alignment horizontal="left"/>
    </xf>
    <xf numFmtId="0" fontId="17" fillId="0" borderId="1" xfId="5" applyFont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13" fillId="0" borderId="1" xfId="5" applyFont="1" applyBorder="1" applyAlignment="1">
      <alignment horizontal="left" wrapText="1"/>
    </xf>
    <xf numFmtId="0" fontId="13" fillId="0" borderId="4" xfId="5" applyFont="1" applyBorder="1" applyAlignment="1">
      <alignment horizontal="left" wrapText="1"/>
    </xf>
    <xf numFmtId="0" fontId="13" fillId="0" borderId="0" xfId="5" applyFont="1" applyBorder="1" applyAlignment="1">
      <alignment horizontal="center"/>
    </xf>
    <xf numFmtId="0" fontId="13" fillId="0" borderId="0" xfId="5" applyFont="1" applyBorder="1" applyAlignment="1">
      <alignment horizontal="left" wrapText="1"/>
    </xf>
    <xf numFmtId="0" fontId="21" fillId="0" borderId="6" xfId="5" applyFont="1" applyBorder="1"/>
    <xf numFmtId="2" fontId="46" fillId="0" borderId="6" xfId="5" applyNumberFormat="1" applyFont="1" applyBorder="1" applyAlignment="1">
      <alignment horizontal="center" wrapText="1"/>
    </xf>
    <xf numFmtId="0" fontId="33" fillId="0" borderId="6" xfId="5" applyFont="1" applyBorder="1" applyAlignment="1">
      <alignment horizontal="center" vertical="center" wrapText="1"/>
    </xf>
    <xf numFmtId="0" fontId="21" fillId="0" borderId="27" xfId="5" applyFont="1" applyBorder="1" applyAlignment="1">
      <alignment horizontal="left"/>
    </xf>
    <xf numFmtId="166" fontId="0" fillId="0" borderId="0" xfId="0" applyNumberFormat="1"/>
    <xf numFmtId="170" fontId="33" fillId="0" borderId="1" xfId="2" applyNumberFormat="1" applyFont="1" applyBorder="1" applyAlignment="1">
      <alignment horizontal="left"/>
    </xf>
    <xf numFmtId="0" fontId="21" fillId="0" borderId="27" xfId="5" applyFont="1" applyBorder="1" applyAlignment="1">
      <alignment horizontal="center"/>
    </xf>
    <xf numFmtId="170" fontId="0" fillId="0" borderId="0" xfId="0" applyNumberFormat="1"/>
    <xf numFmtId="170" fontId="21" fillId="0" borderId="1" xfId="2" applyNumberFormat="1" applyFont="1" applyBorder="1" applyAlignment="1">
      <alignment horizontal="left" wrapText="1"/>
    </xf>
    <xf numFmtId="170" fontId="21" fillId="0" borderId="25" xfId="2" applyNumberFormat="1" applyFont="1" applyBorder="1" applyAlignment="1">
      <alignment horizontal="right" wrapText="1"/>
    </xf>
    <xf numFmtId="0" fontId="21" fillId="0" borderId="27" xfId="5" applyFont="1" applyFill="1" applyBorder="1" applyAlignment="1">
      <alignment horizontal="center"/>
    </xf>
    <xf numFmtId="170" fontId="33" fillId="0" borderId="4" xfId="2" applyNumberFormat="1" applyFont="1" applyBorder="1" applyAlignment="1">
      <alignment horizontal="center" vertical="center" wrapText="1"/>
    </xf>
    <xf numFmtId="164" fontId="10" fillId="0" borderId="25" xfId="3" applyFont="1" applyBorder="1" applyAlignment="1">
      <alignment vertical="center"/>
    </xf>
    <xf numFmtId="0" fontId="21" fillId="0" borderId="27" xfId="0" applyFont="1" applyBorder="1"/>
    <xf numFmtId="0" fontId="21" fillId="0" borderId="27" xfId="5" applyFont="1" applyBorder="1"/>
    <xf numFmtId="170" fontId="0" fillId="0" borderId="1" xfId="2" applyNumberFormat="1" applyFont="1" applyBorder="1"/>
    <xf numFmtId="170" fontId="33" fillId="0" borderId="1" xfId="2" applyNumberFormat="1" applyFont="1" applyFill="1" applyBorder="1" applyAlignment="1">
      <alignment horizontal="left"/>
    </xf>
    <xf numFmtId="170" fontId="21" fillId="0" borderId="1" xfId="2" applyNumberFormat="1" applyFont="1" applyFill="1" applyBorder="1" applyAlignment="1">
      <alignment horizontal="left"/>
    </xf>
    <xf numFmtId="0" fontId="40" fillId="0" borderId="0" xfId="0" applyFont="1" applyFill="1" applyBorder="1"/>
    <xf numFmtId="0" fontId="37" fillId="0" borderId="0" xfId="0" applyFont="1" applyFill="1" applyBorder="1"/>
    <xf numFmtId="0" fontId="36" fillId="0" borderId="34" xfId="0" applyFont="1" applyFill="1" applyBorder="1" applyAlignment="1">
      <alignment horizontal="center"/>
    </xf>
    <xf numFmtId="0" fontId="35" fillId="0" borderId="3" xfId="0" applyFont="1" applyFill="1" applyBorder="1"/>
    <xf numFmtId="0" fontId="35" fillId="0" borderId="39" xfId="0" applyFont="1" applyFill="1" applyBorder="1"/>
    <xf numFmtId="166" fontId="23" fillId="0" borderId="0" xfId="2" applyNumberFormat="1" applyFont="1" applyBorder="1"/>
    <xf numFmtId="3" fontId="23" fillId="0" borderId="0" xfId="0" applyNumberFormat="1" applyFont="1" applyFill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0" applyFont="1" applyAlignment="1">
      <alignment horizontal="left" vertical="center"/>
    </xf>
    <xf numFmtId="0" fontId="34" fillId="0" borderId="0" xfId="0" applyFont="1"/>
    <xf numFmtId="0" fontId="1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66" fontId="10" fillId="0" borderId="1" xfId="2" applyNumberFormat="1" applyFont="1" applyFill="1" applyBorder="1"/>
    <xf numFmtId="167" fontId="10" fillId="0" borderId="1" xfId="2" applyNumberFormat="1" applyFont="1" applyBorder="1"/>
    <xf numFmtId="165" fontId="9" fillId="0" borderId="0" xfId="2" applyFont="1"/>
    <xf numFmtId="166" fontId="9" fillId="0" borderId="0" xfId="0" applyNumberFormat="1" applyFont="1"/>
    <xf numFmtId="166" fontId="10" fillId="0" borderId="0" xfId="0" applyNumberFormat="1" applyFont="1"/>
    <xf numFmtId="166" fontId="35" fillId="0" borderId="0" xfId="4" applyNumberFormat="1" applyFont="1"/>
    <xf numFmtId="165" fontId="35" fillId="0" borderId="0" xfId="0" applyNumberFormat="1" applyFont="1"/>
    <xf numFmtId="0" fontId="10" fillId="0" borderId="0" xfId="0" applyFont="1" applyAlignment="1">
      <alignment horizontal="left" vertical="center" wrapText="1"/>
    </xf>
    <xf numFmtId="0" fontId="50" fillId="0" borderId="0" xfId="0" applyFont="1"/>
    <xf numFmtId="0" fontId="10" fillId="0" borderId="41" xfId="0" applyFont="1" applyBorder="1"/>
    <xf numFmtId="0" fontId="10" fillId="0" borderId="41" xfId="0" applyFont="1" applyBorder="1" applyAlignment="1">
      <alignment horizontal="left" vertical="center" wrapText="1"/>
    </xf>
    <xf numFmtId="166" fontId="10" fillId="0" borderId="41" xfId="2" applyNumberFormat="1" applyFont="1" applyBorder="1"/>
    <xf numFmtId="165" fontId="10" fillId="0" borderId="41" xfId="2" applyFont="1" applyBorder="1"/>
    <xf numFmtId="0" fontId="10" fillId="0" borderId="41" xfId="0" applyFont="1" applyFill="1" applyBorder="1"/>
    <xf numFmtId="0" fontId="10" fillId="0" borderId="0" xfId="0" applyFont="1" applyBorder="1" applyAlignment="1">
      <alignment horizontal="left" vertical="center" wrapText="1"/>
    </xf>
    <xf numFmtId="165" fontId="10" fillId="0" borderId="0" xfId="2" applyFont="1" applyBorder="1"/>
    <xf numFmtId="0" fontId="10" fillId="0" borderId="0" xfId="0" applyFont="1" applyFill="1"/>
    <xf numFmtId="166" fontId="9" fillId="0" borderId="0" xfId="2" applyNumberFormat="1" applyFont="1" applyFill="1" applyBorder="1"/>
    <xf numFmtId="165" fontId="10" fillId="0" borderId="41" xfId="2" applyFont="1" applyFill="1" applyBorder="1"/>
    <xf numFmtId="165" fontId="10" fillId="0" borderId="0" xfId="2" applyFont="1" applyFill="1"/>
    <xf numFmtId="166" fontId="9" fillId="0" borderId="0" xfId="2" applyNumberFormat="1" applyFont="1" applyFill="1"/>
    <xf numFmtId="0" fontId="10" fillId="0" borderId="41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center" vertical="center" wrapText="1"/>
    </xf>
    <xf numFmtId="165" fontId="10" fillId="0" borderId="41" xfId="2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right" vertical="center" wrapText="1"/>
    </xf>
    <xf numFmtId="165" fontId="10" fillId="0" borderId="41" xfId="2" applyFont="1" applyFill="1" applyBorder="1" applyAlignment="1">
      <alignment horizontal="left" vertical="center" wrapText="1"/>
    </xf>
    <xf numFmtId="166" fontId="50" fillId="0" borderId="0" xfId="2" applyNumberFormat="1" applyFont="1"/>
    <xf numFmtId="166" fontId="50" fillId="0" borderId="0" xfId="2" applyNumberFormat="1" applyFont="1" applyBorder="1"/>
    <xf numFmtId="0" fontId="9" fillId="0" borderId="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1" fillId="3" borderId="42" xfId="0" applyFont="1" applyFill="1" applyBorder="1" applyAlignment="1">
      <alignment horizontal="center"/>
    </xf>
    <xf numFmtId="0" fontId="10" fillId="0" borderId="43" xfId="0" applyFont="1" applyFill="1" applyBorder="1"/>
    <xf numFmtId="0" fontId="10" fillId="0" borderId="43" xfId="0" applyFont="1" applyBorder="1"/>
    <xf numFmtId="0" fontId="10" fillId="0" borderId="42" xfId="0" applyFont="1" applyBorder="1"/>
    <xf numFmtId="0" fontId="10" fillId="0" borderId="43" xfId="0" applyFont="1" applyFill="1" applyBorder="1" applyAlignment="1">
      <alignment horizontal="left" vertical="center" wrapText="1"/>
    </xf>
    <xf numFmtId="0" fontId="10" fillId="0" borderId="44" xfId="0" applyFont="1" applyBorder="1"/>
    <xf numFmtId="0" fontId="51" fillId="3" borderId="45" xfId="0" applyFont="1" applyFill="1" applyBorder="1" applyAlignment="1">
      <alignment horizontal="center"/>
    </xf>
    <xf numFmtId="0" fontId="51" fillId="3" borderId="46" xfId="0" applyFont="1" applyFill="1" applyBorder="1" applyAlignment="1">
      <alignment horizontal="center"/>
    </xf>
    <xf numFmtId="0" fontId="51" fillId="3" borderId="46" xfId="0" applyFont="1" applyFill="1" applyBorder="1" applyAlignment="1">
      <alignment horizontal="center" vertical="center" wrapText="1"/>
    </xf>
    <xf numFmtId="166" fontId="51" fillId="3" borderId="46" xfId="2" applyNumberFormat="1" applyFont="1" applyFill="1" applyBorder="1" applyAlignment="1">
      <alignment horizontal="center"/>
    </xf>
    <xf numFmtId="165" fontId="51" fillId="3" borderId="46" xfId="2" applyFont="1" applyFill="1" applyBorder="1" applyAlignment="1">
      <alignment horizontal="center"/>
    </xf>
    <xf numFmtId="166" fontId="51" fillId="3" borderId="47" xfId="2" applyNumberFormat="1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166" fontId="10" fillId="0" borderId="49" xfId="2" applyNumberFormat="1" applyFont="1" applyBorder="1"/>
    <xf numFmtId="0" fontId="10" fillId="0" borderId="50" xfId="0" applyFont="1" applyBorder="1" applyAlignment="1">
      <alignment horizontal="center"/>
    </xf>
    <xf numFmtId="0" fontId="10" fillId="0" borderId="51" xfId="0" applyFont="1" applyBorder="1"/>
    <xf numFmtId="0" fontId="9" fillId="0" borderId="5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/>
    </xf>
    <xf numFmtId="166" fontId="10" fillId="0" borderId="51" xfId="2" applyNumberFormat="1" applyFont="1" applyBorder="1"/>
    <xf numFmtId="0" fontId="10" fillId="0" borderId="48" xfId="0" applyFont="1" applyBorder="1" applyAlignment="1">
      <alignment horizontal="center"/>
    </xf>
    <xf numFmtId="0" fontId="10" fillId="0" borderId="43" xfId="0" applyFont="1" applyFill="1" applyBorder="1" applyAlignment="1">
      <alignment horizontal="center" vertical="center" wrapText="1"/>
    </xf>
    <xf numFmtId="166" fontId="10" fillId="0" borderId="49" xfId="2" applyNumberFormat="1" applyFont="1" applyFill="1" applyBorder="1" applyAlignment="1">
      <alignment horizontal="center" vertical="center" wrapText="1"/>
    </xf>
    <xf numFmtId="166" fontId="10" fillId="0" borderId="49" xfId="2" applyNumberFormat="1" applyFont="1" applyFill="1" applyBorder="1"/>
    <xf numFmtId="165" fontId="10" fillId="0" borderId="52" xfId="2" applyFont="1" applyBorder="1"/>
    <xf numFmtId="166" fontId="10" fillId="0" borderId="53" xfId="2" applyNumberFormat="1" applyFont="1" applyFill="1" applyBorder="1" applyAlignment="1">
      <alignment horizontal="left" vertical="center" wrapText="1"/>
    </xf>
    <xf numFmtId="166" fontId="9" fillId="4" borderId="54" xfId="2" applyNumberFormat="1" applyFont="1" applyFill="1" applyBorder="1"/>
    <xf numFmtId="166" fontId="10" fillId="0" borderId="53" xfId="2" applyNumberFormat="1" applyFont="1" applyBorder="1"/>
    <xf numFmtId="166" fontId="10" fillId="0" borderId="53" xfId="2" applyNumberFormat="1" applyFont="1" applyFill="1" applyBorder="1" applyAlignment="1">
      <alignment horizontal="center" vertical="center" wrapText="1"/>
    </xf>
    <xf numFmtId="165" fontId="10" fillId="0" borderId="52" xfId="2" applyFont="1" applyFill="1" applyBorder="1"/>
    <xf numFmtId="166" fontId="10" fillId="0" borderId="53" xfId="2" applyNumberFormat="1" applyFont="1" applyFill="1" applyBorder="1"/>
    <xf numFmtId="0" fontId="9" fillId="5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165" fontId="34" fillId="5" borderId="18" xfId="2" applyFont="1" applyFill="1" applyBorder="1"/>
    <xf numFmtId="166" fontId="34" fillId="5" borderId="18" xfId="2" applyNumberFormat="1" applyFont="1" applyFill="1" applyBorder="1"/>
    <xf numFmtId="166" fontId="9" fillId="5" borderId="19" xfId="2" applyNumberFormat="1" applyFont="1" applyFill="1" applyBorder="1"/>
    <xf numFmtId="0" fontId="10" fillId="0" borderId="32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1" xfId="0" applyFont="1" applyBorder="1"/>
    <xf numFmtId="166" fontId="10" fillId="0" borderId="21" xfId="2" applyNumberFormat="1" applyFont="1" applyFill="1" applyBorder="1"/>
    <xf numFmtId="166" fontId="10" fillId="0" borderId="21" xfId="2" applyNumberFormat="1" applyFont="1" applyBorder="1"/>
    <xf numFmtId="166" fontId="9" fillId="0" borderId="22" xfId="2" applyNumberFormat="1" applyFont="1" applyBorder="1"/>
    <xf numFmtId="0" fontId="10" fillId="0" borderId="27" xfId="0" applyFont="1" applyFill="1" applyBorder="1" applyAlignment="1">
      <alignment horizontal="center"/>
    </xf>
    <xf numFmtId="166" fontId="9" fillId="0" borderId="25" xfId="2" applyNumberFormat="1" applyFont="1" applyBorder="1"/>
    <xf numFmtId="0" fontId="10" fillId="0" borderId="29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0" xfId="0" applyFont="1" applyBorder="1"/>
    <xf numFmtId="166" fontId="10" fillId="0" borderId="30" xfId="2" applyNumberFormat="1" applyFont="1" applyFill="1" applyBorder="1"/>
    <xf numFmtId="166" fontId="10" fillId="0" borderId="30" xfId="2" applyNumberFormat="1" applyFont="1" applyBorder="1"/>
    <xf numFmtId="166" fontId="9" fillId="0" borderId="31" xfId="2" applyNumberFormat="1" applyFont="1" applyBorder="1"/>
    <xf numFmtId="165" fontId="10" fillId="0" borderId="0" xfId="0" applyNumberFormat="1" applyFont="1"/>
    <xf numFmtId="165" fontId="52" fillId="0" borderId="0" xfId="0" applyNumberFormat="1" applyFont="1"/>
    <xf numFmtId="0" fontId="37" fillId="0" borderId="0" xfId="0" applyFont="1" applyAlignment="1"/>
    <xf numFmtId="166" fontId="35" fillId="0" borderId="41" xfId="2" applyNumberFormat="1" applyFont="1" applyFill="1" applyBorder="1"/>
    <xf numFmtId="166" fontId="35" fillId="0" borderId="41" xfId="2" applyNumberFormat="1" applyFont="1" applyFill="1" applyBorder="1" applyAlignment="1">
      <alignment horizontal="left" vertical="center" wrapText="1"/>
    </xf>
    <xf numFmtId="166" fontId="35" fillId="0" borderId="41" xfId="2" applyNumberFormat="1" applyFont="1" applyBorder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35" fillId="0" borderId="41" xfId="0" applyFont="1" applyBorder="1" applyAlignment="1">
      <alignment horizontal="center"/>
    </xf>
    <xf numFmtId="0" fontId="34" fillId="0" borderId="0" xfId="0" applyFont="1" applyAlignment="1">
      <alignment vertical="center"/>
    </xf>
    <xf numFmtId="0" fontId="34" fillId="0" borderId="0" xfId="0" applyFont="1" applyAlignment="1"/>
    <xf numFmtId="0" fontId="10" fillId="0" borderId="0" xfId="0" applyFont="1" applyBorder="1" applyAlignment="1"/>
    <xf numFmtId="0" fontId="10" fillId="0" borderId="0" xfId="0" applyFont="1" applyAlignment="1"/>
    <xf numFmtId="166" fontId="35" fillId="0" borderId="41" xfId="2" applyNumberFormat="1" applyFont="1" applyFill="1" applyBorder="1" applyAlignment="1">
      <alignment horizontal="left" wrapText="1"/>
    </xf>
    <xf numFmtId="166" fontId="35" fillId="0" borderId="45" xfId="2" applyNumberFormat="1" applyFont="1" applyFill="1" applyBorder="1" applyAlignment="1"/>
    <xf numFmtId="166" fontId="35" fillId="0" borderId="46" xfId="2" applyNumberFormat="1" applyFont="1" applyFill="1" applyBorder="1" applyAlignment="1">
      <alignment horizontal="left" wrapText="1"/>
    </xf>
    <xf numFmtId="166" fontId="35" fillId="0" borderId="47" xfId="2" applyNumberFormat="1" applyFont="1" applyFill="1" applyBorder="1"/>
    <xf numFmtId="166" fontId="35" fillId="0" borderId="48" xfId="2" applyNumberFormat="1" applyFont="1" applyFill="1" applyBorder="1" applyAlignment="1"/>
    <xf numFmtId="166" fontId="35" fillId="0" borderId="49" xfId="2" applyNumberFormat="1" applyFont="1" applyFill="1" applyBorder="1"/>
    <xf numFmtId="0" fontId="35" fillId="0" borderId="46" xfId="0" applyFont="1" applyBorder="1" applyAlignment="1">
      <alignment horizontal="center"/>
    </xf>
    <xf numFmtId="166" fontId="39" fillId="0" borderId="0" xfId="2" applyNumberFormat="1" applyFont="1"/>
    <xf numFmtId="0" fontId="10" fillId="0" borderId="0" xfId="0" applyFont="1" applyFill="1" applyBorder="1"/>
    <xf numFmtId="0" fontId="14" fillId="0" borderId="0" xfId="0" applyFont="1" applyFill="1" applyBorder="1" applyAlignment="1">
      <alignment horizontal="right"/>
    </xf>
    <xf numFmtId="166" fontId="15" fillId="0" borderId="0" xfId="2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166" fontId="16" fillId="0" borderId="0" xfId="2" applyNumberFormat="1" applyFont="1" applyFill="1" applyBorder="1" applyAlignment="1">
      <alignment horizontal="right"/>
    </xf>
    <xf numFmtId="37" fontId="13" fillId="0" borderId="0" xfId="2" applyNumberFormat="1" applyFont="1" applyBorder="1" applyAlignment="1"/>
    <xf numFmtId="0" fontId="18" fillId="0" borderId="1" xfId="0" applyFont="1" applyBorder="1" applyAlignment="1">
      <alignment horizontal="center"/>
    </xf>
    <xf numFmtId="166" fontId="48" fillId="0" borderId="7" xfId="2" applyNumberFormat="1" applyFont="1" applyFill="1" applyBorder="1"/>
    <xf numFmtId="166" fontId="53" fillId="0" borderId="1" xfId="2" applyNumberFormat="1" applyFont="1" applyBorder="1"/>
    <xf numFmtId="3" fontId="53" fillId="0" borderId="1" xfId="2" applyNumberFormat="1" applyFont="1" applyBorder="1"/>
    <xf numFmtId="166" fontId="54" fillId="0" borderId="0" xfId="2" applyNumberFormat="1" applyFont="1" applyBorder="1"/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3" fontId="23" fillId="0" borderId="0" xfId="0" applyNumberFormat="1" applyFont="1"/>
    <xf numFmtId="0" fontId="37" fillId="0" borderId="0" xfId="0" applyFont="1" applyAlignment="1">
      <alignment horizontal="left" vertical="center"/>
    </xf>
    <xf numFmtId="37" fontId="12" fillId="0" borderId="0" xfId="0" applyNumberFormat="1" applyFont="1"/>
    <xf numFmtId="37" fontId="12" fillId="0" borderId="0" xfId="0" applyNumberFormat="1" applyFont="1" applyAlignment="1">
      <alignment vertical="center"/>
    </xf>
    <xf numFmtId="37" fontId="12" fillId="0" borderId="0" xfId="0" applyNumberFormat="1" applyFont="1" applyAlignment="1">
      <alignment horizontal="center" vertical="center"/>
    </xf>
    <xf numFmtId="0" fontId="37" fillId="0" borderId="0" xfId="0" applyFont="1"/>
    <xf numFmtId="37" fontId="12" fillId="0" borderId="0" xfId="0" applyNumberFormat="1" applyFont="1" applyAlignment="1">
      <alignment horizontal="left" vertical="center"/>
    </xf>
    <xf numFmtId="37" fontId="12" fillId="0" borderId="0" xfId="0" applyNumberFormat="1" applyFont="1" applyAlignment="1">
      <alignment horizontal="right" vertical="center"/>
    </xf>
    <xf numFmtId="0" fontId="23" fillId="0" borderId="32" xfId="0" applyFont="1" applyBorder="1" applyAlignment="1">
      <alignment horizontal="center" vertical="center"/>
    </xf>
    <xf numFmtId="0" fontId="13" fillId="0" borderId="55" xfId="0" applyFont="1" applyBorder="1" applyAlignment="1">
      <alignment vertical="center"/>
    </xf>
    <xf numFmtId="0" fontId="13" fillId="0" borderId="56" xfId="0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37" fontId="12" fillId="0" borderId="21" xfId="0" applyNumberFormat="1" applyFont="1" applyBorder="1" applyAlignment="1">
      <alignment vertical="center"/>
    </xf>
    <xf numFmtId="37" fontId="12" fillId="0" borderId="22" xfId="0" applyNumberFormat="1" applyFont="1" applyBorder="1" applyAlignment="1">
      <alignment vertical="center"/>
    </xf>
    <xf numFmtId="0" fontId="23" fillId="0" borderId="27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37" fontId="12" fillId="0" borderId="1" xfId="0" applyNumberFormat="1" applyFont="1" applyBorder="1" applyAlignment="1">
      <alignment horizontal="right" vertical="center"/>
    </xf>
    <xf numFmtId="37" fontId="12" fillId="0" borderId="25" xfId="0" applyNumberFormat="1" applyFont="1" applyBorder="1" applyAlignment="1">
      <alignment horizontal="right" vertical="center"/>
    </xf>
    <xf numFmtId="0" fontId="13" fillId="0" borderId="38" xfId="0" applyFont="1" applyBorder="1" applyAlignment="1">
      <alignment vertical="center"/>
    </xf>
    <xf numFmtId="0" fontId="23" fillId="0" borderId="39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23" fillId="0" borderId="24" xfId="0" applyFont="1" applyBorder="1" applyAlignment="1">
      <alignment horizontal="left" vertical="center"/>
    </xf>
    <xf numFmtId="0" fontId="23" fillId="0" borderId="36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28" xfId="0" applyFont="1" applyBorder="1" applyAlignment="1">
      <alignment horizontal="center" vertical="center"/>
    </xf>
    <xf numFmtId="37" fontId="12" fillId="0" borderId="7" xfId="0" applyNumberFormat="1" applyFont="1" applyBorder="1" applyAlignment="1">
      <alignment horizontal="right" vertical="center"/>
    </xf>
    <xf numFmtId="37" fontId="12" fillId="0" borderId="58" xfId="0" applyNumberFormat="1" applyFont="1" applyBorder="1" applyAlignment="1">
      <alignment horizontal="right" vertical="center"/>
    </xf>
    <xf numFmtId="37" fontId="11" fillId="0" borderId="4" xfId="0" applyNumberFormat="1" applyFont="1" applyBorder="1" applyAlignment="1">
      <alignment horizontal="right" vertical="center"/>
    </xf>
    <xf numFmtId="37" fontId="11" fillId="0" borderId="33" xfId="0" applyNumberFormat="1" applyFont="1" applyBorder="1" applyAlignment="1">
      <alignment horizontal="right" vertical="center"/>
    </xf>
    <xf numFmtId="37" fontId="57" fillId="0" borderId="1" xfId="0" applyNumberFormat="1" applyFont="1" applyBorder="1" applyAlignment="1">
      <alignment horizontal="right" vertical="center"/>
    </xf>
    <xf numFmtId="0" fontId="17" fillId="0" borderId="24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7" fontId="11" fillId="0" borderId="1" xfId="0" applyNumberFormat="1" applyFont="1" applyBorder="1" applyAlignment="1">
      <alignment horizontal="right" vertical="center"/>
    </xf>
    <xf numFmtId="37" fontId="11" fillId="0" borderId="25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23" fillId="0" borderId="2" xfId="0" applyFont="1" applyBorder="1" applyAlignment="1">
      <alignment horizontal="center" vertical="center"/>
    </xf>
    <xf numFmtId="0" fontId="43" fillId="0" borderId="24" xfId="0" applyFont="1" applyBorder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24" xfId="0" applyFont="1" applyBorder="1"/>
    <xf numFmtId="37" fontId="12" fillId="6" borderId="1" xfId="0" applyNumberFormat="1" applyFont="1" applyFill="1" applyBorder="1" applyAlignment="1">
      <alignment horizontal="right"/>
    </xf>
    <xf numFmtId="37" fontId="12" fillId="6" borderId="25" xfId="0" applyNumberFormat="1" applyFont="1" applyFill="1" applyBorder="1" applyAlignment="1">
      <alignment horizontal="right"/>
    </xf>
    <xf numFmtId="37" fontId="12" fillId="0" borderId="1" xfId="0" applyNumberFormat="1" applyFont="1" applyBorder="1" applyAlignment="1">
      <alignment horizontal="right"/>
    </xf>
    <xf numFmtId="37" fontId="58" fillId="0" borderId="25" xfId="0" applyNumberFormat="1" applyFont="1" applyBorder="1" applyAlignment="1">
      <alignment horizontal="right"/>
    </xf>
    <xf numFmtId="37" fontId="12" fillId="0" borderId="25" xfId="0" applyNumberFormat="1" applyFont="1" applyBorder="1" applyAlignment="1">
      <alignment horizontal="right"/>
    </xf>
    <xf numFmtId="0" fontId="23" fillId="0" borderId="12" xfId="0" applyFont="1" applyBorder="1" applyAlignment="1">
      <alignment horizontal="center"/>
    </xf>
    <xf numFmtId="37" fontId="12" fillId="0" borderId="0" xfId="0" applyNumberFormat="1" applyFont="1" applyBorder="1"/>
    <xf numFmtId="37" fontId="12" fillId="0" borderId="13" xfId="0" applyNumberFormat="1" applyFont="1" applyBorder="1"/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5" xfId="0" applyFont="1" applyBorder="1"/>
    <xf numFmtId="37" fontId="12" fillId="6" borderId="15" xfId="0" applyNumberFormat="1" applyFont="1" applyFill="1" applyBorder="1"/>
    <xf numFmtId="37" fontId="12" fillId="6" borderId="16" xfId="0" applyNumberFormat="1" applyFont="1" applyFill="1" applyBorder="1"/>
    <xf numFmtId="37" fontId="12" fillId="0" borderId="1" xfId="0" applyNumberFormat="1" applyFont="1" applyFill="1" applyBorder="1" applyAlignment="1">
      <alignment horizontal="right" vertical="center"/>
    </xf>
    <xf numFmtId="37" fontId="12" fillId="0" borderId="2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164" fontId="10" fillId="0" borderId="0" xfId="3" applyFont="1"/>
    <xf numFmtId="0" fontId="3" fillId="0" borderId="59" xfId="0" applyFont="1" applyBorder="1" applyAlignment="1">
      <alignment horizontal="center"/>
    </xf>
    <xf numFmtId="0" fontId="3" fillId="0" borderId="55" xfId="0" applyFont="1" applyBorder="1"/>
    <xf numFmtId="0" fontId="3" fillId="0" borderId="56" xfId="0" applyFont="1" applyBorder="1" applyAlignment="1">
      <alignment horizontal="center"/>
    </xf>
    <xf numFmtId="0" fontId="3" fillId="0" borderId="57" xfId="0" applyFont="1" applyBorder="1"/>
    <xf numFmtId="0" fontId="3" fillId="0" borderId="55" xfId="0" applyFont="1" applyBorder="1" applyAlignment="1">
      <alignment horizontal="center"/>
    </xf>
    <xf numFmtId="164" fontId="3" fillId="0" borderId="56" xfId="3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59" fillId="0" borderId="0" xfId="0" applyFont="1"/>
    <xf numFmtId="0" fontId="3" fillId="0" borderId="7" xfId="0" applyFont="1" applyBorder="1" applyAlignment="1">
      <alignment horizontal="center"/>
    </xf>
    <xf numFmtId="0" fontId="3" fillId="0" borderId="2" xfId="0" applyFont="1" applyBorder="1"/>
    <xf numFmtId="0" fontId="3" fillId="0" borderId="40" xfId="0" applyFont="1" applyBorder="1" applyAlignment="1">
      <alignment horizontal="center"/>
    </xf>
    <xf numFmtId="0" fontId="3" fillId="0" borderId="24" xfId="0" applyFont="1" applyBorder="1"/>
    <xf numFmtId="0" fontId="3" fillId="0" borderId="6" xfId="0" applyFont="1" applyBorder="1" applyAlignment="1">
      <alignment horizontal="center"/>
    </xf>
    <xf numFmtId="164" fontId="3" fillId="0" borderId="6" xfId="3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164" fontId="3" fillId="0" borderId="7" xfId="3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60" fillId="0" borderId="0" xfId="0" applyFont="1"/>
    <xf numFmtId="3" fontId="60" fillId="0" borderId="0" xfId="0" applyNumberFormat="1" applyFont="1"/>
    <xf numFmtId="3" fontId="10" fillId="0" borderId="0" xfId="0" applyNumberFormat="1" applyFont="1"/>
    <xf numFmtId="3" fontId="10" fillId="0" borderId="0" xfId="0" applyNumberFormat="1" applyFont="1" applyBorder="1"/>
    <xf numFmtId="3" fontId="9" fillId="0" borderId="0" xfId="0" applyNumberFormat="1" applyFont="1"/>
    <xf numFmtId="0" fontId="61" fillId="0" borderId="0" xfId="0" applyFont="1"/>
    <xf numFmtId="3" fontId="9" fillId="0" borderId="0" xfId="0" applyNumberFormat="1" applyFont="1" applyBorder="1"/>
    <xf numFmtId="3" fontId="61" fillId="0" borderId="0" xfId="0" applyNumberFormat="1" applyFont="1" applyBorder="1"/>
    <xf numFmtId="0" fontId="3" fillId="0" borderId="4" xfId="0" applyFont="1" applyBorder="1" applyAlignment="1">
      <alignment horizontal="center"/>
    </xf>
    <xf numFmtId="164" fontId="3" fillId="0" borderId="4" xfId="3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1" fillId="0" borderId="0" xfId="0" applyFont="1" applyFill="1"/>
    <xf numFmtId="3" fontId="61" fillId="0" borderId="0" xfId="0" applyNumberFormat="1" applyFont="1" applyFill="1"/>
    <xf numFmtId="3" fontId="60" fillId="0" borderId="0" xfId="0" applyNumberFormat="1" applyFont="1" applyBorder="1"/>
    <xf numFmtId="0" fontId="9" fillId="5" borderId="23" xfId="0" applyFont="1" applyFill="1" applyBorder="1" applyAlignment="1">
      <alignment horizontal="center" vertical="center" wrapText="1"/>
    </xf>
    <xf numFmtId="0" fontId="9" fillId="5" borderId="6" xfId="2" applyNumberFormat="1" applyFont="1" applyFill="1" applyBorder="1" applyAlignment="1">
      <alignment horizontal="center"/>
    </xf>
    <xf numFmtId="166" fontId="9" fillId="5" borderId="6" xfId="2" applyNumberFormat="1" applyFont="1" applyFill="1" applyBorder="1" applyAlignment="1">
      <alignment horizontal="center"/>
    </xf>
    <xf numFmtId="166" fontId="9" fillId="5" borderId="61" xfId="2" applyNumberFormat="1" applyFont="1" applyFill="1" applyBorder="1" applyAlignment="1">
      <alignment horizontal="center"/>
    </xf>
    <xf numFmtId="0" fontId="62" fillId="0" borderId="0" xfId="0" applyFont="1"/>
    <xf numFmtId="3" fontId="62" fillId="0" borderId="0" xfId="0" applyNumberFormat="1" applyFont="1" applyBorder="1"/>
    <xf numFmtId="0" fontId="10" fillId="0" borderId="27" xfId="0" applyFont="1" applyBorder="1"/>
    <xf numFmtId="0" fontId="10" fillId="0" borderId="1" xfId="2" applyNumberFormat="1" applyFont="1" applyBorder="1" applyAlignment="1">
      <alignment horizontal="center"/>
    </xf>
    <xf numFmtId="166" fontId="10" fillId="7" borderId="1" xfId="2" applyNumberFormat="1" applyFont="1" applyFill="1" applyBorder="1" applyAlignment="1">
      <alignment horizontal="center"/>
    </xf>
    <xf numFmtId="166" fontId="10" fillId="0" borderId="25" xfId="2" applyNumberFormat="1" applyFont="1" applyBorder="1" applyAlignment="1">
      <alignment horizontal="center"/>
    </xf>
    <xf numFmtId="0" fontId="63" fillId="0" borderId="0" xfId="0" applyFont="1"/>
    <xf numFmtId="3" fontId="63" fillId="0" borderId="0" xfId="0" applyNumberFormat="1" applyFont="1"/>
    <xf numFmtId="0" fontId="64" fillId="0" borderId="0" xfId="0" applyFont="1"/>
    <xf numFmtId="3" fontId="64" fillId="0" borderId="0" xfId="0" applyNumberFormat="1" applyFont="1" applyBorder="1"/>
    <xf numFmtId="0" fontId="10" fillId="0" borderId="27" xfId="0" applyFont="1" applyBorder="1" applyAlignment="1">
      <alignment wrapText="1"/>
    </xf>
    <xf numFmtId="0" fontId="65" fillId="0" borderId="0" xfId="0" applyFont="1"/>
    <xf numFmtId="3" fontId="65" fillId="0" borderId="0" xfId="0" applyNumberFormat="1" applyFont="1" applyBorder="1"/>
    <xf numFmtId="0" fontId="66" fillId="0" borderId="0" xfId="0" applyFont="1"/>
    <xf numFmtId="3" fontId="66" fillId="0" borderId="0" xfId="0" applyNumberFormat="1" applyFont="1" applyBorder="1"/>
    <xf numFmtId="0" fontId="10" fillId="0" borderId="29" xfId="0" applyFont="1" applyBorder="1"/>
    <xf numFmtId="0" fontId="10" fillId="0" borderId="30" xfId="2" applyNumberFormat="1" applyFont="1" applyBorder="1" applyAlignment="1">
      <alignment horizontal="center"/>
    </xf>
    <xf numFmtId="166" fontId="10" fillId="0" borderId="30" xfId="2" applyNumberFormat="1" applyFont="1" applyBorder="1" applyAlignment="1">
      <alignment horizontal="center"/>
    </xf>
    <xf numFmtId="166" fontId="10" fillId="7" borderId="30" xfId="2" applyNumberFormat="1" applyFont="1" applyFill="1" applyBorder="1" applyAlignment="1">
      <alignment horizontal="center"/>
    </xf>
    <xf numFmtId="166" fontId="10" fillId="0" borderId="31" xfId="2" applyNumberFormat="1" applyFont="1" applyBorder="1" applyAlignment="1">
      <alignment horizontal="center"/>
    </xf>
    <xf numFmtId="3" fontId="62" fillId="0" borderId="0" xfId="0" applyNumberFormat="1" applyFont="1"/>
    <xf numFmtId="0" fontId="67" fillId="0" borderId="0" xfId="0" applyFont="1"/>
    <xf numFmtId="3" fontId="67" fillId="0" borderId="0" xfId="0" applyNumberFormat="1" applyFont="1"/>
    <xf numFmtId="0" fontId="68" fillId="0" borderId="0" xfId="0" applyFont="1"/>
    <xf numFmtId="3" fontId="68" fillId="0" borderId="0" xfId="0" applyNumberFormat="1" applyFont="1"/>
    <xf numFmtId="166" fontId="10" fillId="0" borderId="0" xfId="2" applyNumberFormat="1" applyFont="1" applyAlignment="1">
      <alignment horizontal="center"/>
    </xf>
    <xf numFmtId="166" fontId="37" fillId="0" borderId="0" xfId="2" applyNumberFormat="1" applyFont="1" applyAlignment="1"/>
    <xf numFmtId="166" fontId="35" fillId="0" borderId="46" xfId="2" applyNumberFormat="1" applyFont="1" applyBorder="1"/>
    <xf numFmtId="166" fontId="35" fillId="0" borderId="41" xfId="2" applyNumberFormat="1" applyFont="1" applyBorder="1"/>
    <xf numFmtId="166" fontId="35" fillId="0" borderId="0" xfId="2" applyNumberFormat="1" applyFont="1" applyBorder="1"/>
    <xf numFmtId="166" fontId="35" fillId="0" borderId="41" xfId="2" applyNumberFormat="1" applyFont="1" applyFill="1" applyBorder="1" applyAlignment="1">
      <alignment wrapText="1"/>
    </xf>
    <xf numFmtId="0" fontId="41" fillId="0" borderId="34" xfId="0" applyFont="1" applyFill="1" applyBorder="1"/>
    <xf numFmtId="37" fontId="57" fillId="0" borderId="25" xfId="0" applyNumberFormat="1" applyFont="1" applyBorder="1" applyAlignment="1">
      <alignment horizontal="right" vertical="center"/>
    </xf>
    <xf numFmtId="166" fontId="1" fillId="0" borderId="0" xfId="2" applyNumberFormat="1" applyFont="1" applyBorder="1"/>
    <xf numFmtId="166" fontId="6" fillId="0" borderId="1" xfId="2" applyNumberFormat="1" applyFont="1" applyBorder="1" applyAlignment="1">
      <alignment vertical="center"/>
    </xf>
    <xf numFmtId="166" fontId="70" fillId="0" borderId="1" xfId="2" applyNumberFormat="1" applyFont="1" applyFill="1" applyBorder="1"/>
    <xf numFmtId="166" fontId="10" fillId="0" borderId="0" xfId="2" applyNumberFormat="1" applyFont="1" applyFill="1" applyBorder="1"/>
    <xf numFmtId="166" fontId="9" fillId="0" borderId="0" xfId="2" applyNumberFormat="1" applyFont="1"/>
    <xf numFmtId="1" fontId="0" fillId="0" borderId="1" xfId="0" applyNumberFormat="1" applyBorder="1" applyAlignment="1">
      <alignment horizontal="center"/>
    </xf>
    <xf numFmtId="165" fontId="0" fillId="0" borderId="1" xfId="2" applyFont="1" applyBorder="1"/>
    <xf numFmtId="166" fontId="13" fillId="0" borderId="1" xfId="0" applyNumberFormat="1" applyFont="1" applyBorder="1" applyAlignment="1"/>
    <xf numFmtId="0" fontId="35" fillId="0" borderId="41" xfId="0" applyFont="1" applyFill="1" applyBorder="1" applyAlignment="1">
      <alignment horizontal="center" vertical="center"/>
    </xf>
    <xf numFmtId="166" fontId="35" fillId="0" borderId="46" xfId="2" applyNumberFormat="1" applyFont="1" applyFill="1" applyBorder="1" applyAlignment="1">
      <alignment horizontal="center"/>
    </xf>
    <xf numFmtId="166" fontId="35" fillId="0" borderId="41" xfId="2" applyNumberFormat="1" applyFont="1" applyFill="1" applyBorder="1" applyAlignment="1">
      <alignment horizontal="center"/>
    </xf>
    <xf numFmtId="0" fontId="34" fillId="5" borderId="20" xfId="0" applyFont="1" applyFill="1" applyBorder="1" applyAlignment="1">
      <alignment horizontal="center" vertical="center" wrapText="1"/>
    </xf>
    <xf numFmtId="0" fontId="34" fillId="5" borderId="59" xfId="0" applyFont="1" applyFill="1" applyBorder="1" applyAlignment="1">
      <alignment horizontal="center" vertical="center" wrapText="1"/>
    </xf>
    <xf numFmtId="166" fontId="34" fillId="5" borderId="59" xfId="2" applyNumberFormat="1" applyFont="1" applyFill="1" applyBorder="1" applyAlignment="1">
      <alignment horizontal="center" vertical="center" wrapText="1"/>
    </xf>
    <xf numFmtId="0" fontId="34" fillId="5" borderId="62" xfId="0" applyFont="1" applyFill="1" applyBorder="1" applyAlignment="1">
      <alignment horizontal="center" vertical="center" wrapText="1"/>
    </xf>
    <xf numFmtId="0" fontId="35" fillId="0" borderId="41" xfId="0" applyFont="1" applyBorder="1"/>
    <xf numFmtId="166" fontId="35" fillId="0" borderId="50" xfId="2" applyNumberFormat="1" applyFont="1" applyFill="1" applyBorder="1" applyAlignment="1"/>
    <xf numFmtId="166" fontId="35" fillId="0" borderId="51" xfId="2" applyNumberFormat="1" applyFont="1" applyBorder="1" applyAlignment="1">
      <alignment horizontal="left" vertical="center" wrapText="1"/>
    </xf>
    <xf numFmtId="0" fontId="35" fillId="0" borderId="51" xfId="0" applyFont="1" applyBorder="1" applyAlignment="1">
      <alignment horizontal="center"/>
    </xf>
    <xf numFmtId="166" fontId="35" fillId="0" borderId="51" xfId="2" applyNumberFormat="1" applyFont="1" applyBorder="1"/>
    <xf numFmtId="166" fontId="35" fillId="0" borderId="51" xfId="2" applyNumberFormat="1" applyFont="1" applyFill="1" applyBorder="1" applyAlignment="1">
      <alignment horizontal="center"/>
    </xf>
    <xf numFmtId="166" fontId="35" fillId="0" borderId="63" xfId="2" applyNumberFormat="1" applyFont="1" applyFill="1" applyBorder="1"/>
    <xf numFmtId="166" fontId="34" fillId="0" borderId="64" xfId="0" applyNumberFormat="1" applyFont="1" applyBorder="1"/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7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2" xfId="0" applyFont="1" applyBorder="1"/>
    <xf numFmtId="0" fontId="10" fillId="0" borderId="24" xfId="0" applyFont="1" applyBorder="1"/>
    <xf numFmtId="0" fontId="10" fillId="0" borderId="2" xfId="0" applyFont="1" applyBorder="1" applyAlignment="1">
      <alignment horizontal="left"/>
    </xf>
    <xf numFmtId="0" fontId="10" fillId="0" borderId="40" xfId="0" applyFont="1" applyBorder="1"/>
    <xf numFmtId="166" fontId="23" fillId="0" borderId="0" xfId="2" applyNumberFormat="1" applyFont="1"/>
    <xf numFmtId="164" fontId="23" fillId="0" borderId="0" xfId="0" applyNumberFormat="1" applyFont="1"/>
    <xf numFmtId="164" fontId="9" fillId="0" borderId="1" xfId="3" applyFont="1" applyFill="1" applyBorder="1"/>
    <xf numFmtId="166" fontId="5" fillId="6" borderId="1" xfId="2" applyNumberFormat="1" applyFont="1" applyFill="1" applyBorder="1"/>
    <xf numFmtId="166" fontId="48" fillId="6" borderId="1" xfId="2" applyNumberFormat="1" applyFont="1" applyFill="1" applyBorder="1"/>
    <xf numFmtId="164" fontId="10" fillId="6" borderId="1" xfId="3" applyFont="1" applyFill="1" applyBorder="1"/>
    <xf numFmtId="170" fontId="33" fillId="6" borderId="1" xfId="2" applyNumberFormat="1" applyFont="1" applyFill="1" applyBorder="1" applyAlignment="1">
      <alignment horizontal="left"/>
    </xf>
    <xf numFmtId="166" fontId="69" fillId="6" borderId="0" xfId="2" applyNumberFormat="1" applyFont="1" applyFill="1" applyBorder="1"/>
    <xf numFmtId="166" fontId="10" fillId="0" borderId="0" xfId="2" applyNumberFormat="1" applyFont="1" applyFill="1"/>
    <xf numFmtId="166" fontId="10" fillId="0" borderId="0" xfId="0" applyNumberFormat="1" applyFont="1" applyFill="1"/>
    <xf numFmtId="37" fontId="10" fillId="0" borderId="0" xfId="0" applyNumberFormat="1" applyFont="1" applyFill="1"/>
    <xf numFmtId="37" fontId="10" fillId="0" borderId="0" xfId="0" applyNumberFormat="1" applyFont="1" applyFill="1"/>
    <xf numFmtId="0" fontId="13" fillId="0" borderId="0" xfId="0" applyFont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0" fontId="56" fillId="0" borderId="0" xfId="0" applyFont="1" applyAlignment="1">
      <alignment horizontal="center" vertical="center"/>
    </xf>
    <xf numFmtId="0" fontId="23" fillId="5" borderId="32" xfId="0" applyFont="1" applyFill="1" applyBorder="1" applyAlignment="1">
      <alignment horizontal="center" vertical="center"/>
    </xf>
    <xf numFmtId="0" fontId="23" fillId="5" borderId="29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37" fontId="12" fillId="5" borderId="59" xfId="0" applyNumberFormat="1" applyFont="1" applyFill="1" applyBorder="1" applyAlignment="1">
      <alignment horizontal="center" vertical="center" wrapText="1"/>
    </xf>
    <xf numFmtId="37" fontId="12" fillId="5" borderId="66" xfId="0" applyNumberFormat="1" applyFont="1" applyFill="1" applyBorder="1" applyAlignment="1">
      <alignment horizontal="center" vertical="center" wrapText="1"/>
    </xf>
    <xf numFmtId="37" fontId="12" fillId="5" borderId="62" xfId="0" applyNumberFormat="1" applyFont="1" applyFill="1" applyBorder="1" applyAlignment="1">
      <alignment horizontal="center" vertical="center" wrapText="1"/>
    </xf>
    <xf numFmtId="37" fontId="12" fillId="5" borderId="67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37" fontId="12" fillId="6" borderId="6" xfId="0" applyNumberFormat="1" applyFont="1" applyFill="1" applyBorder="1" applyAlignment="1">
      <alignment horizontal="right" vertical="center"/>
    </xf>
    <xf numFmtId="37" fontId="12" fillId="6" borderId="4" xfId="0" applyNumberFormat="1" applyFont="1" applyFill="1" applyBorder="1" applyAlignment="1">
      <alignment horizontal="right" vertical="center"/>
    </xf>
    <xf numFmtId="37" fontId="12" fillId="0" borderId="61" xfId="0" applyNumberFormat="1" applyFont="1" applyBorder="1" applyAlignment="1">
      <alignment horizontal="right" vertical="center"/>
    </xf>
    <xf numFmtId="37" fontId="12" fillId="0" borderId="33" xfId="0" applyNumberFormat="1" applyFont="1" applyBorder="1" applyAlignment="1">
      <alignment horizontal="right" vertical="center"/>
    </xf>
    <xf numFmtId="0" fontId="23" fillId="0" borderId="68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37" fontId="12" fillId="0" borderId="6" xfId="0" applyNumberFormat="1" applyFont="1" applyBorder="1" applyAlignment="1">
      <alignment horizontal="right" vertical="center"/>
    </xf>
    <xf numFmtId="37" fontId="12" fillId="0" borderId="4" xfId="0" applyNumberFormat="1" applyFont="1" applyBorder="1" applyAlignment="1">
      <alignment horizontal="right" vertical="center"/>
    </xf>
    <xf numFmtId="166" fontId="13" fillId="0" borderId="0" xfId="2" applyNumberFormat="1" applyFont="1" applyAlignment="1">
      <alignment horizontal="center"/>
    </xf>
    <xf numFmtId="0" fontId="4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48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66" fontId="48" fillId="0" borderId="1" xfId="2" applyNumberFormat="1" applyFont="1" applyFill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5" fillId="0" borderId="24" xfId="0" quotePrefix="1" applyFont="1" applyBorder="1" applyAlignment="1">
      <alignment horizontal="center" vertical="center"/>
    </xf>
    <xf numFmtId="166" fontId="48" fillId="0" borderId="2" xfId="2" applyNumberFormat="1" applyFont="1" applyFill="1" applyBorder="1" applyAlignment="1">
      <alignment horizontal="right" vertical="center"/>
    </xf>
    <xf numFmtId="166" fontId="48" fillId="0" borderId="40" xfId="2" applyNumberFormat="1" applyFont="1" applyFill="1" applyBorder="1" applyAlignment="1">
      <alignment horizontal="right" vertical="center"/>
    </xf>
    <xf numFmtId="166" fontId="48" fillId="0" borderId="24" xfId="2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48" fillId="0" borderId="1" xfId="0" applyFont="1" applyFill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166" fontId="33" fillId="0" borderId="0" xfId="2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35" xfId="0" applyFont="1" applyBorder="1" applyAlignment="1">
      <alignment horizontal="right" vertical="top"/>
    </xf>
    <xf numFmtId="0" fontId="10" fillId="0" borderId="8" xfId="0" applyFont="1" applyBorder="1" applyAlignment="1">
      <alignment horizontal="right" vertical="top"/>
    </xf>
    <xf numFmtId="0" fontId="10" fillId="0" borderId="36" xfId="0" applyFont="1" applyBorder="1" applyAlignment="1">
      <alignment horizontal="right" vertical="top"/>
    </xf>
    <xf numFmtId="0" fontId="10" fillId="0" borderId="37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10" fillId="0" borderId="34" xfId="0" applyFont="1" applyBorder="1" applyAlignment="1">
      <alignment horizontal="right" vertical="top"/>
    </xf>
    <xf numFmtId="0" fontId="10" fillId="0" borderId="1" xfId="0" applyFont="1" applyBorder="1" applyAlignment="1">
      <alignment horizontal="center"/>
    </xf>
    <xf numFmtId="0" fontId="10" fillId="0" borderId="3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6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37" fontId="33" fillId="0" borderId="0" xfId="2" applyNumberFormat="1" applyFont="1" applyAlignment="1">
      <alignment horizontal="center"/>
    </xf>
    <xf numFmtId="0" fontId="22" fillId="0" borderId="0" xfId="0" applyFont="1" applyFill="1" applyAlignment="1">
      <alignment horizontal="center"/>
    </xf>
    <xf numFmtId="0" fontId="13" fillId="0" borderId="40" xfId="5" applyFont="1" applyBorder="1" applyAlignment="1">
      <alignment horizontal="left" wrapText="1"/>
    </xf>
    <xf numFmtId="0" fontId="13" fillId="0" borderId="24" xfId="5" applyFont="1" applyBorder="1" applyAlignment="1">
      <alignment horizontal="left" wrapText="1"/>
    </xf>
    <xf numFmtId="0" fontId="13" fillId="0" borderId="30" xfId="5" applyFont="1" applyBorder="1" applyAlignment="1">
      <alignment horizontal="left" wrapText="1"/>
    </xf>
    <xf numFmtId="2" fontId="13" fillId="0" borderId="2" xfId="5" applyNumberFormat="1" applyFont="1" applyBorder="1" applyAlignment="1">
      <alignment horizontal="center" wrapText="1"/>
    </xf>
    <xf numFmtId="2" fontId="13" fillId="0" borderId="40" xfId="5" applyNumberFormat="1" applyFont="1" applyBorder="1" applyAlignment="1">
      <alignment horizontal="center" wrapText="1"/>
    </xf>
    <xf numFmtId="2" fontId="13" fillId="0" borderId="24" xfId="5" applyNumberFormat="1" applyFont="1" applyBorder="1" applyAlignment="1">
      <alignment horizontal="center" wrapText="1"/>
    </xf>
    <xf numFmtId="2" fontId="46" fillId="0" borderId="0" xfId="5" applyNumberFormat="1" applyFont="1" applyBorder="1" applyAlignment="1">
      <alignment horizontal="center" wrapText="1"/>
    </xf>
    <xf numFmtId="2" fontId="46" fillId="0" borderId="34" xfId="5" applyNumberFormat="1" applyFont="1" applyBorder="1" applyAlignment="1">
      <alignment horizontal="center" wrapText="1"/>
    </xf>
    <xf numFmtId="0" fontId="13" fillId="0" borderId="57" xfId="5" applyFont="1" applyBorder="1" applyAlignment="1">
      <alignment horizontal="left" wrapText="1"/>
    </xf>
    <xf numFmtId="0" fontId="13" fillId="0" borderId="21" xfId="5" applyFont="1" applyBorder="1" applyAlignment="1">
      <alignment horizontal="left" wrapText="1"/>
    </xf>
    <xf numFmtId="0" fontId="23" fillId="0" borderId="40" xfId="5" applyFont="1" applyBorder="1" applyAlignment="1">
      <alignment horizontal="left" wrapText="1"/>
    </xf>
    <xf numFmtId="0" fontId="23" fillId="0" borderId="24" xfId="5" applyFont="1" applyBorder="1" applyAlignment="1">
      <alignment horizontal="left" wrapText="1"/>
    </xf>
    <xf numFmtId="0" fontId="23" fillId="0" borderId="40" xfId="5" applyFont="1" applyBorder="1" applyAlignment="1">
      <alignment horizontal="center" wrapText="1"/>
    </xf>
    <xf numFmtId="0" fontId="23" fillId="0" borderId="24" xfId="5" applyFont="1" applyBorder="1" applyAlignment="1">
      <alignment horizontal="center" wrapText="1"/>
    </xf>
    <xf numFmtId="0" fontId="43" fillId="0" borderId="24" xfId="5" applyFont="1" applyBorder="1" applyAlignment="1">
      <alignment horizontal="left" wrapText="1"/>
    </xf>
    <xf numFmtId="0" fontId="43" fillId="0" borderId="1" xfId="5" applyFont="1" applyBorder="1" applyAlignment="1">
      <alignment horizontal="left" wrapText="1"/>
    </xf>
    <xf numFmtId="0" fontId="13" fillId="0" borderId="1" xfId="5" applyFont="1" applyBorder="1" applyAlignment="1">
      <alignment horizontal="left" wrapText="1"/>
    </xf>
    <xf numFmtId="0" fontId="33" fillId="0" borderId="1" xfId="5" applyFont="1" applyBorder="1" applyAlignment="1">
      <alignment horizontal="left" wrapText="1"/>
    </xf>
    <xf numFmtId="0" fontId="21" fillId="0" borderId="1" xfId="5" applyFont="1" applyBorder="1" applyAlignment="1">
      <alignment horizontal="left"/>
    </xf>
    <xf numFmtId="0" fontId="21" fillId="0" borderId="1" xfId="6" applyFont="1" applyFill="1" applyBorder="1" applyAlignment="1">
      <alignment horizontal="left" wrapText="1"/>
    </xf>
    <xf numFmtId="0" fontId="33" fillId="0" borderId="1" xfId="6" applyFont="1" applyFill="1" applyBorder="1" applyAlignment="1">
      <alignment horizontal="left" wrapText="1"/>
    </xf>
    <xf numFmtId="0" fontId="47" fillId="0" borderId="1" xfId="6" applyFont="1" applyFill="1" applyBorder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46" fillId="0" borderId="35" xfId="5" applyFont="1" applyBorder="1" applyAlignment="1">
      <alignment horizontal="center" wrapText="1"/>
    </xf>
    <xf numFmtId="0" fontId="46" fillId="0" borderId="8" xfId="5" applyFont="1" applyBorder="1" applyAlignment="1">
      <alignment horizontal="center" wrapText="1"/>
    </xf>
    <xf numFmtId="0" fontId="46" fillId="0" borderId="36" xfId="5" applyFont="1" applyBorder="1" applyAlignment="1">
      <alignment horizontal="center" wrapText="1"/>
    </xf>
    <xf numFmtId="0" fontId="33" fillId="0" borderId="57" xfId="5" applyFont="1" applyBorder="1" applyAlignment="1">
      <alignment horizontal="left" wrapText="1"/>
    </xf>
    <xf numFmtId="0" fontId="33" fillId="0" borderId="21" xfId="5" applyFont="1" applyBorder="1" applyAlignment="1">
      <alignment horizontal="left" wrapText="1"/>
    </xf>
    <xf numFmtId="0" fontId="33" fillId="0" borderId="1" xfId="5" applyFont="1" applyBorder="1" applyAlignment="1">
      <alignment horizontal="left"/>
    </xf>
    <xf numFmtId="0" fontId="47" fillId="0" borderId="30" xfId="5" applyFont="1" applyBorder="1" applyAlignment="1">
      <alignment horizontal="left"/>
    </xf>
    <xf numFmtId="0" fontId="47" fillId="0" borderId="1" xfId="5" applyFont="1" applyBorder="1" applyAlignment="1">
      <alignment horizontal="left"/>
    </xf>
    <xf numFmtId="166" fontId="26" fillId="0" borderId="0" xfId="2" applyNumberFormat="1" applyFont="1" applyAlignment="1">
      <alignment horizontal="center"/>
    </xf>
    <xf numFmtId="166" fontId="10" fillId="0" borderId="0" xfId="2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66" fontId="34" fillId="0" borderId="0" xfId="2" applyNumberFormat="1" applyFont="1" applyFill="1" applyBorder="1" applyAlignment="1">
      <alignment horizontal="center"/>
    </xf>
    <xf numFmtId="0" fontId="34" fillId="0" borderId="0" xfId="5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9" fillId="5" borderId="69" xfId="0" applyFont="1" applyFill="1" applyBorder="1" applyAlignment="1">
      <alignment horizontal="center"/>
    </xf>
    <xf numFmtId="0" fontId="9" fillId="5" borderId="70" xfId="0" applyFont="1" applyFill="1" applyBorder="1" applyAlignment="1">
      <alignment horizontal="center"/>
    </xf>
    <xf numFmtId="0" fontId="9" fillId="5" borderId="71" xfId="0" applyFont="1" applyFill="1" applyBorder="1" applyAlignment="1">
      <alignment horizontal="center"/>
    </xf>
    <xf numFmtId="166" fontId="9" fillId="0" borderId="0" xfId="2" applyNumberFormat="1" applyFont="1" applyFill="1" applyBorder="1" applyAlignment="1">
      <alignment horizontal="center"/>
    </xf>
    <xf numFmtId="0" fontId="9" fillId="0" borderId="0" xfId="5" applyFont="1" applyBorder="1" applyAlignment="1">
      <alignment horizontal="center"/>
    </xf>
    <xf numFmtId="165" fontId="9" fillId="0" borderId="0" xfId="2" applyFont="1" applyAlignment="1">
      <alignment horizontal="right"/>
    </xf>
    <xf numFmtId="0" fontId="35" fillId="0" borderId="1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/>
    </xf>
  </cellXfs>
  <cellStyles count="7">
    <cellStyle name="Comma" xfId="2" builtinId="3"/>
    <cellStyle name="Comma [0]" xfId="3" builtinId="6"/>
    <cellStyle name="Comma_21.Aktivet Afatgjata Materiale  09" xfId="1"/>
    <cellStyle name="Migliaia_Foglio2" xfId="4"/>
    <cellStyle name="Normal" xfId="0" builtinId="0"/>
    <cellStyle name="Normal_asn_2009 Propozimet" xfId="5"/>
    <cellStyle name="Normal_Sheet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067" name="Line 3"/>
        <xdr:cNvSpPr>
          <a:spLocks noChangeShapeType="1"/>
        </xdr:cNvSpPr>
      </xdr:nvSpPr>
      <xdr:spPr bwMode="auto">
        <a:xfrm>
          <a:off x="647700" y="0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068" name="Line 4"/>
        <xdr:cNvSpPr>
          <a:spLocks noChangeShapeType="1"/>
        </xdr:cNvSpPr>
      </xdr:nvSpPr>
      <xdr:spPr bwMode="auto">
        <a:xfrm>
          <a:off x="647700" y="0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069" name="Line 5"/>
        <xdr:cNvSpPr>
          <a:spLocks noChangeShapeType="1"/>
        </xdr:cNvSpPr>
      </xdr:nvSpPr>
      <xdr:spPr bwMode="auto">
        <a:xfrm>
          <a:off x="647700" y="0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6</xdr:row>
      <xdr:rowOff>19050</xdr:rowOff>
    </xdr:from>
    <xdr:to>
      <xdr:col>3</xdr:col>
      <xdr:colOff>0</xdr:colOff>
      <xdr:row>10</xdr:row>
      <xdr:rowOff>142875</xdr:rowOff>
    </xdr:to>
    <xdr:sp macro="" textlink="">
      <xdr:nvSpPr>
        <xdr:cNvPr id="1070" name="Line 58"/>
        <xdr:cNvSpPr>
          <a:spLocks noChangeShapeType="1"/>
        </xdr:cNvSpPr>
      </xdr:nvSpPr>
      <xdr:spPr bwMode="auto">
        <a:xfrm>
          <a:off x="38100" y="990600"/>
          <a:ext cx="152400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6</xdr:row>
      <xdr:rowOff>19050</xdr:rowOff>
    </xdr:from>
    <xdr:to>
      <xdr:col>3</xdr:col>
      <xdr:colOff>0</xdr:colOff>
      <xdr:row>10</xdr:row>
      <xdr:rowOff>142875</xdr:rowOff>
    </xdr:to>
    <xdr:sp macro="" textlink="">
      <xdr:nvSpPr>
        <xdr:cNvPr id="1071" name="Line 59"/>
        <xdr:cNvSpPr>
          <a:spLocks noChangeShapeType="1"/>
        </xdr:cNvSpPr>
      </xdr:nvSpPr>
      <xdr:spPr bwMode="auto">
        <a:xfrm>
          <a:off x="38100" y="990600"/>
          <a:ext cx="152400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6</xdr:row>
      <xdr:rowOff>19050</xdr:rowOff>
    </xdr:from>
    <xdr:to>
      <xdr:col>3</xdr:col>
      <xdr:colOff>0</xdr:colOff>
      <xdr:row>10</xdr:row>
      <xdr:rowOff>142875</xdr:rowOff>
    </xdr:to>
    <xdr:sp macro="" textlink="">
      <xdr:nvSpPr>
        <xdr:cNvPr id="1072" name="Line 60"/>
        <xdr:cNvSpPr>
          <a:spLocks noChangeShapeType="1"/>
        </xdr:cNvSpPr>
      </xdr:nvSpPr>
      <xdr:spPr bwMode="auto">
        <a:xfrm>
          <a:off x="38100" y="990600"/>
          <a:ext cx="152400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UROTEOREMA_2012/EUROTEOREMA_2012/2_AMMINISTRAZIONE/EUROTEOREMA_PEQIN_SHPK/1_GESTIONE/BILANCI/BILANCE/7_BILANCI_2011/per_bilanc_2011/EUROTEOREMA_PEQIN_BILANCI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"/>
      <sheetName val="Aktiv-Pasiv"/>
      <sheetName val="te ardhura e shpenzime"/>
      <sheetName val="Fluksi Monetar"/>
      <sheetName val="Kapitali"/>
      <sheetName val="Shenim-1"/>
      <sheetName val="Shenim-2"/>
      <sheetName val="Aktive Qendrushme"/>
      <sheetName val="Amortizimi"/>
      <sheetName val="rezultati tatimor"/>
      <sheetName val="AAM"/>
      <sheetName val="Aneks Statistikor"/>
      <sheetName val="Aktivitet per BM"/>
      <sheetName val="MJ e transportit"/>
      <sheetName val="INVENTARI"/>
      <sheetName val="tabela"/>
      <sheetName val="Shenime"/>
    </sheetNames>
    <sheetDataSet>
      <sheetData sheetId="0"/>
      <sheetData sheetId="1">
        <row r="7">
          <cell r="F7">
            <v>12164179</v>
          </cell>
        </row>
        <row r="14">
          <cell r="E14">
            <v>436977008.09000003</v>
          </cell>
          <cell r="F14">
            <v>399352706.19</v>
          </cell>
        </row>
        <row r="20">
          <cell r="E20">
            <v>93861613</v>
          </cell>
          <cell r="F20">
            <v>103714708</v>
          </cell>
        </row>
        <row r="32">
          <cell r="E32">
            <v>93795026.929999992</v>
          </cell>
          <cell r="F32">
            <v>143697630</v>
          </cell>
        </row>
        <row r="91">
          <cell r="E91">
            <v>941969852.00600004</v>
          </cell>
          <cell r="F91">
            <v>866044775.24000001</v>
          </cell>
        </row>
      </sheetData>
      <sheetData sheetId="2"/>
      <sheetData sheetId="3"/>
      <sheetData sheetId="4"/>
      <sheetData sheetId="5"/>
      <sheetData sheetId="6"/>
      <sheetData sheetId="7">
        <row r="30">
          <cell r="L30">
            <v>31387334</v>
          </cell>
        </row>
      </sheetData>
      <sheetData sheetId="8">
        <row r="27">
          <cell r="M27">
            <v>17552621.960000001</v>
          </cell>
        </row>
      </sheetData>
      <sheetData sheetId="9"/>
      <sheetData sheetId="10">
        <row r="17">
          <cell r="E17">
            <v>189875920.90000001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B1:P43"/>
  <sheetViews>
    <sheetView tabSelected="1" topLeftCell="A19" zoomScaleNormal="100" workbookViewId="0">
      <selection activeCell="J28" sqref="J28"/>
    </sheetView>
  </sheetViews>
  <sheetFormatPr defaultRowHeight="12.75"/>
  <cols>
    <col min="1" max="1" width="0.7109375" customWidth="1"/>
    <col min="2" max="2" width="3.7109375" customWidth="1"/>
    <col min="3" max="3" width="5.42578125" customWidth="1"/>
    <col min="4" max="4" width="11.42578125" customWidth="1"/>
    <col min="5" max="5" width="16.42578125" customWidth="1"/>
    <col min="6" max="6" width="4.5703125" customWidth="1"/>
    <col min="7" max="7" width="3" customWidth="1"/>
    <col min="8" max="8" width="3.7109375" customWidth="1"/>
    <col min="11" max="11" width="17.42578125" customWidth="1"/>
    <col min="12" max="12" width="6.42578125" customWidth="1"/>
    <col min="13" max="13" width="8.140625" customWidth="1"/>
    <col min="14" max="15" width="7.7109375" customWidth="1"/>
  </cols>
  <sheetData>
    <row r="1" spans="2:12" ht="16.5" thickBot="1">
      <c r="B1" s="165"/>
      <c r="C1" s="165"/>
      <c r="D1" s="165"/>
      <c r="E1" s="165"/>
      <c r="F1" s="165"/>
      <c r="G1" s="165"/>
      <c r="H1" s="165"/>
      <c r="I1" s="165"/>
    </row>
    <row r="2" spans="2:12" ht="15.75">
      <c r="B2" s="166"/>
      <c r="C2" s="167"/>
      <c r="D2" s="167"/>
      <c r="E2" s="167"/>
      <c r="F2" s="298"/>
      <c r="G2" s="298"/>
      <c r="H2" s="298"/>
      <c r="I2" s="167"/>
      <c r="J2" s="168"/>
      <c r="K2" s="168"/>
      <c r="L2" s="169"/>
    </row>
    <row r="3" spans="2:12" ht="15.75">
      <c r="B3" s="170"/>
      <c r="C3" s="171"/>
      <c r="D3" s="171"/>
      <c r="E3" s="171"/>
      <c r="F3" s="181"/>
      <c r="G3" s="181"/>
      <c r="H3" s="181"/>
      <c r="I3" s="173"/>
      <c r="J3" s="83"/>
      <c r="K3" s="83"/>
      <c r="L3" s="174"/>
    </row>
    <row r="4" spans="2:12" ht="15.75">
      <c r="B4" s="170"/>
      <c r="C4" s="83"/>
      <c r="D4" s="83"/>
      <c r="E4" s="83"/>
      <c r="F4" s="83"/>
      <c r="G4" s="83"/>
      <c r="H4" s="83"/>
      <c r="I4" s="83"/>
      <c r="J4" s="83"/>
      <c r="K4" s="83"/>
      <c r="L4" s="174"/>
    </row>
    <row r="5" spans="2:12" ht="15.75">
      <c r="B5" s="170"/>
      <c r="C5" s="83"/>
      <c r="D5" s="83"/>
      <c r="E5" s="83"/>
      <c r="F5" s="83"/>
      <c r="G5" s="83"/>
      <c r="H5" s="83"/>
      <c r="I5" s="83"/>
      <c r="J5" s="83"/>
      <c r="K5" s="83"/>
      <c r="L5" s="174"/>
    </row>
    <row r="6" spans="2:12" ht="15.75">
      <c r="B6" s="170"/>
      <c r="C6" s="83"/>
      <c r="D6" s="83"/>
      <c r="E6" s="83"/>
      <c r="F6" s="83"/>
      <c r="G6" s="83"/>
      <c r="H6" s="83"/>
      <c r="I6" s="83"/>
      <c r="J6" s="83"/>
      <c r="K6" s="83"/>
      <c r="L6" s="174"/>
    </row>
    <row r="7" spans="2:12" ht="15.75">
      <c r="B7" s="170"/>
      <c r="C7" s="83"/>
      <c r="D7" s="83"/>
      <c r="E7" s="83"/>
      <c r="F7" s="83"/>
      <c r="G7" s="83"/>
      <c r="H7" s="83"/>
      <c r="I7" s="83"/>
      <c r="J7" s="83"/>
      <c r="K7" s="83"/>
      <c r="L7" s="174"/>
    </row>
    <row r="8" spans="2:12" ht="15.75">
      <c r="B8" s="170"/>
      <c r="C8" s="171"/>
      <c r="D8" s="171"/>
      <c r="E8" s="171"/>
      <c r="F8" s="171"/>
      <c r="G8" s="171"/>
      <c r="H8" s="171"/>
      <c r="I8" s="171"/>
      <c r="J8" s="83"/>
      <c r="K8" s="83"/>
      <c r="L8" s="174"/>
    </row>
    <row r="9" spans="2:12" ht="15.75">
      <c r="B9" s="170"/>
      <c r="C9" s="171"/>
      <c r="D9" s="171"/>
      <c r="E9" s="171"/>
      <c r="F9" s="171"/>
      <c r="G9" s="171"/>
      <c r="H9" s="171"/>
      <c r="I9" s="171"/>
      <c r="J9" s="83"/>
      <c r="K9" s="83"/>
      <c r="L9" s="174"/>
    </row>
    <row r="10" spans="2:12" ht="45.75">
      <c r="B10" s="170"/>
      <c r="C10" s="177" t="s">
        <v>29</v>
      </c>
      <c r="D10" s="177"/>
      <c r="E10" s="177"/>
      <c r="F10" s="177"/>
      <c r="G10" s="177"/>
      <c r="H10" s="177"/>
      <c r="I10" s="177"/>
      <c r="J10" s="177"/>
      <c r="K10" s="299"/>
      <c r="L10" s="174"/>
    </row>
    <row r="11" spans="2:12" ht="15.75">
      <c r="B11" s="170"/>
      <c r="C11" s="171"/>
      <c r="D11" s="171"/>
      <c r="E11" s="171"/>
      <c r="F11" s="181"/>
      <c r="G11" s="181"/>
      <c r="H11" s="181"/>
      <c r="I11" s="181"/>
      <c r="J11" s="83"/>
      <c r="K11" s="83"/>
      <c r="L11" s="174"/>
    </row>
    <row r="12" spans="2:12" ht="15.75">
      <c r="B12" s="170"/>
      <c r="C12" s="171"/>
      <c r="D12" s="83"/>
      <c r="E12" s="83"/>
      <c r="F12" s="83"/>
      <c r="G12" s="83"/>
      <c r="H12" s="83"/>
      <c r="I12" s="83"/>
      <c r="J12" s="83"/>
      <c r="K12" s="83"/>
      <c r="L12" s="174"/>
    </row>
    <row r="13" spans="2:12" ht="15.75">
      <c r="B13" s="170"/>
      <c r="C13" s="180" t="s">
        <v>30</v>
      </c>
      <c r="D13" s="180"/>
      <c r="E13" s="180"/>
      <c r="F13" s="180"/>
      <c r="G13" s="181"/>
      <c r="H13" s="181"/>
      <c r="I13" s="83"/>
      <c r="J13" s="83"/>
      <c r="K13" s="83"/>
      <c r="L13" s="174"/>
    </row>
    <row r="14" spans="2:12" ht="15.75">
      <c r="B14" s="170"/>
      <c r="C14" s="180" t="s">
        <v>31</v>
      </c>
      <c r="D14" s="180"/>
      <c r="E14" s="180"/>
      <c r="F14" s="180"/>
      <c r="G14" s="180"/>
      <c r="H14" s="180"/>
      <c r="I14" s="180"/>
      <c r="J14" s="83"/>
      <c r="K14" s="83"/>
      <c r="L14" s="174"/>
    </row>
    <row r="15" spans="2:12" ht="15.75">
      <c r="B15" s="170"/>
      <c r="C15" s="171"/>
      <c r="D15" s="83"/>
      <c r="E15" s="83"/>
      <c r="F15" s="83"/>
      <c r="G15" s="83"/>
      <c r="H15" s="83"/>
      <c r="I15" s="83"/>
      <c r="J15" s="83"/>
      <c r="K15" s="83"/>
      <c r="L15" s="174"/>
    </row>
    <row r="16" spans="2:12" ht="15.75">
      <c r="B16" s="170"/>
      <c r="C16" s="171"/>
      <c r="D16" s="83"/>
      <c r="E16" s="83"/>
      <c r="F16" s="83"/>
      <c r="G16" s="83"/>
      <c r="H16" s="83"/>
      <c r="I16" s="83"/>
      <c r="J16" s="83"/>
      <c r="K16" s="83"/>
      <c r="L16" s="174"/>
    </row>
    <row r="17" spans="2:16" ht="15.75">
      <c r="B17" s="170"/>
      <c r="C17" s="171"/>
      <c r="D17" s="171"/>
      <c r="E17" s="171"/>
      <c r="F17" s="171"/>
      <c r="G17" s="171"/>
      <c r="H17" s="171"/>
      <c r="I17" s="171"/>
      <c r="J17" s="83"/>
      <c r="K17" s="83"/>
      <c r="L17" s="174"/>
    </row>
    <row r="18" spans="2:16" ht="15.75">
      <c r="B18" s="170"/>
      <c r="C18" s="171"/>
      <c r="D18" s="171"/>
      <c r="E18" s="171"/>
      <c r="F18" s="181"/>
      <c r="G18" s="181"/>
      <c r="H18" s="181"/>
      <c r="I18" s="181"/>
      <c r="J18" s="83"/>
      <c r="K18" s="83"/>
      <c r="L18" s="174"/>
    </row>
    <row r="19" spans="2:16" ht="15.75">
      <c r="B19" s="170"/>
      <c r="C19" s="171"/>
      <c r="D19" s="171"/>
      <c r="E19" s="171"/>
      <c r="F19" s="181"/>
      <c r="G19" s="181"/>
      <c r="H19" s="181"/>
      <c r="I19" s="181"/>
      <c r="J19" s="83"/>
      <c r="K19" s="83"/>
      <c r="L19" s="174"/>
    </row>
    <row r="20" spans="2:16" ht="15.75">
      <c r="B20" s="170"/>
      <c r="C20" s="171"/>
      <c r="D20" s="171"/>
      <c r="E20" s="171"/>
      <c r="F20" s="181"/>
      <c r="G20" s="181"/>
      <c r="H20" s="181"/>
      <c r="I20" s="181"/>
      <c r="J20" s="83"/>
      <c r="K20" s="83"/>
      <c r="L20" s="174"/>
    </row>
    <row r="21" spans="2:16" ht="15.75">
      <c r="B21" s="170"/>
      <c r="C21" s="171"/>
      <c r="D21" s="171"/>
      <c r="E21" s="171"/>
      <c r="F21" s="171"/>
      <c r="G21" s="171"/>
      <c r="H21" s="171"/>
      <c r="I21" s="171"/>
      <c r="J21" s="83"/>
      <c r="K21" s="83"/>
      <c r="L21" s="174"/>
    </row>
    <row r="22" spans="2:16" ht="15.75">
      <c r="B22" s="170"/>
      <c r="C22" s="171"/>
      <c r="D22" s="171"/>
      <c r="E22" s="171"/>
      <c r="F22" s="171"/>
      <c r="G22" s="171"/>
      <c r="H22" s="171"/>
      <c r="I22" s="171"/>
      <c r="J22" s="83"/>
      <c r="K22" s="83"/>
      <c r="L22" s="174"/>
    </row>
    <row r="23" spans="2:16" ht="18.75">
      <c r="B23" s="170"/>
      <c r="C23" s="171"/>
      <c r="D23" s="300"/>
      <c r="E23" s="300"/>
      <c r="F23" s="300"/>
      <c r="G23" s="300"/>
      <c r="H23" s="300"/>
      <c r="I23" s="171"/>
      <c r="J23" s="83"/>
      <c r="K23" s="83"/>
      <c r="L23" s="174"/>
    </row>
    <row r="24" spans="2:16" ht="15.75">
      <c r="B24" s="170"/>
      <c r="C24" s="171"/>
      <c r="D24" s="171"/>
      <c r="E24" s="171"/>
      <c r="F24" s="171"/>
      <c r="G24" s="171"/>
      <c r="H24" s="171"/>
      <c r="I24" s="171"/>
      <c r="J24" s="83"/>
      <c r="K24" s="83"/>
      <c r="L24" s="174"/>
    </row>
    <row r="25" spans="2:16" ht="15.75">
      <c r="B25" s="170"/>
      <c r="C25" s="301"/>
      <c r="D25" s="302"/>
      <c r="E25" s="302"/>
      <c r="F25" s="303"/>
      <c r="G25" s="171"/>
      <c r="H25" s="301"/>
      <c r="I25" s="302"/>
      <c r="J25" s="302"/>
      <c r="K25" s="303"/>
      <c r="L25" s="174"/>
    </row>
    <row r="26" spans="2:16" ht="15.75">
      <c r="B26" s="170"/>
      <c r="C26" s="304"/>
      <c r="D26" s="203" t="s">
        <v>32</v>
      </c>
      <c r="E26" s="171"/>
      <c r="F26" s="305"/>
      <c r="G26" s="171"/>
      <c r="H26" s="304"/>
      <c r="I26" s="203" t="s">
        <v>33</v>
      </c>
      <c r="J26" s="171"/>
      <c r="K26" s="305"/>
      <c r="L26" s="174"/>
    </row>
    <row r="27" spans="2:16" ht="15.75">
      <c r="B27" s="170"/>
      <c r="C27" s="304"/>
      <c r="D27" s="185"/>
      <c r="E27" s="185"/>
      <c r="F27" s="306"/>
      <c r="G27" s="171"/>
      <c r="H27" s="304"/>
      <c r="I27" s="187"/>
      <c r="J27" s="187"/>
      <c r="K27" s="307" t="s">
        <v>34</v>
      </c>
      <c r="L27" s="174"/>
    </row>
    <row r="28" spans="2:16" ht="15.75">
      <c r="B28" s="170"/>
      <c r="C28" s="304"/>
      <c r="D28" s="193" t="s">
        <v>35</v>
      </c>
      <c r="E28" s="173"/>
      <c r="F28" s="305"/>
      <c r="G28" s="171"/>
      <c r="H28" s="304"/>
      <c r="I28" s="193" t="s">
        <v>36</v>
      </c>
      <c r="J28" s="193"/>
      <c r="K28" s="308"/>
      <c r="L28" s="174"/>
    </row>
    <row r="29" spans="2:16" ht="15.75">
      <c r="B29" s="170"/>
      <c r="C29" s="304"/>
      <c r="D29" s="173"/>
      <c r="E29" s="173"/>
      <c r="F29" s="305"/>
      <c r="G29" s="171"/>
      <c r="H29" s="304"/>
      <c r="I29" s="193"/>
      <c r="J29" s="193"/>
      <c r="K29" s="309" t="s">
        <v>37</v>
      </c>
      <c r="L29" s="174"/>
    </row>
    <row r="30" spans="2:16" ht="15.75">
      <c r="B30" s="170"/>
      <c r="C30" s="304"/>
      <c r="D30" s="193" t="s">
        <v>38</v>
      </c>
      <c r="E30" s="173"/>
      <c r="F30" s="305"/>
      <c r="G30" s="171"/>
      <c r="H30" s="304"/>
      <c r="I30" s="193" t="s">
        <v>39</v>
      </c>
      <c r="J30" s="193"/>
      <c r="K30" s="308"/>
      <c r="L30" s="174"/>
      <c r="P30" s="297"/>
    </row>
    <row r="31" spans="2:16" ht="15.75">
      <c r="B31" s="170"/>
      <c r="C31" s="304"/>
      <c r="D31" s="173"/>
      <c r="E31" s="173"/>
      <c r="F31" s="305"/>
      <c r="G31" s="171"/>
      <c r="H31" s="304"/>
      <c r="I31" s="193"/>
      <c r="J31" s="193"/>
      <c r="K31" s="308"/>
      <c r="L31" s="174"/>
    </row>
    <row r="32" spans="2:16" ht="30.75" customHeight="1">
      <c r="B32" s="170"/>
      <c r="C32" s="304"/>
      <c r="D32" s="744" t="s">
        <v>298</v>
      </c>
      <c r="E32" s="744"/>
      <c r="F32" s="745"/>
      <c r="G32" s="171"/>
      <c r="H32" s="304"/>
      <c r="I32" s="193" t="s">
        <v>40</v>
      </c>
      <c r="J32" s="195"/>
      <c r="K32" s="310"/>
      <c r="L32" s="174"/>
    </row>
    <row r="33" spans="2:12" ht="15.75">
      <c r="B33" s="170"/>
      <c r="C33" s="304"/>
      <c r="F33" s="305"/>
      <c r="G33" s="171"/>
      <c r="H33" s="304"/>
      <c r="I33" s="193"/>
      <c r="J33" s="193"/>
      <c r="K33" s="308"/>
      <c r="L33" s="174"/>
    </row>
    <row r="34" spans="2:12" ht="15.75">
      <c r="B34" s="170"/>
      <c r="C34" s="304"/>
      <c r="D34" s="193" t="s">
        <v>41</v>
      </c>
      <c r="E34" s="197"/>
      <c r="F34" s="305"/>
      <c r="G34" s="171"/>
      <c r="H34" s="304"/>
      <c r="I34" s="193" t="s">
        <v>42</v>
      </c>
      <c r="J34" s="198"/>
      <c r="K34" s="308"/>
      <c r="L34" s="174"/>
    </row>
    <row r="35" spans="2:12" ht="15.75">
      <c r="B35" s="170"/>
      <c r="C35" s="304"/>
      <c r="D35" s="173"/>
      <c r="E35" s="173"/>
      <c r="F35" s="305"/>
      <c r="G35" s="171"/>
      <c r="H35" s="304"/>
      <c r="I35" s="173" t="s">
        <v>1291</v>
      </c>
      <c r="J35" s="173"/>
      <c r="K35" s="309"/>
      <c r="L35" s="174"/>
    </row>
    <row r="36" spans="2:12" ht="15.75">
      <c r="B36" s="170"/>
      <c r="C36" s="304"/>
      <c r="D36" s="193" t="s">
        <v>43</v>
      </c>
      <c r="E36" s="198"/>
      <c r="F36" s="311"/>
      <c r="G36" s="201"/>
      <c r="H36" s="304"/>
      <c r="I36" s="193" t="s">
        <v>1292</v>
      </c>
      <c r="J36" s="193"/>
      <c r="K36" s="695"/>
      <c r="L36" s="174"/>
    </row>
    <row r="37" spans="2:12" ht="15.75">
      <c r="B37" s="170"/>
      <c r="C37" s="304"/>
      <c r="D37" s="173"/>
      <c r="E37" s="173"/>
      <c r="F37" s="305"/>
      <c r="G37" s="171"/>
      <c r="H37" s="304"/>
      <c r="I37" s="203"/>
      <c r="J37" s="203"/>
      <c r="K37" s="312"/>
      <c r="L37" s="174"/>
    </row>
    <row r="38" spans="2:12" ht="15.75">
      <c r="B38" s="170"/>
      <c r="C38" s="304"/>
      <c r="D38" s="435" t="s">
        <v>44</v>
      </c>
      <c r="E38" s="436"/>
      <c r="F38" s="437"/>
      <c r="G38" s="171"/>
      <c r="H38" s="304"/>
      <c r="I38" s="203"/>
      <c r="J38" s="205"/>
      <c r="K38" s="310"/>
      <c r="L38" s="174"/>
    </row>
    <row r="39" spans="2:12" ht="15.75">
      <c r="B39" s="170"/>
      <c r="C39" s="313"/>
      <c r="D39" s="438" t="s">
        <v>45</v>
      </c>
      <c r="E39" s="438"/>
      <c r="F39" s="439"/>
      <c r="G39" s="171"/>
      <c r="H39" s="313"/>
      <c r="I39" s="314"/>
      <c r="J39" s="314"/>
      <c r="K39" s="315"/>
      <c r="L39" s="174"/>
    </row>
    <row r="40" spans="2:12" ht="16.5" thickBot="1">
      <c r="B40" s="206"/>
      <c r="C40" s="207"/>
      <c r="D40" s="207"/>
      <c r="E40" s="207"/>
      <c r="F40" s="207"/>
      <c r="G40" s="207"/>
      <c r="H40" s="208"/>
      <c r="I40" s="207"/>
      <c r="J40" s="208"/>
      <c r="K40" s="208"/>
      <c r="L40" s="209"/>
    </row>
    <row r="41" spans="2:12" ht="15.75">
      <c r="B41" s="165"/>
      <c r="C41" s="165"/>
      <c r="D41" s="165"/>
      <c r="E41" s="165"/>
      <c r="F41" s="165"/>
      <c r="G41" s="165"/>
      <c r="H41" s="165"/>
      <c r="I41" s="165"/>
    </row>
    <row r="42" spans="2:12" ht="15.75">
      <c r="B42" s="165"/>
      <c r="C42" s="165"/>
      <c r="D42" s="165"/>
      <c r="E42" s="165"/>
      <c r="F42" s="165"/>
      <c r="G42" s="165"/>
      <c r="H42" s="165"/>
      <c r="I42" s="165"/>
    </row>
    <row r="43" spans="2:12" ht="15.75">
      <c r="B43" s="165"/>
      <c r="C43" s="165"/>
      <c r="D43" s="165"/>
      <c r="E43" s="165"/>
      <c r="F43" s="165"/>
      <c r="G43" s="165"/>
      <c r="H43" s="165"/>
      <c r="I43" s="165"/>
    </row>
  </sheetData>
  <mergeCells count="1">
    <mergeCell ref="D32:F32"/>
  </mergeCells>
  <phoneticPr fontId="0" type="noConversion"/>
  <pageMargins left="0.54" right="0.2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A1:R176"/>
  <sheetViews>
    <sheetView topLeftCell="A106" zoomScaleNormal="100" workbookViewId="0">
      <selection activeCell="D137" sqref="D137"/>
    </sheetView>
  </sheetViews>
  <sheetFormatPr defaultRowHeight="12.75"/>
  <cols>
    <col min="1" max="1" width="2.85546875" customWidth="1"/>
    <col min="3" max="3" width="11.28515625" customWidth="1"/>
    <col min="4" max="4" width="18.85546875" customWidth="1"/>
    <col min="5" max="5" width="7.7109375" customWidth="1"/>
    <col min="6" max="6" width="0.5703125" customWidth="1"/>
    <col min="7" max="7" width="12.85546875" customWidth="1"/>
    <col min="8" max="8" width="7.28515625" customWidth="1"/>
    <col min="9" max="9" width="12.28515625" customWidth="1"/>
    <col min="10" max="10" width="13.7109375" customWidth="1"/>
    <col min="11" max="11" width="12.85546875" hidden="1" customWidth="1"/>
    <col min="12" max="12" width="0.28515625" hidden="1" customWidth="1"/>
    <col min="13" max="13" width="12.42578125" customWidth="1"/>
    <col min="15" max="15" width="9.28515625" bestFit="1" customWidth="1"/>
  </cols>
  <sheetData>
    <row r="1" spans="1:18">
      <c r="A1" s="87"/>
      <c r="B1" s="63" t="s">
        <v>1215</v>
      </c>
      <c r="C1" s="225"/>
      <c r="D1" s="225"/>
      <c r="E1" s="87"/>
      <c r="F1" s="87"/>
      <c r="G1" s="87"/>
      <c r="H1" s="87"/>
      <c r="I1" s="87"/>
      <c r="J1" s="87"/>
      <c r="K1" s="87"/>
      <c r="L1" s="87"/>
    </row>
    <row r="2" spans="1:18">
      <c r="A2" s="87"/>
      <c r="B2" s="63" t="s">
        <v>1216</v>
      </c>
      <c r="C2" s="225"/>
      <c r="D2" s="225"/>
      <c r="E2" s="87"/>
      <c r="F2" s="87"/>
      <c r="G2" s="87"/>
      <c r="H2" s="87"/>
      <c r="I2" s="87"/>
      <c r="J2" s="87"/>
      <c r="K2" s="87"/>
      <c r="L2" s="87"/>
    </row>
    <row r="3" spans="1:18">
      <c r="A3" s="87"/>
      <c r="B3" s="62"/>
      <c r="C3" s="87"/>
      <c r="D3" s="87"/>
      <c r="E3" s="87"/>
      <c r="F3" s="87"/>
      <c r="G3" s="87"/>
      <c r="H3" s="87"/>
      <c r="I3" s="87"/>
      <c r="J3" s="62" t="s">
        <v>1217</v>
      </c>
      <c r="L3" s="87"/>
    </row>
    <row r="4" spans="1:18">
      <c r="A4" s="87"/>
      <c r="B4" s="62"/>
      <c r="C4" s="87"/>
      <c r="D4" s="87"/>
      <c r="E4" s="87"/>
      <c r="F4" s="87"/>
      <c r="G4" s="87"/>
      <c r="H4" s="87"/>
      <c r="I4" s="87"/>
      <c r="J4" s="87"/>
      <c r="L4" s="87"/>
    </row>
    <row r="5" spans="1:18">
      <c r="A5" s="86"/>
      <c r="B5" s="86"/>
      <c r="C5" s="86"/>
      <c r="D5" s="86"/>
      <c r="E5" s="86"/>
      <c r="F5" s="86"/>
      <c r="G5" s="86"/>
      <c r="H5" s="86"/>
      <c r="I5" s="86"/>
      <c r="J5" s="227" t="s">
        <v>1218</v>
      </c>
      <c r="M5" s="83"/>
    </row>
    <row r="6" spans="1:18" ht="15.75" customHeight="1">
      <c r="A6" s="829" t="s">
        <v>1219</v>
      </c>
      <c r="B6" s="830"/>
      <c r="C6" s="830"/>
      <c r="D6" s="830"/>
      <c r="E6" s="830"/>
      <c r="F6" s="830"/>
      <c r="G6" s="830"/>
      <c r="H6" s="830"/>
      <c r="I6" s="830"/>
      <c r="J6" s="830"/>
      <c r="K6" s="830"/>
      <c r="L6" s="831"/>
      <c r="M6" s="228"/>
      <c r="R6" t="s">
        <v>336</v>
      </c>
    </row>
    <row r="7" spans="1:18" ht="26.25" customHeight="1" thickBot="1">
      <c r="A7" s="403"/>
      <c r="B7" s="832" t="s">
        <v>1220</v>
      </c>
      <c r="C7" s="832"/>
      <c r="D7" s="832"/>
      <c r="E7" s="832"/>
      <c r="F7" s="833"/>
      <c r="G7" s="404" t="s">
        <v>1221</v>
      </c>
      <c r="H7" s="404" t="s">
        <v>1222</v>
      </c>
      <c r="I7" s="405" t="s">
        <v>1163</v>
      </c>
      <c r="J7" s="405" t="s">
        <v>86</v>
      </c>
      <c r="K7" s="405" t="s">
        <v>957</v>
      </c>
      <c r="L7" s="405" t="s">
        <v>915</v>
      </c>
    </row>
    <row r="8" spans="1:18" ht="16.5" customHeight="1">
      <c r="A8" s="229">
        <v>1</v>
      </c>
      <c r="B8" s="834" t="s">
        <v>1223</v>
      </c>
      <c r="C8" s="835"/>
      <c r="D8" s="835"/>
      <c r="E8" s="835"/>
      <c r="F8" s="835"/>
      <c r="G8" s="230">
        <v>70</v>
      </c>
      <c r="H8" s="230">
        <v>11100</v>
      </c>
      <c r="I8" s="231">
        <f>I9+I10+I11</f>
        <v>564326</v>
      </c>
      <c r="J8" s="231">
        <f>J9+J10+J11</f>
        <v>678334.71</v>
      </c>
      <c r="K8" s="231">
        <f>K9+K10+K11</f>
        <v>658534</v>
      </c>
      <c r="L8" s="232">
        <f>L9+L10+L11</f>
        <v>915572</v>
      </c>
    </row>
    <row r="9" spans="1:18" ht="16.5" customHeight="1">
      <c r="A9" s="233" t="s">
        <v>1224</v>
      </c>
      <c r="B9" s="836" t="s">
        <v>1225</v>
      </c>
      <c r="C9" s="836"/>
      <c r="D9" s="836"/>
      <c r="E9" s="836"/>
      <c r="F9" s="837"/>
      <c r="G9" s="234" t="s">
        <v>1226</v>
      </c>
      <c r="H9" s="234">
        <v>11101</v>
      </c>
      <c r="I9" s="406">
        <v>551523</v>
      </c>
      <c r="J9" s="406">
        <v>180638.45</v>
      </c>
      <c r="K9" s="406">
        <v>77421</v>
      </c>
      <c r="L9" s="235">
        <v>147389</v>
      </c>
    </row>
    <row r="10" spans="1:18" ht="16.5" customHeight="1">
      <c r="A10" s="236" t="s">
        <v>1227</v>
      </c>
      <c r="B10" s="836" t="s">
        <v>1228</v>
      </c>
      <c r="C10" s="836"/>
      <c r="D10" s="836"/>
      <c r="E10" s="836"/>
      <c r="F10" s="837"/>
      <c r="G10" s="234">
        <v>704</v>
      </c>
      <c r="H10" s="234">
        <v>11102</v>
      </c>
      <c r="I10" s="406">
        <v>12803</v>
      </c>
      <c r="J10" s="406">
        <v>497696.26</v>
      </c>
      <c r="K10" s="406">
        <v>581113</v>
      </c>
      <c r="L10" s="235">
        <v>768183</v>
      </c>
    </row>
    <row r="11" spans="1:18" ht="16.5" customHeight="1">
      <c r="A11" s="236" t="s">
        <v>1229</v>
      </c>
      <c r="B11" s="836" t="s">
        <v>1230</v>
      </c>
      <c r="C11" s="836"/>
      <c r="D11" s="836"/>
      <c r="E11" s="836"/>
      <c r="F11" s="837"/>
      <c r="G11" s="237">
        <v>705</v>
      </c>
      <c r="H11" s="234">
        <v>11103</v>
      </c>
      <c r="I11" s="406"/>
      <c r="J11" s="406"/>
      <c r="K11" s="406"/>
      <c r="L11" s="238"/>
    </row>
    <row r="12" spans="1:18" ht="16.5" customHeight="1">
      <c r="A12" s="239">
        <v>2</v>
      </c>
      <c r="B12" s="826" t="s">
        <v>1231</v>
      </c>
      <c r="C12" s="826"/>
      <c r="D12" s="826"/>
      <c r="E12" s="826"/>
      <c r="F12" s="827"/>
      <c r="G12" s="240">
        <v>708</v>
      </c>
      <c r="H12" s="407">
        <v>11104</v>
      </c>
      <c r="I12" s="406">
        <f>I13+I14+I15</f>
        <v>0</v>
      </c>
      <c r="J12" s="406">
        <f>J13+J14+J15</f>
        <v>0</v>
      </c>
      <c r="K12" s="406">
        <f>K13+K14+K15</f>
        <v>0</v>
      </c>
      <c r="L12" s="238"/>
    </row>
    <row r="13" spans="1:18" ht="16.5" customHeight="1">
      <c r="A13" s="241" t="s">
        <v>1224</v>
      </c>
      <c r="B13" s="836" t="s">
        <v>1232</v>
      </c>
      <c r="C13" s="836"/>
      <c r="D13" s="836"/>
      <c r="E13" s="836"/>
      <c r="F13" s="837"/>
      <c r="G13" s="234">
        <v>7081</v>
      </c>
      <c r="H13" s="408">
        <v>111041</v>
      </c>
      <c r="I13" s="406"/>
      <c r="J13" s="406"/>
      <c r="K13" s="406"/>
      <c r="L13" s="238"/>
    </row>
    <row r="14" spans="1:18" ht="16.5" customHeight="1">
      <c r="A14" s="241" t="s">
        <v>1233</v>
      </c>
      <c r="B14" s="836" t="s">
        <v>1234</v>
      </c>
      <c r="C14" s="836"/>
      <c r="D14" s="836"/>
      <c r="E14" s="836"/>
      <c r="F14" s="837"/>
      <c r="G14" s="234">
        <v>7082</v>
      </c>
      <c r="H14" s="408">
        <v>111042</v>
      </c>
      <c r="I14" s="406"/>
      <c r="J14" s="406"/>
      <c r="K14" s="406"/>
      <c r="L14" s="238"/>
    </row>
    <row r="15" spans="1:18" ht="16.5" customHeight="1">
      <c r="A15" s="241" t="s">
        <v>1235</v>
      </c>
      <c r="B15" s="836" t="s">
        <v>1236</v>
      </c>
      <c r="C15" s="836"/>
      <c r="D15" s="836"/>
      <c r="E15" s="836"/>
      <c r="F15" s="837"/>
      <c r="G15" s="234">
        <v>7083</v>
      </c>
      <c r="H15" s="408">
        <v>111043</v>
      </c>
      <c r="I15" s="406"/>
      <c r="J15" s="406"/>
      <c r="K15" s="406"/>
      <c r="L15" s="238"/>
    </row>
    <row r="16" spans="1:18" ht="29.25" customHeight="1">
      <c r="A16" s="242">
        <v>3</v>
      </c>
      <c r="B16" s="826" t="s">
        <v>1237</v>
      </c>
      <c r="C16" s="826"/>
      <c r="D16" s="826"/>
      <c r="E16" s="826"/>
      <c r="F16" s="827"/>
      <c r="G16" s="240">
        <v>71</v>
      </c>
      <c r="H16" s="407">
        <v>11201</v>
      </c>
      <c r="I16" s="409">
        <f>I17+I18</f>
        <v>-27039</v>
      </c>
      <c r="J16" s="409">
        <f>J17+J18</f>
        <v>-4019</v>
      </c>
      <c r="K16" s="409">
        <f>K17+K18</f>
        <v>-19887</v>
      </c>
      <c r="L16" s="243">
        <f>L17+L18</f>
        <v>43006</v>
      </c>
    </row>
    <row r="17" spans="1:13" ht="16.5" customHeight="1">
      <c r="A17" s="244"/>
      <c r="B17" s="838" t="s">
        <v>1238</v>
      </c>
      <c r="C17" s="838"/>
      <c r="D17" s="838"/>
      <c r="E17" s="838"/>
      <c r="F17" s="839"/>
      <c r="G17" s="245"/>
      <c r="H17" s="234">
        <v>112011</v>
      </c>
      <c r="I17" s="406"/>
      <c r="J17" s="406"/>
      <c r="K17" s="406"/>
      <c r="L17" s="238"/>
    </row>
    <row r="18" spans="1:13" ht="16.5" customHeight="1">
      <c r="A18" s="244"/>
      <c r="B18" s="838" t="s">
        <v>1239</v>
      </c>
      <c r="C18" s="838"/>
      <c r="D18" s="838"/>
      <c r="E18" s="838"/>
      <c r="F18" s="839"/>
      <c r="G18" s="245"/>
      <c r="H18" s="234">
        <v>112012</v>
      </c>
      <c r="I18" s="406">
        <v>-27039</v>
      </c>
      <c r="J18" s="406">
        <v>-4019</v>
      </c>
      <c r="K18" s="406">
        <v>-19887</v>
      </c>
      <c r="L18" s="246">
        <v>43006</v>
      </c>
    </row>
    <row r="19" spans="1:13" ht="29.25" customHeight="1">
      <c r="A19" s="247">
        <v>4</v>
      </c>
      <c r="B19" s="826" t="s">
        <v>1240</v>
      </c>
      <c r="C19" s="826"/>
      <c r="D19" s="826"/>
      <c r="E19" s="826"/>
      <c r="F19" s="827"/>
      <c r="G19" s="410">
        <v>72</v>
      </c>
      <c r="H19" s="411">
        <v>11300</v>
      </c>
      <c r="I19" s="406"/>
      <c r="J19" s="406"/>
      <c r="K19" s="406"/>
      <c r="L19" s="238"/>
    </row>
    <row r="20" spans="1:13" ht="16.5" customHeight="1">
      <c r="A20" s="236"/>
      <c r="B20" s="840" t="s">
        <v>1241</v>
      </c>
      <c r="C20" s="841"/>
      <c r="D20" s="841"/>
      <c r="E20" s="841"/>
      <c r="F20" s="841"/>
      <c r="G20" s="65"/>
      <c r="H20" s="412">
        <v>11301</v>
      </c>
      <c r="I20" s="406"/>
      <c r="J20" s="406"/>
      <c r="K20" s="406"/>
      <c r="L20" s="238"/>
    </row>
    <row r="21" spans="1:13" ht="16.5" customHeight="1">
      <c r="A21" s="248">
        <v>5</v>
      </c>
      <c r="B21" s="827" t="s">
        <v>1242</v>
      </c>
      <c r="C21" s="842"/>
      <c r="D21" s="842"/>
      <c r="E21" s="842"/>
      <c r="F21" s="842"/>
      <c r="G21" s="413">
        <v>73</v>
      </c>
      <c r="H21" s="413">
        <v>11400</v>
      </c>
      <c r="I21" s="406"/>
      <c r="J21" s="406"/>
      <c r="K21" s="406"/>
      <c r="L21" s="238"/>
    </row>
    <row r="22" spans="1:13" ht="16.5" customHeight="1">
      <c r="A22" s="249">
        <v>6</v>
      </c>
      <c r="B22" s="827" t="s">
        <v>1243</v>
      </c>
      <c r="C22" s="842"/>
      <c r="D22" s="842"/>
      <c r="E22" s="842"/>
      <c r="F22" s="842"/>
      <c r="G22" s="413">
        <v>75</v>
      </c>
      <c r="H22" s="414">
        <v>11500</v>
      </c>
      <c r="I22" s="406"/>
      <c r="J22" s="406"/>
      <c r="K22" s="406"/>
      <c r="L22" s="238"/>
    </row>
    <row r="23" spans="1:13" ht="16.5" customHeight="1">
      <c r="A23" s="248">
        <v>7</v>
      </c>
      <c r="B23" s="826" t="s">
        <v>1244</v>
      </c>
      <c r="C23" s="826"/>
      <c r="D23" s="826"/>
      <c r="E23" s="826"/>
      <c r="F23" s="827"/>
      <c r="G23" s="240">
        <v>77</v>
      </c>
      <c r="H23" s="240">
        <v>11600</v>
      </c>
      <c r="I23" s="409">
        <v>0</v>
      </c>
      <c r="J23" s="409">
        <v>0</v>
      </c>
      <c r="K23" s="409">
        <v>74476</v>
      </c>
      <c r="L23" s="250">
        <v>47199</v>
      </c>
    </row>
    <row r="24" spans="1:13" ht="16.5" customHeight="1" thickBot="1">
      <c r="A24" s="251" t="s">
        <v>1245</v>
      </c>
      <c r="B24" s="828" t="s">
        <v>1246</v>
      </c>
      <c r="C24" s="828"/>
      <c r="D24" s="828"/>
      <c r="E24" s="828"/>
      <c r="F24" s="828"/>
      <c r="G24" s="252"/>
      <c r="H24" s="252">
        <v>11800</v>
      </c>
      <c r="I24" s="253">
        <f>I8+I12+I16+I19+I21+I22+I23</f>
        <v>537287</v>
      </c>
      <c r="J24" s="253">
        <f>J8+J12+J16+J19+J21+J22+J23</f>
        <v>674315.71</v>
      </c>
      <c r="K24" s="253">
        <f>K8+K12+K16+K19+K21+K22+K23</f>
        <v>713123</v>
      </c>
      <c r="L24" s="254">
        <f>L8+L12+L16+L19+L21+L22+L23</f>
        <v>1005777</v>
      </c>
    </row>
    <row r="25" spans="1:13" ht="16.5" customHeight="1">
      <c r="A25" s="415"/>
      <c r="B25" s="416"/>
      <c r="C25" s="416"/>
      <c r="D25" s="416"/>
      <c r="E25" s="416"/>
      <c r="F25" s="416"/>
      <c r="G25" s="416"/>
      <c r="H25" s="416"/>
      <c r="I25" s="416"/>
      <c r="J25" s="402"/>
      <c r="K25" s="402"/>
      <c r="L25" s="402"/>
    </row>
    <row r="26" spans="1:13" ht="16.5" customHeight="1">
      <c r="A26" s="415"/>
      <c r="B26" s="416"/>
      <c r="C26" s="416"/>
      <c r="D26" s="416"/>
      <c r="E26" s="416"/>
      <c r="F26" s="416"/>
      <c r="G26" s="416"/>
      <c r="H26" s="416"/>
      <c r="I26" s="416"/>
      <c r="J26" s="402"/>
      <c r="K26" s="402"/>
      <c r="L26" s="402"/>
    </row>
    <row r="27" spans="1:13" ht="16.5" customHeight="1">
      <c r="A27" s="415"/>
      <c r="B27" s="416"/>
      <c r="C27" s="416"/>
      <c r="D27" s="416"/>
      <c r="E27" s="416"/>
      <c r="F27" s="416"/>
      <c r="G27" s="824" t="s">
        <v>1247</v>
      </c>
      <c r="H27" s="824"/>
      <c r="I27" s="824"/>
      <c r="J27" s="824"/>
      <c r="K27" s="255"/>
      <c r="L27" s="255"/>
      <c r="M27" s="255"/>
    </row>
    <row r="28" spans="1:13" ht="16.5" customHeight="1">
      <c r="A28" s="415"/>
      <c r="B28" s="416"/>
      <c r="C28" s="416"/>
      <c r="D28" s="416"/>
      <c r="E28" s="416"/>
      <c r="F28" s="416"/>
      <c r="G28" s="824" t="s">
        <v>966</v>
      </c>
      <c r="H28" s="824"/>
      <c r="I28" s="824"/>
      <c r="J28" s="824"/>
      <c r="K28" s="255"/>
      <c r="L28" s="255"/>
      <c r="M28" s="255"/>
    </row>
    <row r="29" spans="1:13" ht="16.5" customHeight="1">
      <c r="A29" s="415"/>
      <c r="B29" s="416"/>
      <c r="C29" s="416"/>
      <c r="D29" s="416"/>
      <c r="E29" s="416"/>
      <c r="F29" s="416"/>
      <c r="G29" s="824" t="s">
        <v>967</v>
      </c>
      <c r="H29" s="824"/>
      <c r="I29" s="824"/>
      <c r="J29" s="824"/>
      <c r="K29" s="255"/>
      <c r="L29" s="255"/>
      <c r="M29" s="255"/>
    </row>
    <row r="30" spans="1:13" ht="16.5" customHeight="1">
      <c r="A30" s="415"/>
      <c r="B30" s="416"/>
      <c r="C30" s="416"/>
      <c r="D30" s="416"/>
      <c r="E30" s="416"/>
      <c r="F30" s="416"/>
      <c r="G30" s="416"/>
      <c r="H30" s="416"/>
      <c r="I30" s="416"/>
      <c r="J30" s="402"/>
      <c r="K30" s="402"/>
      <c r="L30" s="402"/>
    </row>
    <row r="31" spans="1:13" ht="16.5" customHeight="1">
      <c r="A31" s="415"/>
      <c r="B31" s="416"/>
      <c r="C31" s="416"/>
      <c r="D31" s="416"/>
      <c r="E31" s="416"/>
      <c r="F31" s="416"/>
      <c r="G31" s="416"/>
      <c r="H31" s="416"/>
      <c r="I31" s="416"/>
      <c r="J31" s="402"/>
      <c r="K31" s="402"/>
      <c r="L31" s="402"/>
    </row>
    <row r="32" spans="1:13" ht="16.5" customHeight="1">
      <c r="A32" s="415"/>
      <c r="B32" s="416"/>
      <c r="C32" s="416"/>
      <c r="D32" s="416"/>
      <c r="E32" s="416"/>
      <c r="F32" s="416"/>
      <c r="G32" s="416"/>
      <c r="H32" s="416"/>
      <c r="I32" s="416"/>
      <c r="J32" s="402"/>
      <c r="K32" s="402"/>
      <c r="L32" s="402"/>
    </row>
    <row r="33" spans="1:15" ht="16.5" customHeight="1">
      <c r="A33" s="415"/>
      <c r="B33" s="416"/>
      <c r="C33" s="416"/>
      <c r="D33" s="416"/>
      <c r="E33" s="416"/>
      <c r="F33" s="416"/>
      <c r="G33" s="416"/>
      <c r="H33" s="416"/>
      <c r="I33" s="416"/>
      <c r="J33" s="402"/>
      <c r="K33" s="402"/>
      <c r="L33" s="402"/>
    </row>
    <row r="34" spans="1:15" ht="16.5" customHeight="1">
      <c r="A34" s="415"/>
      <c r="B34" s="416"/>
      <c r="C34" s="416"/>
      <c r="D34" s="416"/>
      <c r="E34" s="416"/>
      <c r="F34" s="416"/>
      <c r="G34" s="416"/>
      <c r="H34" s="416"/>
      <c r="I34" s="416"/>
      <c r="J34" s="402"/>
      <c r="K34" s="402"/>
      <c r="L34" s="402"/>
    </row>
    <row r="35" spans="1:15" ht="16.5" customHeight="1">
      <c r="A35" s="415"/>
      <c r="B35" s="416"/>
      <c r="C35" s="416"/>
      <c r="D35" s="416"/>
      <c r="E35" s="416"/>
      <c r="F35" s="416"/>
      <c r="G35" s="416"/>
      <c r="H35" s="416"/>
      <c r="I35" s="416"/>
      <c r="J35" s="402"/>
      <c r="K35" s="402"/>
      <c r="L35" s="402"/>
    </row>
    <row r="36" spans="1:15" ht="16.5" customHeight="1">
      <c r="A36" s="415"/>
      <c r="B36" s="416"/>
      <c r="C36" s="416"/>
      <c r="D36" s="416"/>
      <c r="E36" s="416"/>
      <c r="F36" s="416"/>
      <c r="G36" s="416"/>
      <c r="H36" s="416"/>
      <c r="I36" s="416"/>
      <c r="J36" s="402"/>
      <c r="K36" s="402"/>
      <c r="L36" s="402"/>
    </row>
    <row r="37" spans="1:15" ht="16.5" customHeight="1">
      <c r="A37" s="415"/>
      <c r="B37" s="416"/>
      <c r="C37" s="416"/>
      <c r="D37" s="416"/>
      <c r="E37" s="416"/>
      <c r="F37" s="416"/>
      <c r="G37" s="416"/>
      <c r="H37" s="416"/>
      <c r="I37" s="416"/>
      <c r="J37" s="402"/>
      <c r="K37" s="402"/>
      <c r="L37" s="402"/>
    </row>
    <row r="38" spans="1:15" ht="16.5" customHeight="1">
      <c r="A38" s="415"/>
      <c r="B38" s="416"/>
      <c r="C38" s="416"/>
      <c r="D38" s="416"/>
      <c r="E38" s="416"/>
      <c r="F38" s="416"/>
      <c r="G38" s="416"/>
      <c r="H38" s="416"/>
      <c r="I38" s="416"/>
      <c r="J38" s="402"/>
      <c r="K38" s="402"/>
      <c r="L38" s="402"/>
    </row>
    <row r="39" spans="1:15">
      <c r="A39" s="87"/>
      <c r="B39" s="63" t="s">
        <v>1215</v>
      </c>
      <c r="C39" s="225"/>
      <c r="D39" s="225"/>
      <c r="E39" s="87"/>
      <c r="F39" s="87"/>
      <c r="G39" s="87"/>
      <c r="H39" s="87"/>
      <c r="I39" s="87"/>
      <c r="J39" s="87"/>
      <c r="K39" s="87"/>
      <c r="L39" s="87"/>
    </row>
    <row r="40" spans="1:15">
      <c r="A40" s="87"/>
      <c r="B40" s="63" t="s">
        <v>1216</v>
      </c>
      <c r="C40" s="225"/>
      <c r="D40" s="225"/>
      <c r="E40" s="87"/>
      <c r="F40" s="87"/>
      <c r="G40" s="87"/>
      <c r="H40" s="87"/>
      <c r="I40" s="87"/>
      <c r="J40" s="87"/>
      <c r="K40" s="87"/>
      <c r="L40" s="87"/>
    </row>
    <row r="41" spans="1:15">
      <c r="A41" s="87"/>
      <c r="B41" s="62"/>
      <c r="C41" s="87"/>
      <c r="D41" s="87"/>
      <c r="E41" s="87"/>
      <c r="F41" s="87"/>
      <c r="G41" s="87"/>
      <c r="H41" s="87"/>
      <c r="I41" s="87"/>
      <c r="J41" s="62" t="s">
        <v>1248</v>
      </c>
      <c r="L41" s="87"/>
    </row>
    <row r="42" spans="1:15" ht="12.75" customHeight="1">
      <c r="A42" s="86"/>
      <c r="B42" s="86"/>
      <c r="C42" s="86"/>
      <c r="D42" s="86"/>
      <c r="E42" s="86"/>
      <c r="F42" s="86"/>
      <c r="G42" s="86"/>
      <c r="H42" s="86"/>
      <c r="I42" s="86"/>
      <c r="J42" s="227" t="s">
        <v>1218</v>
      </c>
      <c r="K42" s="226"/>
      <c r="L42" s="227" t="s">
        <v>1218</v>
      </c>
      <c r="M42" s="83"/>
    </row>
    <row r="43" spans="1:15">
      <c r="A43" s="829" t="s">
        <v>1219</v>
      </c>
      <c r="B43" s="830"/>
      <c r="C43" s="830"/>
      <c r="D43" s="830"/>
      <c r="E43" s="830"/>
      <c r="F43" s="830"/>
      <c r="G43" s="830"/>
      <c r="H43" s="830"/>
      <c r="I43" s="830"/>
      <c r="J43" s="830"/>
      <c r="K43" s="830"/>
      <c r="L43" s="831"/>
    </row>
    <row r="44" spans="1:15" ht="24.75" customHeight="1" thickBot="1">
      <c r="A44" s="417"/>
      <c r="B44" s="849" t="s">
        <v>1249</v>
      </c>
      <c r="C44" s="850"/>
      <c r="D44" s="850"/>
      <c r="E44" s="850"/>
      <c r="F44" s="851"/>
      <c r="G44" s="418" t="s">
        <v>1221</v>
      </c>
      <c r="H44" s="418" t="s">
        <v>1222</v>
      </c>
      <c r="I44" s="419" t="s">
        <v>1163</v>
      </c>
      <c r="J44" s="419" t="s">
        <v>86</v>
      </c>
      <c r="K44" s="419" t="s">
        <v>957</v>
      </c>
      <c r="L44" s="419" t="s">
        <v>915</v>
      </c>
    </row>
    <row r="45" spans="1:15" ht="16.5" customHeight="1">
      <c r="A45" s="256">
        <v>1</v>
      </c>
      <c r="B45" s="852" t="s">
        <v>1250</v>
      </c>
      <c r="C45" s="853"/>
      <c r="D45" s="853"/>
      <c r="E45" s="853"/>
      <c r="F45" s="853"/>
      <c r="G45" s="257">
        <v>60</v>
      </c>
      <c r="H45" s="257">
        <v>12100</v>
      </c>
      <c r="I45" s="258">
        <f>I46+I47+I48+I49+I50</f>
        <v>205570</v>
      </c>
      <c r="J45" s="258">
        <f>J46+J47+J48+J49+J50</f>
        <v>268908</v>
      </c>
      <c r="K45" s="258">
        <f>K46+K47+K48+K49+K50</f>
        <v>310014</v>
      </c>
      <c r="L45" s="259">
        <f>L46+L47+L48+L49+L50</f>
        <v>520857</v>
      </c>
    </row>
    <row r="46" spans="1:15" ht="16.5" customHeight="1">
      <c r="A46" s="420" t="s">
        <v>1251</v>
      </c>
      <c r="B46" s="845" t="s">
        <v>1252</v>
      </c>
      <c r="C46" s="845" t="s">
        <v>1253</v>
      </c>
      <c r="D46" s="845"/>
      <c r="E46" s="845"/>
      <c r="F46" s="845"/>
      <c r="G46" s="260" t="s">
        <v>1254</v>
      </c>
      <c r="H46" s="260">
        <v>12101</v>
      </c>
      <c r="I46" s="267">
        <f>17600+1201+980+2112+644+3598+4393+54500+13864+34781+54823+362+6311+14021+107</f>
        <v>209297</v>
      </c>
      <c r="J46" s="267">
        <v>263074</v>
      </c>
      <c r="K46" s="267">
        <v>308331</v>
      </c>
      <c r="L46" s="261">
        <v>533587</v>
      </c>
      <c r="N46" s="12"/>
    </row>
    <row r="47" spans="1:15" ht="12" customHeight="1">
      <c r="A47" s="420" t="s">
        <v>1227</v>
      </c>
      <c r="B47" s="845" t="s">
        <v>1255</v>
      </c>
      <c r="C47" s="845" t="s">
        <v>1253</v>
      </c>
      <c r="D47" s="845"/>
      <c r="E47" s="845"/>
      <c r="F47" s="845"/>
      <c r="G47" s="260"/>
      <c r="H47" s="262">
        <v>12102</v>
      </c>
      <c r="I47" s="8">
        <v>-3727</v>
      </c>
      <c r="J47" s="8">
        <v>5834</v>
      </c>
      <c r="K47" s="8">
        <v>1683</v>
      </c>
      <c r="L47" s="261">
        <v>-12730</v>
      </c>
      <c r="O47" s="421"/>
    </row>
    <row r="48" spans="1:15" ht="16.5" customHeight="1">
      <c r="A48" s="420" t="s">
        <v>1229</v>
      </c>
      <c r="B48" s="845" t="s">
        <v>1256</v>
      </c>
      <c r="C48" s="845" t="s">
        <v>1253</v>
      </c>
      <c r="D48" s="845"/>
      <c r="E48" s="845"/>
      <c r="F48" s="845"/>
      <c r="G48" s="260" t="s">
        <v>1257</v>
      </c>
      <c r="H48" s="260">
        <v>12103</v>
      </c>
      <c r="I48" s="267">
        <v>0</v>
      </c>
      <c r="J48" s="267">
        <v>0</v>
      </c>
      <c r="K48" s="267">
        <v>0</v>
      </c>
      <c r="L48" s="261"/>
    </row>
    <row r="49" spans="1:15" ht="16.5" customHeight="1">
      <c r="A49" s="420" t="s">
        <v>1258</v>
      </c>
      <c r="B49" s="846" t="s">
        <v>1259</v>
      </c>
      <c r="C49" s="845" t="s">
        <v>1253</v>
      </c>
      <c r="D49" s="845"/>
      <c r="E49" s="845"/>
      <c r="F49" s="845"/>
      <c r="G49" s="260"/>
      <c r="H49" s="262">
        <v>12104</v>
      </c>
      <c r="I49" s="267">
        <v>0</v>
      </c>
      <c r="J49" s="267">
        <v>0</v>
      </c>
      <c r="K49" s="267">
        <v>0</v>
      </c>
      <c r="L49" s="261"/>
    </row>
    <row r="50" spans="1:15" ht="16.5" customHeight="1">
      <c r="A50" s="420" t="s">
        <v>1260</v>
      </c>
      <c r="B50" s="845" t="s">
        <v>1261</v>
      </c>
      <c r="C50" s="845" t="s">
        <v>1253</v>
      </c>
      <c r="D50" s="845"/>
      <c r="E50" s="845"/>
      <c r="F50" s="845"/>
      <c r="G50" s="260" t="s">
        <v>1262</v>
      </c>
      <c r="H50" s="262">
        <v>12105</v>
      </c>
      <c r="I50" s="267">
        <v>0</v>
      </c>
      <c r="J50" s="267">
        <v>0</v>
      </c>
      <c r="K50" s="267">
        <v>0</v>
      </c>
      <c r="L50" s="261"/>
    </row>
    <row r="51" spans="1:15" ht="16.5" customHeight="1">
      <c r="A51" s="263">
        <v>2</v>
      </c>
      <c r="B51" s="843" t="s">
        <v>1263</v>
      </c>
      <c r="C51" s="843"/>
      <c r="D51" s="843"/>
      <c r="E51" s="843"/>
      <c r="F51" s="843"/>
      <c r="G51" s="397">
        <v>64</v>
      </c>
      <c r="H51" s="397">
        <v>12200</v>
      </c>
      <c r="I51" s="422">
        <f>I52+I53</f>
        <v>87764</v>
      </c>
      <c r="J51" s="422">
        <f>J52+J53</f>
        <v>80449</v>
      </c>
      <c r="K51" s="422">
        <f>K52+K53</f>
        <v>73428</v>
      </c>
      <c r="L51" s="264">
        <f>L52+L53</f>
        <v>74079</v>
      </c>
    </row>
    <row r="52" spans="1:15" ht="16.5" customHeight="1">
      <c r="A52" s="423" t="s">
        <v>1264</v>
      </c>
      <c r="B52" s="843" t="s">
        <v>1265</v>
      </c>
      <c r="C52" s="848"/>
      <c r="D52" s="848"/>
      <c r="E52" s="848"/>
      <c r="F52" s="848"/>
      <c r="G52" s="262">
        <v>641</v>
      </c>
      <c r="H52" s="262">
        <v>12201</v>
      </c>
      <c r="I52" s="267">
        <v>76086</v>
      </c>
      <c r="J52" s="267">
        <v>70160</v>
      </c>
      <c r="K52" s="267">
        <v>63874</v>
      </c>
      <c r="L52" s="261">
        <v>64231</v>
      </c>
    </row>
    <row r="53" spans="1:15" ht="16.5" customHeight="1">
      <c r="A53" s="423" t="s">
        <v>1266</v>
      </c>
      <c r="B53" s="848" t="s">
        <v>1267</v>
      </c>
      <c r="C53" s="848"/>
      <c r="D53" s="848"/>
      <c r="E53" s="848"/>
      <c r="F53" s="848"/>
      <c r="G53" s="262">
        <v>644</v>
      </c>
      <c r="H53" s="262">
        <v>12202</v>
      </c>
      <c r="I53" s="267">
        <v>11678</v>
      </c>
      <c r="J53" s="267">
        <v>10289</v>
      </c>
      <c r="K53" s="267">
        <v>9554</v>
      </c>
      <c r="L53" s="261">
        <v>9848</v>
      </c>
    </row>
    <row r="54" spans="1:15" ht="16.5" customHeight="1">
      <c r="A54" s="263">
        <v>3</v>
      </c>
      <c r="B54" s="843" t="s">
        <v>1268</v>
      </c>
      <c r="C54" s="843"/>
      <c r="D54" s="843"/>
      <c r="E54" s="843"/>
      <c r="F54" s="843"/>
      <c r="G54" s="397">
        <v>68</v>
      </c>
      <c r="H54" s="397">
        <v>12300</v>
      </c>
      <c r="I54" s="738">
        <f>51609-4100</f>
        <v>47509</v>
      </c>
      <c r="J54" s="422">
        <v>31588</v>
      </c>
      <c r="K54" s="422">
        <v>21119</v>
      </c>
      <c r="L54" s="264">
        <v>11888</v>
      </c>
    </row>
    <row r="55" spans="1:15" ht="16.5" customHeight="1">
      <c r="A55" s="263">
        <v>4</v>
      </c>
      <c r="B55" s="843" t="s">
        <v>1269</v>
      </c>
      <c r="C55" s="843"/>
      <c r="D55" s="843"/>
      <c r="E55" s="843"/>
      <c r="F55" s="843"/>
      <c r="G55" s="397">
        <v>61</v>
      </c>
      <c r="H55" s="397">
        <v>12400</v>
      </c>
      <c r="I55" s="422">
        <f>I56+I57+I58+I59+I60+I61+I62+I63+I64+I65+I66+I67+I70</f>
        <v>189004</v>
      </c>
      <c r="J55" s="422">
        <f>J56+J57+J58+J59+J60+J61+J62+J63+J64+J65+J66+J67+J70</f>
        <v>232580</v>
      </c>
      <c r="K55" s="422">
        <f>K56+K57+K58+K59+K60+K61+K62+K63+K64+K65+K66+K67+K70</f>
        <v>219357</v>
      </c>
      <c r="L55" s="264">
        <f>L56+L57+L58+L59+L60+L61+L62+L63+L64+L65+L66+L67+L68+L69+L70</f>
        <v>300110</v>
      </c>
      <c r="O55" s="424"/>
    </row>
    <row r="56" spans="1:15" ht="16.5" customHeight="1">
      <c r="A56" s="423" t="s">
        <v>1224</v>
      </c>
      <c r="B56" s="844" t="s">
        <v>1270</v>
      </c>
      <c r="C56" s="844"/>
      <c r="D56" s="844"/>
      <c r="E56" s="844"/>
      <c r="F56" s="844"/>
      <c r="G56" s="260">
        <v>607</v>
      </c>
      <c r="H56" s="260">
        <v>12401</v>
      </c>
      <c r="I56" s="267">
        <v>15501</v>
      </c>
      <c r="J56" s="267">
        <v>43567</v>
      </c>
      <c r="K56" s="267">
        <v>79109</v>
      </c>
      <c r="L56" s="266">
        <v>83331</v>
      </c>
    </row>
    <row r="57" spans="1:15" ht="16.5" customHeight="1">
      <c r="A57" s="423" t="s">
        <v>1233</v>
      </c>
      <c r="B57" s="844" t="s">
        <v>687</v>
      </c>
      <c r="C57" s="844"/>
      <c r="D57" s="844"/>
      <c r="E57" s="844"/>
      <c r="F57" s="844"/>
      <c r="G57" s="265">
        <v>611</v>
      </c>
      <c r="H57" s="260">
        <v>12402</v>
      </c>
      <c r="I57" s="267"/>
      <c r="J57" s="267">
        <v>0</v>
      </c>
      <c r="K57" s="267">
        <v>0</v>
      </c>
      <c r="L57" s="266">
        <v>0</v>
      </c>
    </row>
    <row r="58" spans="1:15" ht="16.5" customHeight="1">
      <c r="A58" s="423" t="s">
        <v>1235</v>
      </c>
      <c r="B58" s="844" t="s">
        <v>1271</v>
      </c>
      <c r="C58" s="844"/>
      <c r="D58" s="844"/>
      <c r="E58" s="844"/>
      <c r="F58" s="844"/>
      <c r="G58" s="260">
        <v>613</v>
      </c>
      <c r="H58" s="260">
        <v>12403</v>
      </c>
      <c r="I58" s="267">
        <v>20524</v>
      </c>
      <c r="J58" s="267">
        <f>26852-43</f>
        <v>26809</v>
      </c>
      <c r="K58" s="267">
        <v>25860</v>
      </c>
      <c r="L58" s="266">
        <v>66261</v>
      </c>
    </row>
    <row r="59" spans="1:15" ht="16.5" customHeight="1">
      <c r="A59" s="423" t="s">
        <v>1272</v>
      </c>
      <c r="B59" s="844" t="s">
        <v>1273</v>
      </c>
      <c r="C59" s="844"/>
      <c r="D59" s="844"/>
      <c r="E59" s="844"/>
      <c r="F59" s="844"/>
      <c r="G59" s="265">
        <v>615</v>
      </c>
      <c r="H59" s="260">
        <v>12404</v>
      </c>
      <c r="I59" s="425"/>
      <c r="J59" s="425">
        <v>43</v>
      </c>
      <c r="K59" s="425">
        <v>1210</v>
      </c>
      <c r="L59" s="426">
        <v>726</v>
      </c>
    </row>
    <row r="60" spans="1:15" ht="16.5" customHeight="1">
      <c r="A60" s="423" t="s">
        <v>1274</v>
      </c>
      <c r="B60" s="844" t="s">
        <v>1275</v>
      </c>
      <c r="C60" s="844"/>
      <c r="D60" s="844"/>
      <c r="E60" s="844"/>
      <c r="F60" s="844"/>
      <c r="G60" s="265">
        <v>616</v>
      </c>
      <c r="H60" s="260">
        <v>12405</v>
      </c>
      <c r="I60" s="267">
        <v>1047</v>
      </c>
      <c r="J60" s="267">
        <v>2508</v>
      </c>
      <c r="K60" s="267">
        <v>2335</v>
      </c>
      <c r="L60" s="266">
        <v>3181</v>
      </c>
    </row>
    <row r="61" spans="1:15" ht="16.5" customHeight="1">
      <c r="A61" s="423" t="s">
        <v>1276</v>
      </c>
      <c r="B61" s="844" t="s">
        <v>1277</v>
      </c>
      <c r="C61" s="844"/>
      <c r="D61" s="844"/>
      <c r="E61" s="844"/>
      <c r="F61" s="844"/>
      <c r="G61" s="265">
        <v>657</v>
      </c>
      <c r="H61" s="260"/>
      <c r="I61" s="267">
        <f>429+99+804</f>
        <v>1332</v>
      </c>
      <c r="J61" s="267">
        <v>13672</v>
      </c>
      <c r="K61" s="267">
        <v>2805</v>
      </c>
      <c r="L61" s="266">
        <v>3552</v>
      </c>
    </row>
    <row r="62" spans="1:15" ht="16.5" customHeight="1">
      <c r="A62" s="423" t="s">
        <v>1278</v>
      </c>
      <c r="B62" s="845" t="s">
        <v>1279</v>
      </c>
      <c r="C62" s="845" t="s">
        <v>1253</v>
      </c>
      <c r="D62" s="845"/>
      <c r="E62" s="845"/>
      <c r="F62" s="845"/>
      <c r="G62" s="265">
        <v>618</v>
      </c>
      <c r="H62" s="260">
        <v>12407</v>
      </c>
      <c r="I62" s="267">
        <f>34387+6207+5167+2901</f>
        <v>48662</v>
      </c>
      <c r="J62" s="267">
        <f>341+39620+1835</f>
        <v>41796</v>
      </c>
      <c r="K62" s="267">
        <v>55109</v>
      </c>
      <c r="L62" s="266">
        <v>76401</v>
      </c>
    </row>
    <row r="63" spans="1:15" ht="16.5" customHeight="1">
      <c r="A63" s="423" t="s">
        <v>1280</v>
      </c>
      <c r="B63" s="845" t="s">
        <v>1281</v>
      </c>
      <c r="C63" s="845"/>
      <c r="D63" s="845"/>
      <c r="E63" s="845"/>
      <c r="F63" s="845"/>
      <c r="G63" s="265">
        <v>623</v>
      </c>
      <c r="H63" s="260">
        <v>12408</v>
      </c>
      <c r="I63" s="267">
        <v>0</v>
      </c>
      <c r="J63" s="267">
        <v>0</v>
      </c>
      <c r="K63" s="267">
        <v>0</v>
      </c>
      <c r="L63" s="266"/>
    </row>
    <row r="64" spans="1:15" ht="16.5" customHeight="1">
      <c r="A64" s="423" t="s">
        <v>1282</v>
      </c>
      <c r="B64" s="845" t="s">
        <v>1283</v>
      </c>
      <c r="C64" s="845"/>
      <c r="D64" s="845"/>
      <c r="E64" s="845"/>
      <c r="F64" s="845"/>
      <c r="G64" s="265">
        <v>661</v>
      </c>
      <c r="H64" s="260"/>
      <c r="I64" s="267">
        <v>46611</v>
      </c>
      <c r="J64" s="267">
        <v>51673</v>
      </c>
      <c r="K64" s="267">
        <v>18311</v>
      </c>
      <c r="L64" s="266">
        <f>6618+15010+112</f>
        <v>21740</v>
      </c>
    </row>
    <row r="65" spans="1:15" ht="16.5" customHeight="1">
      <c r="A65" s="423" t="s">
        <v>1284</v>
      </c>
      <c r="B65" s="845" t="s">
        <v>1285</v>
      </c>
      <c r="C65" s="845"/>
      <c r="D65" s="845"/>
      <c r="E65" s="845"/>
      <c r="F65" s="845"/>
      <c r="G65" s="265">
        <v>625</v>
      </c>
      <c r="H65" s="260">
        <v>12410</v>
      </c>
      <c r="I65" s="267">
        <v>13428</v>
      </c>
      <c r="J65" s="267">
        <v>13907</v>
      </c>
      <c r="K65" s="267">
        <v>12020</v>
      </c>
      <c r="L65" s="266">
        <v>9440</v>
      </c>
    </row>
    <row r="66" spans="1:15" ht="16.5" customHeight="1">
      <c r="A66" s="423" t="s">
        <v>1286</v>
      </c>
      <c r="B66" s="845" t="s">
        <v>1287</v>
      </c>
      <c r="C66" s="845"/>
      <c r="D66" s="845"/>
      <c r="E66" s="845"/>
      <c r="F66" s="845"/>
      <c r="G66" s="265">
        <v>626</v>
      </c>
      <c r="H66" s="260">
        <v>12411</v>
      </c>
      <c r="I66" s="267">
        <f>9914+1527</f>
        <v>11441</v>
      </c>
      <c r="J66" s="267">
        <f>1359+1329</f>
        <v>2688</v>
      </c>
      <c r="K66" s="267">
        <v>2723</v>
      </c>
      <c r="L66" s="266">
        <f>1160+478</f>
        <v>1638</v>
      </c>
    </row>
    <row r="67" spans="1:15" ht="16.5" customHeight="1">
      <c r="A67" s="427" t="s">
        <v>1288</v>
      </c>
      <c r="B67" s="845" t="s">
        <v>1289</v>
      </c>
      <c r="C67" s="845"/>
      <c r="D67" s="845"/>
      <c r="E67" s="845"/>
      <c r="F67" s="845"/>
      <c r="G67" s="265">
        <v>627</v>
      </c>
      <c r="H67" s="260">
        <v>12412</v>
      </c>
      <c r="I67" s="267">
        <v>29919</v>
      </c>
      <c r="J67" s="267">
        <v>34800</v>
      </c>
      <c r="K67" s="267">
        <v>18083</v>
      </c>
      <c r="L67" s="266">
        <v>32931</v>
      </c>
    </row>
    <row r="68" spans="1:15" ht="16.5" customHeight="1">
      <c r="A68" s="423"/>
      <c r="B68" s="847" t="s">
        <v>1290</v>
      </c>
      <c r="C68" s="847"/>
      <c r="D68" s="847"/>
      <c r="E68" s="847"/>
      <c r="F68" s="847"/>
      <c r="G68" s="265">
        <v>6271</v>
      </c>
      <c r="H68" s="265">
        <v>124121</v>
      </c>
      <c r="I68" s="267"/>
      <c r="J68" s="267">
        <v>34800</v>
      </c>
      <c r="K68" s="267">
        <v>18083</v>
      </c>
      <c r="L68" s="266"/>
    </row>
    <row r="69" spans="1:15" ht="16.5" customHeight="1">
      <c r="A69" s="423"/>
      <c r="B69" s="847" t="s">
        <v>1293</v>
      </c>
      <c r="C69" s="847"/>
      <c r="D69" s="847"/>
      <c r="E69" s="847"/>
      <c r="F69" s="847"/>
      <c r="G69" s="265">
        <v>6272</v>
      </c>
      <c r="H69" s="265">
        <v>124122</v>
      </c>
      <c r="I69" s="267">
        <v>0</v>
      </c>
      <c r="J69" s="267">
        <v>0</v>
      </c>
      <c r="K69" s="267">
        <v>0</v>
      </c>
      <c r="L69" s="266"/>
    </row>
    <row r="70" spans="1:15" ht="16.5" customHeight="1">
      <c r="A70" s="423" t="s">
        <v>1294</v>
      </c>
      <c r="B70" s="845" t="s">
        <v>1295</v>
      </c>
      <c r="C70" s="845"/>
      <c r="D70" s="845"/>
      <c r="E70" s="845"/>
      <c r="F70" s="845"/>
      <c r="G70" s="265">
        <v>628</v>
      </c>
      <c r="H70" s="265">
        <v>12413</v>
      </c>
      <c r="I70" s="267">
        <v>539</v>
      </c>
      <c r="J70" s="267">
        <v>1117</v>
      </c>
      <c r="K70" s="267">
        <v>1792</v>
      </c>
      <c r="L70" s="266">
        <v>909</v>
      </c>
    </row>
    <row r="71" spans="1:15" ht="16.5" customHeight="1">
      <c r="A71" s="263">
        <v>5</v>
      </c>
      <c r="B71" s="846" t="s">
        <v>1296</v>
      </c>
      <c r="C71" s="845"/>
      <c r="D71" s="845"/>
      <c r="E71" s="845"/>
      <c r="F71" s="845"/>
      <c r="G71" s="269">
        <v>63</v>
      </c>
      <c r="H71" s="269">
        <v>12500</v>
      </c>
      <c r="I71" s="422">
        <f>I72+I73+I74+I75</f>
        <v>1625</v>
      </c>
      <c r="J71" s="422">
        <f>J72+J73+J74+J75</f>
        <v>6273</v>
      </c>
      <c r="K71" s="422">
        <f>K72+K73+K74+K75</f>
        <v>1748</v>
      </c>
      <c r="L71" s="264">
        <f>L72+L73+L74+L75</f>
        <v>2737</v>
      </c>
    </row>
    <row r="72" spans="1:15" ht="16.5" customHeight="1">
      <c r="A72" s="423" t="s">
        <v>1224</v>
      </c>
      <c r="B72" s="845" t="s">
        <v>1297</v>
      </c>
      <c r="C72" s="845"/>
      <c r="D72" s="845"/>
      <c r="E72" s="845"/>
      <c r="F72" s="845"/>
      <c r="G72" s="265">
        <v>632</v>
      </c>
      <c r="H72" s="265">
        <v>12501</v>
      </c>
      <c r="I72" s="267"/>
      <c r="J72" s="267">
        <v>15</v>
      </c>
      <c r="K72" s="267"/>
      <c r="L72" s="266"/>
    </row>
    <row r="73" spans="1:15" ht="16.5" customHeight="1">
      <c r="A73" s="423" t="s">
        <v>1233</v>
      </c>
      <c r="B73" s="845" t="s">
        <v>1298</v>
      </c>
      <c r="C73" s="845"/>
      <c r="D73" s="845"/>
      <c r="E73" s="845"/>
      <c r="F73" s="845"/>
      <c r="G73" s="265">
        <v>633</v>
      </c>
      <c r="H73" s="265">
        <v>12502</v>
      </c>
      <c r="I73" s="267"/>
      <c r="J73" s="267"/>
      <c r="K73" s="267"/>
      <c r="L73" s="266"/>
    </row>
    <row r="74" spans="1:15" ht="16.5" customHeight="1">
      <c r="A74" s="423" t="s">
        <v>1235</v>
      </c>
      <c r="B74" s="845" t="s">
        <v>1299</v>
      </c>
      <c r="C74" s="845"/>
      <c r="D74" s="845"/>
      <c r="E74" s="845"/>
      <c r="F74" s="845"/>
      <c r="G74" s="265">
        <v>634</v>
      </c>
      <c r="H74" s="265">
        <v>12503</v>
      </c>
      <c r="I74" s="267"/>
      <c r="J74" s="267">
        <v>454</v>
      </c>
      <c r="K74" s="267"/>
      <c r="L74" s="266"/>
    </row>
    <row r="75" spans="1:15" ht="16.5" customHeight="1">
      <c r="A75" s="423" t="s">
        <v>1272</v>
      </c>
      <c r="B75" s="845" t="s">
        <v>1300</v>
      </c>
      <c r="C75" s="845"/>
      <c r="D75" s="845"/>
      <c r="E75" s="845"/>
      <c r="F75" s="845"/>
      <c r="G75" s="265" t="s">
        <v>1301</v>
      </c>
      <c r="H75" s="265">
        <v>12504</v>
      </c>
      <c r="I75" s="267">
        <f>1595+30</f>
        <v>1625</v>
      </c>
      <c r="J75" s="267">
        <v>5804</v>
      </c>
      <c r="K75" s="267">
        <v>1748</v>
      </c>
      <c r="L75" s="266">
        <v>2737</v>
      </c>
    </row>
    <row r="76" spans="1:15" ht="12.75" customHeight="1">
      <c r="A76" s="263" t="s">
        <v>1302</v>
      </c>
      <c r="B76" s="843" t="s">
        <v>1303</v>
      </c>
      <c r="C76" s="843"/>
      <c r="D76" s="843"/>
      <c r="E76" s="843"/>
      <c r="F76" s="843"/>
      <c r="G76" s="265"/>
      <c r="H76" s="265">
        <v>12600</v>
      </c>
      <c r="I76" s="422">
        <f>I45+I51+I54+I55+I71</f>
        <v>531472</v>
      </c>
      <c r="J76" s="422">
        <f>J45+J51+J54+J55+J71</f>
        <v>619798</v>
      </c>
      <c r="K76" s="422">
        <f>K45+K51+K54+K55+K71</f>
        <v>625666</v>
      </c>
      <c r="L76" s="422">
        <f>L45+L51+L54+L55+L71</f>
        <v>909671</v>
      </c>
      <c r="N76" s="424"/>
      <c r="O76" s="424"/>
    </row>
    <row r="77" spans="1:15" ht="16.5" customHeight="1">
      <c r="A77" s="270"/>
      <c r="B77" s="271" t="s">
        <v>1304</v>
      </c>
      <c r="C77" s="81"/>
      <c r="D77" s="81"/>
      <c r="E77" s="81"/>
      <c r="F77" s="81"/>
      <c r="G77" s="81"/>
      <c r="H77" s="81"/>
      <c r="I77" s="428" t="s">
        <v>86</v>
      </c>
      <c r="J77" s="428" t="s">
        <v>86</v>
      </c>
      <c r="K77" s="428" t="s">
        <v>957</v>
      </c>
      <c r="L77" s="272" t="s">
        <v>915</v>
      </c>
    </row>
    <row r="78" spans="1:15" ht="16.5" customHeight="1">
      <c r="A78" s="273">
        <v>1</v>
      </c>
      <c r="B78" s="854" t="s">
        <v>1305</v>
      </c>
      <c r="C78" s="854"/>
      <c r="D78" s="854"/>
      <c r="E78" s="854"/>
      <c r="F78" s="854"/>
      <c r="G78" s="269"/>
      <c r="H78" s="269">
        <v>14000</v>
      </c>
      <c r="I78" s="274">
        <v>123</v>
      </c>
      <c r="J78" s="274">
        <v>108</v>
      </c>
      <c r="K78" s="274">
        <v>106</v>
      </c>
      <c r="L78" s="429">
        <v>99</v>
      </c>
    </row>
    <row r="79" spans="1:15" ht="16.5" customHeight="1">
      <c r="A79" s="273">
        <v>2</v>
      </c>
      <c r="B79" s="854" t="s">
        <v>1306</v>
      </c>
      <c r="C79" s="854"/>
      <c r="D79" s="854"/>
      <c r="E79" s="854"/>
      <c r="F79" s="854"/>
      <c r="G79" s="269"/>
      <c r="H79" s="269">
        <v>15000</v>
      </c>
      <c r="I79" s="433"/>
      <c r="J79" s="433"/>
      <c r="K79" s="422"/>
      <c r="L79" s="264"/>
    </row>
    <row r="80" spans="1:15" ht="16.5" customHeight="1">
      <c r="A80" s="430" t="s">
        <v>1224</v>
      </c>
      <c r="B80" s="844" t="s">
        <v>1307</v>
      </c>
      <c r="C80" s="844"/>
      <c r="D80" s="844"/>
      <c r="E80" s="844"/>
      <c r="F80" s="844"/>
      <c r="G80" s="269"/>
      <c r="H80" s="265">
        <v>15001</v>
      </c>
      <c r="I80" s="434"/>
      <c r="J80" s="434">
        <v>189876</v>
      </c>
      <c r="K80" s="267"/>
      <c r="L80" s="264"/>
    </row>
    <row r="81" spans="1:12" ht="16.5" customHeight="1">
      <c r="A81" s="430"/>
      <c r="B81" s="856" t="s">
        <v>1308</v>
      </c>
      <c r="C81" s="856"/>
      <c r="D81" s="856"/>
      <c r="E81" s="856"/>
      <c r="F81" s="856"/>
      <c r="G81" s="269"/>
      <c r="H81" s="265">
        <v>150011</v>
      </c>
      <c r="I81" s="434"/>
      <c r="J81" s="434"/>
      <c r="K81" s="267"/>
      <c r="L81" s="264"/>
    </row>
    <row r="82" spans="1:12" ht="16.5" customHeight="1">
      <c r="A82" s="431" t="s">
        <v>1233</v>
      </c>
      <c r="B82" s="844" t="s">
        <v>1309</v>
      </c>
      <c r="C82" s="844"/>
      <c r="D82" s="844"/>
      <c r="E82" s="844"/>
      <c r="F82" s="844"/>
      <c r="G82" s="269"/>
      <c r="H82" s="265">
        <v>15002</v>
      </c>
      <c r="I82" s="434"/>
      <c r="J82" s="434">
        <v>31387</v>
      </c>
      <c r="K82" s="267">
        <v>2628</v>
      </c>
      <c r="L82" s="261">
        <v>42634</v>
      </c>
    </row>
    <row r="83" spans="1:12" ht="13.5" thickBot="1">
      <c r="A83" s="275"/>
      <c r="B83" s="855" t="s">
        <v>1310</v>
      </c>
      <c r="C83" s="855"/>
      <c r="D83" s="855"/>
      <c r="E83" s="855"/>
      <c r="F83" s="855"/>
      <c r="G83" s="276"/>
      <c r="H83" s="277">
        <v>150021</v>
      </c>
      <c r="I83" s="278"/>
      <c r="J83" s="278"/>
      <c r="K83" s="278"/>
      <c r="L83" s="279"/>
    </row>
    <row r="84" spans="1:12">
      <c r="A84" s="82"/>
      <c r="B84" s="82"/>
      <c r="C84" s="82"/>
      <c r="D84" s="82"/>
      <c r="E84" s="82"/>
      <c r="F84" s="82"/>
      <c r="G84" s="82"/>
      <c r="H84" s="82"/>
      <c r="I84" s="82"/>
      <c r="J84" s="280"/>
      <c r="K84" s="280"/>
      <c r="L84" s="280"/>
    </row>
    <row r="85" spans="1:12">
      <c r="A85" s="87"/>
      <c r="B85" s="87"/>
      <c r="C85" s="87"/>
      <c r="D85" s="87"/>
      <c r="E85" s="87"/>
      <c r="F85" s="87"/>
      <c r="G85" s="824" t="s">
        <v>1247</v>
      </c>
      <c r="H85" s="824"/>
      <c r="I85" s="824"/>
      <c r="J85" s="824"/>
      <c r="K85" s="255"/>
      <c r="L85" s="255"/>
    </row>
    <row r="86" spans="1:12">
      <c r="A86" s="87"/>
      <c r="B86" s="87"/>
      <c r="C86" s="87"/>
      <c r="D86" s="87"/>
      <c r="E86" s="87"/>
      <c r="F86" s="87"/>
      <c r="G86" s="824" t="s">
        <v>966</v>
      </c>
      <c r="H86" s="824"/>
      <c r="I86" s="824"/>
      <c r="J86" s="824"/>
      <c r="K86" s="824"/>
      <c r="L86" s="824"/>
    </row>
    <row r="87" spans="1:12">
      <c r="A87" s="87"/>
      <c r="B87" s="87"/>
      <c r="C87" s="87"/>
      <c r="D87" s="87"/>
      <c r="E87" s="87"/>
      <c r="F87" s="87"/>
      <c r="G87" s="824" t="s">
        <v>967</v>
      </c>
      <c r="H87" s="824"/>
      <c r="I87" s="824"/>
      <c r="J87" s="824"/>
      <c r="K87" s="824"/>
      <c r="L87" s="824"/>
    </row>
    <row r="88" spans="1:12" ht="15.75">
      <c r="A88" s="87"/>
      <c r="B88" s="87"/>
      <c r="C88" s="87"/>
      <c r="D88" s="87"/>
      <c r="E88" s="87"/>
      <c r="F88" s="87"/>
      <c r="G88" s="87"/>
      <c r="H88" s="87"/>
      <c r="I88" s="87"/>
      <c r="J88" s="281"/>
      <c r="K88" s="281"/>
      <c r="L88" s="282"/>
    </row>
    <row r="89" spans="1:12" ht="15.75">
      <c r="A89" s="87"/>
      <c r="B89" s="283"/>
      <c r="C89" s="87"/>
      <c r="D89" s="87"/>
      <c r="E89" s="87"/>
      <c r="F89" s="87"/>
      <c r="G89" s="87"/>
      <c r="H89" s="87"/>
      <c r="I89" s="87"/>
      <c r="J89" s="87"/>
      <c r="K89" s="87"/>
      <c r="L89" s="282"/>
    </row>
    <row r="90" spans="1:12">
      <c r="A90" s="87"/>
      <c r="B90" s="283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1:12">
      <c r="A91" s="87"/>
      <c r="B91" s="283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1:12">
      <c r="A92" s="87"/>
      <c r="B92" s="283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1:12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1:12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1:12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1:12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1:12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1:12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1:12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1:12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1:12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1:12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1:12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1:12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1:12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1:12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1:12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1:12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1:12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1:12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1:12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1:12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1:12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1:12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1:12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1:12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1:12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1:12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1:12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1:12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1:12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1:12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1:12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1:12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</row>
    <row r="125" spans="1:12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</row>
    <row r="126" spans="1:12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</row>
    <row r="127" spans="1:12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</row>
    <row r="128" spans="1:12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</row>
    <row r="129" spans="1:12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</row>
    <row r="130" spans="1:12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</row>
    <row r="131" spans="1:12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</row>
    <row r="132" spans="1:12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</row>
    <row r="133" spans="1:12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</row>
    <row r="134" spans="1:12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</row>
    <row r="135" spans="1:12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</row>
    <row r="136" spans="1:12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</row>
    <row r="137" spans="1:12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</row>
    <row r="138" spans="1:12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</row>
    <row r="139" spans="1:12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</row>
    <row r="140" spans="1:12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</row>
    <row r="141" spans="1:12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</row>
    <row r="142" spans="1:12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</row>
    <row r="143" spans="1:12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</row>
    <row r="144" spans="1:12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</row>
    <row r="145" spans="1:12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</row>
    <row r="146" spans="1:12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</row>
    <row r="147" spans="1:12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</row>
    <row r="148" spans="1:12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</row>
    <row r="149" spans="1:12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</row>
    <row r="150" spans="1:12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</row>
    <row r="151" spans="1:12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  <row r="152" spans="1:12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</row>
    <row r="153" spans="1:12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</row>
    <row r="154" spans="1:12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</row>
    <row r="155" spans="1:12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</row>
    <row r="156" spans="1:12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1:12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</row>
    <row r="158" spans="1:12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</row>
    <row r="159" spans="1:12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</row>
    <row r="160" spans="1:12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</row>
    <row r="161" spans="1:12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</row>
    <row r="162" spans="1:12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</row>
    <row r="163" spans="1:12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</row>
    <row r="164" spans="1:12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</row>
    <row r="165" spans="1:12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</row>
    <row r="166" spans="1:12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</row>
    <row r="167" spans="1:12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</row>
    <row r="168" spans="1:12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</row>
    <row r="169" spans="1:12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</row>
    <row r="170" spans="1:12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</row>
    <row r="171" spans="1:12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</row>
    <row r="172" spans="1:12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</row>
    <row r="173" spans="1:12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</row>
    <row r="174" spans="1:12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</row>
    <row r="175" spans="1:12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</row>
    <row r="176" spans="1:12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</row>
  </sheetData>
  <mergeCells count="67">
    <mergeCell ref="G87:J87"/>
    <mergeCell ref="K87:L87"/>
    <mergeCell ref="B81:F81"/>
    <mergeCell ref="B82:F82"/>
    <mergeCell ref="B74:F74"/>
    <mergeCell ref="B83:F83"/>
    <mergeCell ref="B73:F73"/>
    <mergeCell ref="G85:J85"/>
    <mergeCell ref="G86:J86"/>
    <mergeCell ref="K86:L86"/>
    <mergeCell ref="G28:J28"/>
    <mergeCell ref="G29:J29"/>
    <mergeCell ref="B62:F62"/>
    <mergeCell ref="B63:F63"/>
    <mergeCell ref="B64:F64"/>
    <mergeCell ref="B80:F80"/>
    <mergeCell ref="B72:F72"/>
    <mergeCell ref="A43:L43"/>
    <mergeCell ref="B44:F44"/>
    <mergeCell ref="B45:F45"/>
    <mergeCell ref="B58:F58"/>
    <mergeCell ref="B59:F59"/>
    <mergeCell ref="B60:F60"/>
    <mergeCell ref="B61:F61"/>
    <mergeCell ref="B79:F79"/>
    <mergeCell ref="B75:F75"/>
    <mergeCell ref="B76:F76"/>
    <mergeCell ref="B78:F78"/>
    <mergeCell ref="B71:F71"/>
    <mergeCell ref="B65:F65"/>
    <mergeCell ref="B66:F66"/>
    <mergeCell ref="B67:F67"/>
    <mergeCell ref="B68:F68"/>
    <mergeCell ref="B69:F69"/>
    <mergeCell ref="B70:F70"/>
    <mergeCell ref="B55:F55"/>
    <mergeCell ref="B56:F56"/>
    <mergeCell ref="B57:F57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G27:J27"/>
    <mergeCell ref="B18:F18"/>
    <mergeCell ref="B19:F19"/>
    <mergeCell ref="B20:F20"/>
    <mergeCell ref="B21:F21"/>
    <mergeCell ref="B22:F22"/>
    <mergeCell ref="B23:F23"/>
    <mergeCell ref="B24:F24"/>
    <mergeCell ref="A6:L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</mergeCells>
  <phoneticPr fontId="5" type="noConversion"/>
  <pageMargins left="0.57999999999999996" right="0.17" top="0.82" bottom="0.24" header="0.22" footer="0.17"/>
  <pageSetup paperSize="9" orientation="portrait" r:id="rId1"/>
  <headerFooter alignWithMargins="0"/>
  <rowBreaks count="1" manualBreakCount="1">
    <brk id="3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B2:L43"/>
  <sheetViews>
    <sheetView topLeftCell="D1" zoomScaleNormal="100" workbookViewId="0">
      <selection activeCell="D12" sqref="D12"/>
    </sheetView>
  </sheetViews>
  <sheetFormatPr defaultRowHeight="12.75"/>
  <cols>
    <col min="2" max="2" width="4" customWidth="1"/>
    <col min="3" max="3" width="50.7109375" customWidth="1"/>
    <col min="4" max="4" width="19" style="358" customWidth="1"/>
    <col min="5" max="7" width="4.28515625" style="358" customWidth="1"/>
    <col min="8" max="8" width="0.28515625" style="358" customWidth="1"/>
    <col min="9" max="9" width="42.42578125" style="358" customWidth="1"/>
    <col min="10" max="10" width="13.140625" style="358" customWidth="1"/>
    <col min="11" max="11" width="16.28515625" style="358" customWidth="1"/>
    <col min="12" max="12" width="16.85546875" style="358" hidden="1" customWidth="1"/>
  </cols>
  <sheetData>
    <row r="2" spans="2:12">
      <c r="C2" s="61" t="s">
        <v>1116</v>
      </c>
    </row>
    <row r="4" spans="2:12">
      <c r="B4" s="859" t="s">
        <v>262</v>
      </c>
      <c r="C4" s="859"/>
      <c r="D4" s="859"/>
      <c r="E4" s="360"/>
      <c r="F4" s="360"/>
      <c r="G4" s="360"/>
      <c r="H4" s="858" t="s">
        <v>263</v>
      </c>
      <c r="I4" s="858"/>
      <c r="J4" s="858"/>
      <c r="K4" s="858"/>
    </row>
    <row r="5" spans="2:12">
      <c r="B5" s="31"/>
      <c r="C5" s="31"/>
      <c r="D5" s="360"/>
      <c r="E5" s="360"/>
      <c r="F5" s="360"/>
      <c r="G5" s="360"/>
      <c r="H5" s="360"/>
      <c r="I5" s="360"/>
      <c r="J5" s="360"/>
      <c r="K5" s="360"/>
    </row>
    <row r="6" spans="2:12">
      <c r="B6" s="361"/>
      <c r="C6" s="362"/>
      <c r="D6" s="363"/>
      <c r="E6" s="360"/>
      <c r="F6" s="360"/>
      <c r="G6" s="360"/>
      <c r="H6" s="364"/>
      <c r="I6" s="365"/>
      <c r="J6" s="364"/>
      <c r="K6" s="366"/>
    </row>
    <row r="7" spans="2:12">
      <c r="B7" s="367"/>
      <c r="C7" s="368"/>
      <c r="D7" s="363" t="s">
        <v>264</v>
      </c>
      <c r="E7" s="360"/>
      <c r="F7" s="360"/>
      <c r="G7" s="360"/>
      <c r="H7" s="369"/>
      <c r="I7" s="370"/>
      <c r="J7" s="369" t="s">
        <v>264</v>
      </c>
      <c r="K7" s="371" t="s">
        <v>264</v>
      </c>
      <c r="L7" s="358" t="s">
        <v>264</v>
      </c>
    </row>
    <row r="8" spans="2:12">
      <c r="B8" s="372"/>
      <c r="C8" s="373"/>
      <c r="D8" s="363"/>
      <c r="E8" s="360"/>
      <c r="F8" s="360"/>
      <c r="G8" s="360"/>
      <c r="H8" s="374"/>
      <c r="I8" s="375"/>
      <c r="J8" s="374">
        <v>2011</v>
      </c>
      <c r="K8" s="376">
        <v>2010</v>
      </c>
      <c r="L8" s="358">
        <v>2008</v>
      </c>
    </row>
    <row r="9" spans="2:12">
      <c r="B9" s="33">
        <v>1</v>
      </c>
      <c r="C9" s="33" t="s">
        <v>265</v>
      </c>
      <c r="D9" s="363">
        <f>SUM(D10:D11)</f>
        <v>0</v>
      </c>
      <c r="E9" s="360"/>
      <c r="F9" s="360"/>
      <c r="G9" s="360"/>
      <c r="H9" s="363"/>
      <c r="I9" s="363" t="s">
        <v>266</v>
      </c>
      <c r="J9" s="363"/>
      <c r="K9" s="363"/>
    </row>
    <row r="10" spans="2:12">
      <c r="B10" s="33"/>
      <c r="C10" s="33" t="s">
        <v>267</v>
      </c>
      <c r="D10" s="363">
        <v>0</v>
      </c>
      <c r="E10" s="360"/>
      <c r="F10" s="360"/>
      <c r="G10" s="360"/>
      <c r="H10" s="363">
        <v>1</v>
      </c>
      <c r="I10" s="363" t="s">
        <v>268</v>
      </c>
      <c r="J10" s="363">
        <f>'Aktiv-Pasiv'!G103</f>
        <v>49698614.168999881</v>
      </c>
      <c r="K10" s="363"/>
    </row>
    <row r="11" spans="2:12">
      <c r="B11" s="33"/>
      <c r="C11" s="33" t="s">
        <v>269</v>
      </c>
      <c r="D11" s="363">
        <v>0</v>
      </c>
      <c r="E11" s="360"/>
      <c r="F11" s="360"/>
      <c r="G11" s="360"/>
      <c r="H11" s="363">
        <v>2</v>
      </c>
      <c r="I11" s="363" t="s">
        <v>270</v>
      </c>
      <c r="J11" s="363">
        <f>'Aktiv-Pasiv'!F103</f>
        <v>39902008.169999994</v>
      </c>
      <c r="K11" s="363">
        <f>J10</f>
        <v>49698614.168999881</v>
      </c>
      <c r="L11" s="358">
        <f>K10</f>
        <v>0</v>
      </c>
    </row>
    <row r="12" spans="2:12">
      <c r="B12" s="33">
        <v>2</v>
      </c>
      <c r="C12" s="33" t="s">
        <v>271</v>
      </c>
      <c r="D12" s="377">
        <f>'te ardhura e shpenzime'!E29</f>
        <v>5814103</v>
      </c>
      <c r="E12" s="360"/>
      <c r="F12" s="360"/>
      <c r="G12" s="360"/>
      <c r="H12" s="363">
        <v>3</v>
      </c>
      <c r="I12" s="363" t="s">
        <v>272</v>
      </c>
      <c r="J12" s="363"/>
      <c r="K12" s="363">
        <f>SUM(K13:K16)</f>
        <v>0</v>
      </c>
      <c r="L12" s="358">
        <f>SUM(L13:L16)</f>
        <v>0</v>
      </c>
    </row>
    <row r="13" spans="2:12">
      <c r="B13" s="33">
        <v>3</v>
      </c>
      <c r="C13" s="33" t="s">
        <v>273</v>
      </c>
      <c r="D13" s="363">
        <f>SUM(D14:D19)</f>
        <v>40149534</v>
      </c>
      <c r="E13" s="360"/>
      <c r="F13" s="360"/>
      <c r="G13" s="360"/>
      <c r="H13" s="363"/>
      <c r="I13" s="363" t="s">
        <v>274</v>
      </c>
      <c r="J13" s="363"/>
      <c r="K13" s="363">
        <v>0</v>
      </c>
      <c r="L13" s="358">
        <v>0</v>
      </c>
    </row>
    <row r="14" spans="2:12">
      <c r="B14" s="33"/>
      <c r="C14" s="33" t="s">
        <v>275</v>
      </c>
      <c r="D14" s="363">
        <v>0</v>
      </c>
      <c r="E14" s="360"/>
      <c r="F14" s="360"/>
      <c r="G14" s="360"/>
      <c r="H14" s="363"/>
      <c r="I14" s="363" t="s">
        <v>276</v>
      </c>
      <c r="J14" s="363"/>
      <c r="K14" s="363">
        <v>0</v>
      </c>
      <c r="L14" s="358">
        <v>0</v>
      </c>
    </row>
    <row r="15" spans="2:12">
      <c r="B15" s="33"/>
      <c r="C15" s="33" t="s">
        <v>277</v>
      </c>
      <c r="D15" s="363">
        <v>0</v>
      </c>
      <c r="E15" s="360"/>
      <c r="F15" s="360"/>
      <c r="G15" s="360"/>
      <c r="H15" s="363"/>
      <c r="I15" s="363" t="s">
        <v>278</v>
      </c>
      <c r="J15" s="363"/>
      <c r="K15" s="363">
        <v>0</v>
      </c>
      <c r="L15" s="358">
        <v>0</v>
      </c>
    </row>
    <row r="16" spans="2:12">
      <c r="B16" s="33"/>
      <c r="C16" s="33" t="s">
        <v>279</v>
      </c>
      <c r="D16" s="363">
        <v>15607326</v>
      </c>
      <c r="E16" s="360"/>
      <c r="F16" s="360"/>
      <c r="G16" s="360"/>
      <c r="H16" s="363"/>
      <c r="I16" s="363" t="s">
        <v>280</v>
      </c>
      <c r="J16" s="363"/>
      <c r="K16" s="363">
        <v>0</v>
      </c>
      <c r="L16" s="358">
        <v>0</v>
      </c>
    </row>
    <row r="17" spans="2:12">
      <c r="B17" s="33"/>
      <c r="C17" s="33" t="s">
        <v>281</v>
      </c>
      <c r="D17" s="363">
        <v>0</v>
      </c>
      <c r="E17" s="360"/>
      <c r="F17" s="360"/>
      <c r="G17" s="360"/>
      <c r="H17" s="363"/>
      <c r="I17" s="363" t="s">
        <v>263</v>
      </c>
      <c r="J17" s="359">
        <f>J10+J11+J12</f>
        <v>89600622.338999867</v>
      </c>
      <c r="K17" s="359">
        <f>K10+K11+K12</f>
        <v>49698614.168999881</v>
      </c>
      <c r="L17" s="358">
        <f>L10+L11+L12</f>
        <v>0</v>
      </c>
    </row>
    <row r="18" spans="2:12">
      <c r="B18" s="33"/>
      <c r="C18" s="33" t="s">
        <v>282</v>
      </c>
      <c r="D18" s="363">
        <v>24542208</v>
      </c>
      <c r="E18" s="360"/>
      <c r="F18" s="360"/>
      <c r="G18" s="360"/>
      <c r="H18" s="363">
        <v>4</v>
      </c>
      <c r="I18" s="363" t="s">
        <v>283</v>
      </c>
      <c r="J18" s="164">
        <f>J19+J20+J21+J22+J23+J24</f>
        <v>49698614.168999881</v>
      </c>
      <c r="K18" s="363">
        <f>K19+K20+K21+K22+K23+K24</f>
        <v>0</v>
      </c>
      <c r="L18" s="358">
        <f>SUM(L19:L24)</f>
        <v>0</v>
      </c>
    </row>
    <row r="19" spans="2:12">
      <c r="B19" s="33"/>
      <c r="C19" s="33" t="s">
        <v>284</v>
      </c>
      <c r="D19" s="363">
        <v>0</v>
      </c>
      <c r="E19" s="360"/>
      <c r="F19" s="360"/>
      <c r="G19" s="360"/>
      <c r="H19" s="363"/>
      <c r="I19" s="363" t="s">
        <v>285</v>
      </c>
      <c r="J19" s="363"/>
      <c r="K19" s="363"/>
      <c r="L19" s="358">
        <v>0</v>
      </c>
    </row>
    <row r="20" spans="2:12">
      <c r="B20" s="33">
        <v>4</v>
      </c>
      <c r="C20" s="33" t="s">
        <v>286</v>
      </c>
      <c r="D20" s="377">
        <f>D12+D13</f>
        <v>45963637</v>
      </c>
      <c r="E20" s="360"/>
      <c r="F20" s="360"/>
      <c r="G20" s="360"/>
      <c r="H20" s="363"/>
      <c r="I20" s="363" t="s">
        <v>287</v>
      </c>
      <c r="J20" s="363"/>
      <c r="K20" s="363">
        <v>0</v>
      </c>
      <c r="L20" s="358">
        <v>0</v>
      </c>
    </row>
    <row r="21" spans="2:12">
      <c r="B21" s="33">
        <v>5</v>
      </c>
      <c r="C21" s="33" t="s">
        <v>288</v>
      </c>
      <c r="D21" s="363">
        <v>0</v>
      </c>
      <c r="E21" s="360"/>
      <c r="F21" s="360"/>
      <c r="G21" s="360"/>
      <c r="H21" s="363"/>
      <c r="I21" s="363" t="s">
        <v>289</v>
      </c>
      <c r="J21" s="363">
        <f>'Aktiv-Pasiv'!G103</f>
        <v>49698614.168999881</v>
      </c>
      <c r="K21" s="363"/>
      <c r="L21" s="358">
        <v>0</v>
      </c>
    </row>
    <row r="22" spans="2:12">
      <c r="B22" s="33">
        <v>6</v>
      </c>
      <c r="C22" s="33" t="s">
        <v>290</v>
      </c>
      <c r="D22" s="363">
        <f>D20-D21</f>
        <v>45963637</v>
      </c>
      <c r="E22" s="360"/>
      <c r="F22" s="360"/>
      <c r="G22" s="360"/>
      <c r="H22" s="363"/>
      <c r="I22" s="363" t="s">
        <v>291</v>
      </c>
      <c r="J22" s="363"/>
      <c r="K22" s="363">
        <v>0</v>
      </c>
      <c r="L22" s="358">
        <v>0</v>
      </c>
    </row>
    <row r="23" spans="2:12">
      <c r="B23" s="33"/>
      <c r="C23" s="33"/>
      <c r="D23" s="363"/>
      <c r="E23" s="360"/>
      <c r="F23" s="360"/>
      <c r="G23" s="360"/>
      <c r="H23" s="363"/>
      <c r="I23" s="363" t="s">
        <v>292</v>
      </c>
      <c r="J23" s="363"/>
      <c r="K23" s="363">
        <v>0</v>
      </c>
      <c r="L23" s="358">
        <v>0</v>
      </c>
    </row>
    <row r="24" spans="2:12">
      <c r="B24" s="33"/>
      <c r="C24" s="33" t="s">
        <v>293</v>
      </c>
      <c r="D24" s="363">
        <v>10</v>
      </c>
      <c r="E24" s="360"/>
      <c r="F24" s="360"/>
      <c r="G24" s="360"/>
      <c r="H24" s="363"/>
      <c r="I24" s="363" t="s">
        <v>294</v>
      </c>
      <c r="J24" s="363"/>
      <c r="K24" s="363">
        <v>0</v>
      </c>
      <c r="L24" s="358">
        <v>0</v>
      </c>
    </row>
    <row r="25" spans="2:12">
      <c r="B25" s="33"/>
      <c r="C25" s="33"/>
      <c r="D25" s="363"/>
      <c r="E25" s="360"/>
      <c r="F25" s="360"/>
      <c r="G25" s="360"/>
      <c r="H25" s="363">
        <v>5</v>
      </c>
      <c r="I25" s="363" t="s">
        <v>295</v>
      </c>
      <c r="J25" s="363"/>
      <c r="K25" s="363">
        <v>0</v>
      </c>
      <c r="L25" s="358">
        <v>0</v>
      </c>
    </row>
    <row r="26" spans="2:12">
      <c r="B26" s="33">
        <v>7</v>
      </c>
      <c r="C26" s="33" t="s">
        <v>296</v>
      </c>
      <c r="D26" s="377">
        <f>D22*10/100</f>
        <v>4596363.7</v>
      </c>
      <c r="E26" s="360"/>
      <c r="F26" s="360"/>
      <c r="G26" s="360"/>
      <c r="H26" s="363">
        <v>6</v>
      </c>
      <c r="I26" s="363" t="s">
        <v>297</v>
      </c>
      <c r="J26" s="359">
        <f>J17-J18-J25</f>
        <v>39902008.169999987</v>
      </c>
      <c r="K26" s="359">
        <f>K17</f>
        <v>49698614.168999881</v>
      </c>
      <c r="L26" s="358">
        <f>L17</f>
        <v>0</v>
      </c>
    </row>
    <row r="30" spans="2:12">
      <c r="I30" s="857" t="s">
        <v>965</v>
      </c>
      <c r="J30" s="857"/>
      <c r="K30" s="857"/>
    </row>
    <row r="31" spans="2:12">
      <c r="I31" s="857" t="s">
        <v>966</v>
      </c>
      <c r="J31" s="857"/>
      <c r="K31" s="857"/>
    </row>
    <row r="32" spans="2:12">
      <c r="I32" s="857" t="s">
        <v>967</v>
      </c>
      <c r="J32" s="857"/>
      <c r="K32" s="857"/>
    </row>
    <row r="39" spans="4:4">
      <c r="D39" s="391"/>
    </row>
    <row r="40" spans="4:4">
      <c r="D40" s="391"/>
    </row>
    <row r="41" spans="4:4">
      <c r="D41" s="370"/>
    </row>
    <row r="42" spans="4:4">
      <c r="D42" s="391"/>
    </row>
    <row r="43" spans="4:4">
      <c r="D43" s="391"/>
    </row>
  </sheetData>
  <mergeCells count="5">
    <mergeCell ref="I32:K32"/>
    <mergeCell ref="H4:K4"/>
    <mergeCell ref="B4:D4"/>
    <mergeCell ref="I30:K30"/>
    <mergeCell ref="I31:K31"/>
  </mergeCells>
  <phoneticPr fontId="5" type="noConversion"/>
  <pageMargins left="0.31" right="0.33" top="1.32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1:H66"/>
  <sheetViews>
    <sheetView topLeftCell="A40" zoomScaleNormal="100" workbookViewId="0">
      <selection activeCell="H35" sqref="H35"/>
    </sheetView>
  </sheetViews>
  <sheetFormatPr defaultRowHeight="12.75"/>
  <cols>
    <col min="1" max="1" width="3.7109375" customWidth="1"/>
    <col min="2" max="2" width="14.5703125" customWidth="1"/>
    <col min="3" max="3" width="33.85546875" customWidth="1"/>
    <col min="4" max="4" width="22.140625" customWidth="1"/>
  </cols>
  <sheetData>
    <row r="1" spans="1:4" ht="13.5" customHeight="1">
      <c r="B1" s="63" t="s">
        <v>1215</v>
      </c>
    </row>
    <row r="2" spans="1:4" ht="13.5" customHeight="1">
      <c r="B2" s="63" t="s">
        <v>1216</v>
      </c>
    </row>
    <row r="3" spans="1:4" ht="13.5" customHeight="1">
      <c r="B3" s="63"/>
      <c r="D3" s="62" t="s">
        <v>1311</v>
      </c>
    </row>
    <row r="4" spans="1:4" ht="13.5" customHeight="1"/>
    <row r="5" spans="1:4" ht="13.5" customHeight="1">
      <c r="A5" s="69"/>
      <c r="B5" s="69"/>
      <c r="C5" s="65" t="s">
        <v>1312</v>
      </c>
      <c r="D5" s="65" t="s">
        <v>1313</v>
      </c>
    </row>
    <row r="6" spans="1:4" ht="13.5" customHeight="1">
      <c r="A6" s="69">
        <v>1</v>
      </c>
      <c r="B6" s="65" t="s">
        <v>1314</v>
      </c>
      <c r="C6" s="213" t="s">
        <v>1315</v>
      </c>
      <c r="D6" s="213"/>
    </row>
    <row r="7" spans="1:4" ht="13.5" customHeight="1">
      <c r="A7" s="69">
        <v>2</v>
      </c>
      <c r="B7" s="65" t="s">
        <v>1314</v>
      </c>
      <c r="C7" s="213" t="s">
        <v>1316</v>
      </c>
      <c r="D7" s="432"/>
    </row>
    <row r="8" spans="1:4" ht="13.5" customHeight="1">
      <c r="A8" s="69">
        <v>3</v>
      </c>
      <c r="B8" s="65" t="s">
        <v>1314</v>
      </c>
      <c r="C8" s="213" t="s">
        <v>1317</v>
      </c>
      <c r="D8" s="432">
        <v>46091967</v>
      </c>
    </row>
    <row r="9" spans="1:4" ht="13.5" customHeight="1">
      <c r="A9" s="69">
        <v>4</v>
      </c>
      <c r="B9" s="65" t="s">
        <v>1314</v>
      </c>
      <c r="C9" s="213" t="s">
        <v>1318</v>
      </c>
      <c r="D9" s="432"/>
    </row>
    <row r="10" spans="1:4" ht="13.5" customHeight="1">
      <c r="A10" s="69">
        <v>5</v>
      </c>
      <c r="B10" s="65" t="s">
        <v>1314</v>
      </c>
      <c r="C10" s="213" t="s">
        <v>1319</v>
      </c>
      <c r="D10" s="432"/>
    </row>
    <row r="11" spans="1:4" ht="13.5" customHeight="1">
      <c r="A11" s="69">
        <v>6</v>
      </c>
      <c r="B11" s="65" t="s">
        <v>1314</v>
      </c>
      <c r="C11" s="213" t="s">
        <v>1320</v>
      </c>
      <c r="D11" s="432"/>
    </row>
    <row r="12" spans="1:4" ht="13.5" customHeight="1">
      <c r="A12" s="69">
        <v>7</v>
      </c>
      <c r="B12" s="65" t="s">
        <v>1314</v>
      </c>
      <c r="C12" s="213" t="s">
        <v>1321</v>
      </c>
      <c r="D12" s="432"/>
    </row>
    <row r="13" spans="1:4" ht="13.5" customHeight="1">
      <c r="A13" s="69">
        <v>8</v>
      </c>
      <c r="B13" s="65" t="s">
        <v>1314</v>
      </c>
      <c r="C13" s="213" t="s">
        <v>1322</v>
      </c>
      <c r="D13" s="432">
        <v>12803241</v>
      </c>
    </row>
    <row r="14" spans="1:4" ht="13.5" customHeight="1">
      <c r="A14" s="65" t="s">
        <v>303</v>
      </c>
      <c r="B14" s="65"/>
      <c r="C14" s="65" t="s">
        <v>1323</v>
      </c>
      <c r="D14" s="284">
        <f>D6+D8+D7+D9+D10+D11+D12+D13</f>
        <v>58895208</v>
      </c>
    </row>
    <row r="15" spans="1:4" ht="13.5" customHeight="1">
      <c r="A15" s="69">
        <v>9</v>
      </c>
      <c r="B15" s="65" t="s">
        <v>1324</v>
      </c>
      <c r="C15" s="213" t="s">
        <v>1325</v>
      </c>
      <c r="D15" s="432">
        <v>0</v>
      </c>
    </row>
    <row r="16" spans="1:4" ht="13.5" customHeight="1">
      <c r="A16" s="69">
        <v>10</v>
      </c>
      <c r="B16" s="65" t="s">
        <v>1324</v>
      </c>
      <c r="C16" s="213" t="s">
        <v>1326</v>
      </c>
      <c r="D16" s="285">
        <v>505431234</v>
      </c>
    </row>
    <row r="17" spans="1:4" ht="13.5" customHeight="1">
      <c r="A17" s="69">
        <v>11</v>
      </c>
      <c r="B17" s="65" t="s">
        <v>1324</v>
      </c>
      <c r="C17" s="213" t="s">
        <v>1327</v>
      </c>
      <c r="D17" s="432"/>
    </row>
    <row r="18" spans="1:4" ht="13.5" customHeight="1">
      <c r="A18" s="65" t="s">
        <v>339</v>
      </c>
      <c r="B18" s="65"/>
      <c r="C18" s="65" t="s">
        <v>1328</v>
      </c>
      <c r="D18" s="284">
        <f>D15+D16+D17</f>
        <v>505431234</v>
      </c>
    </row>
    <row r="19" spans="1:4" ht="13.5" customHeight="1">
      <c r="A19" s="69">
        <v>12</v>
      </c>
      <c r="B19" s="65" t="s">
        <v>1329</v>
      </c>
      <c r="C19" s="213" t="s">
        <v>1330</v>
      </c>
      <c r="D19" s="432"/>
    </row>
    <row r="20" spans="1:4" ht="13.5" customHeight="1">
      <c r="A20" s="69">
        <v>13</v>
      </c>
      <c r="B20" s="65" t="s">
        <v>1329</v>
      </c>
      <c r="C20" s="65" t="s">
        <v>1331</v>
      </c>
      <c r="D20" s="69"/>
    </row>
    <row r="21" spans="1:4" ht="13.5" customHeight="1">
      <c r="A21" s="69">
        <v>14</v>
      </c>
      <c r="B21" s="65" t="s">
        <v>1329</v>
      </c>
      <c r="C21" s="213" t="s">
        <v>1343</v>
      </c>
      <c r="D21" s="69"/>
    </row>
    <row r="22" spans="1:4" ht="13.5" customHeight="1">
      <c r="A22" s="69">
        <v>15</v>
      </c>
      <c r="B22" s="65" t="s">
        <v>1329</v>
      </c>
      <c r="C22" s="213" t="s">
        <v>1344</v>
      </c>
      <c r="D22" s="69"/>
    </row>
    <row r="23" spans="1:4" ht="13.5" customHeight="1">
      <c r="A23" s="69">
        <v>16</v>
      </c>
      <c r="B23" s="65" t="s">
        <v>1329</v>
      </c>
      <c r="C23" s="213" t="s">
        <v>1345</v>
      </c>
      <c r="D23" s="69"/>
    </row>
    <row r="24" spans="1:4" ht="13.5" customHeight="1">
      <c r="A24" s="69">
        <v>17</v>
      </c>
      <c r="B24" s="65" t="s">
        <v>1329</v>
      </c>
      <c r="C24" s="213" t="s">
        <v>1346</v>
      </c>
      <c r="D24" s="69"/>
    </row>
    <row r="25" spans="1:4" ht="13.5" customHeight="1">
      <c r="A25" s="69">
        <v>18</v>
      </c>
      <c r="B25" s="65" t="s">
        <v>1329</v>
      </c>
      <c r="C25" s="213" t="s">
        <v>1347</v>
      </c>
      <c r="D25" s="69"/>
    </row>
    <row r="26" spans="1:4" ht="13.5" customHeight="1">
      <c r="A26" s="69">
        <v>19</v>
      </c>
      <c r="B26" s="65" t="s">
        <v>1329</v>
      </c>
      <c r="C26" s="213" t="s">
        <v>1348</v>
      </c>
      <c r="D26" s="69"/>
    </row>
    <row r="27" spans="1:4" ht="13.5" customHeight="1">
      <c r="A27" s="65" t="s">
        <v>898</v>
      </c>
      <c r="B27" s="65"/>
      <c r="C27" s="65" t="s">
        <v>1349</v>
      </c>
      <c r="D27" s="286">
        <f>D19+D20+D21+D22+D23+D24+D25+D26</f>
        <v>0</v>
      </c>
    </row>
    <row r="28" spans="1:4" ht="13.5" customHeight="1">
      <c r="A28" s="69">
        <v>20</v>
      </c>
      <c r="B28" s="65" t="s">
        <v>1350</v>
      </c>
      <c r="C28" s="213" t="s">
        <v>1351</v>
      </c>
      <c r="D28" s="69"/>
    </row>
    <row r="29" spans="1:4" ht="13.5" customHeight="1">
      <c r="A29" s="69">
        <v>21</v>
      </c>
      <c r="B29" s="65" t="s">
        <v>1350</v>
      </c>
      <c r="C29" s="213" t="s">
        <v>1352</v>
      </c>
      <c r="D29" s="213"/>
    </row>
    <row r="30" spans="1:4" ht="13.5" customHeight="1">
      <c r="A30" s="69">
        <v>22</v>
      </c>
      <c r="B30" s="65" t="s">
        <v>1350</v>
      </c>
      <c r="C30" s="213" t="s">
        <v>1353</v>
      </c>
      <c r="D30" s="213"/>
    </row>
    <row r="31" spans="1:4" ht="13.5" customHeight="1">
      <c r="A31" s="69">
        <v>23</v>
      </c>
      <c r="B31" s="65" t="s">
        <v>1350</v>
      </c>
      <c r="C31" s="213" t="s">
        <v>1354</v>
      </c>
      <c r="D31" s="69"/>
    </row>
    <row r="32" spans="1:4" ht="13.5" customHeight="1">
      <c r="A32" s="65" t="s">
        <v>962</v>
      </c>
      <c r="B32" s="65"/>
      <c r="C32" s="65" t="s">
        <v>1355</v>
      </c>
      <c r="D32" s="432">
        <f>D28+D29+D30+D31</f>
        <v>0</v>
      </c>
    </row>
    <row r="33" spans="1:4" ht="13.5" customHeight="1">
      <c r="A33" s="69">
        <v>24</v>
      </c>
      <c r="B33" s="65" t="s">
        <v>1356</v>
      </c>
      <c r="C33" s="213" t="s">
        <v>1357</v>
      </c>
      <c r="D33" s="69"/>
    </row>
    <row r="34" spans="1:4" ht="13.5" customHeight="1">
      <c r="A34" s="69">
        <v>25</v>
      </c>
      <c r="B34" s="65" t="s">
        <v>1356</v>
      </c>
      <c r="C34" s="213" t="s">
        <v>1358</v>
      </c>
      <c r="D34" s="69"/>
    </row>
    <row r="35" spans="1:4" ht="13.5" customHeight="1">
      <c r="A35" s="69">
        <v>26</v>
      </c>
      <c r="B35" s="65" t="s">
        <v>1356</v>
      </c>
      <c r="C35" s="213" t="s">
        <v>1359</v>
      </c>
      <c r="D35" s="69"/>
    </row>
    <row r="36" spans="1:4" ht="13.5" customHeight="1">
      <c r="A36" s="69">
        <v>27</v>
      </c>
      <c r="B36" s="65" t="s">
        <v>1356</v>
      </c>
      <c r="C36" s="213" t="s">
        <v>1360</v>
      </c>
      <c r="D36" s="69"/>
    </row>
    <row r="37" spans="1:4" ht="13.5" customHeight="1">
      <c r="A37" s="69">
        <v>28</v>
      </c>
      <c r="B37" s="65" t="s">
        <v>1356</v>
      </c>
      <c r="C37" s="213" t="s">
        <v>1361</v>
      </c>
      <c r="D37" s="213"/>
    </row>
    <row r="38" spans="1:4" ht="13.5" customHeight="1">
      <c r="A38" s="69">
        <v>29</v>
      </c>
      <c r="B38" s="65" t="s">
        <v>1356</v>
      </c>
      <c r="C38" s="287" t="s">
        <v>1362</v>
      </c>
      <c r="D38" s="69"/>
    </row>
    <row r="39" spans="1:4" ht="13.5" customHeight="1">
      <c r="A39" s="69">
        <v>30</v>
      </c>
      <c r="B39" s="65" t="s">
        <v>1356</v>
      </c>
      <c r="C39" s="213" t="s">
        <v>1363</v>
      </c>
      <c r="D39" s="69"/>
    </row>
    <row r="40" spans="1:4" ht="13.5" customHeight="1">
      <c r="A40" s="69">
        <v>31</v>
      </c>
      <c r="B40" s="65" t="s">
        <v>1356</v>
      </c>
      <c r="C40" s="213" t="s">
        <v>1364</v>
      </c>
      <c r="D40" s="69"/>
    </row>
    <row r="41" spans="1:4" ht="13.5" customHeight="1">
      <c r="A41" s="69">
        <v>32</v>
      </c>
      <c r="B41" s="65" t="s">
        <v>1356</v>
      </c>
      <c r="C41" s="213" t="s">
        <v>1365</v>
      </c>
      <c r="D41" s="69"/>
    </row>
    <row r="42" spans="1:4" ht="13.5" customHeight="1">
      <c r="A42" s="69">
        <v>33</v>
      </c>
      <c r="B42" s="65" t="s">
        <v>1356</v>
      </c>
      <c r="C42" s="213" t="s">
        <v>1366</v>
      </c>
      <c r="D42" s="69"/>
    </row>
    <row r="43" spans="1:4" ht="13.5" customHeight="1">
      <c r="A43" s="110">
        <v>34</v>
      </c>
      <c r="B43" s="65" t="s">
        <v>1356</v>
      </c>
      <c r="C43" s="213" t="s">
        <v>1367</v>
      </c>
      <c r="D43" s="69"/>
    </row>
    <row r="44" spans="1:4" ht="13.5" customHeight="1">
      <c r="A44" s="65" t="s">
        <v>1368</v>
      </c>
      <c r="B44" s="69"/>
      <c r="C44" s="65" t="s">
        <v>1369</v>
      </c>
      <c r="D44" s="65">
        <f>D33+D34+D35+D36+D37+D38+D39+D40+D41+D42+D43</f>
        <v>0</v>
      </c>
    </row>
    <row r="45" spans="1:4" ht="13.5" customHeight="1">
      <c r="A45" s="69"/>
      <c r="B45" s="69"/>
      <c r="C45" s="65" t="s">
        <v>1370</v>
      </c>
      <c r="D45" s="288">
        <f>D14+D18+D27+D32+D44</f>
        <v>564326442</v>
      </c>
    </row>
    <row r="46" spans="1:4" ht="13.5" customHeight="1"/>
    <row r="47" spans="1:4" ht="13.5" customHeight="1"/>
    <row r="48" spans="1:4" ht="13.5" customHeight="1">
      <c r="B48" s="289" t="s">
        <v>1165</v>
      </c>
      <c r="C48" s="214"/>
      <c r="D48" s="65" t="s">
        <v>1371</v>
      </c>
    </row>
    <row r="49" spans="1:8" ht="13.5" customHeight="1">
      <c r="B49" s="290"/>
      <c r="C49" s="291"/>
      <c r="D49" s="210">
        <v>123</v>
      </c>
    </row>
    <row r="50" spans="1:8" ht="13.5" customHeight="1">
      <c r="B50" s="292" t="s">
        <v>1372</v>
      </c>
      <c r="C50" s="292"/>
      <c r="D50" s="703">
        <v>0</v>
      </c>
    </row>
    <row r="51" spans="1:8" ht="13.5" customHeight="1">
      <c r="B51" s="69" t="s">
        <v>1373</v>
      </c>
      <c r="C51" s="69"/>
      <c r="D51" s="702">
        <v>8</v>
      </c>
    </row>
    <row r="52" spans="1:8" ht="13.5" customHeight="1">
      <c r="B52" s="69" t="s">
        <v>1374</v>
      </c>
      <c r="C52" s="69"/>
      <c r="D52" s="702">
        <v>90</v>
      </c>
    </row>
    <row r="53" spans="1:8" ht="13.5" customHeight="1">
      <c r="B53" s="69" t="s">
        <v>1375</v>
      </c>
      <c r="C53" s="69"/>
      <c r="D53" s="702">
        <v>12</v>
      </c>
    </row>
    <row r="54" spans="1:8" ht="13.5" customHeight="1">
      <c r="B54" s="293" t="s">
        <v>1376</v>
      </c>
      <c r="C54" s="214"/>
      <c r="D54" s="702">
        <v>13</v>
      </c>
    </row>
    <row r="55" spans="1:8" ht="13.5" customHeight="1">
      <c r="B55" s="294"/>
      <c r="C55" s="295" t="s">
        <v>973</v>
      </c>
      <c r="D55" s="704">
        <f>SUM(D50:D54)</f>
        <v>123</v>
      </c>
    </row>
    <row r="56" spans="1:8" ht="13.5" customHeight="1"/>
    <row r="57" spans="1:8" ht="13.5" customHeight="1">
      <c r="C57" s="857" t="s">
        <v>965</v>
      </c>
      <c r="D57" s="857"/>
    </row>
    <row r="58" spans="1:8" ht="13.5" customHeight="1">
      <c r="C58" s="857" t="s">
        <v>966</v>
      </c>
      <c r="D58" s="857"/>
    </row>
    <row r="59" spans="1:8" ht="13.5" customHeight="1">
      <c r="B59" s="62"/>
      <c r="C59" s="857" t="s">
        <v>967</v>
      </c>
      <c r="D59" s="857"/>
    </row>
    <row r="61" spans="1:8">
      <c r="B61" s="62"/>
    </row>
    <row r="62" spans="1:8">
      <c r="A62" s="62"/>
      <c r="B62" s="62"/>
      <c r="C62" s="62"/>
      <c r="D62" s="62"/>
      <c r="E62" s="62"/>
      <c r="F62" s="62"/>
      <c r="G62" s="62"/>
      <c r="H62" s="62"/>
    </row>
    <row r="63" spans="1:8">
      <c r="A63" s="62"/>
      <c r="B63" s="62"/>
      <c r="C63" s="62"/>
      <c r="D63" s="62"/>
      <c r="E63" s="62"/>
      <c r="F63" s="62"/>
      <c r="G63" s="62"/>
      <c r="H63" s="62"/>
    </row>
    <row r="64" spans="1:8">
      <c r="B64" s="62"/>
      <c r="C64" s="62"/>
      <c r="D64" s="62"/>
      <c r="E64" s="62"/>
      <c r="F64" s="62"/>
      <c r="G64" s="62"/>
      <c r="H64" s="62"/>
    </row>
    <row r="65" spans="1:8">
      <c r="B65" s="62"/>
      <c r="C65" s="62"/>
      <c r="D65" s="62"/>
      <c r="E65" s="62"/>
      <c r="F65" s="62"/>
      <c r="G65" s="62"/>
      <c r="H65" s="62"/>
    </row>
    <row r="66" spans="1:8">
      <c r="A66" s="62"/>
      <c r="B66" s="62"/>
    </row>
  </sheetData>
  <mergeCells count="3">
    <mergeCell ref="C57:D57"/>
    <mergeCell ref="C58:D58"/>
    <mergeCell ref="C59:D59"/>
  </mergeCells>
  <phoneticPr fontId="5" type="noConversion"/>
  <pageMargins left="1.1299999999999999" right="0.75" top="0.27" bottom="0.4" header="0.16" footer="0.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AG23"/>
  <sheetViews>
    <sheetView workbookViewId="0">
      <selection activeCell="Y48" sqref="Y48"/>
    </sheetView>
  </sheetViews>
  <sheetFormatPr defaultRowHeight="12.75"/>
  <cols>
    <col min="1" max="1" width="34.85546875" style="31" customWidth="1"/>
    <col min="2" max="2" width="11.7109375" style="31" customWidth="1"/>
    <col min="3" max="3" width="9.28515625" style="31" bestFit="1" customWidth="1"/>
    <col min="4" max="4" width="9" style="31" customWidth="1"/>
    <col min="5" max="5" width="9.42578125" style="31" customWidth="1"/>
    <col min="6" max="6" width="14" style="31" customWidth="1"/>
    <col min="7" max="7" width="9.28515625" style="31" customWidth="1"/>
    <col min="8" max="8" width="10" style="31" customWidth="1"/>
    <col min="9" max="9" width="9.28515625" style="31" bestFit="1" customWidth="1"/>
    <col min="10" max="10" width="11" style="31" customWidth="1"/>
    <col min="11" max="11" width="10.28515625" style="31" customWidth="1"/>
    <col min="12" max="13" width="9.140625" style="31"/>
    <col min="14" max="14" width="10.42578125" style="31" customWidth="1"/>
    <col min="15" max="16" width="11.140625" style="31" bestFit="1" customWidth="1"/>
    <col min="17" max="17" width="10.140625" style="31" bestFit="1" customWidth="1"/>
    <col min="18" max="20" width="9.140625" style="31"/>
    <col min="21" max="21" width="11.140625" style="31" bestFit="1" customWidth="1"/>
    <col min="22" max="30" width="9.140625" style="31"/>
    <col min="31" max="32" width="11.140625" style="31" bestFit="1" customWidth="1"/>
    <col min="33" max="16384" width="9.140625" style="31"/>
  </cols>
  <sheetData>
    <row r="1" spans="1:33" ht="20.100000000000001" customHeight="1">
      <c r="A1" s="569" t="s">
        <v>442</v>
      </c>
    </row>
    <row r="2" spans="1:33" ht="20.100000000000001" customHeight="1">
      <c r="A2" s="569" t="s">
        <v>443</v>
      </c>
    </row>
    <row r="3" spans="1:33" ht="20.100000000000001" customHeight="1">
      <c r="A3" s="573" t="s">
        <v>444</v>
      </c>
    </row>
    <row r="4" spans="1:33" ht="20.100000000000001" customHeight="1">
      <c r="A4" s="573" t="s">
        <v>445</v>
      </c>
    </row>
    <row r="5" spans="1:33" ht="20.100000000000001" customHeight="1"/>
    <row r="6" spans="1:33" ht="20.100000000000001" customHeight="1">
      <c r="A6" s="626"/>
      <c r="D6" s="627" t="s">
        <v>261</v>
      </c>
      <c r="J6" s="628"/>
    </row>
    <row r="7" spans="1:33" ht="20.100000000000001" customHeight="1" thickBot="1">
      <c r="J7" s="628" t="s">
        <v>222</v>
      </c>
    </row>
    <row r="8" spans="1:33" ht="20.100000000000001" customHeight="1">
      <c r="A8" s="860" t="s">
        <v>223</v>
      </c>
      <c r="B8" s="629" t="s">
        <v>224</v>
      </c>
      <c r="C8" s="630"/>
      <c r="D8" s="631" t="s">
        <v>225</v>
      </c>
      <c r="E8" s="632"/>
      <c r="F8" s="633"/>
      <c r="G8" s="631"/>
      <c r="H8" s="631" t="s">
        <v>226</v>
      </c>
      <c r="I8" s="631"/>
      <c r="J8" s="634"/>
      <c r="K8" s="635"/>
      <c r="L8" s="636"/>
      <c r="M8" s="61"/>
      <c r="N8" s="61"/>
      <c r="O8" s="61"/>
      <c r="R8" s="636"/>
      <c r="Y8" s="636"/>
    </row>
    <row r="9" spans="1:33" ht="20.100000000000001" customHeight="1">
      <c r="A9" s="861"/>
      <c r="B9" s="637" t="s">
        <v>227</v>
      </c>
      <c r="C9" s="638"/>
      <c r="D9" s="639" t="s">
        <v>228</v>
      </c>
      <c r="E9" s="640"/>
      <c r="F9" s="641" t="s">
        <v>229</v>
      </c>
      <c r="G9" s="641" t="s">
        <v>230</v>
      </c>
      <c r="H9" s="641" t="s">
        <v>230</v>
      </c>
      <c r="I9" s="641" t="s">
        <v>231</v>
      </c>
      <c r="J9" s="642" t="s">
        <v>232</v>
      </c>
      <c r="K9" s="643" t="s">
        <v>233</v>
      </c>
      <c r="L9" s="61"/>
      <c r="M9" s="61"/>
      <c r="N9" s="61"/>
      <c r="O9" s="61"/>
    </row>
    <row r="10" spans="1:33" ht="20.100000000000001" customHeight="1">
      <c r="A10" s="861"/>
      <c r="B10" s="637" t="s">
        <v>234</v>
      </c>
      <c r="C10" s="641" t="s">
        <v>235</v>
      </c>
      <c r="D10" s="641"/>
      <c r="E10" s="641" t="s">
        <v>236</v>
      </c>
      <c r="F10" s="637" t="s">
        <v>237</v>
      </c>
      <c r="G10" s="637" t="s">
        <v>238</v>
      </c>
      <c r="H10" s="637" t="s">
        <v>239</v>
      </c>
      <c r="I10" s="637" t="s">
        <v>240</v>
      </c>
      <c r="J10" s="644" t="s">
        <v>241</v>
      </c>
      <c r="K10" s="645" t="s">
        <v>242</v>
      </c>
      <c r="L10" s="646"/>
      <c r="M10" s="646"/>
      <c r="N10" s="646"/>
      <c r="O10" s="647"/>
      <c r="P10" s="59"/>
      <c r="U10" s="648"/>
      <c r="AE10" s="649"/>
      <c r="AF10" s="649"/>
      <c r="AG10" s="648"/>
    </row>
    <row r="11" spans="1:33" ht="20.100000000000001" customHeight="1">
      <c r="A11" s="861"/>
      <c r="B11" s="637" t="s">
        <v>243</v>
      </c>
      <c r="C11" s="637" t="s">
        <v>244</v>
      </c>
      <c r="D11" s="637" t="s">
        <v>245</v>
      </c>
      <c r="E11" s="637" t="s">
        <v>246</v>
      </c>
      <c r="F11" s="637" t="s">
        <v>247</v>
      </c>
      <c r="G11" s="637" t="s">
        <v>248</v>
      </c>
      <c r="H11" s="637" t="s">
        <v>249</v>
      </c>
      <c r="I11" s="637" t="s">
        <v>250</v>
      </c>
      <c r="J11" s="644" t="s">
        <v>251</v>
      </c>
      <c r="K11" s="645" t="s">
        <v>252</v>
      </c>
      <c r="L11" s="646"/>
      <c r="M11" s="646"/>
      <c r="N11" s="646"/>
      <c r="O11" s="647"/>
      <c r="P11" s="59"/>
      <c r="Q11" s="61"/>
      <c r="U11" s="650"/>
      <c r="AC11" s="651"/>
      <c r="AD11" s="61"/>
      <c r="AE11" s="652"/>
      <c r="AF11" s="653"/>
      <c r="AG11" s="648"/>
    </row>
    <row r="12" spans="1:33" ht="20.100000000000001" customHeight="1">
      <c r="A12" s="862"/>
      <c r="B12" s="654" t="s">
        <v>247</v>
      </c>
      <c r="C12" s="654"/>
      <c r="D12" s="654"/>
      <c r="E12" s="654" t="s">
        <v>253</v>
      </c>
      <c r="F12" s="654"/>
      <c r="G12" s="654"/>
      <c r="H12" s="654"/>
      <c r="I12" s="654"/>
      <c r="J12" s="655" t="s">
        <v>254</v>
      </c>
      <c r="K12" s="656"/>
      <c r="L12" s="657"/>
      <c r="M12" s="657"/>
      <c r="N12" s="657"/>
      <c r="O12" s="658"/>
      <c r="P12" s="59"/>
      <c r="U12" s="648"/>
      <c r="X12" s="61"/>
      <c r="AC12" s="646"/>
      <c r="AD12" s="646"/>
      <c r="AE12" s="659"/>
      <c r="AF12" s="659"/>
      <c r="AG12" s="648"/>
    </row>
    <row r="13" spans="1:33" ht="20.100000000000001" customHeight="1">
      <c r="A13" s="660" t="s">
        <v>255</v>
      </c>
      <c r="B13" s="661">
        <f>B14+B15+B16+B17+B18</f>
        <v>131</v>
      </c>
      <c r="C13" s="661">
        <f>C14+C15+C16+C17+C18</f>
        <v>6</v>
      </c>
      <c r="D13" s="661">
        <f>D14+D15+D16+D17+D18</f>
        <v>14</v>
      </c>
      <c r="E13" s="661">
        <f>E14+E15+E16+E17+E18</f>
        <v>123</v>
      </c>
      <c r="F13" s="662">
        <f t="shared" ref="F13:K13" si="0">F14+F15+F16+F17+F18</f>
        <v>76086</v>
      </c>
      <c r="G13" s="661">
        <f t="shared" si="0"/>
        <v>0</v>
      </c>
      <c r="H13" s="661">
        <f>H14+H15+H16+H17+H18</f>
        <v>0</v>
      </c>
      <c r="I13" s="661">
        <f t="shared" si="0"/>
        <v>0</v>
      </c>
      <c r="J13" s="662">
        <f>J14+J15+J16+J17+J18</f>
        <v>19422</v>
      </c>
      <c r="K13" s="663">
        <f t="shared" si="0"/>
        <v>7273</v>
      </c>
      <c r="L13" s="657"/>
      <c r="M13" s="657"/>
      <c r="N13" s="657"/>
      <c r="O13" s="658"/>
      <c r="P13" s="59"/>
      <c r="U13" s="648"/>
      <c r="AC13" s="664"/>
      <c r="AD13" s="664"/>
      <c r="AE13" s="665"/>
      <c r="AF13" s="665"/>
      <c r="AG13" s="648"/>
    </row>
    <row r="14" spans="1:33" ht="20.100000000000001" customHeight="1">
      <c r="A14" s="666" t="s">
        <v>256</v>
      </c>
      <c r="B14" s="667">
        <v>1</v>
      </c>
      <c r="C14" s="667">
        <v>0</v>
      </c>
      <c r="D14" s="667">
        <v>0</v>
      </c>
      <c r="E14" s="667">
        <v>1</v>
      </c>
      <c r="F14" s="378">
        <v>1200</v>
      </c>
      <c r="G14" s="667">
        <v>0</v>
      </c>
      <c r="H14" s="667">
        <v>0</v>
      </c>
      <c r="I14" s="667">
        <v>0</v>
      </c>
      <c r="J14" s="668">
        <v>300</v>
      </c>
      <c r="K14" s="669">
        <v>120</v>
      </c>
      <c r="L14" s="657"/>
      <c r="M14" s="657"/>
      <c r="N14" s="657"/>
      <c r="O14" s="658"/>
      <c r="P14" s="59"/>
      <c r="Q14" s="61"/>
      <c r="U14" s="650"/>
      <c r="X14" s="61"/>
      <c r="AC14" s="61"/>
      <c r="AD14" s="61"/>
      <c r="AE14" s="652"/>
      <c r="AF14" s="652"/>
      <c r="AG14" s="648"/>
    </row>
    <row r="15" spans="1:33" ht="20.100000000000001" customHeight="1">
      <c r="A15" s="666" t="s">
        <v>257</v>
      </c>
      <c r="B15" s="667">
        <v>89</v>
      </c>
      <c r="C15" s="667">
        <v>0</v>
      </c>
      <c r="D15" s="667">
        <v>10</v>
      </c>
      <c r="E15" s="667">
        <v>79</v>
      </c>
      <c r="F15" s="378">
        <v>42947</v>
      </c>
      <c r="G15" s="667">
        <v>0</v>
      </c>
      <c r="H15" s="667">
        <v>0</v>
      </c>
      <c r="I15" s="667">
        <v>0</v>
      </c>
      <c r="J15" s="668">
        <v>11751</v>
      </c>
      <c r="K15" s="669">
        <v>4025</v>
      </c>
      <c r="L15" s="670"/>
      <c r="M15" s="670"/>
      <c r="N15" s="670"/>
      <c r="O15" s="671"/>
      <c r="P15" s="59"/>
      <c r="U15" s="648"/>
      <c r="V15" s="648"/>
      <c r="AC15" s="672"/>
      <c r="AD15" s="672"/>
      <c r="AE15" s="673"/>
      <c r="AF15" s="673"/>
      <c r="AG15" s="648"/>
    </row>
    <row r="16" spans="1:33" ht="20.100000000000001" customHeight="1">
      <c r="A16" s="674" t="s">
        <v>258</v>
      </c>
      <c r="B16" s="667">
        <v>13</v>
      </c>
      <c r="C16" s="667">
        <v>2</v>
      </c>
      <c r="D16" s="667">
        <v>2</v>
      </c>
      <c r="E16" s="667">
        <v>13</v>
      </c>
      <c r="F16" s="378">
        <v>11943</v>
      </c>
      <c r="G16" s="667">
        <v>0</v>
      </c>
      <c r="H16" s="667">
        <v>0</v>
      </c>
      <c r="I16" s="667">
        <v>0</v>
      </c>
      <c r="J16" s="668">
        <v>2748</v>
      </c>
      <c r="K16" s="669">
        <v>1157</v>
      </c>
      <c r="L16" s="670"/>
      <c r="M16" s="670"/>
      <c r="N16" s="670"/>
      <c r="O16" s="671"/>
      <c r="P16" s="59"/>
      <c r="U16" s="648"/>
      <c r="AC16" s="675"/>
      <c r="AD16" s="675"/>
      <c r="AE16" s="676"/>
      <c r="AF16" s="676"/>
      <c r="AG16" s="648"/>
    </row>
    <row r="17" spans="1:33" ht="20.100000000000001" customHeight="1">
      <c r="A17" s="666" t="s">
        <v>259</v>
      </c>
      <c r="B17" s="667">
        <v>14</v>
      </c>
      <c r="C17" s="667">
        <v>3</v>
      </c>
      <c r="D17" s="667">
        <v>0</v>
      </c>
      <c r="E17" s="667">
        <v>17</v>
      </c>
      <c r="F17" s="378">
        <v>13927</v>
      </c>
      <c r="G17" s="667">
        <v>0</v>
      </c>
      <c r="H17" s="667">
        <v>0</v>
      </c>
      <c r="I17" s="667">
        <v>0</v>
      </c>
      <c r="J17" s="668">
        <v>2938</v>
      </c>
      <c r="K17" s="669">
        <v>1388</v>
      </c>
      <c r="L17" s="670"/>
      <c r="M17" s="670"/>
      <c r="N17" s="670"/>
      <c r="O17" s="671"/>
      <c r="P17" s="59"/>
      <c r="Q17" s="61"/>
      <c r="U17" s="650"/>
      <c r="AC17" s="677"/>
      <c r="AD17" s="677"/>
      <c r="AE17" s="678"/>
      <c r="AF17" s="678"/>
      <c r="AG17" s="648"/>
    </row>
    <row r="18" spans="1:33" ht="20.100000000000001" customHeight="1" thickBot="1">
      <c r="A18" s="679" t="s">
        <v>260</v>
      </c>
      <c r="B18" s="680">
        <v>14</v>
      </c>
      <c r="C18" s="680">
        <v>1</v>
      </c>
      <c r="D18" s="680">
        <v>2</v>
      </c>
      <c r="E18" s="680">
        <v>13</v>
      </c>
      <c r="F18" s="681">
        <v>6069</v>
      </c>
      <c r="G18" s="680">
        <v>0</v>
      </c>
      <c r="H18" s="680">
        <v>0</v>
      </c>
      <c r="I18" s="680">
        <v>0</v>
      </c>
      <c r="J18" s="682">
        <v>1685</v>
      </c>
      <c r="K18" s="683">
        <v>583</v>
      </c>
      <c r="L18" s="664"/>
      <c r="M18" s="664"/>
      <c r="N18" s="664"/>
      <c r="O18" s="684"/>
      <c r="P18" s="59"/>
      <c r="Q18" s="61"/>
      <c r="U18" s="650"/>
      <c r="AE18" s="649"/>
      <c r="AF18" s="652"/>
      <c r="AG18" s="648"/>
    </row>
    <row r="19" spans="1:33" ht="20.100000000000001" customHeight="1">
      <c r="J19" s="628"/>
      <c r="L19" s="685"/>
      <c r="M19" s="685"/>
      <c r="N19" s="685"/>
      <c r="O19" s="686"/>
      <c r="P19" s="59"/>
      <c r="AE19" s="649"/>
      <c r="AF19" s="652"/>
      <c r="AG19" s="648"/>
    </row>
    <row r="20" spans="1:33" ht="20.100000000000001" customHeight="1">
      <c r="E20" s="454"/>
      <c r="J20" s="628"/>
      <c r="L20" s="687"/>
      <c r="M20" s="687"/>
      <c r="N20" s="687"/>
      <c r="O20" s="688"/>
      <c r="P20" s="59"/>
      <c r="X20" s="61"/>
      <c r="AE20" s="649"/>
      <c r="AF20" s="652"/>
      <c r="AG20" s="648"/>
    </row>
    <row r="21" spans="1:33" ht="20.100000000000001" customHeight="1">
      <c r="H21" s="863" t="s">
        <v>463</v>
      </c>
      <c r="I21" s="863"/>
      <c r="J21" s="863"/>
    </row>
    <row r="22" spans="1:33" ht="20.100000000000001" customHeight="1">
      <c r="H22" s="863" t="s">
        <v>53</v>
      </c>
      <c r="I22" s="863"/>
      <c r="J22" s="863"/>
    </row>
    <row r="23" spans="1:33" ht="20.100000000000001" customHeight="1">
      <c r="H23" s="864" t="s">
        <v>54</v>
      </c>
      <c r="I23" s="864"/>
      <c r="J23" s="864"/>
    </row>
  </sheetData>
  <mergeCells count="4">
    <mergeCell ref="A8:A12"/>
    <mergeCell ref="H21:J21"/>
    <mergeCell ref="H22:J22"/>
    <mergeCell ref="H23:J23"/>
  </mergeCells>
  <phoneticPr fontId="5" type="noConversion"/>
  <pageMargins left="0.21" right="0.18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I74"/>
  <sheetViews>
    <sheetView topLeftCell="A46" zoomScaleNormal="100" workbookViewId="0">
      <selection activeCell="B3" sqref="B3"/>
    </sheetView>
  </sheetViews>
  <sheetFormatPr defaultRowHeight="12.75"/>
  <cols>
    <col min="1" max="1" width="5.7109375" style="542" customWidth="1"/>
    <col min="2" max="2" width="50.7109375" style="31" customWidth="1"/>
    <col min="3" max="3" width="9.140625" style="443"/>
    <col min="4" max="4" width="12" style="360" bestFit="1" customWidth="1"/>
    <col min="5" max="5" width="11.42578125" style="443" customWidth="1"/>
    <col min="6" max="6" width="12.7109375" style="31" customWidth="1"/>
    <col min="7" max="16384" width="9.140625" style="31"/>
  </cols>
  <sheetData>
    <row r="1" spans="1:9" s="368" customFormat="1" ht="20.100000000000001" customHeight="1">
      <c r="A1" s="539" t="s">
        <v>442</v>
      </c>
      <c r="C1" s="446"/>
      <c r="D1" s="370"/>
      <c r="E1" s="446"/>
    </row>
    <row r="2" spans="1:9" s="368" customFormat="1" ht="20.100000000000001" customHeight="1">
      <c r="A2" s="539" t="s">
        <v>443</v>
      </c>
      <c r="C2" s="446"/>
      <c r="D2" s="370"/>
      <c r="E2" s="446"/>
    </row>
    <row r="3" spans="1:9" s="368" customFormat="1" ht="20.100000000000001" customHeight="1">
      <c r="A3" s="540" t="s">
        <v>444</v>
      </c>
      <c r="C3" s="446"/>
      <c r="D3" s="370"/>
      <c r="E3" s="446"/>
    </row>
    <row r="4" spans="1:9" s="368" customFormat="1" ht="20.100000000000001" customHeight="1">
      <c r="A4" s="540" t="s">
        <v>445</v>
      </c>
      <c r="C4" s="446"/>
      <c r="D4" s="370"/>
      <c r="E4" s="446"/>
    </row>
    <row r="5" spans="1:9" s="368" customFormat="1" ht="20.100000000000001" customHeight="1">
      <c r="A5" s="541"/>
      <c r="C5" s="446"/>
      <c r="D5" s="370"/>
      <c r="E5" s="446"/>
    </row>
    <row r="6" spans="1:9" s="368" customFormat="1" ht="20.100000000000001" customHeight="1">
      <c r="A6" s="533" t="s">
        <v>107</v>
      </c>
      <c r="B6" s="533"/>
      <c r="C6" s="537"/>
      <c r="D6" s="690"/>
      <c r="E6" s="537"/>
      <c r="F6" s="533"/>
    </row>
    <row r="7" spans="1:9" s="368" customFormat="1" ht="20.100000000000001" customHeight="1" thickBot="1">
      <c r="A7" s="542"/>
      <c r="B7" s="31"/>
      <c r="C7" s="443"/>
      <c r="D7" s="689"/>
      <c r="E7" s="443"/>
      <c r="F7" s="466"/>
    </row>
    <row r="8" spans="1:9" s="368" customFormat="1" ht="20.100000000000001" customHeight="1" thickBot="1">
      <c r="A8" s="708" t="s">
        <v>998</v>
      </c>
      <c r="B8" s="709" t="s">
        <v>106</v>
      </c>
      <c r="C8" s="709" t="s">
        <v>378</v>
      </c>
      <c r="D8" s="710" t="s">
        <v>1014</v>
      </c>
      <c r="E8" s="709" t="s">
        <v>1377</v>
      </c>
      <c r="F8" s="711" t="s">
        <v>1067</v>
      </c>
    </row>
    <row r="9" spans="1:9" s="171" customFormat="1" ht="47.25">
      <c r="A9" s="544">
        <v>1</v>
      </c>
      <c r="B9" s="545" t="s">
        <v>1332</v>
      </c>
      <c r="C9" s="549" t="s">
        <v>108</v>
      </c>
      <c r="D9" s="691">
        <v>3500</v>
      </c>
      <c r="E9" s="706" t="s">
        <v>2</v>
      </c>
      <c r="F9" s="546">
        <v>573315</v>
      </c>
    </row>
    <row r="10" spans="1:9" s="171" customFormat="1" ht="47.25">
      <c r="A10" s="547">
        <v>2</v>
      </c>
      <c r="B10" s="543" t="s">
        <v>1333</v>
      </c>
      <c r="C10" s="538" t="s">
        <v>108</v>
      </c>
      <c r="D10" s="692">
        <v>47200</v>
      </c>
      <c r="E10" s="707" t="s">
        <v>3</v>
      </c>
      <c r="F10" s="548">
        <v>230000</v>
      </c>
    </row>
    <row r="11" spans="1:9" s="171" customFormat="1" ht="20.100000000000001" customHeight="1">
      <c r="A11" s="547">
        <v>3</v>
      </c>
      <c r="B11" s="543" t="s">
        <v>364</v>
      </c>
      <c r="C11" s="538" t="s">
        <v>108</v>
      </c>
      <c r="D11" s="692">
        <v>7600</v>
      </c>
      <c r="E11" s="707" t="s">
        <v>4</v>
      </c>
      <c r="F11" s="548">
        <v>410000</v>
      </c>
      <c r="I11" s="171" t="s">
        <v>336</v>
      </c>
    </row>
    <row r="12" spans="1:9" s="171" customFormat="1" ht="47.25">
      <c r="A12" s="547">
        <v>4</v>
      </c>
      <c r="B12" s="543" t="s">
        <v>1334</v>
      </c>
      <c r="C12" s="538" t="s">
        <v>108</v>
      </c>
      <c r="D12" s="692">
        <v>33000</v>
      </c>
      <c r="E12" s="707" t="s">
        <v>5</v>
      </c>
      <c r="F12" s="548">
        <v>250000</v>
      </c>
    </row>
    <row r="13" spans="1:9" s="171" customFormat="1" ht="52.5" customHeight="1">
      <c r="A13" s="547">
        <v>5</v>
      </c>
      <c r="B13" s="543" t="s">
        <v>1335</v>
      </c>
      <c r="C13" s="538" t="s">
        <v>108</v>
      </c>
      <c r="D13" s="692">
        <v>47000</v>
      </c>
      <c r="E13" s="707" t="s">
        <v>6</v>
      </c>
      <c r="F13" s="548">
        <v>570000</v>
      </c>
    </row>
    <row r="14" spans="1:9" s="171" customFormat="1" ht="47.25">
      <c r="A14" s="547">
        <v>6</v>
      </c>
      <c r="B14" s="543" t="s">
        <v>1338</v>
      </c>
      <c r="C14" s="538" t="s">
        <v>108</v>
      </c>
      <c r="D14" s="692">
        <v>18000</v>
      </c>
      <c r="E14" s="707" t="s">
        <v>7</v>
      </c>
      <c r="F14" s="548">
        <v>390000</v>
      </c>
    </row>
    <row r="15" spans="1:9" s="171" customFormat="1" ht="47.25">
      <c r="A15" s="547">
        <v>7</v>
      </c>
      <c r="B15" s="543" t="s">
        <v>1336</v>
      </c>
      <c r="C15" s="538" t="s">
        <v>108</v>
      </c>
      <c r="D15" s="692">
        <v>36800</v>
      </c>
      <c r="E15" s="707" t="s">
        <v>8</v>
      </c>
      <c r="F15" s="548">
        <v>280000</v>
      </c>
    </row>
    <row r="16" spans="1:9" s="171" customFormat="1" ht="20.100000000000001" customHeight="1">
      <c r="A16" s="547">
        <v>8</v>
      </c>
      <c r="B16" s="543" t="s">
        <v>9</v>
      </c>
      <c r="C16" s="538" t="s">
        <v>108</v>
      </c>
      <c r="D16" s="692">
        <v>7700</v>
      </c>
      <c r="E16" s="707" t="s">
        <v>10</v>
      </c>
      <c r="F16" s="548">
        <v>290000</v>
      </c>
    </row>
    <row r="17" spans="1:6" s="171" customFormat="1" ht="47.25">
      <c r="A17" s="547">
        <v>9</v>
      </c>
      <c r="B17" s="543" t="s">
        <v>1337</v>
      </c>
      <c r="C17" s="538" t="s">
        <v>108</v>
      </c>
      <c r="D17" s="692">
        <v>36000</v>
      </c>
      <c r="E17" s="707" t="s">
        <v>11</v>
      </c>
      <c r="F17" s="548">
        <v>560000</v>
      </c>
    </row>
    <row r="18" spans="1:6" s="171" customFormat="1" ht="15.75">
      <c r="A18" s="547">
        <v>10</v>
      </c>
      <c r="B18" s="543" t="s">
        <v>1378</v>
      </c>
      <c r="C18" s="538" t="s">
        <v>108</v>
      </c>
      <c r="D18" s="692"/>
      <c r="E18" s="707" t="s">
        <v>1379</v>
      </c>
      <c r="F18" s="548">
        <v>4500000</v>
      </c>
    </row>
    <row r="19" spans="1:6" s="171" customFormat="1" ht="47.25">
      <c r="A19" s="547">
        <v>11</v>
      </c>
      <c r="B19" s="543" t="s">
        <v>1339</v>
      </c>
      <c r="C19" s="538" t="s">
        <v>108</v>
      </c>
      <c r="D19" s="692">
        <v>6500</v>
      </c>
      <c r="E19" s="707" t="s">
        <v>12</v>
      </c>
      <c r="F19" s="548">
        <v>480000</v>
      </c>
    </row>
    <row r="20" spans="1:6" s="171" customFormat="1" ht="47.25">
      <c r="A20" s="547">
        <v>12</v>
      </c>
      <c r="B20" s="543" t="s">
        <v>1340</v>
      </c>
      <c r="C20" s="538" t="s">
        <v>108</v>
      </c>
      <c r="D20" s="692">
        <v>36000</v>
      </c>
      <c r="E20" s="707" t="s">
        <v>13</v>
      </c>
      <c r="F20" s="548">
        <v>95000</v>
      </c>
    </row>
    <row r="21" spans="1:6" s="171" customFormat="1" ht="20.100000000000001" customHeight="1">
      <c r="A21" s="547">
        <v>13</v>
      </c>
      <c r="B21" s="543" t="s">
        <v>14</v>
      </c>
      <c r="C21" s="538" t="s">
        <v>108</v>
      </c>
      <c r="D21" s="534">
        <v>3500</v>
      </c>
      <c r="E21" s="707" t="s">
        <v>15</v>
      </c>
      <c r="F21" s="548">
        <v>285000</v>
      </c>
    </row>
    <row r="22" spans="1:6" s="171" customFormat="1" ht="20.100000000000001" customHeight="1">
      <c r="A22" s="547">
        <v>14</v>
      </c>
      <c r="B22" s="543" t="s">
        <v>16</v>
      </c>
      <c r="C22" s="538" t="s">
        <v>108</v>
      </c>
      <c r="D22" s="692">
        <v>24000</v>
      </c>
      <c r="E22" s="707" t="s">
        <v>17</v>
      </c>
      <c r="F22" s="548">
        <v>1350000</v>
      </c>
    </row>
    <row r="23" spans="1:6" s="171" customFormat="1" ht="20.100000000000001" customHeight="1">
      <c r="A23" s="547">
        <v>15</v>
      </c>
      <c r="B23" s="543" t="s">
        <v>18</v>
      </c>
      <c r="C23" s="538" t="s">
        <v>108</v>
      </c>
      <c r="D23" s="712"/>
      <c r="E23" s="707" t="s">
        <v>19</v>
      </c>
      <c r="F23" s="548">
        <v>795433</v>
      </c>
    </row>
    <row r="24" spans="1:6" s="171" customFormat="1" ht="47.25">
      <c r="A24" s="547">
        <v>16</v>
      </c>
      <c r="B24" s="543" t="s">
        <v>1341</v>
      </c>
      <c r="C24" s="538" t="s">
        <v>108</v>
      </c>
      <c r="D24" s="692">
        <v>3500</v>
      </c>
      <c r="E24" s="707" t="s">
        <v>20</v>
      </c>
      <c r="F24" s="548">
        <v>1450000</v>
      </c>
    </row>
    <row r="25" spans="1:6" s="171" customFormat="1" ht="15.75">
      <c r="A25" s="547">
        <v>17</v>
      </c>
      <c r="B25" s="543" t="s">
        <v>1</v>
      </c>
      <c r="C25" s="538" t="s">
        <v>108</v>
      </c>
      <c r="D25" s="692"/>
      <c r="E25" s="707"/>
      <c r="F25" s="548">
        <f>8052000/2</f>
        <v>4026000</v>
      </c>
    </row>
    <row r="26" spans="1:6" s="171" customFormat="1" ht="47.25">
      <c r="A26" s="547">
        <v>18</v>
      </c>
      <c r="B26" s="694" t="s">
        <v>1342</v>
      </c>
      <c r="C26" s="538" t="s">
        <v>108</v>
      </c>
      <c r="D26" s="692">
        <v>40000</v>
      </c>
      <c r="E26" s="707" t="s">
        <v>21</v>
      </c>
      <c r="F26" s="548">
        <v>5000000</v>
      </c>
    </row>
    <row r="27" spans="1:6" s="171" customFormat="1" ht="20.100000000000001" customHeight="1">
      <c r="A27" s="547">
        <v>19</v>
      </c>
      <c r="B27" s="543" t="s">
        <v>22</v>
      </c>
      <c r="C27" s="538" t="s">
        <v>108</v>
      </c>
      <c r="D27" s="692">
        <v>3230</v>
      </c>
      <c r="E27" s="707" t="s">
        <v>23</v>
      </c>
      <c r="F27" s="548">
        <v>3551310</v>
      </c>
    </row>
    <row r="28" spans="1:6" s="171" customFormat="1" ht="47.25">
      <c r="A28" s="547">
        <v>20</v>
      </c>
      <c r="B28" s="543" t="s">
        <v>564</v>
      </c>
      <c r="C28" s="538" t="s">
        <v>108</v>
      </c>
      <c r="D28" s="692">
        <v>17000</v>
      </c>
      <c r="E28" s="707" t="s">
        <v>24</v>
      </c>
      <c r="F28" s="548">
        <v>779496</v>
      </c>
    </row>
    <row r="29" spans="1:6" s="171" customFormat="1" ht="20.100000000000001" customHeight="1">
      <c r="A29" s="547">
        <v>21</v>
      </c>
      <c r="B29" s="543" t="s">
        <v>25</v>
      </c>
      <c r="C29" s="538" t="s">
        <v>108</v>
      </c>
      <c r="D29" s="692">
        <v>17000</v>
      </c>
      <c r="E29" s="707" t="s">
        <v>105</v>
      </c>
      <c r="F29" s="548">
        <v>533828</v>
      </c>
    </row>
    <row r="30" spans="1:6" s="171" customFormat="1" ht="20.100000000000001" customHeight="1">
      <c r="A30" s="547">
        <v>22</v>
      </c>
      <c r="B30" s="543" t="s">
        <v>565</v>
      </c>
      <c r="C30" s="538" t="s">
        <v>108</v>
      </c>
      <c r="D30" s="692">
        <v>10900</v>
      </c>
      <c r="E30" s="705" t="s">
        <v>26</v>
      </c>
      <c r="F30" s="548">
        <v>662500</v>
      </c>
    </row>
    <row r="31" spans="1:6" s="171" customFormat="1" ht="47.25">
      <c r="A31" s="547">
        <v>23</v>
      </c>
      <c r="B31" s="535" t="s">
        <v>568</v>
      </c>
      <c r="C31" s="538" t="s">
        <v>108</v>
      </c>
      <c r="D31" s="692">
        <v>24000</v>
      </c>
      <c r="E31" s="707" t="s">
        <v>27</v>
      </c>
      <c r="F31" s="548">
        <v>1961400</v>
      </c>
    </row>
    <row r="32" spans="1:6" s="171" customFormat="1" ht="47.25">
      <c r="A32" s="547">
        <v>24</v>
      </c>
      <c r="B32" s="535" t="s">
        <v>567</v>
      </c>
      <c r="C32" s="538" t="s">
        <v>108</v>
      </c>
      <c r="D32" s="692">
        <v>52000</v>
      </c>
      <c r="E32" s="707" t="s">
        <v>566</v>
      </c>
      <c r="F32" s="548">
        <v>2615200</v>
      </c>
    </row>
    <row r="33" spans="1:6" s="171" customFormat="1" ht="47.25">
      <c r="A33" s="547">
        <v>25</v>
      </c>
      <c r="B33" s="536" t="s">
        <v>569</v>
      </c>
      <c r="C33" s="538" t="s">
        <v>108</v>
      </c>
      <c r="D33" s="692">
        <v>2900</v>
      </c>
      <c r="E33" s="707" t="s">
        <v>28</v>
      </c>
      <c r="F33" s="548">
        <v>831486</v>
      </c>
    </row>
    <row r="34" spans="1:6" s="171" customFormat="1" ht="47.25">
      <c r="A34" s="547">
        <v>26</v>
      </c>
      <c r="B34" s="536" t="s">
        <v>570</v>
      </c>
      <c r="C34" s="538" t="s">
        <v>108</v>
      </c>
      <c r="D34" s="692">
        <v>18000</v>
      </c>
      <c r="E34" s="707" t="s">
        <v>365</v>
      </c>
      <c r="F34" s="548">
        <v>500000</v>
      </c>
    </row>
    <row r="35" spans="1:6" s="171" customFormat="1" ht="47.25">
      <c r="A35" s="547">
        <v>27</v>
      </c>
      <c r="B35" s="536" t="s">
        <v>572</v>
      </c>
      <c r="C35" s="538" t="s">
        <v>108</v>
      </c>
      <c r="D35" s="692">
        <v>3500</v>
      </c>
      <c r="E35" s="707" t="s">
        <v>366</v>
      </c>
      <c r="F35" s="548">
        <v>300000</v>
      </c>
    </row>
    <row r="36" spans="1:6" s="171" customFormat="1" ht="47.25">
      <c r="A36" s="547">
        <v>28</v>
      </c>
      <c r="B36" s="536" t="s">
        <v>571</v>
      </c>
      <c r="C36" s="538" t="s">
        <v>108</v>
      </c>
      <c r="D36" s="692">
        <v>79000</v>
      </c>
      <c r="E36" s="707" t="s">
        <v>367</v>
      </c>
      <c r="F36" s="548">
        <v>3000000</v>
      </c>
    </row>
    <row r="37" spans="1:6" s="171" customFormat="1" ht="47.25">
      <c r="A37" s="547">
        <v>29</v>
      </c>
      <c r="B37" s="536" t="s">
        <v>573</v>
      </c>
      <c r="C37" s="538" t="s">
        <v>108</v>
      </c>
      <c r="D37" s="692">
        <v>83400</v>
      </c>
      <c r="E37" s="707" t="s">
        <v>368</v>
      </c>
      <c r="F37" s="548">
        <v>3000000</v>
      </c>
    </row>
    <row r="38" spans="1:6" s="171" customFormat="1" ht="47.25">
      <c r="A38" s="547">
        <v>30</v>
      </c>
      <c r="B38" s="536" t="s">
        <v>579</v>
      </c>
      <c r="C38" s="538" t="s">
        <v>108</v>
      </c>
      <c r="D38" s="692">
        <v>3500</v>
      </c>
      <c r="E38" s="707" t="s">
        <v>369</v>
      </c>
      <c r="F38" s="548">
        <v>500000</v>
      </c>
    </row>
    <row r="39" spans="1:6" s="171" customFormat="1" ht="63">
      <c r="A39" s="547">
        <v>31</v>
      </c>
      <c r="B39" s="536" t="s">
        <v>580</v>
      </c>
      <c r="C39" s="538" t="s">
        <v>108</v>
      </c>
      <c r="D39" s="692">
        <v>2800</v>
      </c>
      <c r="E39" s="707" t="s">
        <v>370</v>
      </c>
      <c r="F39" s="548">
        <v>300000</v>
      </c>
    </row>
    <row r="40" spans="1:6" s="171" customFormat="1" ht="47.25">
      <c r="A40" s="547">
        <v>32</v>
      </c>
      <c r="B40" s="536" t="s">
        <v>581</v>
      </c>
      <c r="C40" s="538" t="s">
        <v>108</v>
      </c>
      <c r="D40" s="692">
        <v>3500</v>
      </c>
      <c r="E40" s="707" t="s">
        <v>371</v>
      </c>
      <c r="F40" s="548">
        <v>1000000</v>
      </c>
    </row>
    <row r="41" spans="1:6" s="171" customFormat="1" ht="47.25">
      <c r="A41" s="547">
        <v>33</v>
      </c>
      <c r="B41" s="536" t="s">
        <v>582</v>
      </c>
      <c r="C41" s="538" t="s">
        <v>108</v>
      </c>
      <c r="D41" s="692">
        <v>36000</v>
      </c>
      <c r="E41" s="707" t="s">
        <v>372</v>
      </c>
      <c r="F41" s="548">
        <v>200000</v>
      </c>
    </row>
    <row r="42" spans="1:6" s="171" customFormat="1" ht="47.25">
      <c r="A42" s="547">
        <v>34</v>
      </c>
      <c r="B42" s="536" t="s">
        <v>576</v>
      </c>
      <c r="C42" s="538" t="s">
        <v>108</v>
      </c>
      <c r="D42" s="692">
        <v>9645</v>
      </c>
      <c r="E42" s="707" t="s">
        <v>373</v>
      </c>
      <c r="F42" s="548">
        <v>7000000</v>
      </c>
    </row>
    <row r="43" spans="1:6" s="171" customFormat="1" ht="47.25">
      <c r="A43" s="547">
        <v>35</v>
      </c>
      <c r="B43" s="536" t="s">
        <v>575</v>
      </c>
      <c r="C43" s="538" t="s">
        <v>108</v>
      </c>
      <c r="D43" s="692"/>
      <c r="E43" s="707" t="s">
        <v>374</v>
      </c>
      <c r="F43" s="548">
        <v>1000000</v>
      </c>
    </row>
    <row r="44" spans="1:6" s="171" customFormat="1" ht="47.25">
      <c r="A44" s="547">
        <v>36</v>
      </c>
      <c r="B44" s="536" t="s">
        <v>583</v>
      </c>
      <c r="C44" s="538" t="s">
        <v>108</v>
      </c>
      <c r="D44" s="692">
        <v>32000</v>
      </c>
      <c r="E44" s="707" t="s">
        <v>993</v>
      </c>
      <c r="F44" s="548">
        <v>2834868.89</v>
      </c>
    </row>
    <row r="45" spans="1:6" s="171" customFormat="1" ht="47.25">
      <c r="A45" s="547">
        <v>37</v>
      </c>
      <c r="B45" s="536" t="s">
        <v>574</v>
      </c>
      <c r="C45" s="538" t="s">
        <v>108</v>
      </c>
      <c r="D45" s="692">
        <v>26480</v>
      </c>
      <c r="E45" s="707" t="s">
        <v>375</v>
      </c>
      <c r="F45" s="548">
        <v>3000000</v>
      </c>
    </row>
    <row r="46" spans="1:6" s="171" customFormat="1" ht="31.5">
      <c r="A46" s="547">
        <v>38</v>
      </c>
      <c r="B46" s="536" t="s">
        <v>577</v>
      </c>
      <c r="C46" s="538" t="s">
        <v>108</v>
      </c>
      <c r="D46" s="692">
        <v>8400</v>
      </c>
      <c r="E46" s="707" t="s">
        <v>376</v>
      </c>
      <c r="F46" s="548">
        <v>1500000</v>
      </c>
    </row>
    <row r="47" spans="1:6" s="171" customFormat="1" ht="48" thickBot="1">
      <c r="A47" s="713">
        <v>39</v>
      </c>
      <c r="B47" s="714" t="s">
        <v>578</v>
      </c>
      <c r="C47" s="715" t="s">
        <v>108</v>
      </c>
      <c r="D47" s="716">
        <v>15000</v>
      </c>
      <c r="E47" s="717" t="s">
        <v>377</v>
      </c>
      <c r="F47" s="718">
        <v>5000000</v>
      </c>
    </row>
    <row r="48" spans="1:6" s="171" customFormat="1" ht="20.100000000000001" customHeight="1" thickBot="1">
      <c r="A48" s="865" t="s">
        <v>859</v>
      </c>
      <c r="B48" s="866"/>
      <c r="C48" s="866"/>
      <c r="D48" s="866"/>
      <c r="E48" s="867"/>
      <c r="F48" s="719">
        <f>SUM(F9:F47)</f>
        <v>61604836.890000001</v>
      </c>
    </row>
    <row r="49" spans="1:6" s="171" customFormat="1" ht="20.100000000000001" customHeight="1">
      <c r="A49" s="180"/>
      <c r="C49" s="185"/>
      <c r="D49" s="693"/>
      <c r="E49" s="185"/>
    </row>
    <row r="50" spans="1:6" s="171" customFormat="1" ht="20.100000000000001" customHeight="1">
      <c r="A50" s="180"/>
      <c r="C50" s="185"/>
      <c r="D50" s="693"/>
      <c r="E50" s="185"/>
    </row>
    <row r="51" spans="1:6" s="171" customFormat="1" ht="20.100000000000001" customHeight="1">
      <c r="A51" s="180"/>
      <c r="C51" s="185"/>
      <c r="D51" s="693"/>
      <c r="E51" s="185"/>
    </row>
    <row r="52" spans="1:6" s="171" customFormat="1" ht="20.100000000000001" customHeight="1">
      <c r="A52" s="180"/>
      <c r="C52" s="863" t="s">
        <v>463</v>
      </c>
      <c r="D52" s="863"/>
      <c r="E52" s="863"/>
      <c r="F52" s="863"/>
    </row>
    <row r="53" spans="1:6" s="171" customFormat="1" ht="20.100000000000001" customHeight="1">
      <c r="A53" s="180"/>
      <c r="C53" s="863" t="s">
        <v>53</v>
      </c>
      <c r="D53" s="863"/>
      <c r="E53" s="863"/>
      <c r="F53" s="863"/>
    </row>
    <row r="54" spans="1:6" s="171" customFormat="1" ht="20.100000000000001" customHeight="1">
      <c r="A54" s="180"/>
      <c r="C54" s="864" t="s">
        <v>54</v>
      </c>
      <c r="D54" s="864"/>
      <c r="E54" s="864"/>
      <c r="F54" s="864"/>
    </row>
    <row r="55" spans="1:6" s="171" customFormat="1" ht="20.100000000000001" customHeight="1">
      <c r="A55" s="180"/>
      <c r="C55" s="360"/>
      <c r="D55" s="360"/>
      <c r="E55" s="689"/>
    </row>
    <row r="56" spans="1:6" s="171" customFormat="1" ht="20.100000000000001" customHeight="1">
      <c r="A56" s="180"/>
      <c r="C56" s="185"/>
      <c r="D56" s="693"/>
      <c r="E56" s="185"/>
    </row>
    <row r="57" spans="1:6" s="171" customFormat="1" ht="20.100000000000001" customHeight="1">
      <c r="A57" s="180"/>
      <c r="C57" s="185"/>
      <c r="D57" s="693"/>
      <c r="E57" s="185"/>
    </row>
    <row r="58" spans="1:6" s="171" customFormat="1" ht="20.100000000000001" customHeight="1">
      <c r="A58" s="180"/>
      <c r="C58" s="185"/>
      <c r="D58" s="693"/>
      <c r="E58" s="185"/>
    </row>
    <row r="59" spans="1:6" s="171" customFormat="1" ht="20.100000000000001" customHeight="1">
      <c r="A59" s="180"/>
      <c r="C59" s="185"/>
      <c r="D59" s="693"/>
      <c r="E59" s="185"/>
    </row>
    <row r="60" spans="1:6" s="368" customFormat="1" ht="20.100000000000001" customHeight="1">
      <c r="A60" s="541"/>
      <c r="C60" s="446"/>
      <c r="D60" s="370"/>
      <c r="E60" s="446"/>
    </row>
    <row r="61" spans="1:6" s="368" customFormat="1" ht="20.100000000000001" customHeight="1">
      <c r="A61" s="541"/>
      <c r="C61" s="446"/>
      <c r="D61" s="370"/>
      <c r="E61" s="446"/>
    </row>
    <row r="62" spans="1:6" s="368" customFormat="1" ht="20.100000000000001" customHeight="1">
      <c r="A62" s="541"/>
      <c r="C62" s="446"/>
      <c r="D62" s="370"/>
      <c r="E62" s="446"/>
    </row>
    <row r="63" spans="1:6" s="368" customFormat="1" ht="20.100000000000001" customHeight="1">
      <c r="A63" s="541"/>
      <c r="C63" s="446"/>
      <c r="D63" s="370"/>
      <c r="E63" s="446"/>
    </row>
    <row r="64" spans="1:6" s="368" customFormat="1" ht="20.100000000000001" customHeight="1">
      <c r="A64" s="541"/>
      <c r="C64" s="446"/>
      <c r="D64" s="370"/>
      <c r="E64" s="446"/>
    </row>
    <row r="65" spans="1:5" s="368" customFormat="1" ht="20.100000000000001" customHeight="1">
      <c r="A65" s="541"/>
      <c r="C65" s="446"/>
      <c r="D65" s="370"/>
      <c r="E65" s="446"/>
    </row>
    <row r="66" spans="1:5" s="368" customFormat="1" ht="20.100000000000001" customHeight="1">
      <c r="A66" s="541"/>
      <c r="C66" s="446"/>
      <c r="D66" s="370"/>
      <c r="E66" s="446"/>
    </row>
    <row r="67" spans="1:5" s="368" customFormat="1" ht="20.100000000000001" customHeight="1">
      <c r="A67" s="541"/>
      <c r="C67" s="446"/>
      <c r="D67" s="370"/>
      <c r="E67" s="446"/>
    </row>
    <row r="68" spans="1:5" s="368" customFormat="1" ht="20.100000000000001" customHeight="1">
      <c r="A68" s="541"/>
      <c r="C68" s="446"/>
      <c r="D68" s="370"/>
      <c r="E68" s="446"/>
    </row>
    <row r="69" spans="1:5" s="368" customFormat="1" ht="20.100000000000001" customHeight="1">
      <c r="A69" s="541"/>
      <c r="C69" s="446"/>
      <c r="D69" s="370"/>
      <c r="E69" s="446"/>
    </row>
    <row r="70" spans="1:5" s="368" customFormat="1" ht="20.100000000000001" customHeight="1">
      <c r="A70" s="541"/>
      <c r="C70" s="446"/>
      <c r="D70" s="370"/>
      <c r="E70" s="446"/>
    </row>
    <row r="71" spans="1:5" s="368" customFormat="1" ht="20.100000000000001" customHeight="1">
      <c r="A71" s="541"/>
      <c r="C71" s="446"/>
      <c r="D71" s="370"/>
      <c r="E71" s="446"/>
    </row>
    <row r="72" spans="1:5" s="368" customFormat="1" ht="20.100000000000001" customHeight="1">
      <c r="A72" s="541"/>
      <c r="C72" s="446"/>
      <c r="D72" s="370"/>
      <c r="E72" s="446"/>
    </row>
    <row r="73" spans="1:5" s="368" customFormat="1" ht="20.100000000000001" customHeight="1">
      <c r="A73" s="541"/>
      <c r="C73" s="446"/>
      <c r="D73" s="370"/>
      <c r="E73" s="446"/>
    </row>
    <row r="74" spans="1:5" s="368" customFormat="1" ht="20.100000000000001" customHeight="1">
      <c r="A74" s="541"/>
      <c r="C74" s="446"/>
      <c r="D74" s="370"/>
      <c r="E74" s="446"/>
    </row>
  </sheetData>
  <mergeCells count="4">
    <mergeCell ref="A48:E48"/>
    <mergeCell ref="C52:F52"/>
    <mergeCell ref="C53:F53"/>
    <mergeCell ref="C54:F54"/>
  </mergeCells>
  <phoneticPr fontId="5" type="noConversion"/>
  <pageMargins left="0.17" right="0.17" top="0.47" bottom="0.27" header="0.16" footer="0.17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/>
  <dimension ref="A1:G41"/>
  <sheetViews>
    <sheetView topLeftCell="C28" zoomScaleNormal="100" workbookViewId="0">
      <selection activeCell="F76" sqref="F76"/>
    </sheetView>
  </sheetViews>
  <sheetFormatPr defaultRowHeight="12.75"/>
  <cols>
    <col min="1" max="1" width="8" style="31" customWidth="1"/>
    <col min="2" max="2" width="13.85546875" style="31" customWidth="1"/>
    <col min="3" max="3" width="37.28515625" style="31" customWidth="1"/>
    <col min="4" max="6" width="25.7109375" style="31" customWidth="1"/>
    <col min="7" max="7" width="12.85546875" style="31" bestFit="1" customWidth="1"/>
    <col min="8" max="16384" width="9.140625" style="31"/>
  </cols>
  <sheetData>
    <row r="1" spans="1:7" ht="15.75">
      <c r="B1" s="444" t="s">
        <v>442</v>
      </c>
    </row>
    <row r="2" spans="1:7" ht="15.75">
      <c r="B2" s="444" t="s">
        <v>443</v>
      </c>
    </row>
    <row r="3" spans="1:7" ht="15.75">
      <c r="B3" s="445" t="s">
        <v>444</v>
      </c>
    </row>
    <row r="4" spans="1:7" ht="15.75">
      <c r="B4" s="445" t="s">
        <v>445</v>
      </c>
    </row>
    <row r="5" spans="1:7">
      <c r="A5" s="446"/>
      <c r="B5" s="446"/>
      <c r="C5" s="368"/>
      <c r="D5" s="368"/>
      <c r="E5" s="368"/>
      <c r="F5" s="368"/>
    </row>
    <row r="6" spans="1:7" ht="15.75">
      <c r="A6" s="868" t="s">
        <v>446</v>
      </c>
      <c r="B6" s="868"/>
      <c r="C6" s="868"/>
      <c r="D6" s="868"/>
      <c r="E6" s="868"/>
      <c r="F6" s="868"/>
    </row>
    <row r="7" spans="1:7" ht="19.5" thickBot="1">
      <c r="A7" s="447"/>
      <c r="B7" s="447"/>
      <c r="C7" s="447"/>
      <c r="D7" s="447"/>
      <c r="E7" s="447"/>
      <c r="F7" s="447"/>
    </row>
    <row r="8" spans="1:7" ht="13.5" thickBot="1">
      <c r="A8" s="511" t="s">
        <v>447</v>
      </c>
      <c r="B8" s="512" t="s">
        <v>448</v>
      </c>
      <c r="C8" s="512" t="s">
        <v>449</v>
      </c>
      <c r="D8" s="512" t="s">
        <v>450</v>
      </c>
      <c r="E8" s="512" t="s">
        <v>451</v>
      </c>
      <c r="F8" s="513" t="s">
        <v>210</v>
      </c>
    </row>
    <row r="9" spans="1:7" ht="24.95" customHeight="1">
      <c r="A9" s="517">
        <v>1</v>
      </c>
      <c r="B9" s="518" t="s">
        <v>452</v>
      </c>
      <c r="C9" s="519" t="s">
        <v>453</v>
      </c>
      <c r="D9" s="520">
        <v>0</v>
      </c>
      <c r="E9" s="521">
        <f>Magazina_Analitike!G8</f>
        <v>240298.327223</v>
      </c>
      <c r="F9" s="522">
        <f>E9-D9</f>
        <v>240298.327223</v>
      </c>
    </row>
    <row r="10" spans="1:7" ht="24.95" customHeight="1">
      <c r="A10" s="523">
        <v>2</v>
      </c>
      <c r="B10" s="449" t="s">
        <v>211</v>
      </c>
      <c r="C10" s="33" t="s">
        <v>454</v>
      </c>
      <c r="D10" s="450">
        <v>4762964</v>
      </c>
      <c r="E10" s="451">
        <f>Magazina_Analitike!G16</f>
        <v>1121999.6607969999</v>
      </c>
      <c r="F10" s="524">
        <f t="shared" ref="F10:F19" si="0">E10-D10</f>
        <v>-3640964.3392030001</v>
      </c>
    </row>
    <row r="11" spans="1:7" ht="24.95" customHeight="1">
      <c r="A11" s="523">
        <v>3</v>
      </c>
      <c r="B11" s="449" t="s">
        <v>212</v>
      </c>
      <c r="C11" s="33" t="s">
        <v>213</v>
      </c>
      <c r="D11" s="450">
        <v>117862</v>
      </c>
      <c r="E11" s="363">
        <f>Magazina_Analitike!G21</f>
        <v>191859.12282264</v>
      </c>
      <c r="F11" s="524">
        <f t="shared" si="0"/>
        <v>73997.122822639998</v>
      </c>
      <c r="G11" s="454"/>
    </row>
    <row r="12" spans="1:7" ht="24.95" customHeight="1">
      <c r="A12" s="523">
        <v>4</v>
      </c>
      <c r="B12" s="448" t="s">
        <v>455</v>
      </c>
      <c r="C12" s="33" t="s">
        <v>456</v>
      </c>
      <c r="D12" s="450">
        <v>1889243</v>
      </c>
      <c r="E12" s="363">
        <f>Magazina_Analitike!G39</f>
        <v>5375509.23991</v>
      </c>
      <c r="F12" s="524">
        <f t="shared" si="0"/>
        <v>3486266.23991</v>
      </c>
    </row>
    <row r="13" spans="1:7" ht="24.95" customHeight="1">
      <c r="A13" s="523">
        <v>5</v>
      </c>
      <c r="B13" s="449" t="s">
        <v>214</v>
      </c>
      <c r="C13" s="33" t="s">
        <v>457</v>
      </c>
      <c r="D13" s="450">
        <v>12390246</v>
      </c>
      <c r="E13" s="363">
        <f>Magazina_Analitike!G118</f>
        <v>10117677.978588831</v>
      </c>
      <c r="F13" s="524">
        <f t="shared" si="0"/>
        <v>-2272568.0214111693</v>
      </c>
    </row>
    <row r="14" spans="1:7" ht="24.95" customHeight="1">
      <c r="A14" s="523">
        <v>6</v>
      </c>
      <c r="B14" s="449" t="s">
        <v>215</v>
      </c>
      <c r="C14" s="33" t="s">
        <v>458</v>
      </c>
      <c r="D14" s="450">
        <v>2112503</v>
      </c>
      <c r="E14" s="363">
        <f>Magazina_Analitike!G123</f>
        <v>828275.09856299998</v>
      </c>
      <c r="F14" s="524">
        <f t="shared" si="0"/>
        <v>-1284227.9014369999</v>
      </c>
      <c r="G14" s="454"/>
    </row>
    <row r="15" spans="1:7" ht="24.95" customHeight="1">
      <c r="A15" s="523">
        <v>7</v>
      </c>
      <c r="B15" s="449" t="s">
        <v>216</v>
      </c>
      <c r="C15" s="33" t="s">
        <v>459</v>
      </c>
      <c r="D15" s="450">
        <v>998911</v>
      </c>
      <c r="E15" s="363">
        <f>Magazina_Analitike!G185</f>
        <v>1481384.1049189998</v>
      </c>
      <c r="F15" s="524">
        <f t="shared" si="0"/>
        <v>482473.10491899983</v>
      </c>
      <c r="G15" s="454"/>
    </row>
    <row r="16" spans="1:7" ht="24.95" customHeight="1">
      <c r="A16" s="523">
        <v>8</v>
      </c>
      <c r="B16" s="449" t="s">
        <v>217</v>
      </c>
      <c r="C16" s="33" t="s">
        <v>460</v>
      </c>
      <c r="D16" s="450">
        <v>1288387</v>
      </c>
      <c r="E16" s="363">
        <f>Magazina_Analitike!G219</f>
        <v>1091878</v>
      </c>
      <c r="F16" s="524">
        <f t="shared" si="0"/>
        <v>-196509</v>
      </c>
      <c r="G16" s="452"/>
    </row>
    <row r="17" spans="1:7" ht="24.95" customHeight="1">
      <c r="A17" s="523">
        <v>9</v>
      </c>
      <c r="B17" s="449" t="s">
        <v>218</v>
      </c>
      <c r="C17" s="33" t="s">
        <v>461</v>
      </c>
      <c r="D17" s="450">
        <v>70800</v>
      </c>
      <c r="E17" s="363">
        <v>0</v>
      </c>
      <c r="F17" s="524">
        <f t="shared" si="0"/>
        <v>-70800</v>
      </c>
      <c r="G17" s="531"/>
    </row>
    <row r="18" spans="1:7" ht="24.95" customHeight="1">
      <c r="A18" s="523">
        <v>10</v>
      </c>
      <c r="B18" s="448" t="s">
        <v>219</v>
      </c>
      <c r="C18" s="33" t="s">
        <v>220</v>
      </c>
      <c r="D18" s="450">
        <v>43947374</v>
      </c>
      <c r="E18" s="450">
        <f>Magazina_Analitike!G321</f>
        <v>30243856.420697</v>
      </c>
      <c r="F18" s="524">
        <f t="shared" si="0"/>
        <v>-13703517.579303</v>
      </c>
    </row>
    <row r="19" spans="1:7" ht="24.95" customHeight="1" thickBot="1">
      <c r="A19" s="525">
        <v>11</v>
      </c>
      <c r="B19" s="526" t="s">
        <v>221</v>
      </c>
      <c r="C19" s="527" t="s">
        <v>462</v>
      </c>
      <c r="D19" s="528">
        <v>27551888</v>
      </c>
      <c r="E19" s="529">
        <f>Magazina_Analitike!G331</f>
        <v>21125478.100669</v>
      </c>
      <c r="F19" s="530">
        <f t="shared" si="0"/>
        <v>-6426409.8993309997</v>
      </c>
    </row>
    <row r="20" spans="1:7" ht="24.95" customHeight="1" thickBot="1">
      <c r="A20" s="869" t="s">
        <v>1200</v>
      </c>
      <c r="B20" s="870"/>
      <c r="C20" s="871"/>
      <c r="D20" s="514">
        <f>SUM(D9:D19)+1</f>
        <v>95130179</v>
      </c>
      <c r="E20" s="515">
        <f>SUM(E9:E19)</f>
        <v>71818216.054189473</v>
      </c>
      <c r="F20" s="516">
        <f>E20-D20</f>
        <v>-23311962.945810527</v>
      </c>
    </row>
    <row r="21" spans="1:7" ht="24.95" customHeight="1">
      <c r="A21" s="443"/>
      <c r="B21" s="443"/>
      <c r="D21" s="382"/>
      <c r="F21" s="452"/>
    </row>
    <row r="22" spans="1:7" ht="24.95" customHeight="1">
      <c r="A22" s="443"/>
      <c r="B22" s="443"/>
      <c r="D22" s="382"/>
      <c r="F22" s="452"/>
    </row>
    <row r="23" spans="1:7" ht="15.75">
      <c r="A23" s="442"/>
      <c r="B23" s="442"/>
      <c r="C23" s="61"/>
      <c r="D23" s="452"/>
      <c r="E23" s="863" t="s">
        <v>463</v>
      </c>
      <c r="F23" s="863"/>
    </row>
    <row r="24" spans="1:7" ht="15.75">
      <c r="A24" s="442"/>
      <c r="B24" s="442"/>
      <c r="C24" s="61"/>
      <c r="D24" s="453"/>
      <c r="E24" s="863" t="s">
        <v>53</v>
      </c>
      <c r="F24" s="863"/>
    </row>
    <row r="25" spans="1:7" ht="15.75">
      <c r="A25" s="443"/>
      <c r="B25" s="443"/>
      <c r="C25" s="382"/>
      <c r="D25" s="454"/>
      <c r="E25" s="864" t="s">
        <v>54</v>
      </c>
      <c r="F25" s="864"/>
    </row>
    <row r="26" spans="1:7" ht="15.75">
      <c r="A26" s="443"/>
      <c r="B26" s="443"/>
      <c r="C26" s="382"/>
      <c r="D26" s="382"/>
      <c r="E26" s="455"/>
      <c r="F26" s="456"/>
    </row>
    <row r="27" spans="1:7">
      <c r="C27" s="531"/>
      <c r="D27" s="532"/>
    </row>
    <row r="28" spans="1:7">
      <c r="F28" s="382"/>
    </row>
    <row r="29" spans="1:7">
      <c r="D29" s="531"/>
      <c r="F29" s="382"/>
    </row>
    <row r="30" spans="1:7">
      <c r="F30" s="531"/>
    </row>
    <row r="31" spans="1:7">
      <c r="F31" s="382"/>
    </row>
    <row r="32" spans="1:7">
      <c r="E32" s="531"/>
      <c r="F32" s="382"/>
    </row>
    <row r="33" spans="5:6">
      <c r="F33" s="382"/>
    </row>
    <row r="34" spans="5:6">
      <c r="E34" s="531"/>
      <c r="F34" s="531"/>
    </row>
    <row r="39" spans="5:6">
      <c r="F39" s="382"/>
    </row>
    <row r="40" spans="5:6">
      <c r="F40" s="382"/>
    </row>
    <row r="41" spans="5:6">
      <c r="F41" s="382"/>
    </row>
  </sheetData>
  <mergeCells count="5">
    <mergeCell ref="E25:F25"/>
    <mergeCell ref="A6:F6"/>
    <mergeCell ref="A20:C20"/>
    <mergeCell ref="E23:F23"/>
    <mergeCell ref="E24:F24"/>
  </mergeCells>
  <phoneticPr fontId="5" type="noConversion"/>
  <pageMargins left="0.61" right="0.4" top="0.31" bottom="0.23" header="0.2" footer="0.1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A1:H350"/>
  <sheetViews>
    <sheetView topLeftCell="C325" zoomScale="120" zoomScaleNormal="120" workbookViewId="0">
      <selection activeCell="F76" sqref="F76"/>
    </sheetView>
  </sheetViews>
  <sheetFormatPr defaultRowHeight="12.75"/>
  <cols>
    <col min="1" max="1" width="4.5703125" style="443" customWidth="1"/>
    <col min="2" max="2" width="2.85546875" style="31" hidden="1" customWidth="1"/>
    <col min="3" max="3" width="52.5703125" style="457" customWidth="1"/>
    <col min="4" max="4" width="5.28515625" style="443" customWidth="1"/>
    <col min="5" max="5" width="11.28515625" style="360" bestFit="1" customWidth="1"/>
    <col min="6" max="6" width="11.28515625" style="382" customWidth="1"/>
    <col min="7" max="7" width="16.5703125" style="360" bestFit="1" customWidth="1"/>
    <col min="8" max="8" width="7.5703125" style="31" hidden="1" customWidth="1"/>
    <col min="9" max="16384" width="9.140625" style="31"/>
  </cols>
  <sheetData>
    <row r="1" spans="1:8" ht="15.75">
      <c r="A1" s="444" t="s">
        <v>442</v>
      </c>
    </row>
    <row r="2" spans="1:8" ht="15.75">
      <c r="A2" s="444" t="s">
        <v>443</v>
      </c>
    </row>
    <row r="3" spans="1:8" ht="15.75">
      <c r="A3" s="445" t="s">
        <v>444</v>
      </c>
    </row>
    <row r="4" spans="1:8" ht="15.75">
      <c r="A4" s="445" t="s">
        <v>445</v>
      </c>
    </row>
    <row r="5" spans="1:8" ht="21" thickBot="1">
      <c r="G5" s="476">
        <v>1</v>
      </c>
    </row>
    <row r="6" spans="1:8" s="443" customFormat="1">
      <c r="A6" s="487" t="s">
        <v>998</v>
      </c>
      <c r="B6" s="488" t="s">
        <v>46</v>
      </c>
      <c r="C6" s="489" t="s">
        <v>857</v>
      </c>
      <c r="D6" s="488" t="s">
        <v>378</v>
      </c>
      <c r="E6" s="490" t="s">
        <v>1206</v>
      </c>
      <c r="F6" s="491" t="s">
        <v>47</v>
      </c>
      <c r="G6" s="492" t="s">
        <v>1067</v>
      </c>
      <c r="H6" s="481" t="s">
        <v>858</v>
      </c>
    </row>
    <row r="7" spans="1:8" ht="13.5" thickBot="1">
      <c r="A7" s="500">
        <v>1</v>
      </c>
      <c r="B7" s="459" t="s">
        <v>464</v>
      </c>
      <c r="C7" s="460" t="s">
        <v>465</v>
      </c>
      <c r="D7" s="479" t="s">
        <v>56</v>
      </c>
      <c r="E7" s="461">
        <v>617.91</v>
      </c>
      <c r="F7" s="462">
        <v>388.88887899999997</v>
      </c>
      <c r="G7" s="510">
        <v>240298.327223</v>
      </c>
      <c r="H7" s="482" t="s">
        <v>466</v>
      </c>
    </row>
    <row r="8" spans="1:8" ht="13.5" thickBot="1">
      <c r="A8" s="495"/>
      <c r="B8" s="496"/>
      <c r="C8" s="497" t="s">
        <v>859</v>
      </c>
      <c r="D8" s="498"/>
      <c r="E8" s="499"/>
      <c r="F8" s="504"/>
      <c r="G8" s="506">
        <f>SUM(G7)</f>
        <v>240298.327223</v>
      </c>
      <c r="H8" s="368"/>
    </row>
    <row r="10" spans="1:8" ht="21" thickBot="1">
      <c r="G10" s="476">
        <v>2</v>
      </c>
    </row>
    <row r="11" spans="1:8" s="443" customFormat="1">
      <c r="A11" s="487" t="s">
        <v>998</v>
      </c>
      <c r="B11" s="488" t="s">
        <v>46</v>
      </c>
      <c r="C11" s="489" t="s">
        <v>857</v>
      </c>
      <c r="D11" s="488" t="s">
        <v>378</v>
      </c>
      <c r="E11" s="490" t="s">
        <v>1206</v>
      </c>
      <c r="F11" s="491" t="s">
        <v>47</v>
      </c>
      <c r="G11" s="492" t="s">
        <v>1067</v>
      </c>
      <c r="H11" s="481" t="s">
        <v>858</v>
      </c>
    </row>
    <row r="12" spans="1:8" s="466" customFormat="1">
      <c r="A12" s="493">
        <v>1</v>
      </c>
      <c r="B12" s="459" t="s">
        <v>467</v>
      </c>
      <c r="C12" s="459" t="s">
        <v>48</v>
      </c>
      <c r="D12" s="479" t="s">
        <v>49</v>
      </c>
      <c r="E12" s="462">
        <v>3523.19</v>
      </c>
      <c r="F12" s="462">
        <v>78.537488999999994</v>
      </c>
      <c r="G12" s="494">
        <v>276702.49586999998</v>
      </c>
      <c r="H12" s="483" t="s">
        <v>468</v>
      </c>
    </row>
    <row r="13" spans="1:8" s="466" customFormat="1">
      <c r="A13" s="493">
        <v>2</v>
      </c>
      <c r="B13" s="459" t="s">
        <v>467</v>
      </c>
      <c r="C13" s="459" t="s">
        <v>48</v>
      </c>
      <c r="D13" s="479" t="s">
        <v>49</v>
      </c>
      <c r="E13" s="462">
        <v>2963.42</v>
      </c>
      <c r="F13" s="462">
        <v>78.537488999999994</v>
      </c>
      <c r="G13" s="494">
        <v>232739.56565199999</v>
      </c>
      <c r="H13" s="483" t="s">
        <v>469</v>
      </c>
    </row>
    <row r="14" spans="1:8" s="466" customFormat="1">
      <c r="A14" s="493">
        <v>3</v>
      </c>
      <c r="B14" s="459" t="s">
        <v>470</v>
      </c>
      <c r="C14" s="459" t="s">
        <v>52</v>
      </c>
      <c r="D14" s="479" t="s">
        <v>49</v>
      </c>
      <c r="E14" s="462">
        <v>5421</v>
      </c>
      <c r="F14" s="462">
        <v>106.991681</v>
      </c>
      <c r="G14" s="494">
        <v>580001.90270099998</v>
      </c>
      <c r="H14" s="483" t="s">
        <v>468</v>
      </c>
    </row>
    <row r="15" spans="1:8" ht="13.5" thickBot="1">
      <c r="A15" s="493">
        <v>4</v>
      </c>
      <c r="B15" s="459" t="s">
        <v>471</v>
      </c>
      <c r="C15" s="459" t="s">
        <v>50</v>
      </c>
      <c r="D15" s="479" t="s">
        <v>49</v>
      </c>
      <c r="E15" s="462">
        <v>350.92</v>
      </c>
      <c r="F15" s="462">
        <v>92.772417000000004</v>
      </c>
      <c r="G15" s="507">
        <v>32555.696574000001</v>
      </c>
      <c r="H15" s="483" t="s">
        <v>468</v>
      </c>
    </row>
    <row r="16" spans="1:8" ht="13.5" thickBot="1">
      <c r="A16" s="495"/>
      <c r="B16" s="496"/>
      <c r="C16" s="497" t="s">
        <v>859</v>
      </c>
      <c r="D16" s="498"/>
      <c r="E16" s="499"/>
      <c r="F16" s="504"/>
      <c r="G16" s="506">
        <f>SUM(G12:G15)</f>
        <v>1121999.6607969999</v>
      </c>
      <c r="H16" s="483"/>
    </row>
    <row r="17" spans="1:8">
      <c r="B17" s="368"/>
      <c r="C17" s="464"/>
      <c r="D17" s="446"/>
      <c r="E17" s="370"/>
      <c r="F17" s="465"/>
      <c r="G17" s="467"/>
      <c r="H17" s="368"/>
    </row>
    <row r="18" spans="1:8" ht="21" thickBot="1">
      <c r="G18" s="476">
        <v>3</v>
      </c>
    </row>
    <row r="19" spans="1:8" s="443" customFormat="1">
      <c r="A19" s="487" t="s">
        <v>998</v>
      </c>
      <c r="B19" s="488" t="s">
        <v>46</v>
      </c>
      <c r="C19" s="489" t="s">
        <v>857</v>
      </c>
      <c r="D19" s="488" t="s">
        <v>378</v>
      </c>
      <c r="E19" s="490" t="s">
        <v>1206</v>
      </c>
      <c r="F19" s="491" t="s">
        <v>47</v>
      </c>
      <c r="G19" s="492" t="s">
        <v>1067</v>
      </c>
      <c r="H19" s="481" t="s">
        <v>858</v>
      </c>
    </row>
    <row r="20" spans="1:8" ht="13.5" thickBot="1">
      <c r="A20" s="500">
        <v>1</v>
      </c>
      <c r="B20" s="459" t="s">
        <v>472</v>
      </c>
      <c r="C20" s="460" t="s">
        <v>55</v>
      </c>
      <c r="D20" s="479" t="s">
        <v>56</v>
      </c>
      <c r="E20" s="462">
        <v>21.84</v>
      </c>
      <c r="F20" s="462">
        <v>8784.7583709999999</v>
      </c>
      <c r="G20" s="510">
        <f>E20*F20</f>
        <v>191859.12282264</v>
      </c>
      <c r="H20" s="483" t="s">
        <v>468</v>
      </c>
    </row>
    <row r="21" spans="1:8" ht="13.5" thickBot="1">
      <c r="A21" s="495"/>
      <c r="B21" s="496"/>
      <c r="C21" s="497" t="s">
        <v>859</v>
      </c>
      <c r="D21" s="498"/>
      <c r="E21" s="499"/>
      <c r="F21" s="504"/>
      <c r="G21" s="506">
        <f>G20</f>
        <v>191859.12282264</v>
      </c>
    </row>
    <row r="22" spans="1:8">
      <c r="C22" s="478"/>
      <c r="G22" s="470"/>
    </row>
    <row r="23" spans="1:8" ht="21" thickBot="1">
      <c r="G23" s="476">
        <v>4</v>
      </c>
    </row>
    <row r="24" spans="1:8" s="443" customFormat="1">
      <c r="A24" s="487" t="s">
        <v>998</v>
      </c>
      <c r="B24" s="488" t="s">
        <v>46</v>
      </c>
      <c r="C24" s="489" t="s">
        <v>857</v>
      </c>
      <c r="D24" s="488" t="s">
        <v>378</v>
      </c>
      <c r="E24" s="490" t="s">
        <v>1206</v>
      </c>
      <c r="F24" s="491" t="s">
        <v>47</v>
      </c>
      <c r="G24" s="492" t="s">
        <v>1067</v>
      </c>
      <c r="H24" s="481" t="s">
        <v>858</v>
      </c>
    </row>
    <row r="25" spans="1:8">
      <c r="A25" s="500">
        <v>1</v>
      </c>
      <c r="B25" s="459" t="s">
        <v>473</v>
      </c>
      <c r="C25" s="460" t="s">
        <v>474</v>
      </c>
      <c r="D25" s="479" t="s">
        <v>58</v>
      </c>
      <c r="E25" s="461">
        <v>1</v>
      </c>
      <c r="F25" s="462">
        <v>50000</v>
      </c>
      <c r="G25" s="494">
        <v>50000</v>
      </c>
      <c r="H25" s="483" t="s">
        <v>468</v>
      </c>
    </row>
    <row r="26" spans="1:8">
      <c r="A26" s="500">
        <v>2</v>
      </c>
      <c r="B26" s="459" t="s">
        <v>475</v>
      </c>
      <c r="C26" s="460" t="s">
        <v>476</v>
      </c>
      <c r="D26" s="479" t="s">
        <v>58</v>
      </c>
      <c r="E26" s="461">
        <v>2</v>
      </c>
      <c r="F26" s="462">
        <v>50000</v>
      </c>
      <c r="G26" s="494">
        <v>100000</v>
      </c>
      <c r="H26" s="483" t="s">
        <v>468</v>
      </c>
    </row>
    <row r="27" spans="1:8">
      <c r="A27" s="500">
        <v>3</v>
      </c>
      <c r="B27" s="459" t="s">
        <v>477</v>
      </c>
      <c r="C27" s="460" t="s">
        <v>478</v>
      </c>
      <c r="D27" s="479" t="s">
        <v>58</v>
      </c>
      <c r="E27" s="461">
        <v>1</v>
      </c>
      <c r="F27" s="462">
        <v>22500</v>
      </c>
      <c r="G27" s="494">
        <v>22500</v>
      </c>
      <c r="H27" s="483" t="s">
        <v>468</v>
      </c>
    </row>
    <row r="28" spans="1:8">
      <c r="A28" s="500">
        <v>4</v>
      </c>
      <c r="B28" s="459" t="s">
        <v>479</v>
      </c>
      <c r="C28" s="460" t="s">
        <v>480</v>
      </c>
      <c r="D28" s="479" t="s">
        <v>58</v>
      </c>
      <c r="E28" s="461">
        <v>1</v>
      </c>
      <c r="F28" s="462">
        <v>50000</v>
      </c>
      <c r="G28" s="494">
        <v>50000</v>
      </c>
      <c r="H28" s="483" t="s">
        <v>468</v>
      </c>
    </row>
    <row r="29" spans="1:8">
      <c r="A29" s="500">
        <v>5</v>
      </c>
      <c r="B29" s="459" t="s">
        <v>481</v>
      </c>
      <c r="C29" s="460" t="s">
        <v>380</v>
      </c>
      <c r="D29" s="479" t="s">
        <v>58</v>
      </c>
      <c r="E29" s="461">
        <v>9</v>
      </c>
      <c r="F29" s="462">
        <v>8000</v>
      </c>
      <c r="G29" s="494">
        <v>72000</v>
      </c>
      <c r="H29" s="483" t="s">
        <v>468</v>
      </c>
    </row>
    <row r="30" spans="1:8">
      <c r="A30" s="500">
        <v>6</v>
      </c>
      <c r="B30" s="459" t="s">
        <v>482</v>
      </c>
      <c r="C30" s="460" t="s">
        <v>57</v>
      </c>
      <c r="D30" s="479" t="s">
        <v>58</v>
      </c>
      <c r="E30" s="461">
        <v>2</v>
      </c>
      <c r="F30" s="462">
        <v>32000</v>
      </c>
      <c r="G30" s="494">
        <v>64000</v>
      </c>
      <c r="H30" s="483" t="s">
        <v>468</v>
      </c>
    </row>
    <row r="31" spans="1:8">
      <c r="A31" s="500">
        <v>7</v>
      </c>
      <c r="B31" s="459" t="s">
        <v>483</v>
      </c>
      <c r="C31" s="460" t="s">
        <v>484</v>
      </c>
      <c r="D31" s="479" t="s">
        <v>58</v>
      </c>
      <c r="E31" s="461">
        <v>22</v>
      </c>
      <c r="F31" s="462">
        <v>39000</v>
      </c>
      <c r="G31" s="494">
        <v>858000</v>
      </c>
      <c r="H31" s="483" t="s">
        <v>469</v>
      </c>
    </row>
    <row r="32" spans="1:8">
      <c r="A32" s="500">
        <v>8</v>
      </c>
      <c r="B32" s="459" t="s">
        <v>485</v>
      </c>
      <c r="C32" s="460" t="s">
        <v>59</v>
      </c>
      <c r="D32" s="479" t="s">
        <v>58</v>
      </c>
      <c r="E32" s="461">
        <v>13</v>
      </c>
      <c r="F32" s="462">
        <v>32000</v>
      </c>
      <c r="G32" s="494">
        <v>416000</v>
      </c>
      <c r="H32" s="483" t="s">
        <v>468</v>
      </c>
    </row>
    <row r="33" spans="1:8">
      <c r="A33" s="500">
        <v>9</v>
      </c>
      <c r="B33" s="459" t="s">
        <v>486</v>
      </c>
      <c r="C33" s="460" t="s">
        <v>379</v>
      </c>
      <c r="D33" s="479" t="s">
        <v>58</v>
      </c>
      <c r="E33" s="461">
        <v>13</v>
      </c>
      <c r="F33" s="462">
        <v>19740</v>
      </c>
      <c r="G33" s="494">
        <v>256620</v>
      </c>
      <c r="H33" s="483" t="s">
        <v>468</v>
      </c>
    </row>
    <row r="34" spans="1:8">
      <c r="A34" s="500">
        <v>10</v>
      </c>
      <c r="B34" s="459" t="s">
        <v>487</v>
      </c>
      <c r="C34" s="460" t="s">
        <v>381</v>
      </c>
      <c r="D34" s="479" t="s">
        <v>58</v>
      </c>
      <c r="E34" s="461">
        <v>1</v>
      </c>
      <c r="F34" s="462">
        <v>56000</v>
      </c>
      <c r="G34" s="494">
        <v>56000</v>
      </c>
      <c r="H34" s="483" t="s">
        <v>468</v>
      </c>
    </row>
    <row r="35" spans="1:8">
      <c r="A35" s="500">
        <v>11</v>
      </c>
      <c r="B35" s="459" t="s">
        <v>488</v>
      </c>
      <c r="C35" s="460" t="s">
        <v>60</v>
      </c>
      <c r="D35" s="479" t="s">
        <v>61</v>
      </c>
      <c r="E35" s="461">
        <v>277.62</v>
      </c>
      <c r="F35" s="462">
        <v>3690.7400040000002</v>
      </c>
      <c r="G35" s="494">
        <v>1024623.23991</v>
      </c>
      <c r="H35" s="483" t="s">
        <v>468</v>
      </c>
    </row>
    <row r="36" spans="1:8">
      <c r="A36" s="500">
        <v>12</v>
      </c>
      <c r="B36" s="459" t="s">
        <v>489</v>
      </c>
      <c r="C36" s="460" t="s">
        <v>490</v>
      </c>
      <c r="D36" s="479" t="s">
        <v>58</v>
      </c>
      <c r="E36" s="461">
        <v>4</v>
      </c>
      <c r="F36" s="462">
        <v>161108</v>
      </c>
      <c r="G36" s="494">
        <v>644432</v>
      </c>
      <c r="H36" s="483" t="s">
        <v>468</v>
      </c>
    </row>
    <row r="37" spans="1:8">
      <c r="A37" s="500">
        <v>13</v>
      </c>
      <c r="B37" s="459" t="s">
        <v>491</v>
      </c>
      <c r="C37" s="460" t="s">
        <v>492</v>
      </c>
      <c r="D37" s="479" t="s">
        <v>58</v>
      </c>
      <c r="E37" s="461">
        <v>1</v>
      </c>
      <c r="F37" s="462">
        <v>39334</v>
      </c>
      <c r="G37" s="494">
        <v>39334</v>
      </c>
      <c r="H37" s="483" t="s">
        <v>468</v>
      </c>
    </row>
    <row r="38" spans="1:8" ht="13.5" thickBot="1">
      <c r="A38" s="500">
        <v>14</v>
      </c>
      <c r="B38" s="459" t="s">
        <v>493</v>
      </c>
      <c r="C38" s="460" t="s">
        <v>494</v>
      </c>
      <c r="D38" s="479" t="s">
        <v>58</v>
      </c>
      <c r="E38" s="461">
        <v>42</v>
      </c>
      <c r="F38" s="462">
        <v>41000</v>
      </c>
      <c r="G38" s="507">
        <f>E38*F38</f>
        <v>1722000</v>
      </c>
      <c r="H38" s="483" t="s">
        <v>469</v>
      </c>
    </row>
    <row r="39" spans="1:8" ht="13.5" thickBot="1">
      <c r="A39" s="495"/>
      <c r="B39" s="496"/>
      <c r="C39" s="497" t="s">
        <v>859</v>
      </c>
      <c r="D39" s="498"/>
      <c r="E39" s="499"/>
      <c r="F39" s="509"/>
      <c r="G39" s="506">
        <f>SUM(G25:G38)</f>
        <v>5375509.23991</v>
      </c>
      <c r="H39" s="482"/>
    </row>
    <row r="40" spans="1:8">
      <c r="F40" s="469"/>
      <c r="G40" s="470"/>
      <c r="H40" s="466"/>
    </row>
    <row r="41" spans="1:8" ht="21" thickBot="1">
      <c r="G41" s="476">
        <v>5</v>
      </c>
    </row>
    <row r="42" spans="1:8" s="443" customFormat="1">
      <c r="A42" s="487" t="s">
        <v>998</v>
      </c>
      <c r="B42" s="488" t="s">
        <v>46</v>
      </c>
      <c r="C42" s="489" t="s">
        <v>857</v>
      </c>
      <c r="D42" s="488" t="s">
        <v>378</v>
      </c>
      <c r="E42" s="490" t="s">
        <v>1206</v>
      </c>
      <c r="F42" s="491" t="s">
        <v>47</v>
      </c>
      <c r="G42" s="492" t="s">
        <v>1067</v>
      </c>
      <c r="H42" s="481" t="s">
        <v>858</v>
      </c>
    </row>
    <row r="43" spans="1:8" s="466" customFormat="1">
      <c r="A43" s="493">
        <v>1</v>
      </c>
      <c r="B43" s="459" t="s">
        <v>495</v>
      </c>
      <c r="C43" s="460" t="s">
        <v>496</v>
      </c>
      <c r="D43" s="479" t="s">
        <v>49</v>
      </c>
      <c r="E43" s="461">
        <v>70</v>
      </c>
      <c r="F43" s="462">
        <v>591.11238100000003</v>
      </c>
      <c r="G43" s="494">
        <v>41377.866670000003</v>
      </c>
      <c r="H43" s="483" t="s">
        <v>466</v>
      </c>
    </row>
    <row r="44" spans="1:8" s="466" customFormat="1">
      <c r="A44" s="493">
        <v>2</v>
      </c>
      <c r="B44" s="459" t="s">
        <v>497</v>
      </c>
      <c r="C44" s="460" t="s">
        <v>498</v>
      </c>
      <c r="D44" s="479" t="s">
        <v>49</v>
      </c>
      <c r="E44" s="461">
        <v>800</v>
      </c>
      <c r="F44" s="462">
        <v>606</v>
      </c>
      <c r="G44" s="494">
        <v>484800</v>
      </c>
      <c r="H44" s="483" t="s">
        <v>469</v>
      </c>
    </row>
    <row r="45" spans="1:8" s="466" customFormat="1">
      <c r="A45" s="493">
        <v>3</v>
      </c>
      <c r="B45" s="459" t="s">
        <v>499</v>
      </c>
      <c r="C45" s="460" t="s">
        <v>500</v>
      </c>
      <c r="D45" s="479" t="s">
        <v>49</v>
      </c>
      <c r="E45" s="461">
        <v>510</v>
      </c>
      <c r="F45" s="462">
        <v>290.49736100000001</v>
      </c>
      <c r="G45" s="494">
        <v>148153.65411</v>
      </c>
      <c r="H45" s="483" t="s">
        <v>466</v>
      </c>
    </row>
    <row r="46" spans="1:8" s="466" customFormat="1">
      <c r="A46" s="493">
        <v>4</v>
      </c>
      <c r="B46" s="459" t="s">
        <v>501</v>
      </c>
      <c r="C46" s="460" t="s">
        <v>502</v>
      </c>
      <c r="D46" s="479" t="s">
        <v>49</v>
      </c>
      <c r="E46" s="461">
        <v>700</v>
      </c>
      <c r="F46" s="462">
        <v>304.81133299999999</v>
      </c>
      <c r="G46" s="494">
        <v>213367.93309999999</v>
      </c>
      <c r="H46" s="483" t="s">
        <v>466</v>
      </c>
    </row>
    <row r="47" spans="1:8" s="466" customFormat="1">
      <c r="A47" s="493">
        <v>5</v>
      </c>
      <c r="B47" s="459" t="s">
        <v>503</v>
      </c>
      <c r="C47" s="460" t="s">
        <v>95</v>
      </c>
      <c r="D47" s="479" t="s">
        <v>63</v>
      </c>
      <c r="E47" s="461">
        <v>14.7</v>
      </c>
      <c r="F47" s="462">
        <v>260.88193899999999</v>
      </c>
      <c r="G47" s="494">
        <v>3834.9645030000001</v>
      </c>
      <c r="H47" s="483" t="s">
        <v>468</v>
      </c>
    </row>
    <row r="48" spans="1:8" s="466" customFormat="1">
      <c r="A48" s="493">
        <v>6</v>
      </c>
      <c r="B48" s="459" t="s">
        <v>503</v>
      </c>
      <c r="C48" s="460" t="s">
        <v>95</v>
      </c>
      <c r="D48" s="479" t="s">
        <v>63</v>
      </c>
      <c r="E48" s="461">
        <v>21</v>
      </c>
      <c r="F48" s="462">
        <v>260.88193899999999</v>
      </c>
      <c r="G48" s="494">
        <v>5478.5207190000001</v>
      </c>
      <c r="H48" s="483" t="s">
        <v>469</v>
      </c>
    </row>
    <row r="49" spans="1:8" s="466" customFormat="1">
      <c r="A49" s="493">
        <v>7</v>
      </c>
      <c r="B49" s="459" t="s">
        <v>504</v>
      </c>
      <c r="C49" s="460" t="s">
        <v>62</v>
      </c>
      <c r="D49" s="479" t="s">
        <v>63</v>
      </c>
      <c r="E49" s="461">
        <v>1</v>
      </c>
      <c r="F49" s="462">
        <v>319.89467300000001</v>
      </c>
      <c r="G49" s="494">
        <v>319.89467300000001</v>
      </c>
      <c r="H49" s="483" t="s">
        <v>469</v>
      </c>
    </row>
    <row r="50" spans="1:8" s="466" customFormat="1">
      <c r="A50" s="493">
        <v>8</v>
      </c>
      <c r="B50" s="459" t="s">
        <v>505</v>
      </c>
      <c r="C50" s="460" t="s">
        <v>506</v>
      </c>
      <c r="D50" s="479" t="s">
        <v>51</v>
      </c>
      <c r="E50" s="461">
        <v>72</v>
      </c>
      <c r="F50" s="462">
        <v>3448</v>
      </c>
      <c r="G50" s="494">
        <v>248256</v>
      </c>
      <c r="H50" s="483" t="s">
        <v>468</v>
      </c>
    </row>
    <row r="51" spans="1:8" s="466" customFormat="1">
      <c r="A51" s="493">
        <v>9</v>
      </c>
      <c r="B51" s="459" t="s">
        <v>507</v>
      </c>
      <c r="C51" s="460" t="s">
        <v>508</v>
      </c>
      <c r="D51" s="479" t="s">
        <v>58</v>
      </c>
      <c r="E51" s="461">
        <v>39</v>
      </c>
      <c r="F51" s="462">
        <v>734</v>
      </c>
      <c r="G51" s="494">
        <v>28626</v>
      </c>
      <c r="H51" s="483" t="s">
        <v>469</v>
      </c>
    </row>
    <row r="52" spans="1:8" s="466" customFormat="1">
      <c r="A52" s="493">
        <v>10</v>
      </c>
      <c r="B52" s="459" t="s">
        <v>509</v>
      </c>
      <c r="C52" s="460" t="s">
        <v>68</v>
      </c>
      <c r="D52" s="479" t="s">
        <v>58</v>
      </c>
      <c r="E52" s="461">
        <v>57</v>
      </c>
      <c r="F52" s="462">
        <v>268.72000000000003</v>
      </c>
      <c r="G52" s="494">
        <v>15317.04</v>
      </c>
      <c r="H52" s="483" t="s">
        <v>469</v>
      </c>
    </row>
    <row r="53" spans="1:8" s="466" customFormat="1">
      <c r="A53" s="493">
        <v>11</v>
      </c>
      <c r="B53" s="459" t="s">
        <v>510</v>
      </c>
      <c r="C53" s="460" t="s">
        <v>511</v>
      </c>
      <c r="D53" s="479" t="s">
        <v>58</v>
      </c>
      <c r="E53" s="461">
        <v>2</v>
      </c>
      <c r="F53" s="462">
        <v>200</v>
      </c>
      <c r="G53" s="494">
        <v>400</v>
      </c>
      <c r="H53" s="483" t="s">
        <v>469</v>
      </c>
    </row>
    <row r="54" spans="1:8" s="466" customFormat="1">
      <c r="A54" s="493">
        <v>12</v>
      </c>
      <c r="B54" s="463" t="s">
        <v>512</v>
      </c>
      <c r="C54" s="471" t="s">
        <v>84</v>
      </c>
      <c r="D54" s="480" t="s">
        <v>49</v>
      </c>
      <c r="E54" s="468">
        <v>351.61</v>
      </c>
      <c r="F54" s="468">
        <v>160.70680300000001</v>
      </c>
      <c r="G54" s="503">
        <f>E54*F54</f>
        <v>56506.119002830004</v>
      </c>
      <c r="H54" s="483" t="s">
        <v>468</v>
      </c>
    </row>
    <row r="55" spans="1:8" s="466" customFormat="1">
      <c r="A55" s="493">
        <v>13</v>
      </c>
      <c r="B55" s="463" t="s">
        <v>513</v>
      </c>
      <c r="C55" s="471" t="s">
        <v>88</v>
      </c>
      <c r="D55" s="480" t="s">
        <v>49</v>
      </c>
      <c r="E55" s="468">
        <v>33800</v>
      </c>
      <c r="F55" s="468">
        <v>137.25942800000001</v>
      </c>
      <c r="G55" s="503">
        <f>E55*F55</f>
        <v>4639368.6664000005</v>
      </c>
      <c r="H55" s="483" t="s">
        <v>468</v>
      </c>
    </row>
    <row r="56" spans="1:8" s="466" customFormat="1">
      <c r="A56" s="493">
        <v>14</v>
      </c>
      <c r="B56" s="463" t="s">
        <v>514</v>
      </c>
      <c r="C56" s="471" t="s">
        <v>515</v>
      </c>
      <c r="D56" s="480" t="s">
        <v>49</v>
      </c>
      <c r="E56" s="468">
        <v>7380</v>
      </c>
      <c r="F56" s="468">
        <v>146.84</v>
      </c>
      <c r="G56" s="503">
        <f>E56*F56</f>
        <v>1083679.2</v>
      </c>
      <c r="H56" s="483" t="s">
        <v>469</v>
      </c>
    </row>
    <row r="57" spans="1:8" s="466" customFormat="1">
      <c r="A57" s="493">
        <v>15</v>
      </c>
      <c r="B57" s="459" t="s">
        <v>516</v>
      </c>
      <c r="C57" s="460" t="s">
        <v>382</v>
      </c>
      <c r="D57" s="479" t="s">
        <v>383</v>
      </c>
      <c r="E57" s="461">
        <v>2</v>
      </c>
      <c r="F57" s="462">
        <v>2500</v>
      </c>
      <c r="G57" s="494">
        <v>5000</v>
      </c>
      <c r="H57" s="483" t="s">
        <v>468</v>
      </c>
    </row>
    <row r="58" spans="1:8" s="466" customFormat="1">
      <c r="A58" s="493">
        <v>16</v>
      </c>
      <c r="B58" s="459" t="s">
        <v>517</v>
      </c>
      <c r="C58" s="460" t="s">
        <v>518</v>
      </c>
      <c r="D58" s="479" t="s">
        <v>58</v>
      </c>
      <c r="E58" s="461">
        <v>2</v>
      </c>
      <c r="F58" s="462">
        <v>269.81981999999999</v>
      </c>
      <c r="G58" s="494">
        <v>539.63963999999999</v>
      </c>
      <c r="H58" s="483" t="s">
        <v>469</v>
      </c>
    </row>
    <row r="59" spans="1:8" s="466" customFormat="1">
      <c r="A59" s="493">
        <v>17</v>
      </c>
      <c r="B59" s="459" t="s">
        <v>519</v>
      </c>
      <c r="C59" s="460" t="s">
        <v>520</v>
      </c>
      <c r="D59" s="479" t="s">
        <v>58</v>
      </c>
      <c r="E59" s="461">
        <v>4</v>
      </c>
      <c r="F59" s="462">
        <v>600</v>
      </c>
      <c r="G59" s="494">
        <v>2400</v>
      </c>
      <c r="H59" s="483" t="s">
        <v>468</v>
      </c>
    </row>
    <row r="60" spans="1:8" s="466" customFormat="1">
      <c r="A60" s="493">
        <v>18</v>
      </c>
      <c r="B60" s="459" t="s">
        <v>521</v>
      </c>
      <c r="C60" s="460" t="s">
        <v>522</v>
      </c>
      <c r="D60" s="479" t="s">
        <v>58</v>
      </c>
      <c r="E60" s="461">
        <v>2</v>
      </c>
      <c r="F60" s="462">
        <v>953</v>
      </c>
      <c r="G60" s="494">
        <v>1906</v>
      </c>
      <c r="H60" s="483" t="s">
        <v>469</v>
      </c>
    </row>
    <row r="61" spans="1:8" s="466" customFormat="1">
      <c r="A61" s="493">
        <v>19</v>
      </c>
      <c r="B61" s="459" t="s">
        <v>523</v>
      </c>
      <c r="C61" s="460" t="s">
        <v>524</v>
      </c>
      <c r="D61" s="479" t="s">
        <v>58</v>
      </c>
      <c r="E61" s="461">
        <v>25</v>
      </c>
      <c r="F61" s="462">
        <v>201.889433</v>
      </c>
      <c r="G61" s="494">
        <v>5047.2358249999997</v>
      </c>
      <c r="H61" s="483" t="s">
        <v>468</v>
      </c>
    </row>
    <row r="62" spans="1:8" s="466" customFormat="1">
      <c r="A62" s="493">
        <v>20</v>
      </c>
      <c r="B62" s="459" t="s">
        <v>525</v>
      </c>
      <c r="C62" s="460" t="s">
        <v>78</v>
      </c>
      <c r="D62" s="479" t="s">
        <v>63</v>
      </c>
      <c r="E62" s="461">
        <v>210</v>
      </c>
      <c r="F62" s="462">
        <v>345.20742300000001</v>
      </c>
      <c r="G62" s="494">
        <v>72493.558829999994</v>
      </c>
      <c r="H62" s="483" t="s">
        <v>468</v>
      </c>
    </row>
    <row r="63" spans="1:8" s="466" customFormat="1">
      <c r="A63" s="493">
        <v>21</v>
      </c>
      <c r="B63" s="459" t="s">
        <v>526</v>
      </c>
      <c r="C63" s="460" t="s">
        <v>384</v>
      </c>
      <c r="D63" s="479" t="s">
        <v>58</v>
      </c>
      <c r="E63" s="461">
        <v>10</v>
      </c>
      <c r="F63" s="462">
        <v>125.47147699999999</v>
      </c>
      <c r="G63" s="494">
        <v>1254.71477</v>
      </c>
      <c r="H63" s="483" t="s">
        <v>468</v>
      </c>
    </row>
    <row r="64" spans="1:8" s="466" customFormat="1">
      <c r="A64" s="493">
        <v>22</v>
      </c>
      <c r="B64" s="459" t="s">
        <v>526</v>
      </c>
      <c r="C64" s="460" t="s">
        <v>384</v>
      </c>
      <c r="D64" s="479" t="s">
        <v>58</v>
      </c>
      <c r="E64" s="461">
        <v>9</v>
      </c>
      <c r="F64" s="462">
        <v>125.47147699999999</v>
      </c>
      <c r="G64" s="494">
        <v>1129.243293</v>
      </c>
      <c r="H64" s="483" t="s">
        <v>469</v>
      </c>
    </row>
    <row r="65" spans="1:8" s="466" customFormat="1">
      <c r="A65" s="493">
        <v>23</v>
      </c>
      <c r="B65" s="459" t="s">
        <v>527</v>
      </c>
      <c r="C65" s="460" t="s">
        <v>528</v>
      </c>
      <c r="D65" s="479" t="s">
        <v>58</v>
      </c>
      <c r="E65" s="461">
        <v>1</v>
      </c>
      <c r="F65" s="462">
        <v>388.25806499999999</v>
      </c>
      <c r="G65" s="494">
        <v>388.25806499999999</v>
      </c>
      <c r="H65" s="483" t="s">
        <v>468</v>
      </c>
    </row>
    <row r="66" spans="1:8" s="466" customFormat="1">
      <c r="A66" s="493">
        <v>24</v>
      </c>
      <c r="B66" s="459" t="s">
        <v>529</v>
      </c>
      <c r="C66" s="460" t="s">
        <v>83</v>
      </c>
      <c r="D66" s="479" t="s">
        <v>63</v>
      </c>
      <c r="E66" s="461">
        <v>455</v>
      </c>
      <c r="F66" s="462">
        <v>264.71710300000001</v>
      </c>
      <c r="G66" s="494">
        <v>120446.281865</v>
      </c>
      <c r="H66" s="483" t="s">
        <v>468</v>
      </c>
    </row>
    <row r="67" spans="1:8" s="466" customFormat="1">
      <c r="A67" s="493">
        <v>25</v>
      </c>
      <c r="B67" s="459" t="s">
        <v>530</v>
      </c>
      <c r="C67" s="460" t="s">
        <v>385</v>
      </c>
      <c r="D67" s="479" t="s">
        <v>58</v>
      </c>
      <c r="E67" s="461">
        <v>5</v>
      </c>
      <c r="F67" s="462">
        <v>1488.6275000000001</v>
      </c>
      <c r="G67" s="494">
        <v>7443.1374999999998</v>
      </c>
      <c r="H67" s="483" t="s">
        <v>468</v>
      </c>
    </row>
    <row r="68" spans="1:8" s="466" customFormat="1">
      <c r="A68" s="493">
        <v>26</v>
      </c>
      <c r="B68" s="459" t="s">
        <v>531</v>
      </c>
      <c r="C68" s="460" t="s">
        <v>386</v>
      </c>
      <c r="D68" s="479" t="s">
        <v>58</v>
      </c>
      <c r="E68" s="461">
        <v>3</v>
      </c>
      <c r="F68" s="462">
        <v>2153.0285709999998</v>
      </c>
      <c r="G68" s="494">
        <v>6459.0857130000004</v>
      </c>
      <c r="H68" s="483" t="s">
        <v>468</v>
      </c>
    </row>
    <row r="69" spans="1:8" s="466" customFormat="1">
      <c r="A69" s="493">
        <v>27</v>
      </c>
      <c r="B69" s="459" t="s">
        <v>532</v>
      </c>
      <c r="C69" s="460" t="s">
        <v>82</v>
      </c>
      <c r="D69" s="479" t="s">
        <v>58</v>
      </c>
      <c r="E69" s="461">
        <v>5</v>
      </c>
      <c r="F69" s="462">
        <v>1493.1553329999999</v>
      </c>
      <c r="G69" s="494">
        <v>7465.7766650000003</v>
      </c>
      <c r="H69" s="483" t="s">
        <v>468</v>
      </c>
    </row>
    <row r="70" spans="1:8" s="466" customFormat="1">
      <c r="A70" s="493">
        <v>28</v>
      </c>
      <c r="B70" s="459" t="s">
        <v>533</v>
      </c>
      <c r="C70" s="460" t="s">
        <v>534</v>
      </c>
      <c r="D70" s="479" t="s">
        <v>58</v>
      </c>
      <c r="E70" s="461">
        <v>44</v>
      </c>
      <c r="F70" s="462">
        <v>693.41</v>
      </c>
      <c r="G70" s="494">
        <v>30510.04</v>
      </c>
      <c r="H70" s="483" t="s">
        <v>469</v>
      </c>
    </row>
    <row r="71" spans="1:8" s="466" customFormat="1">
      <c r="A71" s="493">
        <v>29</v>
      </c>
      <c r="B71" s="459" t="s">
        <v>535</v>
      </c>
      <c r="C71" s="460" t="s">
        <v>536</v>
      </c>
      <c r="D71" s="479" t="s">
        <v>49</v>
      </c>
      <c r="E71" s="461">
        <v>20</v>
      </c>
      <c r="F71" s="462">
        <v>159.10018099999999</v>
      </c>
      <c r="G71" s="494">
        <v>3182.00362</v>
      </c>
      <c r="H71" s="483" t="s">
        <v>469</v>
      </c>
    </row>
    <row r="72" spans="1:8" s="466" customFormat="1">
      <c r="A72" s="493">
        <v>30</v>
      </c>
      <c r="B72" s="459" t="s">
        <v>537</v>
      </c>
      <c r="C72" s="460" t="s">
        <v>538</v>
      </c>
      <c r="D72" s="479" t="s">
        <v>49</v>
      </c>
      <c r="E72" s="461">
        <v>5</v>
      </c>
      <c r="F72" s="462">
        <v>214.81159400000001</v>
      </c>
      <c r="G72" s="494">
        <v>1074.0579700000001</v>
      </c>
      <c r="H72" s="483" t="s">
        <v>468</v>
      </c>
    </row>
    <row r="73" spans="1:8" s="466" customFormat="1">
      <c r="A73" s="493">
        <v>31</v>
      </c>
      <c r="B73" s="459" t="s">
        <v>539</v>
      </c>
      <c r="C73" s="460" t="s">
        <v>387</v>
      </c>
      <c r="D73" s="479" t="s">
        <v>58</v>
      </c>
      <c r="E73" s="461">
        <v>56</v>
      </c>
      <c r="F73" s="462">
        <v>203</v>
      </c>
      <c r="G73" s="494">
        <v>11368</v>
      </c>
      <c r="H73" s="483" t="s">
        <v>468</v>
      </c>
    </row>
    <row r="74" spans="1:8" s="466" customFormat="1">
      <c r="A74" s="493">
        <v>32</v>
      </c>
      <c r="B74" s="459" t="s">
        <v>540</v>
      </c>
      <c r="C74" s="460" t="s">
        <v>73</v>
      </c>
      <c r="D74" s="479" t="s">
        <v>58</v>
      </c>
      <c r="E74" s="461">
        <v>198</v>
      </c>
      <c r="F74" s="462">
        <v>476</v>
      </c>
      <c r="G74" s="494">
        <v>94248</v>
      </c>
      <c r="H74" s="483" t="s">
        <v>468</v>
      </c>
    </row>
    <row r="75" spans="1:8" s="466" customFormat="1">
      <c r="A75" s="493">
        <v>33</v>
      </c>
      <c r="B75" s="459" t="s">
        <v>541</v>
      </c>
      <c r="C75" s="460" t="s">
        <v>71</v>
      </c>
      <c r="D75" s="479" t="s">
        <v>58</v>
      </c>
      <c r="E75" s="461">
        <v>77</v>
      </c>
      <c r="F75" s="462">
        <v>487.59</v>
      </c>
      <c r="G75" s="494">
        <v>37544.43</v>
      </c>
      <c r="H75" s="483" t="s">
        <v>468</v>
      </c>
    </row>
    <row r="76" spans="1:8" s="466" customFormat="1">
      <c r="A76" s="493">
        <v>34</v>
      </c>
      <c r="B76" s="459" t="s">
        <v>542</v>
      </c>
      <c r="C76" s="460" t="s">
        <v>72</v>
      </c>
      <c r="D76" s="479" t="s">
        <v>49</v>
      </c>
      <c r="E76" s="461">
        <v>34</v>
      </c>
      <c r="F76" s="462">
        <v>595.49875599999996</v>
      </c>
      <c r="G76" s="494">
        <v>20246.957704</v>
      </c>
      <c r="H76" s="483" t="s">
        <v>468</v>
      </c>
    </row>
    <row r="77" spans="1:8" s="466" customFormat="1">
      <c r="A77" s="493">
        <v>35</v>
      </c>
      <c r="B77" s="459" t="s">
        <v>542</v>
      </c>
      <c r="C77" s="460" t="s">
        <v>72</v>
      </c>
      <c r="D77" s="479" t="s">
        <v>49</v>
      </c>
      <c r="E77" s="461">
        <v>45</v>
      </c>
      <c r="F77" s="462">
        <v>595.49875599999996</v>
      </c>
      <c r="G77" s="494">
        <v>26797.444019999999</v>
      </c>
      <c r="H77" s="483" t="s">
        <v>469</v>
      </c>
    </row>
    <row r="78" spans="1:8" s="466" customFormat="1">
      <c r="A78" s="493">
        <v>36</v>
      </c>
      <c r="B78" s="459" t="s">
        <v>542</v>
      </c>
      <c r="C78" s="460" t="s">
        <v>72</v>
      </c>
      <c r="D78" s="479" t="s">
        <v>49</v>
      </c>
      <c r="E78" s="461">
        <v>20</v>
      </c>
      <c r="F78" s="462">
        <v>595.49875599999996</v>
      </c>
      <c r="G78" s="494">
        <v>11909.975119999999</v>
      </c>
      <c r="H78" s="483" t="s">
        <v>466</v>
      </c>
    </row>
    <row r="79" spans="1:8" s="466" customFormat="1">
      <c r="A79" s="493">
        <v>37</v>
      </c>
      <c r="B79" s="459" t="s">
        <v>543</v>
      </c>
      <c r="C79" s="460" t="s">
        <v>544</v>
      </c>
      <c r="D79" s="479" t="s">
        <v>58</v>
      </c>
      <c r="E79" s="461">
        <v>1</v>
      </c>
      <c r="F79" s="462">
        <v>1800</v>
      </c>
      <c r="G79" s="494">
        <v>1800</v>
      </c>
      <c r="H79" s="483" t="s">
        <v>468</v>
      </c>
    </row>
    <row r="80" spans="1:8" s="466" customFormat="1">
      <c r="A80" s="493">
        <v>38</v>
      </c>
      <c r="B80" s="459" t="s">
        <v>545</v>
      </c>
      <c r="C80" s="460" t="s">
        <v>546</v>
      </c>
      <c r="D80" s="479" t="s">
        <v>58</v>
      </c>
      <c r="E80" s="461">
        <v>8</v>
      </c>
      <c r="F80" s="462">
        <v>367.36842100000001</v>
      </c>
      <c r="G80" s="494">
        <v>2938.9473680000001</v>
      </c>
      <c r="H80" s="483" t="s">
        <v>468</v>
      </c>
    </row>
    <row r="81" spans="1:8" s="466" customFormat="1">
      <c r="A81" s="493">
        <v>39</v>
      </c>
      <c r="B81" s="459" t="s">
        <v>547</v>
      </c>
      <c r="C81" s="460" t="s">
        <v>79</v>
      </c>
      <c r="D81" s="479" t="s">
        <v>58</v>
      </c>
      <c r="E81" s="461">
        <v>1</v>
      </c>
      <c r="F81" s="462">
        <v>141750</v>
      </c>
      <c r="G81" s="494">
        <v>141750</v>
      </c>
      <c r="H81" s="483" t="s">
        <v>468</v>
      </c>
    </row>
    <row r="82" spans="1:8" s="466" customFormat="1">
      <c r="A82" s="493">
        <v>40</v>
      </c>
      <c r="B82" s="459" t="s">
        <v>548</v>
      </c>
      <c r="C82" s="460" t="s">
        <v>549</v>
      </c>
      <c r="D82" s="479" t="s">
        <v>58</v>
      </c>
      <c r="E82" s="461">
        <v>48</v>
      </c>
      <c r="F82" s="462">
        <v>140</v>
      </c>
      <c r="G82" s="494">
        <v>6720</v>
      </c>
      <c r="H82" s="483" t="s">
        <v>469</v>
      </c>
    </row>
    <row r="83" spans="1:8" s="466" customFormat="1">
      <c r="A83" s="493">
        <v>41</v>
      </c>
      <c r="B83" s="459" t="s">
        <v>550</v>
      </c>
      <c r="C83" s="460" t="s">
        <v>94</v>
      </c>
      <c r="D83" s="479" t="s">
        <v>58</v>
      </c>
      <c r="E83" s="461">
        <v>1</v>
      </c>
      <c r="F83" s="462">
        <v>260661</v>
      </c>
      <c r="G83" s="494">
        <v>260661</v>
      </c>
      <c r="H83" s="483" t="s">
        <v>468</v>
      </c>
    </row>
    <row r="84" spans="1:8" s="466" customFormat="1">
      <c r="A84" s="493">
        <v>42</v>
      </c>
      <c r="B84" s="459" t="s">
        <v>551</v>
      </c>
      <c r="C84" s="460" t="s">
        <v>69</v>
      </c>
      <c r="D84" s="479" t="s">
        <v>49</v>
      </c>
      <c r="E84" s="461">
        <v>2050</v>
      </c>
      <c r="F84" s="462">
        <v>185.35</v>
      </c>
      <c r="G84" s="494">
        <v>379967.5</v>
      </c>
      <c r="H84" s="483" t="s">
        <v>469</v>
      </c>
    </row>
    <row r="85" spans="1:8" s="466" customFormat="1">
      <c r="A85" s="493">
        <v>43</v>
      </c>
      <c r="B85" s="459" t="s">
        <v>552</v>
      </c>
      <c r="C85" s="460" t="s">
        <v>388</v>
      </c>
      <c r="D85" s="479" t="s">
        <v>58</v>
      </c>
      <c r="E85" s="461">
        <v>29</v>
      </c>
      <c r="F85" s="462">
        <v>115</v>
      </c>
      <c r="G85" s="494">
        <v>3335</v>
      </c>
      <c r="H85" s="483" t="s">
        <v>469</v>
      </c>
    </row>
    <row r="86" spans="1:8" s="466" customFormat="1">
      <c r="A86" s="493">
        <v>44</v>
      </c>
      <c r="B86" s="459" t="s">
        <v>553</v>
      </c>
      <c r="C86" s="460" t="s">
        <v>554</v>
      </c>
      <c r="D86" s="479" t="s">
        <v>61</v>
      </c>
      <c r="E86" s="461">
        <v>5</v>
      </c>
      <c r="F86" s="462">
        <v>2261.1999999999998</v>
      </c>
      <c r="G86" s="494">
        <v>11306</v>
      </c>
      <c r="H86" s="483" t="s">
        <v>469</v>
      </c>
    </row>
    <row r="87" spans="1:8" s="466" customFormat="1">
      <c r="A87" s="493">
        <v>45</v>
      </c>
      <c r="B87" s="459" t="s">
        <v>555</v>
      </c>
      <c r="C87" s="460" t="s">
        <v>556</v>
      </c>
      <c r="D87" s="479" t="s">
        <v>58</v>
      </c>
      <c r="E87" s="461">
        <v>3</v>
      </c>
      <c r="F87" s="462">
        <v>393.6</v>
      </c>
      <c r="G87" s="494">
        <v>1180.8</v>
      </c>
      <c r="H87" s="483" t="s">
        <v>469</v>
      </c>
    </row>
    <row r="88" spans="1:8" s="466" customFormat="1">
      <c r="A88" s="493">
        <v>46</v>
      </c>
      <c r="B88" s="459" t="s">
        <v>557</v>
      </c>
      <c r="C88" s="460" t="s">
        <v>66</v>
      </c>
      <c r="D88" s="479" t="s">
        <v>58</v>
      </c>
      <c r="E88" s="461">
        <v>4</v>
      </c>
      <c r="F88" s="462">
        <v>603</v>
      </c>
      <c r="G88" s="494">
        <v>2412</v>
      </c>
      <c r="H88" s="483" t="s">
        <v>469</v>
      </c>
    </row>
    <row r="89" spans="1:8" s="466" customFormat="1">
      <c r="A89" s="493">
        <v>47</v>
      </c>
      <c r="B89" s="459" t="s">
        <v>558</v>
      </c>
      <c r="C89" s="460" t="s">
        <v>67</v>
      </c>
      <c r="D89" s="479" t="s">
        <v>58</v>
      </c>
      <c r="E89" s="461">
        <v>30</v>
      </c>
      <c r="F89" s="462">
        <v>602.96</v>
      </c>
      <c r="G89" s="494">
        <v>18088.8</v>
      </c>
      <c r="H89" s="483" t="s">
        <v>469</v>
      </c>
    </row>
    <row r="90" spans="1:8" s="466" customFormat="1">
      <c r="A90" s="493">
        <v>48</v>
      </c>
      <c r="B90" s="459" t="s">
        <v>559</v>
      </c>
      <c r="C90" s="460" t="s">
        <v>560</v>
      </c>
      <c r="D90" s="479" t="s">
        <v>58</v>
      </c>
      <c r="E90" s="461">
        <v>8</v>
      </c>
      <c r="F90" s="462">
        <v>61.538462000000003</v>
      </c>
      <c r="G90" s="494">
        <v>492.30769600000002</v>
      </c>
      <c r="H90" s="483" t="s">
        <v>469</v>
      </c>
    </row>
    <row r="91" spans="1:8" s="466" customFormat="1">
      <c r="A91" s="493">
        <v>49</v>
      </c>
      <c r="B91" s="459" t="s">
        <v>561</v>
      </c>
      <c r="C91" s="460" t="s">
        <v>65</v>
      </c>
      <c r="D91" s="479" t="s">
        <v>58</v>
      </c>
      <c r="E91" s="461">
        <v>10</v>
      </c>
      <c r="F91" s="462">
        <v>2216.19</v>
      </c>
      <c r="G91" s="494">
        <v>22161.9</v>
      </c>
      <c r="H91" s="483" t="s">
        <v>469</v>
      </c>
    </row>
    <row r="92" spans="1:8" s="466" customFormat="1">
      <c r="A92" s="493">
        <v>50</v>
      </c>
      <c r="B92" s="459" t="s">
        <v>562</v>
      </c>
      <c r="C92" s="460" t="s">
        <v>64</v>
      </c>
      <c r="D92" s="479" t="s">
        <v>58</v>
      </c>
      <c r="E92" s="461">
        <v>21</v>
      </c>
      <c r="F92" s="462">
        <v>5505.37</v>
      </c>
      <c r="G92" s="494">
        <v>115612.77</v>
      </c>
      <c r="H92" s="483" t="s">
        <v>469</v>
      </c>
    </row>
    <row r="93" spans="1:8" s="466" customFormat="1">
      <c r="A93" s="493">
        <v>51</v>
      </c>
      <c r="B93" s="459" t="s">
        <v>563</v>
      </c>
      <c r="C93" s="460" t="s">
        <v>584</v>
      </c>
      <c r="D93" s="479" t="s">
        <v>58</v>
      </c>
      <c r="E93" s="461">
        <v>6</v>
      </c>
      <c r="F93" s="462">
        <v>1611.57</v>
      </c>
      <c r="G93" s="494">
        <v>9669.42</v>
      </c>
      <c r="H93" s="483" t="s">
        <v>469</v>
      </c>
    </row>
    <row r="94" spans="1:8" s="466" customFormat="1">
      <c r="A94" s="493">
        <v>52</v>
      </c>
      <c r="B94" s="459" t="s">
        <v>585</v>
      </c>
      <c r="C94" s="460" t="s">
        <v>586</v>
      </c>
      <c r="D94" s="479" t="s">
        <v>58</v>
      </c>
      <c r="E94" s="461">
        <v>2</v>
      </c>
      <c r="F94" s="462">
        <v>12421</v>
      </c>
      <c r="G94" s="494">
        <v>24842</v>
      </c>
      <c r="H94" s="483" t="s">
        <v>469</v>
      </c>
    </row>
    <row r="95" spans="1:8" s="466" customFormat="1">
      <c r="A95" s="493">
        <v>53</v>
      </c>
      <c r="B95" s="459" t="s">
        <v>587</v>
      </c>
      <c r="C95" s="460" t="s">
        <v>588</v>
      </c>
      <c r="D95" s="479" t="s">
        <v>58</v>
      </c>
      <c r="E95" s="461">
        <v>78</v>
      </c>
      <c r="F95" s="462">
        <v>346.55</v>
      </c>
      <c r="G95" s="494">
        <v>27030.9</v>
      </c>
      <c r="H95" s="483" t="s">
        <v>469</v>
      </c>
    </row>
    <row r="96" spans="1:8" s="466" customFormat="1">
      <c r="A96" s="493">
        <v>54</v>
      </c>
      <c r="B96" s="459" t="s">
        <v>589</v>
      </c>
      <c r="C96" s="460" t="s">
        <v>390</v>
      </c>
      <c r="D96" s="479" t="s">
        <v>58</v>
      </c>
      <c r="E96" s="461">
        <v>9</v>
      </c>
      <c r="F96" s="462">
        <v>1871.37</v>
      </c>
      <c r="G96" s="494">
        <v>16842.330000000002</v>
      </c>
      <c r="H96" s="483" t="s">
        <v>469</v>
      </c>
    </row>
    <row r="97" spans="1:8" s="466" customFormat="1">
      <c r="A97" s="493">
        <v>55</v>
      </c>
      <c r="B97" s="459" t="s">
        <v>590</v>
      </c>
      <c r="C97" s="460" t="s">
        <v>591</v>
      </c>
      <c r="D97" s="479" t="s">
        <v>58</v>
      </c>
      <c r="E97" s="461">
        <v>25</v>
      </c>
      <c r="F97" s="462">
        <v>4105</v>
      </c>
      <c r="G97" s="494">
        <v>102625</v>
      </c>
      <c r="H97" s="483" t="s">
        <v>468</v>
      </c>
    </row>
    <row r="98" spans="1:8" s="466" customFormat="1">
      <c r="A98" s="493">
        <v>56</v>
      </c>
      <c r="B98" s="459" t="s">
        <v>592</v>
      </c>
      <c r="C98" s="460" t="s">
        <v>593</v>
      </c>
      <c r="D98" s="479" t="s">
        <v>51</v>
      </c>
      <c r="E98" s="461">
        <v>72</v>
      </c>
      <c r="F98" s="462">
        <v>3241</v>
      </c>
      <c r="G98" s="494">
        <v>233352</v>
      </c>
      <c r="H98" s="483" t="s">
        <v>468</v>
      </c>
    </row>
    <row r="99" spans="1:8" s="466" customFormat="1">
      <c r="A99" s="493">
        <v>57</v>
      </c>
      <c r="B99" s="459" t="s">
        <v>594</v>
      </c>
      <c r="C99" s="460" t="s">
        <v>595</v>
      </c>
      <c r="D99" s="479" t="s">
        <v>58</v>
      </c>
      <c r="E99" s="461">
        <v>20</v>
      </c>
      <c r="F99" s="462">
        <v>277.27272699999997</v>
      </c>
      <c r="G99" s="494">
        <v>5545.4545399999997</v>
      </c>
      <c r="H99" s="483" t="s">
        <v>469</v>
      </c>
    </row>
    <row r="100" spans="1:8" s="466" customFormat="1">
      <c r="A100" s="493">
        <v>58</v>
      </c>
      <c r="B100" s="459" t="s">
        <v>596</v>
      </c>
      <c r="C100" s="460" t="s">
        <v>597</v>
      </c>
      <c r="D100" s="479" t="s">
        <v>58</v>
      </c>
      <c r="E100" s="461">
        <v>1</v>
      </c>
      <c r="F100" s="462">
        <v>36766</v>
      </c>
      <c r="G100" s="494">
        <v>36766</v>
      </c>
      <c r="H100" s="483" t="s">
        <v>469</v>
      </c>
    </row>
    <row r="101" spans="1:8" s="466" customFormat="1">
      <c r="A101" s="493">
        <v>59</v>
      </c>
      <c r="B101" s="459" t="s">
        <v>598</v>
      </c>
      <c r="C101" s="460" t="s">
        <v>599</v>
      </c>
      <c r="D101" s="479" t="s">
        <v>51</v>
      </c>
      <c r="E101" s="461">
        <v>358</v>
      </c>
      <c r="F101" s="462">
        <v>610</v>
      </c>
      <c r="G101" s="494">
        <v>218380</v>
      </c>
      <c r="H101" s="483" t="s">
        <v>468</v>
      </c>
    </row>
    <row r="102" spans="1:8" s="466" customFormat="1">
      <c r="A102" s="493">
        <v>60</v>
      </c>
      <c r="B102" s="459" t="s">
        <v>600</v>
      </c>
      <c r="C102" s="460" t="s">
        <v>601</v>
      </c>
      <c r="D102" s="479" t="s">
        <v>58</v>
      </c>
      <c r="E102" s="461">
        <v>2</v>
      </c>
      <c r="F102" s="462">
        <v>2173.6</v>
      </c>
      <c r="G102" s="494">
        <v>4347.2</v>
      </c>
      <c r="H102" s="483" t="s">
        <v>469</v>
      </c>
    </row>
    <row r="103" spans="1:8" s="466" customFormat="1">
      <c r="A103" s="493">
        <v>61</v>
      </c>
      <c r="B103" s="459" t="s">
        <v>602</v>
      </c>
      <c r="C103" s="460" t="s">
        <v>603</v>
      </c>
      <c r="D103" s="479" t="s">
        <v>58</v>
      </c>
      <c r="E103" s="461">
        <v>147</v>
      </c>
      <c r="F103" s="462">
        <v>100</v>
      </c>
      <c r="G103" s="494">
        <v>14700</v>
      </c>
      <c r="H103" s="483" t="s">
        <v>469</v>
      </c>
    </row>
    <row r="104" spans="1:8" s="466" customFormat="1">
      <c r="A104" s="493">
        <v>62</v>
      </c>
      <c r="B104" s="459" t="s">
        <v>604</v>
      </c>
      <c r="C104" s="460" t="s">
        <v>87</v>
      </c>
      <c r="D104" s="479" t="s">
        <v>49</v>
      </c>
      <c r="E104" s="461">
        <v>440</v>
      </c>
      <c r="F104" s="462">
        <v>154.54</v>
      </c>
      <c r="G104" s="494">
        <v>67997.600000000006</v>
      </c>
      <c r="H104" s="483" t="s">
        <v>469</v>
      </c>
    </row>
    <row r="105" spans="1:8" s="466" customFormat="1">
      <c r="A105" s="493">
        <v>63</v>
      </c>
      <c r="B105" s="459" t="s">
        <v>605</v>
      </c>
      <c r="C105" s="460" t="s">
        <v>81</v>
      </c>
      <c r="D105" s="479" t="s">
        <v>58</v>
      </c>
      <c r="E105" s="461">
        <v>2</v>
      </c>
      <c r="F105" s="462">
        <v>511.11</v>
      </c>
      <c r="G105" s="494">
        <v>1022.22</v>
      </c>
      <c r="H105" s="483" t="s">
        <v>468</v>
      </c>
    </row>
    <row r="106" spans="1:8" s="466" customFormat="1">
      <c r="A106" s="493">
        <v>64</v>
      </c>
      <c r="B106" s="459" t="s">
        <v>606</v>
      </c>
      <c r="C106" s="460" t="s">
        <v>391</v>
      </c>
      <c r="D106" s="479" t="s">
        <v>49</v>
      </c>
      <c r="E106" s="461">
        <v>116</v>
      </c>
      <c r="F106" s="462">
        <v>153.14901</v>
      </c>
      <c r="G106" s="494">
        <f>E106*F106</f>
        <v>17765.285159999999</v>
      </c>
      <c r="H106" s="483" t="s">
        <v>468</v>
      </c>
    </row>
    <row r="107" spans="1:8" s="466" customFormat="1">
      <c r="A107" s="493">
        <v>65</v>
      </c>
      <c r="B107" s="459" t="s">
        <v>607</v>
      </c>
      <c r="C107" s="460" t="s">
        <v>392</v>
      </c>
      <c r="D107" s="479" t="s">
        <v>49</v>
      </c>
      <c r="E107" s="461">
        <v>20</v>
      </c>
      <c r="F107" s="462">
        <v>150</v>
      </c>
      <c r="G107" s="494">
        <f>E107*F107</f>
        <v>3000</v>
      </c>
      <c r="H107" s="483" t="s">
        <v>468</v>
      </c>
    </row>
    <row r="108" spans="1:8" s="466" customFormat="1">
      <c r="A108" s="493">
        <v>66</v>
      </c>
      <c r="B108" s="459" t="s">
        <v>608</v>
      </c>
      <c r="C108" s="460" t="s">
        <v>609</v>
      </c>
      <c r="D108" s="479" t="s">
        <v>51</v>
      </c>
      <c r="E108" s="461">
        <v>372</v>
      </c>
      <c r="F108" s="462">
        <v>28.510638</v>
      </c>
      <c r="G108" s="494">
        <v>10605.957335999999</v>
      </c>
      <c r="H108" s="483" t="s">
        <v>468</v>
      </c>
    </row>
    <row r="109" spans="1:8" s="466" customFormat="1">
      <c r="A109" s="493">
        <v>67</v>
      </c>
      <c r="B109" s="459" t="s">
        <v>610</v>
      </c>
      <c r="C109" s="460" t="s">
        <v>74</v>
      </c>
      <c r="D109" s="479" t="s">
        <v>63</v>
      </c>
      <c r="E109" s="461">
        <v>11</v>
      </c>
      <c r="F109" s="462">
        <v>93.862240999999997</v>
      </c>
      <c r="G109" s="494">
        <v>1032.484651</v>
      </c>
      <c r="H109" s="483" t="s">
        <v>469</v>
      </c>
    </row>
    <row r="110" spans="1:8" s="466" customFormat="1">
      <c r="A110" s="493">
        <v>68</v>
      </c>
      <c r="B110" s="459" t="s">
        <v>611</v>
      </c>
      <c r="C110" s="460" t="s">
        <v>612</v>
      </c>
      <c r="D110" s="479" t="s">
        <v>63</v>
      </c>
      <c r="E110" s="461">
        <v>38</v>
      </c>
      <c r="F110" s="462">
        <v>518.589786</v>
      </c>
      <c r="G110" s="494">
        <v>19706.411867999999</v>
      </c>
      <c r="H110" s="483" t="s">
        <v>468</v>
      </c>
    </row>
    <row r="111" spans="1:8" s="466" customFormat="1">
      <c r="A111" s="493">
        <v>69</v>
      </c>
      <c r="B111" s="459" t="s">
        <v>611</v>
      </c>
      <c r="C111" s="460" t="s">
        <v>612</v>
      </c>
      <c r="D111" s="479" t="s">
        <v>63</v>
      </c>
      <c r="E111" s="461">
        <v>245.5</v>
      </c>
      <c r="F111" s="462">
        <v>518.589786</v>
      </c>
      <c r="G111" s="494">
        <v>127313.79246300001</v>
      </c>
      <c r="H111" s="483" t="s">
        <v>469</v>
      </c>
    </row>
    <row r="112" spans="1:8" s="466" customFormat="1">
      <c r="A112" s="493">
        <v>70</v>
      </c>
      <c r="B112" s="459" t="s">
        <v>613</v>
      </c>
      <c r="C112" s="460" t="s">
        <v>614</v>
      </c>
      <c r="D112" s="479" t="s">
        <v>63</v>
      </c>
      <c r="E112" s="461">
        <v>20</v>
      </c>
      <c r="F112" s="462">
        <v>301.18200000000002</v>
      </c>
      <c r="G112" s="494">
        <v>6023.64</v>
      </c>
      <c r="H112" s="483" t="s">
        <v>469</v>
      </c>
    </row>
    <row r="113" spans="1:8" s="466" customFormat="1">
      <c r="A113" s="493">
        <v>71</v>
      </c>
      <c r="B113" s="459" t="s">
        <v>615</v>
      </c>
      <c r="C113" s="460" t="s">
        <v>75</v>
      </c>
      <c r="D113" s="479" t="s">
        <v>63</v>
      </c>
      <c r="E113" s="461">
        <v>723</v>
      </c>
      <c r="F113" s="462">
        <v>332.74079999999998</v>
      </c>
      <c r="G113" s="494">
        <f>E113*F113</f>
        <v>240571.59839999999</v>
      </c>
      <c r="H113" s="483" t="s">
        <v>468</v>
      </c>
    </row>
    <row r="114" spans="1:8" s="466" customFormat="1">
      <c r="A114" s="493">
        <v>72</v>
      </c>
      <c r="B114" s="459" t="s">
        <v>616</v>
      </c>
      <c r="C114" s="460" t="s">
        <v>76</v>
      </c>
      <c r="D114" s="479" t="s">
        <v>63</v>
      </c>
      <c r="E114" s="461">
        <v>721</v>
      </c>
      <c r="F114" s="462">
        <v>394.13874399999997</v>
      </c>
      <c r="G114" s="494">
        <f>E114*F114</f>
        <v>284174.03442399995</v>
      </c>
      <c r="H114" s="483" t="s">
        <v>468</v>
      </c>
    </row>
    <row r="115" spans="1:8" s="466" customFormat="1">
      <c r="A115" s="493">
        <v>73</v>
      </c>
      <c r="B115" s="459" t="s">
        <v>617</v>
      </c>
      <c r="C115" s="460" t="s">
        <v>77</v>
      </c>
      <c r="D115" s="479" t="s">
        <v>63</v>
      </c>
      <c r="E115" s="461">
        <v>317</v>
      </c>
      <c r="F115" s="462">
        <v>484.207965</v>
      </c>
      <c r="G115" s="494">
        <f>E115*F115</f>
        <v>153493.92490499999</v>
      </c>
      <c r="H115" s="483" t="s">
        <v>468</v>
      </c>
    </row>
    <row r="116" spans="1:8" s="466" customFormat="1">
      <c r="A116" s="493">
        <v>74</v>
      </c>
      <c r="B116" s="459" t="s">
        <v>618</v>
      </c>
      <c r="C116" s="460" t="s">
        <v>103</v>
      </c>
      <c r="D116" s="479" t="s">
        <v>58</v>
      </c>
      <c r="E116" s="461">
        <v>2</v>
      </c>
      <c r="F116" s="462">
        <v>25000</v>
      </c>
      <c r="G116" s="494">
        <v>50000</v>
      </c>
      <c r="H116" s="483" t="s">
        <v>468</v>
      </c>
    </row>
    <row r="117" spans="1:8" s="466" customFormat="1" ht="13.5" thickBot="1">
      <c r="A117" s="493">
        <v>75</v>
      </c>
      <c r="B117" s="459" t="s">
        <v>619</v>
      </c>
      <c r="C117" s="460" t="s">
        <v>620</v>
      </c>
      <c r="D117" s="479" t="s">
        <v>51</v>
      </c>
      <c r="E117" s="461">
        <v>2</v>
      </c>
      <c r="F117" s="462">
        <v>17052</v>
      </c>
      <c r="G117" s="507">
        <v>34104</v>
      </c>
      <c r="H117" s="483" t="s">
        <v>469</v>
      </c>
    </row>
    <row r="118" spans="1:8" ht="13.5" thickBot="1">
      <c r="A118" s="495"/>
      <c r="B118" s="496"/>
      <c r="C118" s="497" t="s">
        <v>859</v>
      </c>
      <c r="D118" s="498"/>
      <c r="E118" s="499"/>
      <c r="F118" s="504"/>
      <c r="G118" s="506">
        <f>SUM(G43:G117)</f>
        <v>10117677.978588831</v>
      </c>
      <c r="H118" s="483"/>
    </row>
    <row r="120" spans="1:8" ht="21" thickBot="1">
      <c r="G120" s="476">
        <v>6</v>
      </c>
    </row>
    <row r="121" spans="1:8" s="443" customFormat="1">
      <c r="A121" s="487" t="s">
        <v>998</v>
      </c>
      <c r="B121" s="488" t="s">
        <v>46</v>
      </c>
      <c r="C121" s="489" t="s">
        <v>857</v>
      </c>
      <c r="D121" s="488" t="s">
        <v>378</v>
      </c>
      <c r="E121" s="490" t="s">
        <v>1206</v>
      </c>
      <c r="F121" s="491" t="s">
        <v>47</v>
      </c>
      <c r="G121" s="492" t="s">
        <v>1067</v>
      </c>
      <c r="H121" s="481" t="s">
        <v>858</v>
      </c>
    </row>
    <row r="122" spans="1:8" ht="13.5" thickBot="1">
      <c r="A122" s="500">
        <v>1</v>
      </c>
      <c r="B122" s="459" t="s">
        <v>621</v>
      </c>
      <c r="C122" s="460" t="s">
        <v>89</v>
      </c>
      <c r="D122" s="479" t="s">
        <v>63</v>
      </c>
      <c r="E122" s="461">
        <f>596+4893</f>
        <v>5489</v>
      </c>
      <c r="F122" s="462">
        <v>150.897267</v>
      </c>
      <c r="G122" s="507">
        <f>E122*F122</f>
        <v>828275.09856299998</v>
      </c>
      <c r="H122" s="483" t="s">
        <v>468</v>
      </c>
    </row>
    <row r="123" spans="1:8" ht="13.5" thickBot="1">
      <c r="A123" s="495"/>
      <c r="B123" s="496"/>
      <c r="C123" s="497" t="s">
        <v>859</v>
      </c>
      <c r="D123" s="498"/>
      <c r="E123" s="499"/>
      <c r="F123" s="504"/>
      <c r="G123" s="506">
        <f>SUM(G122:G122)</f>
        <v>828275.09856299998</v>
      </c>
      <c r="H123" s="483"/>
    </row>
    <row r="125" spans="1:8" ht="21" thickBot="1">
      <c r="G125" s="476">
        <v>7</v>
      </c>
    </row>
    <row r="126" spans="1:8" s="443" customFormat="1">
      <c r="A126" s="487" t="s">
        <v>998</v>
      </c>
      <c r="B126" s="488" t="s">
        <v>46</v>
      </c>
      <c r="C126" s="489" t="s">
        <v>857</v>
      </c>
      <c r="D126" s="488" t="s">
        <v>378</v>
      </c>
      <c r="E126" s="490" t="s">
        <v>1206</v>
      </c>
      <c r="F126" s="491" t="s">
        <v>47</v>
      </c>
      <c r="G126" s="492" t="s">
        <v>1067</v>
      </c>
      <c r="H126" s="481" t="s">
        <v>858</v>
      </c>
    </row>
    <row r="127" spans="1:8">
      <c r="A127" s="500">
        <v>1</v>
      </c>
      <c r="B127" s="459" t="s">
        <v>622</v>
      </c>
      <c r="C127" s="460" t="s">
        <v>623</v>
      </c>
      <c r="D127" s="479" t="s">
        <v>58</v>
      </c>
      <c r="E127" s="461">
        <v>1</v>
      </c>
      <c r="F127" s="462">
        <v>150</v>
      </c>
      <c r="G127" s="494">
        <v>150</v>
      </c>
      <c r="H127" s="483" t="s">
        <v>469</v>
      </c>
    </row>
    <row r="128" spans="1:8" ht="12.75" customHeight="1">
      <c r="A128" s="500">
        <v>2</v>
      </c>
      <c r="B128" s="472" t="s">
        <v>624</v>
      </c>
      <c r="C128" s="471" t="s">
        <v>625</v>
      </c>
      <c r="D128" s="480" t="s">
        <v>58</v>
      </c>
      <c r="E128" s="472">
        <v>2</v>
      </c>
      <c r="F128" s="473">
        <v>7500</v>
      </c>
      <c r="G128" s="502">
        <v>15000</v>
      </c>
      <c r="H128" s="483" t="s">
        <v>469</v>
      </c>
    </row>
    <row r="129" spans="1:8">
      <c r="A129" s="500">
        <v>3</v>
      </c>
      <c r="B129" s="459" t="s">
        <v>626</v>
      </c>
      <c r="C129" s="460" t="s">
        <v>627</v>
      </c>
      <c r="D129" s="479" t="s">
        <v>58</v>
      </c>
      <c r="E129" s="461">
        <v>1</v>
      </c>
      <c r="F129" s="462">
        <v>8583.33</v>
      </c>
      <c r="G129" s="494">
        <v>8583.33</v>
      </c>
      <c r="H129" s="483" t="s">
        <v>469</v>
      </c>
    </row>
    <row r="130" spans="1:8">
      <c r="A130" s="500">
        <v>4</v>
      </c>
      <c r="B130" s="459" t="s">
        <v>628</v>
      </c>
      <c r="C130" s="460" t="s">
        <v>629</v>
      </c>
      <c r="D130" s="479" t="s">
        <v>58</v>
      </c>
      <c r="E130" s="461">
        <v>1</v>
      </c>
      <c r="F130" s="462">
        <v>2077</v>
      </c>
      <c r="G130" s="494">
        <v>2077</v>
      </c>
      <c r="H130" s="483" t="s">
        <v>469</v>
      </c>
    </row>
    <row r="131" spans="1:8">
      <c r="A131" s="500">
        <v>5</v>
      </c>
      <c r="B131" s="459" t="s">
        <v>630</v>
      </c>
      <c r="C131" s="460" t="s">
        <v>631</v>
      </c>
      <c r="D131" s="479" t="s">
        <v>58</v>
      </c>
      <c r="E131" s="461">
        <v>1</v>
      </c>
      <c r="F131" s="462">
        <v>2722</v>
      </c>
      <c r="G131" s="494">
        <v>2722</v>
      </c>
      <c r="H131" s="483" t="s">
        <v>469</v>
      </c>
    </row>
    <row r="132" spans="1:8">
      <c r="A132" s="500">
        <v>6</v>
      </c>
      <c r="B132" s="459" t="s">
        <v>632</v>
      </c>
      <c r="C132" s="460" t="s">
        <v>393</v>
      </c>
      <c r="D132" s="479" t="s">
        <v>58</v>
      </c>
      <c r="E132" s="461">
        <v>2</v>
      </c>
      <c r="F132" s="462">
        <v>306</v>
      </c>
      <c r="G132" s="494">
        <v>612</v>
      </c>
      <c r="H132" s="483" t="s">
        <v>468</v>
      </c>
    </row>
    <row r="133" spans="1:8">
      <c r="A133" s="500">
        <v>7</v>
      </c>
      <c r="B133" s="459" t="s">
        <v>633</v>
      </c>
      <c r="C133" s="460" t="s">
        <v>634</v>
      </c>
      <c r="D133" s="479" t="s">
        <v>58</v>
      </c>
      <c r="E133" s="461">
        <v>3</v>
      </c>
      <c r="F133" s="462">
        <v>500</v>
      </c>
      <c r="G133" s="494">
        <v>1500</v>
      </c>
      <c r="H133" s="483" t="s">
        <v>469</v>
      </c>
    </row>
    <row r="134" spans="1:8">
      <c r="A134" s="500">
        <v>8</v>
      </c>
      <c r="B134" s="459" t="s">
        <v>635</v>
      </c>
      <c r="C134" s="460" t="s">
        <v>636</v>
      </c>
      <c r="D134" s="479" t="s">
        <v>58</v>
      </c>
      <c r="E134" s="461">
        <v>6</v>
      </c>
      <c r="F134" s="462">
        <v>365.04</v>
      </c>
      <c r="G134" s="494">
        <v>2190.2399999999998</v>
      </c>
      <c r="H134" s="483" t="s">
        <v>469</v>
      </c>
    </row>
    <row r="135" spans="1:8">
      <c r="A135" s="500">
        <v>9</v>
      </c>
      <c r="B135" s="459" t="s">
        <v>637</v>
      </c>
      <c r="C135" s="460" t="s">
        <v>638</v>
      </c>
      <c r="D135" s="479" t="s">
        <v>58</v>
      </c>
      <c r="E135" s="461">
        <v>4</v>
      </c>
      <c r="F135" s="462">
        <v>451.96678600000001</v>
      </c>
      <c r="G135" s="494">
        <v>1807.8671440000001</v>
      </c>
      <c r="H135" s="483" t="s">
        <v>469</v>
      </c>
    </row>
    <row r="136" spans="1:8">
      <c r="A136" s="500">
        <v>10</v>
      </c>
      <c r="B136" s="459" t="s">
        <v>639</v>
      </c>
      <c r="C136" s="460" t="s">
        <v>90</v>
      </c>
      <c r="D136" s="479" t="s">
        <v>58</v>
      </c>
      <c r="E136" s="461">
        <v>2</v>
      </c>
      <c r="F136" s="462">
        <v>796.07875000000001</v>
      </c>
      <c r="G136" s="494">
        <v>1592.1575</v>
      </c>
      <c r="H136" s="483" t="s">
        <v>468</v>
      </c>
    </row>
    <row r="137" spans="1:8">
      <c r="A137" s="500">
        <v>11</v>
      </c>
      <c r="B137" s="459" t="s">
        <v>639</v>
      </c>
      <c r="C137" s="460" t="s">
        <v>90</v>
      </c>
      <c r="D137" s="479" t="s">
        <v>58</v>
      </c>
      <c r="E137" s="461">
        <v>4</v>
      </c>
      <c r="F137" s="462">
        <v>796.07875000000001</v>
      </c>
      <c r="G137" s="494">
        <v>3184.3150000000001</v>
      </c>
      <c r="H137" s="483" t="s">
        <v>469</v>
      </c>
    </row>
    <row r="138" spans="1:8">
      <c r="A138" s="500">
        <v>12</v>
      </c>
      <c r="B138" s="459" t="s">
        <v>640</v>
      </c>
      <c r="C138" s="460" t="s">
        <v>394</v>
      </c>
      <c r="D138" s="479" t="s">
        <v>58</v>
      </c>
      <c r="E138" s="461">
        <v>1</v>
      </c>
      <c r="F138" s="462">
        <v>536.26088900000002</v>
      </c>
      <c r="G138" s="494">
        <v>536.26088900000002</v>
      </c>
      <c r="H138" s="483" t="s">
        <v>468</v>
      </c>
    </row>
    <row r="139" spans="1:8">
      <c r="A139" s="500">
        <v>13</v>
      </c>
      <c r="B139" s="459" t="s">
        <v>641</v>
      </c>
      <c r="C139" s="460" t="s">
        <v>642</v>
      </c>
      <c r="D139" s="479" t="s">
        <v>58</v>
      </c>
      <c r="E139" s="461">
        <v>1</v>
      </c>
      <c r="F139" s="462">
        <v>1900</v>
      </c>
      <c r="G139" s="494">
        <v>1900</v>
      </c>
      <c r="H139" s="483" t="s">
        <v>469</v>
      </c>
    </row>
    <row r="140" spans="1:8">
      <c r="A140" s="500">
        <v>14</v>
      </c>
      <c r="B140" s="459" t="s">
        <v>643</v>
      </c>
      <c r="C140" s="460" t="s">
        <v>644</v>
      </c>
      <c r="D140" s="479" t="s">
        <v>58</v>
      </c>
      <c r="E140" s="461">
        <v>1</v>
      </c>
      <c r="F140" s="462">
        <v>1417</v>
      </c>
      <c r="G140" s="494">
        <v>1417</v>
      </c>
      <c r="H140" s="483" t="s">
        <v>469</v>
      </c>
    </row>
    <row r="141" spans="1:8">
      <c r="A141" s="500">
        <v>15</v>
      </c>
      <c r="B141" s="459" t="s">
        <v>645</v>
      </c>
      <c r="C141" s="460" t="s">
        <v>646</v>
      </c>
      <c r="D141" s="479" t="s">
        <v>58</v>
      </c>
      <c r="E141" s="461">
        <v>1</v>
      </c>
      <c r="F141" s="462">
        <v>254.52</v>
      </c>
      <c r="G141" s="494">
        <v>254.52</v>
      </c>
      <c r="H141" s="483" t="s">
        <v>469</v>
      </c>
    </row>
    <row r="142" spans="1:8">
      <c r="A142" s="500">
        <v>16</v>
      </c>
      <c r="B142" s="459" t="s">
        <v>647</v>
      </c>
      <c r="C142" s="460" t="s">
        <v>648</v>
      </c>
      <c r="D142" s="479" t="s">
        <v>58</v>
      </c>
      <c r="E142" s="461">
        <v>8</v>
      </c>
      <c r="F142" s="462">
        <v>491.75</v>
      </c>
      <c r="G142" s="494">
        <v>3934</v>
      </c>
      <c r="H142" s="483" t="s">
        <v>469</v>
      </c>
    </row>
    <row r="143" spans="1:8">
      <c r="A143" s="500">
        <v>17</v>
      </c>
      <c r="B143" s="459" t="s">
        <v>649</v>
      </c>
      <c r="C143" s="460" t="s">
        <v>650</v>
      </c>
      <c r="D143" s="479" t="s">
        <v>58</v>
      </c>
      <c r="E143" s="461">
        <v>2</v>
      </c>
      <c r="F143" s="462">
        <v>1491.5350000000001</v>
      </c>
      <c r="G143" s="494">
        <v>2983.07</v>
      </c>
      <c r="H143" s="483" t="s">
        <v>469</v>
      </c>
    </row>
    <row r="144" spans="1:8">
      <c r="A144" s="500">
        <v>18</v>
      </c>
      <c r="B144" s="459" t="s">
        <v>651</v>
      </c>
      <c r="C144" s="460" t="s">
        <v>395</v>
      </c>
      <c r="D144" s="479" t="s">
        <v>58</v>
      </c>
      <c r="E144" s="461">
        <v>1</v>
      </c>
      <c r="F144" s="462">
        <v>2004.4</v>
      </c>
      <c r="G144" s="494">
        <v>2004.4</v>
      </c>
      <c r="H144" s="483" t="s">
        <v>468</v>
      </c>
    </row>
    <row r="145" spans="1:8">
      <c r="A145" s="500">
        <v>19</v>
      </c>
      <c r="B145" s="459" t="s">
        <v>652</v>
      </c>
      <c r="C145" s="460" t="s">
        <v>653</v>
      </c>
      <c r="D145" s="479" t="s">
        <v>58</v>
      </c>
      <c r="E145" s="461">
        <v>1</v>
      </c>
      <c r="F145" s="462">
        <v>250</v>
      </c>
      <c r="G145" s="494">
        <v>250</v>
      </c>
      <c r="H145" s="483" t="s">
        <v>469</v>
      </c>
    </row>
    <row r="146" spans="1:8">
      <c r="A146" s="500">
        <v>20</v>
      </c>
      <c r="B146" s="459" t="s">
        <v>654</v>
      </c>
      <c r="C146" s="460" t="s">
        <v>655</v>
      </c>
      <c r="D146" s="479" t="s">
        <v>58</v>
      </c>
      <c r="E146" s="461">
        <v>2</v>
      </c>
      <c r="F146" s="462">
        <v>53399.5</v>
      </c>
      <c r="G146" s="494">
        <v>106799</v>
      </c>
      <c r="H146" s="483" t="s">
        <v>469</v>
      </c>
    </row>
    <row r="147" spans="1:8" ht="25.5">
      <c r="A147" s="500">
        <v>21</v>
      </c>
      <c r="B147" s="459" t="s">
        <v>656</v>
      </c>
      <c r="C147" s="460" t="s">
        <v>657</v>
      </c>
      <c r="D147" s="479" t="s">
        <v>58</v>
      </c>
      <c r="E147" s="461">
        <v>1</v>
      </c>
      <c r="F147" s="462">
        <v>574442</v>
      </c>
      <c r="G147" s="494">
        <v>574442</v>
      </c>
      <c r="H147" s="483" t="s">
        <v>469</v>
      </c>
    </row>
    <row r="148" spans="1:8">
      <c r="A148" s="500">
        <v>22</v>
      </c>
      <c r="B148" s="459" t="s">
        <v>658</v>
      </c>
      <c r="C148" s="460" t="s">
        <v>659</v>
      </c>
      <c r="D148" s="479" t="s">
        <v>58</v>
      </c>
      <c r="E148" s="461">
        <v>1</v>
      </c>
      <c r="F148" s="462">
        <v>3100</v>
      </c>
      <c r="G148" s="494">
        <v>3100</v>
      </c>
      <c r="H148" s="483" t="s">
        <v>469</v>
      </c>
    </row>
    <row r="149" spans="1:8" ht="25.5">
      <c r="A149" s="500">
        <v>23</v>
      </c>
      <c r="B149" s="459" t="s">
        <v>660</v>
      </c>
      <c r="C149" s="460" t="s">
        <v>661</v>
      </c>
      <c r="D149" s="479" t="s">
        <v>58</v>
      </c>
      <c r="E149" s="461">
        <v>43</v>
      </c>
      <c r="F149" s="462">
        <v>5760.46</v>
      </c>
      <c r="G149" s="494">
        <v>247699.78</v>
      </c>
      <c r="H149" s="483" t="s">
        <v>469</v>
      </c>
    </row>
    <row r="150" spans="1:8">
      <c r="A150" s="500">
        <v>24</v>
      </c>
      <c r="B150" s="459" t="s">
        <v>662</v>
      </c>
      <c r="C150" s="460" t="s">
        <v>663</v>
      </c>
      <c r="D150" s="479" t="s">
        <v>58</v>
      </c>
      <c r="E150" s="461">
        <v>1</v>
      </c>
      <c r="F150" s="462">
        <v>1595.8325</v>
      </c>
      <c r="G150" s="494">
        <v>1595.8325</v>
      </c>
      <c r="H150" s="483" t="s">
        <v>469</v>
      </c>
    </row>
    <row r="151" spans="1:8">
      <c r="A151" s="500">
        <v>25</v>
      </c>
      <c r="B151" s="459" t="s">
        <v>664</v>
      </c>
      <c r="C151" s="460" t="s">
        <v>396</v>
      </c>
      <c r="D151" s="479" t="s">
        <v>58</v>
      </c>
      <c r="E151" s="461">
        <v>6</v>
      </c>
      <c r="F151" s="462">
        <v>1259.0498250000001</v>
      </c>
      <c r="G151" s="494">
        <v>7554.2989500000003</v>
      </c>
      <c r="H151" s="483" t="s">
        <v>469</v>
      </c>
    </row>
    <row r="152" spans="1:8">
      <c r="A152" s="500">
        <v>26</v>
      </c>
      <c r="B152" s="459" t="s">
        <v>665</v>
      </c>
      <c r="C152" s="460" t="s">
        <v>397</v>
      </c>
      <c r="D152" s="479" t="s">
        <v>58</v>
      </c>
      <c r="E152" s="461">
        <v>1</v>
      </c>
      <c r="F152" s="462">
        <v>16250</v>
      </c>
      <c r="G152" s="494">
        <v>16250</v>
      </c>
      <c r="H152" s="483" t="s">
        <v>468</v>
      </c>
    </row>
    <row r="153" spans="1:8">
      <c r="A153" s="500">
        <v>27</v>
      </c>
      <c r="B153" s="459" t="s">
        <v>666</v>
      </c>
      <c r="C153" s="460" t="s">
        <v>96</v>
      </c>
      <c r="D153" s="479" t="s">
        <v>58</v>
      </c>
      <c r="E153" s="461">
        <v>2</v>
      </c>
      <c r="F153" s="462">
        <v>5710</v>
      </c>
      <c r="G153" s="494">
        <v>11420</v>
      </c>
      <c r="H153" s="483" t="s">
        <v>468</v>
      </c>
    </row>
    <row r="154" spans="1:8">
      <c r="A154" s="500">
        <v>28</v>
      </c>
      <c r="B154" s="459" t="s">
        <v>667</v>
      </c>
      <c r="C154" s="460" t="s">
        <v>97</v>
      </c>
      <c r="D154" s="479" t="s">
        <v>58</v>
      </c>
      <c r="E154" s="461">
        <v>5</v>
      </c>
      <c r="F154" s="462">
        <v>1290</v>
      </c>
      <c r="G154" s="494">
        <v>6450</v>
      </c>
      <c r="H154" s="483" t="s">
        <v>468</v>
      </c>
    </row>
    <row r="155" spans="1:8">
      <c r="A155" s="500">
        <v>29</v>
      </c>
      <c r="B155" s="459" t="s">
        <v>668</v>
      </c>
      <c r="C155" s="460" t="s">
        <v>92</v>
      </c>
      <c r="D155" s="479" t="s">
        <v>58</v>
      </c>
      <c r="E155" s="461">
        <v>2</v>
      </c>
      <c r="F155" s="462">
        <v>878.36333300000001</v>
      </c>
      <c r="G155" s="494">
        <v>1756.726666</v>
      </c>
      <c r="H155" s="483" t="s">
        <v>468</v>
      </c>
    </row>
    <row r="156" spans="1:8">
      <c r="A156" s="500">
        <v>30</v>
      </c>
      <c r="B156" s="459" t="s">
        <v>669</v>
      </c>
      <c r="C156" s="460" t="s">
        <v>93</v>
      </c>
      <c r="D156" s="479" t="s">
        <v>58</v>
      </c>
      <c r="E156" s="461">
        <v>2</v>
      </c>
      <c r="F156" s="462">
        <v>1020</v>
      </c>
      <c r="G156" s="494">
        <v>2040</v>
      </c>
      <c r="H156" s="483" t="s">
        <v>468</v>
      </c>
    </row>
    <row r="157" spans="1:8">
      <c r="A157" s="500">
        <v>31</v>
      </c>
      <c r="B157" s="459" t="s">
        <v>670</v>
      </c>
      <c r="C157" s="460" t="s">
        <v>98</v>
      </c>
      <c r="D157" s="479" t="s">
        <v>58</v>
      </c>
      <c r="E157" s="461">
        <v>2</v>
      </c>
      <c r="F157" s="462">
        <v>1041.67</v>
      </c>
      <c r="G157" s="494">
        <v>2083.34</v>
      </c>
      <c r="H157" s="483" t="s">
        <v>468</v>
      </c>
    </row>
    <row r="158" spans="1:8">
      <c r="A158" s="500">
        <v>32</v>
      </c>
      <c r="B158" s="459" t="s">
        <v>671</v>
      </c>
      <c r="C158" s="460" t="s">
        <v>672</v>
      </c>
      <c r="D158" s="479" t="s">
        <v>58</v>
      </c>
      <c r="E158" s="461">
        <v>1</v>
      </c>
      <c r="F158" s="462">
        <v>375</v>
      </c>
      <c r="G158" s="494">
        <v>375</v>
      </c>
      <c r="H158" s="483" t="s">
        <v>469</v>
      </c>
    </row>
    <row r="159" spans="1:8">
      <c r="A159" s="500">
        <v>33</v>
      </c>
      <c r="B159" s="459" t="s">
        <v>673</v>
      </c>
      <c r="C159" s="460" t="s">
        <v>674</v>
      </c>
      <c r="D159" s="479" t="s">
        <v>58</v>
      </c>
      <c r="E159" s="461">
        <v>1</v>
      </c>
      <c r="F159" s="462">
        <v>13176.5</v>
      </c>
      <c r="G159" s="494">
        <v>13176.5</v>
      </c>
      <c r="H159" s="483" t="s">
        <v>469</v>
      </c>
    </row>
    <row r="160" spans="1:8">
      <c r="A160" s="500">
        <v>34</v>
      </c>
      <c r="B160" s="459" t="s">
        <v>675</v>
      </c>
      <c r="C160" s="460" t="s">
        <v>676</v>
      </c>
      <c r="D160" s="479" t="s">
        <v>58</v>
      </c>
      <c r="E160" s="461">
        <v>1</v>
      </c>
      <c r="F160" s="462">
        <v>1250</v>
      </c>
      <c r="G160" s="494">
        <v>1250</v>
      </c>
      <c r="H160" s="483" t="s">
        <v>469</v>
      </c>
    </row>
    <row r="161" spans="1:8">
      <c r="A161" s="500">
        <v>35</v>
      </c>
      <c r="B161" s="459" t="s">
        <v>677</v>
      </c>
      <c r="C161" s="460" t="s">
        <v>678</v>
      </c>
      <c r="D161" s="479" t="s">
        <v>58</v>
      </c>
      <c r="E161" s="461">
        <v>121</v>
      </c>
      <c r="F161" s="462">
        <v>277.30010099999998</v>
      </c>
      <c r="G161" s="494">
        <v>33553.312221</v>
      </c>
      <c r="H161" s="483" t="s">
        <v>469</v>
      </c>
    </row>
    <row r="162" spans="1:8">
      <c r="A162" s="500">
        <v>36</v>
      </c>
      <c r="B162" s="459" t="s">
        <v>679</v>
      </c>
      <c r="C162" s="460" t="s">
        <v>398</v>
      </c>
      <c r="D162" s="479" t="s">
        <v>58</v>
      </c>
      <c r="E162" s="461">
        <v>311</v>
      </c>
      <c r="F162" s="462">
        <v>106.48812700000001</v>
      </c>
      <c r="G162" s="494">
        <v>33117.807497000002</v>
      </c>
      <c r="H162" s="483" t="s">
        <v>469</v>
      </c>
    </row>
    <row r="163" spans="1:8">
      <c r="A163" s="500">
        <v>37</v>
      </c>
      <c r="B163" s="459" t="s">
        <v>680</v>
      </c>
      <c r="C163" s="460" t="s">
        <v>389</v>
      </c>
      <c r="D163" s="479" t="s">
        <v>58</v>
      </c>
      <c r="E163" s="461">
        <v>4</v>
      </c>
      <c r="F163" s="462">
        <v>382.5</v>
      </c>
      <c r="G163" s="494">
        <v>1530</v>
      </c>
      <c r="H163" s="483" t="s">
        <v>681</v>
      </c>
    </row>
    <row r="164" spans="1:8">
      <c r="A164" s="500">
        <v>38</v>
      </c>
      <c r="B164" s="459" t="s">
        <v>682</v>
      </c>
      <c r="C164" s="460" t="s">
        <v>399</v>
      </c>
      <c r="D164" s="479" t="s">
        <v>58</v>
      </c>
      <c r="E164" s="461">
        <v>1</v>
      </c>
      <c r="F164" s="462">
        <v>154.72747699999999</v>
      </c>
      <c r="G164" s="494">
        <v>154.72747699999999</v>
      </c>
      <c r="H164" s="483" t="s">
        <v>469</v>
      </c>
    </row>
    <row r="165" spans="1:8">
      <c r="A165" s="500">
        <v>39</v>
      </c>
      <c r="B165" s="459" t="s">
        <v>683</v>
      </c>
      <c r="C165" s="460" t="s">
        <v>684</v>
      </c>
      <c r="D165" s="479" t="s">
        <v>58</v>
      </c>
      <c r="E165" s="461">
        <v>1</v>
      </c>
      <c r="F165" s="462">
        <v>208635</v>
      </c>
      <c r="G165" s="494">
        <v>208635</v>
      </c>
      <c r="H165" s="483" t="s">
        <v>469</v>
      </c>
    </row>
    <row r="166" spans="1:8">
      <c r="A166" s="500">
        <v>40</v>
      </c>
      <c r="B166" s="459" t="s">
        <v>685</v>
      </c>
      <c r="C166" s="460" t="s">
        <v>400</v>
      </c>
      <c r="D166" s="479" t="s">
        <v>58</v>
      </c>
      <c r="E166" s="461">
        <v>2</v>
      </c>
      <c r="F166" s="462">
        <v>286.15621199999998</v>
      </c>
      <c r="G166" s="494">
        <v>572.31242399999996</v>
      </c>
      <c r="H166" s="483" t="s">
        <v>469</v>
      </c>
    </row>
    <row r="167" spans="1:8">
      <c r="A167" s="500">
        <v>41</v>
      </c>
      <c r="B167" s="459" t="s">
        <v>686</v>
      </c>
      <c r="C167" s="460" t="s">
        <v>688</v>
      </c>
      <c r="D167" s="479" t="s">
        <v>58</v>
      </c>
      <c r="E167" s="461">
        <v>1</v>
      </c>
      <c r="F167" s="462">
        <v>1250</v>
      </c>
      <c r="G167" s="494">
        <v>1250</v>
      </c>
      <c r="H167" s="483" t="s">
        <v>469</v>
      </c>
    </row>
    <row r="168" spans="1:8">
      <c r="A168" s="500">
        <v>42</v>
      </c>
      <c r="B168" s="459" t="s">
        <v>689</v>
      </c>
      <c r="C168" s="460" t="s">
        <v>690</v>
      </c>
      <c r="D168" s="479" t="s">
        <v>58</v>
      </c>
      <c r="E168" s="461">
        <v>2</v>
      </c>
      <c r="F168" s="462">
        <v>26800</v>
      </c>
      <c r="G168" s="494">
        <v>53600</v>
      </c>
      <c r="H168" s="483" t="s">
        <v>469</v>
      </c>
    </row>
    <row r="169" spans="1:8">
      <c r="A169" s="500">
        <v>43</v>
      </c>
      <c r="B169" s="459" t="s">
        <v>691</v>
      </c>
      <c r="C169" s="460" t="s">
        <v>401</v>
      </c>
      <c r="D169" s="479" t="s">
        <v>58</v>
      </c>
      <c r="E169" s="461">
        <v>3</v>
      </c>
      <c r="F169" s="462">
        <v>4854.75</v>
      </c>
      <c r="G169" s="494">
        <v>14564.25</v>
      </c>
      <c r="H169" s="483" t="s">
        <v>466</v>
      </c>
    </row>
    <row r="170" spans="1:8">
      <c r="A170" s="500">
        <v>44</v>
      </c>
      <c r="B170" s="459" t="s">
        <v>692</v>
      </c>
      <c r="C170" s="460" t="s">
        <v>104</v>
      </c>
      <c r="D170" s="479" t="s">
        <v>58</v>
      </c>
      <c r="E170" s="461">
        <v>1</v>
      </c>
      <c r="F170" s="462">
        <v>9366.7142860000004</v>
      </c>
      <c r="G170" s="494">
        <v>9366.7142860000004</v>
      </c>
      <c r="H170" s="483" t="s">
        <v>468</v>
      </c>
    </row>
    <row r="171" spans="1:8">
      <c r="A171" s="500">
        <v>45</v>
      </c>
      <c r="B171" s="459" t="s">
        <v>693</v>
      </c>
      <c r="C171" s="460" t="s">
        <v>694</v>
      </c>
      <c r="D171" s="479" t="s">
        <v>58</v>
      </c>
      <c r="E171" s="461">
        <v>1</v>
      </c>
      <c r="F171" s="462">
        <v>388.375</v>
      </c>
      <c r="G171" s="494">
        <v>388.375</v>
      </c>
      <c r="H171" s="483" t="s">
        <v>469</v>
      </c>
    </row>
    <row r="172" spans="1:8">
      <c r="A172" s="500">
        <v>46</v>
      </c>
      <c r="B172" s="459" t="s">
        <v>695</v>
      </c>
      <c r="C172" s="460" t="s">
        <v>696</v>
      </c>
      <c r="D172" s="479" t="s">
        <v>58</v>
      </c>
      <c r="E172" s="461">
        <v>3</v>
      </c>
      <c r="F172" s="462">
        <v>1918.72</v>
      </c>
      <c r="G172" s="494">
        <v>5756.16</v>
      </c>
      <c r="H172" s="483" t="s">
        <v>469</v>
      </c>
    </row>
    <row r="173" spans="1:8">
      <c r="A173" s="500">
        <v>47</v>
      </c>
      <c r="B173" s="459" t="s">
        <v>697</v>
      </c>
      <c r="C173" s="460" t="s">
        <v>91</v>
      </c>
      <c r="D173" s="479" t="s">
        <v>58</v>
      </c>
      <c r="E173" s="461">
        <v>2</v>
      </c>
      <c r="F173" s="462">
        <v>800</v>
      </c>
      <c r="G173" s="494">
        <v>1600</v>
      </c>
      <c r="H173" s="483" t="s">
        <v>468</v>
      </c>
    </row>
    <row r="174" spans="1:8">
      <c r="A174" s="500">
        <v>48</v>
      </c>
      <c r="B174" s="459" t="s">
        <v>698</v>
      </c>
      <c r="C174" s="460" t="s">
        <v>99</v>
      </c>
      <c r="D174" s="479" t="s">
        <v>58</v>
      </c>
      <c r="E174" s="461">
        <v>3</v>
      </c>
      <c r="F174" s="462">
        <v>763.26</v>
      </c>
      <c r="G174" s="494">
        <v>2289.7800000000002</v>
      </c>
      <c r="H174" s="483" t="s">
        <v>468</v>
      </c>
    </row>
    <row r="175" spans="1:8">
      <c r="A175" s="500">
        <v>49</v>
      </c>
      <c r="B175" s="459" t="s">
        <v>699</v>
      </c>
      <c r="C175" s="460" t="s">
        <v>700</v>
      </c>
      <c r="D175" s="479" t="s">
        <v>58</v>
      </c>
      <c r="E175" s="461">
        <v>1</v>
      </c>
      <c r="F175" s="462">
        <v>1500</v>
      </c>
      <c r="G175" s="494">
        <v>1500</v>
      </c>
      <c r="H175" s="483" t="s">
        <v>469</v>
      </c>
    </row>
    <row r="176" spans="1:8">
      <c r="A176" s="500">
        <v>50</v>
      </c>
      <c r="B176" s="459" t="s">
        <v>701</v>
      </c>
      <c r="C176" s="460" t="s">
        <v>100</v>
      </c>
      <c r="D176" s="479" t="s">
        <v>58</v>
      </c>
      <c r="E176" s="461">
        <v>2</v>
      </c>
      <c r="F176" s="462">
        <v>1700</v>
      </c>
      <c r="G176" s="494">
        <v>3400</v>
      </c>
      <c r="H176" s="483" t="s">
        <v>468</v>
      </c>
    </row>
    <row r="177" spans="1:8">
      <c r="A177" s="500">
        <v>51</v>
      </c>
      <c r="B177" s="459" t="s">
        <v>702</v>
      </c>
      <c r="C177" s="460" t="s">
        <v>101</v>
      </c>
      <c r="D177" s="479" t="s">
        <v>58</v>
      </c>
      <c r="E177" s="461">
        <v>2</v>
      </c>
      <c r="F177" s="462">
        <v>1366.67</v>
      </c>
      <c r="G177" s="494">
        <v>2733.34</v>
      </c>
      <c r="H177" s="483" t="s">
        <v>468</v>
      </c>
    </row>
    <row r="178" spans="1:8">
      <c r="A178" s="500">
        <v>52</v>
      </c>
      <c r="B178" s="459" t="s">
        <v>703</v>
      </c>
      <c r="C178" s="460" t="s">
        <v>102</v>
      </c>
      <c r="D178" s="479" t="s">
        <v>58</v>
      </c>
      <c r="E178" s="461">
        <v>6</v>
      </c>
      <c r="F178" s="462">
        <v>6408.5</v>
      </c>
      <c r="G178" s="494">
        <v>38451</v>
      </c>
      <c r="H178" s="483" t="s">
        <v>468</v>
      </c>
    </row>
    <row r="179" spans="1:8">
      <c r="A179" s="500">
        <v>53</v>
      </c>
      <c r="B179" s="459" t="s">
        <v>704</v>
      </c>
      <c r="C179" s="460" t="s">
        <v>433</v>
      </c>
      <c r="D179" s="479" t="s">
        <v>58</v>
      </c>
      <c r="E179" s="461">
        <v>4</v>
      </c>
      <c r="F179" s="462">
        <v>736.71047599999997</v>
      </c>
      <c r="G179" s="494">
        <v>2946.8419039999999</v>
      </c>
      <c r="H179" s="483" t="s">
        <v>469</v>
      </c>
    </row>
    <row r="180" spans="1:8">
      <c r="A180" s="500">
        <v>54</v>
      </c>
      <c r="B180" s="459" t="s">
        <v>705</v>
      </c>
      <c r="C180" s="460" t="s">
        <v>706</v>
      </c>
      <c r="D180" s="479" t="s">
        <v>58</v>
      </c>
      <c r="E180" s="461">
        <v>2</v>
      </c>
      <c r="F180" s="462">
        <v>1711.333333</v>
      </c>
      <c r="G180" s="494">
        <v>3422.6666660000001</v>
      </c>
      <c r="H180" s="483" t="s">
        <v>469</v>
      </c>
    </row>
    <row r="181" spans="1:8">
      <c r="A181" s="500">
        <v>55</v>
      </c>
      <c r="B181" s="459" t="s">
        <v>707</v>
      </c>
      <c r="C181" s="460" t="s">
        <v>708</v>
      </c>
      <c r="D181" s="479" t="s">
        <v>58</v>
      </c>
      <c r="E181" s="461">
        <v>35</v>
      </c>
      <c r="F181" s="462">
        <v>26.976537</v>
      </c>
      <c r="G181" s="494">
        <v>944.17879500000004</v>
      </c>
      <c r="H181" s="483" t="s">
        <v>469</v>
      </c>
    </row>
    <row r="182" spans="1:8">
      <c r="A182" s="500">
        <v>56</v>
      </c>
      <c r="B182" s="459" t="s">
        <v>709</v>
      </c>
      <c r="C182" s="460" t="s">
        <v>710</v>
      </c>
      <c r="D182" s="479" t="s">
        <v>58</v>
      </c>
      <c r="E182" s="461">
        <v>1</v>
      </c>
      <c r="F182" s="462">
        <v>1000</v>
      </c>
      <c r="G182" s="494">
        <v>1000</v>
      </c>
      <c r="H182" s="483" t="s">
        <v>469</v>
      </c>
    </row>
    <row r="183" spans="1:8">
      <c r="A183" s="500">
        <v>57</v>
      </c>
      <c r="B183" s="459" t="s">
        <v>711</v>
      </c>
      <c r="C183" s="460" t="s">
        <v>712</v>
      </c>
      <c r="D183" s="479" t="s">
        <v>58</v>
      </c>
      <c r="E183" s="461">
        <v>1</v>
      </c>
      <c r="F183" s="462">
        <v>2917</v>
      </c>
      <c r="G183" s="494">
        <v>2917</v>
      </c>
      <c r="H183" s="483" t="s">
        <v>469</v>
      </c>
    </row>
    <row r="184" spans="1:8" ht="13.5" thickBot="1">
      <c r="A184" s="500">
        <v>58</v>
      </c>
      <c r="B184" s="459" t="s">
        <v>713</v>
      </c>
      <c r="C184" s="460" t="s">
        <v>714</v>
      </c>
      <c r="D184" s="479" t="s">
        <v>58</v>
      </c>
      <c r="E184" s="461">
        <v>9</v>
      </c>
      <c r="F184" s="462">
        <v>1000</v>
      </c>
      <c r="G184" s="507">
        <v>9000</v>
      </c>
      <c r="H184" s="483" t="s">
        <v>469</v>
      </c>
    </row>
    <row r="185" spans="1:8" ht="13.5" thickBot="1">
      <c r="A185" s="495"/>
      <c r="B185" s="496"/>
      <c r="C185" s="497" t="s">
        <v>859</v>
      </c>
      <c r="D185" s="498"/>
      <c r="E185" s="499"/>
      <c r="F185" s="504"/>
      <c r="G185" s="506">
        <f>SUM(G127:G184)</f>
        <v>1481384.1049189998</v>
      </c>
      <c r="H185" s="483"/>
    </row>
    <row r="187" spans="1:8" ht="21" thickBot="1">
      <c r="B187" s="368"/>
      <c r="C187" s="464"/>
      <c r="D187" s="446"/>
      <c r="E187" s="370"/>
      <c r="F187" s="465"/>
      <c r="G187" s="477">
        <v>8</v>
      </c>
    </row>
    <row r="188" spans="1:8" s="443" customFormat="1">
      <c r="A188" s="487" t="s">
        <v>998</v>
      </c>
      <c r="B188" s="488" t="s">
        <v>46</v>
      </c>
      <c r="C188" s="489" t="s">
        <v>857</v>
      </c>
      <c r="D188" s="488" t="s">
        <v>378</v>
      </c>
      <c r="E188" s="490" t="s">
        <v>1206</v>
      </c>
      <c r="F188" s="491" t="s">
        <v>47</v>
      </c>
      <c r="G188" s="492" t="s">
        <v>1067</v>
      </c>
      <c r="H188" s="481" t="s">
        <v>858</v>
      </c>
    </row>
    <row r="189" spans="1:8">
      <c r="A189" s="500">
        <v>1</v>
      </c>
      <c r="B189" s="459" t="s">
        <v>715</v>
      </c>
      <c r="C189" s="460" t="s">
        <v>137</v>
      </c>
      <c r="D189" s="479" t="s">
        <v>58</v>
      </c>
      <c r="E189" s="461">
        <v>1</v>
      </c>
      <c r="F189" s="462">
        <v>23250</v>
      </c>
      <c r="G189" s="494">
        <v>23250</v>
      </c>
      <c r="H189" s="483" t="s">
        <v>468</v>
      </c>
    </row>
    <row r="190" spans="1:8">
      <c r="A190" s="500">
        <v>2</v>
      </c>
      <c r="B190" s="459" t="s">
        <v>716</v>
      </c>
      <c r="C190" s="460" t="s">
        <v>114</v>
      </c>
      <c r="D190" s="479" t="s">
        <v>58</v>
      </c>
      <c r="E190" s="461">
        <v>4</v>
      </c>
      <c r="F190" s="462">
        <v>4000</v>
      </c>
      <c r="G190" s="494">
        <v>16000</v>
      </c>
      <c r="H190" s="483" t="s">
        <v>468</v>
      </c>
    </row>
    <row r="191" spans="1:8">
      <c r="A191" s="500">
        <v>3</v>
      </c>
      <c r="B191" s="459" t="s">
        <v>717</v>
      </c>
      <c r="C191" s="460" t="s">
        <v>110</v>
      </c>
      <c r="D191" s="479" t="s">
        <v>58</v>
      </c>
      <c r="E191" s="461">
        <v>10</v>
      </c>
      <c r="F191" s="462">
        <v>8651</v>
      </c>
      <c r="G191" s="494">
        <v>86510</v>
      </c>
      <c r="H191" s="483" t="s">
        <v>468</v>
      </c>
    </row>
    <row r="192" spans="1:8">
      <c r="A192" s="500">
        <v>4</v>
      </c>
      <c r="B192" s="459" t="s">
        <v>718</v>
      </c>
      <c r="C192" s="460" t="s">
        <v>115</v>
      </c>
      <c r="D192" s="479" t="s">
        <v>58</v>
      </c>
      <c r="E192" s="461">
        <v>6</v>
      </c>
      <c r="F192" s="462">
        <v>4976</v>
      </c>
      <c r="G192" s="494">
        <v>29856</v>
      </c>
      <c r="H192" s="483" t="s">
        <v>468</v>
      </c>
    </row>
    <row r="193" spans="1:8">
      <c r="A193" s="500">
        <v>5</v>
      </c>
      <c r="B193" s="459" t="s">
        <v>719</v>
      </c>
      <c r="C193" s="460" t="s">
        <v>116</v>
      </c>
      <c r="D193" s="479" t="s">
        <v>58</v>
      </c>
      <c r="E193" s="461">
        <v>1</v>
      </c>
      <c r="F193" s="462">
        <v>40000</v>
      </c>
      <c r="G193" s="494">
        <v>40000</v>
      </c>
      <c r="H193" s="483" t="s">
        <v>468</v>
      </c>
    </row>
    <row r="194" spans="1:8">
      <c r="A194" s="500">
        <v>6</v>
      </c>
      <c r="B194" s="459" t="s">
        <v>720</v>
      </c>
      <c r="C194" s="460" t="s">
        <v>117</v>
      </c>
      <c r="D194" s="479" t="s">
        <v>58</v>
      </c>
      <c r="E194" s="461">
        <v>1</v>
      </c>
      <c r="F194" s="462">
        <v>36000</v>
      </c>
      <c r="G194" s="494">
        <v>36000</v>
      </c>
      <c r="H194" s="483" t="s">
        <v>468</v>
      </c>
    </row>
    <row r="195" spans="1:8">
      <c r="A195" s="500">
        <v>7</v>
      </c>
      <c r="B195" s="459" t="s">
        <v>721</v>
      </c>
      <c r="C195" s="460" t="s">
        <v>118</v>
      </c>
      <c r="D195" s="479" t="s">
        <v>58</v>
      </c>
      <c r="E195" s="461">
        <v>2</v>
      </c>
      <c r="F195" s="462">
        <v>48500</v>
      </c>
      <c r="G195" s="494">
        <v>97000</v>
      </c>
      <c r="H195" s="483" t="s">
        <v>468</v>
      </c>
    </row>
    <row r="196" spans="1:8">
      <c r="A196" s="500">
        <v>8</v>
      </c>
      <c r="B196" s="459" t="s">
        <v>722</v>
      </c>
      <c r="C196" s="460" t="s">
        <v>119</v>
      </c>
      <c r="D196" s="479" t="s">
        <v>58</v>
      </c>
      <c r="E196" s="461">
        <v>1</v>
      </c>
      <c r="F196" s="462">
        <v>27000</v>
      </c>
      <c r="G196" s="494">
        <v>27000</v>
      </c>
      <c r="H196" s="483" t="s">
        <v>468</v>
      </c>
    </row>
    <row r="197" spans="1:8">
      <c r="A197" s="500">
        <v>9</v>
      </c>
      <c r="B197" s="459" t="s">
        <v>723</v>
      </c>
      <c r="C197" s="460" t="s">
        <v>120</v>
      </c>
      <c r="D197" s="479" t="s">
        <v>58</v>
      </c>
      <c r="E197" s="461">
        <v>1</v>
      </c>
      <c r="F197" s="462">
        <v>29000</v>
      </c>
      <c r="G197" s="494">
        <v>29000</v>
      </c>
      <c r="H197" s="483" t="s">
        <v>468</v>
      </c>
    </row>
    <row r="198" spans="1:8">
      <c r="A198" s="500">
        <v>10</v>
      </c>
      <c r="B198" s="459" t="s">
        <v>724</v>
      </c>
      <c r="C198" s="460" t="s">
        <v>121</v>
      </c>
      <c r="D198" s="479" t="s">
        <v>58</v>
      </c>
      <c r="E198" s="461">
        <v>1</v>
      </c>
      <c r="F198" s="462">
        <v>45000</v>
      </c>
      <c r="G198" s="494">
        <v>45000</v>
      </c>
      <c r="H198" s="483" t="s">
        <v>468</v>
      </c>
    </row>
    <row r="199" spans="1:8">
      <c r="A199" s="500">
        <v>11</v>
      </c>
      <c r="B199" s="459" t="s">
        <v>725</v>
      </c>
      <c r="C199" s="460" t="s">
        <v>136</v>
      </c>
      <c r="D199" s="479" t="s">
        <v>58</v>
      </c>
      <c r="E199" s="461">
        <v>1</v>
      </c>
      <c r="F199" s="462">
        <v>30000</v>
      </c>
      <c r="G199" s="494">
        <v>30000</v>
      </c>
      <c r="H199" s="483" t="s">
        <v>468</v>
      </c>
    </row>
    <row r="200" spans="1:8">
      <c r="A200" s="500">
        <v>12</v>
      </c>
      <c r="B200" s="459" t="s">
        <v>726</v>
      </c>
      <c r="C200" s="460" t="s">
        <v>122</v>
      </c>
      <c r="D200" s="479" t="s">
        <v>58</v>
      </c>
      <c r="E200" s="461">
        <v>3</v>
      </c>
      <c r="F200" s="462">
        <v>17333</v>
      </c>
      <c r="G200" s="494">
        <v>51999</v>
      </c>
      <c r="H200" s="483" t="s">
        <v>468</v>
      </c>
    </row>
    <row r="201" spans="1:8">
      <c r="A201" s="500">
        <v>13</v>
      </c>
      <c r="B201" s="459" t="s">
        <v>727</v>
      </c>
      <c r="C201" s="460" t="s">
        <v>123</v>
      </c>
      <c r="D201" s="479" t="s">
        <v>58</v>
      </c>
      <c r="E201" s="461">
        <v>4</v>
      </c>
      <c r="F201" s="462">
        <v>4000</v>
      </c>
      <c r="G201" s="494">
        <v>16000</v>
      </c>
      <c r="H201" s="483" t="s">
        <v>468</v>
      </c>
    </row>
    <row r="202" spans="1:8">
      <c r="A202" s="500">
        <v>14</v>
      </c>
      <c r="B202" s="459" t="s">
        <v>728</v>
      </c>
      <c r="C202" s="460" t="s">
        <v>80</v>
      </c>
      <c r="D202" s="479" t="s">
        <v>58</v>
      </c>
      <c r="E202" s="461">
        <v>1</v>
      </c>
      <c r="F202" s="462">
        <v>1250</v>
      </c>
      <c r="G202" s="494">
        <v>1250</v>
      </c>
      <c r="H202" s="483" t="s">
        <v>468</v>
      </c>
    </row>
    <row r="203" spans="1:8">
      <c r="A203" s="500">
        <v>15</v>
      </c>
      <c r="B203" s="459" t="s">
        <v>729</v>
      </c>
      <c r="C203" s="460" t="s">
        <v>70</v>
      </c>
      <c r="D203" s="479" t="s">
        <v>58</v>
      </c>
      <c r="E203" s="461">
        <v>1</v>
      </c>
      <c r="F203" s="462">
        <v>31667</v>
      </c>
      <c r="G203" s="494">
        <v>31667</v>
      </c>
      <c r="H203" s="483" t="s">
        <v>468</v>
      </c>
    </row>
    <row r="204" spans="1:8">
      <c r="A204" s="500">
        <v>16</v>
      </c>
      <c r="B204" s="459" t="s">
        <v>730</v>
      </c>
      <c r="C204" s="460" t="s">
        <v>111</v>
      </c>
      <c r="D204" s="479" t="s">
        <v>58</v>
      </c>
      <c r="E204" s="461">
        <v>1</v>
      </c>
      <c r="F204" s="462">
        <v>6280</v>
      </c>
      <c r="G204" s="494">
        <v>6280</v>
      </c>
      <c r="H204" s="483" t="s">
        <v>468</v>
      </c>
    </row>
    <row r="205" spans="1:8">
      <c r="A205" s="500">
        <v>17</v>
      </c>
      <c r="B205" s="459" t="s">
        <v>731</v>
      </c>
      <c r="C205" s="460" t="s">
        <v>124</v>
      </c>
      <c r="D205" s="479" t="s">
        <v>58</v>
      </c>
      <c r="E205" s="461">
        <v>1</v>
      </c>
      <c r="F205" s="462">
        <v>25000</v>
      </c>
      <c r="G205" s="494">
        <v>25000</v>
      </c>
      <c r="H205" s="483" t="s">
        <v>468</v>
      </c>
    </row>
    <row r="206" spans="1:8">
      <c r="A206" s="500">
        <v>18</v>
      </c>
      <c r="B206" s="459" t="s">
        <v>732</v>
      </c>
      <c r="C206" s="460" t="s">
        <v>125</v>
      </c>
      <c r="D206" s="479" t="s">
        <v>58</v>
      </c>
      <c r="E206" s="461">
        <v>4</v>
      </c>
      <c r="F206" s="462">
        <v>1775</v>
      </c>
      <c r="G206" s="494">
        <v>7100</v>
      </c>
      <c r="H206" s="483" t="s">
        <v>468</v>
      </c>
    </row>
    <row r="207" spans="1:8">
      <c r="A207" s="500">
        <v>19</v>
      </c>
      <c r="B207" s="459" t="s">
        <v>733</v>
      </c>
      <c r="C207" s="460" t="s">
        <v>126</v>
      </c>
      <c r="D207" s="479" t="s">
        <v>58</v>
      </c>
      <c r="E207" s="461">
        <v>15</v>
      </c>
      <c r="F207" s="462">
        <v>1800</v>
      </c>
      <c r="G207" s="494">
        <v>27000</v>
      </c>
      <c r="H207" s="483" t="s">
        <v>468</v>
      </c>
    </row>
    <row r="208" spans="1:8">
      <c r="A208" s="500">
        <v>20</v>
      </c>
      <c r="B208" s="459" t="s">
        <v>734</v>
      </c>
      <c r="C208" s="460" t="s">
        <v>127</v>
      </c>
      <c r="D208" s="479" t="s">
        <v>58</v>
      </c>
      <c r="E208" s="461">
        <v>2</v>
      </c>
      <c r="F208" s="462">
        <v>2835</v>
      </c>
      <c r="G208" s="494">
        <v>5670</v>
      </c>
      <c r="H208" s="483" t="s">
        <v>468</v>
      </c>
    </row>
    <row r="209" spans="1:8">
      <c r="A209" s="500">
        <v>21</v>
      </c>
      <c r="B209" s="459" t="s">
        <v>735</v>
      </c>
      <c r="C209" s="460" t="s">
        <v>128</v>
      </c>
      <c r="D209" s="479" t="s">
        <v>58</v>
      </c>
      <c r="E209" s="461">
        <v>1</v>
      </c>
      <c r="F209" s="462">
        <v>2427</v>
      </c>
      <c r="G209" s="494">
        <v>2427</v>
      </c>
      <c r="H209" s="483" t="s">
        <v>468</v>
      </c>
    </row>
    <row r="210" spans="1:8">
      <c r="A210" s="500">
        <v>22</v>
      </c>
      <c r="B210" s="459" t="s">
        <v>736</v>
      </c>
      <c r="C210" s="460" t="s">
        <v>113</v>
      </c>
      <c r="D210" s="479" t="s">
        <v>58</v>
      </c>
      <c r="E210" s="461">
        <v>2</v>
      </c>
      <c r="F210" s="462">
        <v>13659</v>
      </c>
      <c r="G210" s="494">
        <v>27318</v>
      </c>
      <c r="H210" s="483" t="s">
        <v>468</v>
      </c>
    </row>
    <row r="211" spans="1:8">
      <c r="A211" s="500">
        <v>23</v>
      </c>
      <c r="B211" s="459" t="s">
        <v>737</v>
      </c>
      <c r="C211" s="460" t="s">
        <v>129</v>
      </c>
      <c r="D211" s="479" t="s">
        <v>58</v>
      </c>
      <c r="E211" s="461">
        <v>1</v>
      </c>
      <c r="F211" s="462">
        <v>81250</v>
      </c>
      <c r="G211" s="494">
        <v>81250</v>
      </c>
      <c r="H211" s="483" t="s">
        <v>468</v>
      </c>
    </row>
    <row r="212" spans="1:8">
      <c r="A212" s="500">
        <v>24</v>
      </c>
      <c r="B212" s="459" t="s">
        <v>738</v>
      </c>
      <c r="C212" s="460" t="s">
        <v>130</v>
      </c>
      <c r="D212" s="479" t="s">
        <v>58</v>
      </c>
      <c r="E212" s="461">
        <v>1</v>
      </c>
      <c r="F212" s="462">
        <v>30418</v>
      </c>
      <c r="G212" s="494">
        <v>30418</v>
      </c>
      <c r="H212" s="483" t="s">
        <v>468</v>
      </c>
    </row>
    <row r="213" spans="1:8">
      <c r="A213" s="500">
        <v>25</v>
      </c>
      <c r="B213" s="459" t="s">
        <v>739</v>
      </c>
      <c r="C213" s="460" t="s">
        <v>131</v>
      </c>
      <c r="D213" s="479" t="s">
        <v>58</v>
      </c>
      <c r="E213" s="461">
        <v>1</v>
      </c>
      <c r="F213" s="462">
        <v>14000</v>
      </c>
      <c r="G213" s="494">
        <v>14000</v>
      </c>
      <c r="H213" s="483" t="s">
        <v>468</v>
      </c>
    </row>
    <row r="214" spans="1:8">
      <c r="A214" s="500">
        <v>26</v>
      </c>
      <c r="B214" s="459" t="s">
        <v>740</v>
      </c>
      <c r="C214" s="460" t="s">
        <v>112</v>
      </c>
      <c r="D214" s="479" t="s">
        <v>58</v>
      </c>
      <c r="E214" s="461">
        <v>4</v>
      </c>
      <c r="F214" s="462">
        <v>567</v>
      </c>
      <c r="G214" s="494">
        <v>2268</v>
      </c>
      <c r="H214" s="483" t="s">
        <v>468</v>
      </c>
    </row>
    <row r="215" spans="1:8">
      <c r="A215" s="500">
        <v>27</v>
      </c>
      <c r="B215" s="459" t="s">
        <v>741</v>
      </c>
      <c r="C215" s="460" t="s">
        <v>132</v>
      </c>
      <c r="D215" s="479" t="s">
        <v>58</v>
      </c>
      <c r="E215" s="461">
        <v>1</v>
      </c>
      <c r="F215" s="462">
        <v>32000</v>
      </c>
      <c r="G215" s="494">
        <v>32000</v>
      </c>
      <c r="H215" s="483" t="s">
        <v>468</v>
      </c>
    </row>
    <row r="216" spans="1:8">
      <c r="A216" s="500">
        <v>28</v>
      </c>
      <c r="B216" s="459" t="s">
        <v>742</v>
      </c>
      <c r="C216" s="460" t="s">
        <v>133</v>
      </c>
      <c r="D216" s="479" t="s">
        <v>58</v>
      </c>
      <c r="E216" s="461">
        <v>1</v>
      </c>
      <c r="F216" s="462">
        <v>110000</v>
      </c>
      <c r="G216" s="494">
        <v>110000</v>
      </c>
      <c r="H216" s="483" t="s">
        <v>468</v>
      </c>
    </row>
    <row r="217" spans="1:8">
      <c r="A217" s="500">
        <v>29</v>
      </c>
      <c r="B217" s="459" t="s">
        <v>743</v>
      </c>
      <c r="C217" s="460" t="s">
        <v>134</v>
      </c>
      <c r="D217" s="479" t="s">
        <v>58</v>
      </c>
      <c r="E217" s="461">
        <v>1</v>
      </c>
      <c r="F217" s="462">
        <v>140284</v>
      </c>
      <c r="G217" s="494">
        <f>F217*E217</f>
        <v>140284</v>
      </c>
      <c r="H217" s="483" t="s">
        <v>468</v>
      </c>
    </row>
    <row r="218" spans="1:8" ht="12.75" customHeight="1" thickBot="1">
      <c r="A218" s="500">
        <v>30</v>
      </c>
      <c r="B218" s="471" t="s">
        <v>744</v>
      </c>
      <c r="C218" s="471" t="s">
        <v>135</v>
      </c>
      <c r="D218" s="472" t="s">
        <v>58</v>
      </c>
      <c r="E218" s="474">
        <v>1</v>
      </c>
      <c r="F218" s="473">
        <v>20331</v>
      </c>
      <c r="G218" s="508">
        <f>E218*F218</f>
        <v>20331</v>
      </c>
      <c r="H218" s="501" t="s">
        <v>468</v>
      </c>
    </row>
    <row r="219" spans="1:8" ht="13.5" thickBot="1">
      <c r="A219" s="495"/>
      <c r="B219" s="496"/>
      <c r="C219" s="497" t="s">
        <v>859</v>
      </c>
      <c r="D219" s="498"/>
      <c r="E219" s="499"/>
      <c r="F219" s="504"/>
      <c r="G219" s="506">
        <f>SUM(G189:G218)</f>
        <v>1091878</v>
      </c>
      <c r="H219" s="483"/>
    </row>
    <row r="220" spans="1:8">
      <c r="C220" s="31"/>
      <c r="E220" s="31"/>
      <c r="F220" s="31"/>
    </row>
    <row r="221" spans="1:8" ht="21" thickBot="1">
      <c r="G221" s="476">
        <v>10</v>
      </c>
      <c r="H221" s="458"/>
    </row>
    <row r="222" spans="1:8" s="443" customFormat="1">
      <c r="A222" s="487" t="s">
        <v>998</v>
      </c>
      <c r="B222" s="488" t="s">
        <v>46</v>
      </c>
      <c r="C222" s="489" t="s">
        <v>857</v>
      </c>
      <c r="D222" s="488" t="s">
        <v>378</v>
      </c>
      <c r="E222" s="490" t="s">
        <v>1206</v>
      </c>
      <c r="F222" s="491" t="s">
        <v>47</v>
      </c>
      <c r="G222" s="492" t="s">
        <v>1067</v>
      </c>
      <c r="H222" s="481" t="s">
        <v>858</v>
      </c>
    </row>
    <row r="223" spans="1:8">
      <c r="A223" s="500">
        <v>1</v>
      </c>
      <c r="B223" s="459" t="s">
        <v>745</v>
      </c>
      <c r="C223" s="460" t="s">
        <v>434</v>
      </c>
      <c r="D223" s="479" t="s">
        <v>58</v>
      </c>
      <c r="E223" s="461">
        <v>1</v>
      </c>
      <c r="F223" s="462">
        <v>11427</v>
      </c>
      <c r="G223" s="494">
        <v>11427</v>
      </c>
      <c r="H223" s="483" t="s">
        <v>468</v>
      </c>
    </row>
    <row r="224" spans="1:8">
      <c r="A224" s="500">
        <v>2</v>
      </c>
      <c r="B224" s="459" t="s">
        <v>746</v>
      </c>
      <c r="C224" s="460" t="s">
        <v>747</v>
      </c>
      <c r="D224" s="479" t="s">
        <v>58</v>
      </c>
      <c r="E224" s="461">
        <v>20</v>
      </c>
      <c r="F224" s="462">
        <v>6765</v>
      </c>
      <c r="G224" s="494">
        <v>135300</v>
      </c>
      <c r="H224" s="483" t="s">
        <v>468</v>
      </c>
    </row>
    <row r="225" spans="1:8">
      <c r="A225" s="500">
        <v>3</v>
      </c>
      <c r="B225" s="459" t="s">
        <v>748</v>
      </c>
      <c r="C225" s="460" t="s">
        <v>749</v>
      </c>
      <c r="D225" s="479" t="s">
        <v>58</v>
      </c>
      <c r="E225" s="461">
        <v>7</v>
      </c>
      <c r="F225" s="462">
        <v>355</v>
      </c>
      <c r="G225" s="494">
        <v>2485</v>
      </c>
      <c r="H225" s="483" t="s">
        <v>468</v>
      </c>
    </row>
    <row r="226" spans="1:8">
      <c r="A226" s="500">
        <v>4</v>
      </c>
      <c r="B226" s="459" t="s">
        <v>750</v>
      </c>
      <c r="C226" s="460" t="s">
        <v>151</v>
      </c>
      <c r="D226" s="479" t="s">
        <v>58</v>
      </c>
      <c r="E226" s="461">
        <v>138</v>
      </c>
      <c r="F226" s="462">
        <v>213.1</v>
      </c>
      <c r="G226" s="494">
        <v>29407.8</v>
      </c>
      <c r="H226" s="483" t="s">
        <v>468</v>
      </c>
    </row>
    <row r="227" spans="1:8">
      <c r="A227" s="500">
        <v>5</v>
      </c>
      <c r="B227" s="459" t="s">
        <v>751</v>
      </c>
      <c r="C227" s="460" t="s">
        <v>153</v>
      </c>
      <c r="D227" s="479" t="s">
        <v>58</v>
      </c>
      <c r="E227" s="461">
        <v>646</v>
      </c>
      <c r="F227" s="462">
        <v>175</v>
      </c>
      <c r="G227" s="494">
        <v>113050</v>
      </c>
      <c r="H227" s="483" t="s">
        <v>468</v>
      </c>
    </row>
    <row r="228" spans="1:8">
      <c r="A228" s="500">
        <v>6</v>
      </c>
      <c r="B228" s="459" t="s">
        <v>751</v>
      </c>
      <c r="C228" s="460" t="s">
        <v>153</v>
      </c>
      <c r="D228" s="479" t="s">
        <v>58</v>
      </c>
      <c r="E228" s="461">
        <v>25</v>
      </c>
      <c r="F228" s="462">
        <v>175</v>
      </c>
      <c r="G228" s="494">
        <v>4375</v>
      </c>
      <c r="H228" s="483" t="s">
        <v>469</v>
      </c>
    </row>
    <row r="229" spans="1:8">
      <c r="A229" s="500">
        <v>7</v>
      </c>
      <c r="B229" s="459" t="s">
        <v>752</v>
      </c>
      <c r="C229" s="460" t="s">
        <v>198</v>
      </c>
      <c r="D229" s="479" t="s">
        <v>58</v>
      </c>
      <c r="E229" s="461">
        <v>1667</v>
      </c>
      <c r="F229" s="462">
        <v>236.7</v>
      </c>
      <c r="G229" s="494">
        <v>394578.9</v>
      </c>
      <c r="H229" s="483" t="s">
        <v>468</v>
      </c>
    </row>
    <row r="230" spans="1:8">
      <c r="A230" s="500">
        <v>8</v>
      </c>
      <c r="B230" s="459" t="s">
        <v>752</v>
      </c>
      <c r="C230" s="460" t="s">
        <v>198</v>
      </c>
      <c r="D230" s="479" t="s">
        <v>58</v>
      </c>
      <c r="E230" s="461">
        <v>1</v>
      </c>
      <c r="F230" s="462">
        <v>236.7</v>
      </c>
      <c r="G230" s="494">
        <v>236.7</v>
      </c>
      <c r="H230" s="483" t="s">
        <v>469</v>
      </c>
    </row>
    <row r="231" spans="1:8">
      <c r="A231" s="500">
        <v>9</v>
      </c>
      <c r="B231" s="459" t="s">
        <v>753</v>
      </c>
      <c r="C231" s="460" t="s">
        <v>435</v>
      </c>
      <c r="D231" s="479" t="s">
        <v>58</v>
      </c>
      <c r="E231" s="461">
        <v>104</v>
      </c>
      <c r="F231" s="462">
        <v>1371</v>
      </c>
      <c r="G231" s="494">
        <v>142584</v>
      </c>
      <c r="H231" s="483" t="s">
        <v>468</v>
      </c>
    </row>
    <row r="232" spans="1:8">
      <c r="A232" s="500">
        <v>10</v>
      </c>
      <c r="B232" s="459" t="s">
        <v>754</v>
      </c>
      <c r="C232" s="460" t="s">
        <v>152</v>
      </c>
      <c r="D232" s="479" t="s">
        <v>58</v>
      </c>
      <c r="E232" s="461">
        <v>3097</v>
      </c>
      <c r="F232" s="462">
        <v>426</v>
      </c>
      <c r="G232" s="494">
        <v>1319322</v>
      </c>
      <c r="H232" s="483" t="s">
        <v>468</v>
      </c>
    </row>
    <row r="233" spans="1:8">
      <c r="A233" s="500">
        <v>11</v>
      </c>
      <c r="B233" s="459" t="s">
        <v>755</v>
      </c>
      <c r="C233" s="460" t="s">
        <v>436</v>
      </c>
      <c r="D233" s="479" t="s">
        <v>58</v>
      </c>
      <c r="E233" s="461">
        <v>18</v>
      </c>
      <c r="F233" s="462">
        <v>57544.6875</v>
      </c>
      <c r="G233" s="494">
        <v>1035804.375</v>
      </c>
      <c r="H233" s="483" t="s">
        <v>468</v>
      </c>
    </row>
    <row r="234" spans="1:8">
      <c r="A234" s="500">
        <v>12</v>
      </c>
      <c r="B234" s="459" t="s">
        <v>756</v>
      </c>
      <c r="C234" s="460" t="s">
        <v>154</v>
      </c>
      <c r="D234" s="479" t="s">
        <v>58</v>
      </c>
      <c r="E234" s="461">
        <v>4</v>
      </c>
      <c r="F234" s="462">
        <v>71621.03</v>
      </c>
      <c r="G234" s="494">
        <v>286484.12</v>
      </c>
      <c r="H234" s="483" t="s">
        <v>468</v>
      </c>
    </row>
    <row r="235" spans="1:8">
      <c r="A235" s="500">
        <v>13</v>
      </c>
      <c r="B235" s="459" t="s">
        <v>757</v>
      </c>
      <c r="C235" s="460" t="s">
        <v>155</v>
      </c>
      <c r="D235" s="479" t="s">
        <v>58</v>
      </c>
      <c r="E235" s="461">
        <v>6</v>
      </c>
      <c r="F235" s="462">
        <v>47065</v>
      </c>
      <c r="G235" s="494">
        <v>282390</v>
      </c>
      <c r="H235" s="483" t="s">
        <v>468</v>
      </c>
    </row>
    <row r="236" spans="1:8">
      <c r="A236" s="500">
        <v>14</v>
      </c>
      <c r="B236" s="459" t="s">
        <v>758</v>
      </c>
      <c r="C236" s="460" t="s">
        <v>156</v>
      </c>
      <c r="D236" s="479" t="s">
        <v>58</v>
      </c>
      <c r="E236" s="461">
        <v>4</v>
      </c>
      <c r="F236" s="462">
        <v>57952.78</v>
      </c>
      <c r="G236" s="494">
        <v>231811.12</v>
      </c>
      <c r="H236" s="483" t="s">
        <v>468</v>
      </c>
    </row>
    <row r="237" spans="1:8">
      <c r="A237" s="500">
        <v>15</v>
      </c>
      <c r="B237" s="459" t="s">
        <v>759</v>
      </c>
      <c r="C237" s="460" t="s">
        <v>157</v>
      </c>
      <c r="D237" s="479" t="s">
        <v>58</v>
      </c>
      <c r="E237" s="461">
        <v>15</v>
      </c>
      <c r="F237" s="462">
        <v>54691.64</v>
      </c>
      <c r="G237" s="494">
        <v>820374.6</v>
      </c>
      <c r="H237" s="483" t="s">
        <v>468</v>
      </c>
    </row>
    <row r="238" spans="1:8">
      <c r="A238" s="500">
        <v>16</v>
      </c>
      <c r="B238" s="459" t="s">
        <v>760</v>
      </c>
      <c r="C238" s="460" t="s">
        <v>138</v>
      </c>
      <c r="D238" s="479" t="s">
        <v>58</v>
      </c>
      <c r="E238" s="461">
        <v>1</v>
      </c>
      <c r="F238" s="462">
        <v>89453.6</v>
      </c>
      <c r="G238" s="494">
        <v>89453.6</v>
      </c>
      <c r="H238" s="483" t="s">
        <v>468</v>
      </c>
    </row>
    <row r="239" spans="1:8">
      <c r="A239" s="500">
        <v>17</v>
      </c>
      <c r="B239" s="459" t="s">
        <v>761</v>
      </c>
      <c r="C239" s="460" t="s">
        <v>158</v>
      </c>
      <c r="D239" s="479" t="s">
        <v>58</v>
      </c>
      <c r="E239" s="461">
        <v>4</v>
      </c>
      <c r="F239" s="462">
        <v>22137.19</v>
      </c>
      <c r="G239" s="494">
        <v>88548.76</v>
      </c>
      <c r="H239" s="483" t="s">
        <v>468</v>
      </c>
    </row>
    <row r="240" spans="1:8">
      <c r="A240" s="500">
        <v>18</v>
      </c>
      <c r="B240" s="459" t="s">
        <v>762</v>
      </c>
      <c r="C240" s="460" t="s">
        <v>159</v>
      </c>
      <c r="D240" s="479" t="s">
        <v>58</v>
      </c>
      <c r="E240" s="461">
        <v>1</v>
      </c>
      <c r="F240" s="462">
        <v>40318.43</v>
      </c>
      <c r="G240" s="494">
        <v>40318.43</v>
      </c>
      <c r="H240" s="483" t="s">
        <v>468</v>
      </c>
    </row>
    <row r="241" spans="1:8">
      <c r="A241" s="500">
        <v>19</v>
      </c>
      <c r="B241" s="459" t="s">
        <v>763</v>
      </c>
      <c r="C241" s="460" t="s">
        <v>160</v>
      </c>
      <c r="D241" s="479" t="s">
        <v>58</v>
      </c>
      <c r="E241" s="461">
        <v>14</v>
      </c>
      <c r="F241" s="462">
        <v>40615.300000000003</v>
      </c>
      <c r="G241" s="494">
        <v>568614.19999999995</v>
      </c>
      <c r="H241" s="483" t="s">
        <v>468</v>
      </c>
    </row>
    <row r="242" spans="1:8">
      <c r="A242" s="500">
        <v>20</v>
      </c>
      <c r="B242" s="459" t="s">
        <v>764</v>
      </c>
      <c r="C242" s="460" t="s">
        <v>204</v>
      </c>
      <c r="D242" s="479" t="s">
        <v>58</v>
      </c>
      <c r="E242" s="461">
        <v>9</v>
      </c>
      <c r="F242" s="462">
        <v>143273.21</v>
      </c>
      <c r="G242" s="494">
        <v>1289458.8899999999</v>
      </c>
      <c r="H242" s="483" t="s">
        <v>468</v>
      </c>
    </row>
    <row r="243" spans="1:8">
      <c r="A243" s="500">
        <v>21</v>
      </c>
      <c r="B243" s="459" t="s">
        <v>765</v>
      </c>
      <c r="C243" s="460" t="s">
        <v>161</v>
      </c>
      <c r="D243" s="479" t="s">
        <v>58</v>
      </c>
      <c r="E243" s="461">
        <v>9</v>
      </c>
      <c r="F243" s="462">
        <v>165550</v>
      </c>
      <c r="G243" s="494">
        <v>1489950</v>
      </c>
      <c r="H243" s="483" t="s">
        <v>468</v>
      </c>
    </row>
    <row r="244" spans="1:8">
      <c r="A244" s="500">
        <v>22</v>
      </c>
      <c r="B244" s="459" t="s">
        <v>766</v>
      </c>
      <c r="C244" s="460" t="s">
        <v>147</v>
      </c>
      <c r="D244" s="479" t="s">
        <v>58</v>
      </c>
      <c r="E244" s="461">
        <v>4</v>
      </c>
      <c r="F244" s="462">
        <v>272960</v>
      </c>
      <c r="G244" s="494">
        <v>1091840</v>
      </c>
      <c r="H244" s="483" t="s">
        <v>468</v>
      </c>
    </row>
    <row r="245" spans="1:8">
      <c r="A245" s="500">
        <v>23</v>
      </c>
      <c r="B245" s="459" t="s">
        <v>767</v>
      </c>
      <c r="C245" s="460" t="s">
        <v>162</v>
      </c>
      <c r="D245" s="479" t="s">
        <v>58</v>
      </c>
      <c r="E245" s="461">
        <v>1</v>
      </c>
      <c r="F245" s="462">
        <v>55595</v>
      </c>
      <c r="G245" s="494">
        <v>55595</v>
      </c>
      <c r="H245" s="483" t="s">
        <v>468</v>
      </c>
    </row>
    <row r="246" spans="1:8">
      <c r="A246" s="500">
        <v>24</v>
      </c>
      <c r="B246" s="459" t="s">
        <v>768</v>
      </c>
      <c r="C246" s="460" t="s">
        <v>163</v>
      </c>
      <c r="D246" s="479" t="s">
        <v>58</v>
      </c>
      <c r="E246" s="461">
        <v>8</v>
      </c>
      <c r="F246" s="462">
        <v>8897</v>
      </c>
      <c r="G246" s="494">
        <v>71176</v>
      </c>
      <c r="H246" s="483" t="s">
        <v>468</v>
      </c>
    </row>
    <row r="247" spans="1:8">
      <c r="A247" s="500">
        <v>25</v>
      </c>
      <c r="B247" s="459" t="s">
        <v>769</v>
      </c>
      <c r="C247" s="460" t="s">
        <v>164</v>
      </c>
      <c r="D247" s="479" t="s">
        <v>58</v>
      </c>
      <c r="E247" s="461">
        <v>2</v>
      </c>
      <c r="F247" s="462">
        <v>42427</v>
      </c>
      <c r="G247" s="494">
        <v>84854</v>
      </c>
      <c r="H247" s="483" t="s">
        <v>468</v>
      </c>
    </row>
    <row r="248" spans="1:8">
      <c r="A248" s="500">
        <v>26</v>
      </c>
      <c r="B248" s="459" t="s">
        <v>770</v>
      </c>
      <c r="C248" s="460" t="s">
        <v>165</v>
      </c>
      <c r="D248" s="479" t="s">
        <v>58</v>
      </c>
      <c r="E248" s="461">
        <v>1</v>
      </c>
      <c r="F248" s="462">
        <v>30633.73</v>
      </c>
      <c r="G248" s="494">
        <v>30633.73</v>
      </c>
      <c r="H248" s="483" t="s">
        <v>468</v>
      </c>
    </row>
    <row r="249" spans="1:8">
      <c r="A249" s="500">
        <v>27</v>
      </c>
      <c r="B249" s="459" t="s">
        <v>771</v>
      </c>
      <c r="C249" s="460" t="s">
        <v>166</v>
      </c>
      <c r="D249" s="479" t="s">
        <v>58</v>
      </c>
      <c r="E249" s="461">
        <v>1</v>
      </c>
      <c r="F249" s="462">
        <v>9102</v>
      </c>
      <c r="G249" s="494">
        <v>9102</v>
      </c>
      <c r="H249" s="483" t="s">
        <v>468</v>
      </c>
    </row>
    <row r="250" spans="1:8">
      <c r="A250" s="500">
        <v>28</v>
      </c>
      <c r="B250" s="459" t="s">
        <v>772</v>
      </c>
      <c r="C250" s="460" t="s">
        <v>773</v>
      </c>
      <c r="D250" s="479" t="s">
        <v>58</v>
      </c>
      <c r="E250" s="461">
        <v>3</v>
      </c>
      <c r="F250" s="462">
        <v>74928</v>
      </c>
      <c r="G250" s="494">
        <v>224784</v>
      </c>
      <c r="H250" s="483" t="s">
        <v>468</v>
      </c>
    </row>
    <row r="251" spans="1:8">
      <c r="A251" s="500">
        <v>29</v>
      </c>
      <c r="B251" s="459" t="s">
        <v>774</v>
      </c>
      <c r="C251" s="460" t="s">
        <v>167</v>
      </c>
      <c r="D251" s="479" t="s">
        <v>58</v>
      </c>
      <c r="E251" s="461">
        <v>2</v>
      </c>
      <c r="F251" s="462">
        <v>110700</v>
      </c>
      <c r="G251" s="494">
        <v>221400</v>
      </c>
      <c r="H251" s="483" t="s">
        <v>468</v>
      </c>
    </row>
    <row r="252" spans="1:8">
      <c r="A252" s="500">
        <v>30</v>
      </c>
      <c r="B252" s="459" t="s">
        <v>775</v>
      </c>
      <c r="C252" s="460" t="s">
        <v>205</v>
      </c>
      <c r="D252" s="479" t="s">
        <v>58</v>
      </c>
      <c r="E252" s="461">
        <v>2</v>
      </c>
      <c r="F252" s="462">
        <v>18524.830000000002</v>
      </c>
      <c r="G252" s="494">
        <v>37049.660000000003</v>
      </c>
      <c r="H252" s="483" t="s">
        <v>468</v>
      </c>
    </row>
    <row r="253" spans="1:8">
      <c r="A253" s="500">
        <v>31</v>
      </c>
      <c r="B253" s="459" t="s">
        <v>776</v>
      </c>
      <c r="C253" s="460" t="s">
        <v>148</v>
      </c>
      <c r="D253" s="479" t="s">
        <v>58</v>
      </c>
      <c r="E253" s="461">
        <v>4</v>
      </c>
      <c r="F253" s="462">
        <v>10903.75</v>
      </c>
      <c r="G253" s="494">
        <v>43615</v>
      </c>
      <c r="H253" s="483" t="s">
        <v>468</v>
      </c>
    </row>
    <row r="254" spans="1:8">
      <c r="A254" s="500">
        <v>32</v>
      </c>
      <c r="B254" s="459" t="s">
        <v>777</v>
      </c>
      <c r="C254" s="460" t="s">
        <v>169</v>
      </c>
      <c r="D254" s="479" t="s">
        <v>58</v>
      </c>
      <c r="E254" s="461">
        <v>12</v>
      </c>
      <c r="F254" s="462">
        <v>12000</v>
      </c>
      <c r="G254" s="494">
        <v>144000</v>
      </c>
      <c r="H254" s="483" t="s">
        <v>468</v>
      </c>
    </row>
    <row r="255" spans="1:8">
      <c r="A255" s="500">
        <v>33</v>
      </c>
      <c r="B255" s="459" t="s">
        <v>778</v>
      </c>
      <c r="C255" s="460" t="s">
        <v>437</v>
      </c>
      <c r="D255" s="479" t="s">
        <v>58</v>
      </c>
      <c r="E255" s="461">
        <v>40</v>
      </c>
      <c r="F255" s="462">
        <v>30498</v>
      </c>
      <c r="G255" s="494">
        <v>1219920</v>
      </c>
      <c r="H255" s="483" t="s">
        <v>468</v>
      </c>
    </row>
    <row r="256" spans="1:8">
      <c r="A256" s="500">
        <v>34</v>
      </c>
      <c r="B256" s="459" t="s">
        <v>779</v>
      </c>
      <c r="C256" s="460" t="s">
        <v>202</v>
      </c>
      <c r="D256" s="479" t="s">
        <v>58</v>
      </c>
      <c r="E256" s="461">
        <v>9</v>
      </c>
      <c r="F256" s="462">
        <v>19770.64</v>
      </c>
      <c r="G256" s="494">
        <v>177935.76</v>
      </c>
      <c r="H256" s="483" t="s">
        <v>468</v>
      </c>
    </row>
    <row r="257" spans="1:8">
      <c r="A257" s="500">
        <v>35</v>
      </c>
      <c r="B257" s="459" t="s">
        <v>780</v>
      </c>
      <c r="C257" s="460" t="s">
        <v>438</v>
      </c>
      <c r="D257" s="479" t="s">
        <v>58</v>
      </c>
      <c r="E257" s="461">
        <v>2</v>
      </c>
      <c r="F257" s="462">
        <v>22433</v>
      </c>
      <c r="G257" s="494">
        <v>44866</v>
      </c>
      <c r="H257" s="483" t="s">
        <v>468</v>
      </c>
    </row>
    <row r="258" spans="1:8">
      <c r="A258" s="500">
        <v>36</v>
      </c>
      <c r="B258" s="459" t="s">
        <v>781</v>
      </c>
      <c r="C258" s="460" t="s">
        <v>782</v>
      </c>
      <c r="D258" s="479" t="s">
        <v>58</v>
      </c>
      <c r="E258" s="461">
        <v>56</v>
      </c>
      <c r="F258" s="462">
        <v>25375</v>
      </c>
      <c r="G258" s="494">
        <v>1421000</v>
      </c>
      <c r="H258" s="483" t="s">
        <v>468</v>
      </c>
    </row>
    <row r="259" spans="1:8">
      <c r="A259" s="500">
        <v>37</v>
      </c>
      <c r="B259" s="459" t="s">
        <v>783</v>
      </c>
      <c r="C259" s="460" t="s">
        <v>784</v>
      </c>
      <c r="D259" s="479" t="s">
        <v>58</v>
      </c>
      <c r="E259" s="461">
        <v>20</v>
      </c>
      <c r="F259" s="462">
        <v>25375</v>
      </c>
      <c r="G259" s="494">
        <v>507500</v>
      </c>
      <c r="H259" s="483" t="s">
        <v>468</v>
      </c>
    </row>
    <row r="260" spans="1:8">
      <c r="A260" s="500">
        <v>38</v>
      </c>
      <c r="B260" s="459" t="s">
        <v>785</v>
      </c>
      <c r="C260" s="460" t="s">
        <v>439</v>
      </c>
      <c r="D260" s="479" t="s">
        <v>58</v>
      </c>
      <c r="E260" s="461">
        <v>1</v>
      </c>
      <c r="F260" s="462">
        <v>25595</v>
      </c>
      <c r="G260" s="494">
        <v>25595</v>
      </c>
      <c r="H260" s="483" t="s">
        <v>468</v>
      </c>
    </row>
    <row r="261" spans="1:8">
      <c r="A261" s="500">
        <v>39</v>
      </c>
      <c r="B261" s="459" t="s">
        <v>786</v>
      </c>
      <c r="C261" s="460" t="s">
        <v>787</v>
      </c>
      <c r="D261" s="479" t="s">
        <v>58</v>
      </c>
      <c r="E261" s="461">
        <v>22</v>
      </c>
      <c r="F261" s="462">
        <v>26100</v>
      </c>
      <c r="G261" s="494">
        <v>574200</v>
      </c>
      <c r="H261" s="483" t="s">
        <v>468</v>
      </c>
    </row>
    <row r="262" spans="1:8">
      <c r="A262" s="500">
        <v>40</v>
      </c>
      <c r="B262" s="459" t="s">
        <v>788</v>
      </c>
      <c r="C262" s="460" t="s">
        <v>201</v>
      </c>
      <c r="D262" s="479" t="s">
        <v>58</v>
      </c>
      <c r="E262" s="461">
        <v>7</v>
      </c>
      <c r="F262" s="462">
        <v>15151.81</v>
      </c>
      <c r="G262" s="494">
        <v>106062.67</v>
      </c>
      <c r="H262" s="483" t="s">
        <v>468</v>
      </c>
    </row>
    <row r="263" spans="1:8">
      <c r="A263" s="500">
        <v>41</v>
      </c>
      <c r="B263" s="459" t="s">
        <v>789</v>
      </c>
      <c r="C263" s="460" t="s">
        <v>170</v>
      </c>
      <c r="D263" s="479" t="s">
        <v>58</v>
      </c>
      <c r="E263" s="461">
        <v>2</v>
      </c>
      <c r="F263" s="462">
        <v>6045.52</v>
      </c>
      <c r="G263" s="494">
        <v>12091.04</v>
      </c>
      <c r="H263" s="483" t="s">
        <v>468</v>
      </c>
    </row>
    <row r="264" spans="1:8">
      <c r="A264" s="500">
        <v>42</v>
      </c>
      <c r="B264" s="459" t="s">
        <v>790</v>
      </c>
      <c r="C264" s="460" t="s">
        <v>171</v>
      </c>
      <c r="D264" s="479" t="s">
        <v>58</v>
      </c>
      <c r="E264" s="461">
        <v>2</v>
      </c>
      <c r="F264" s="462">
        <v>8263</v>
      </c>
      <c r="G264" s="494">
        <v>16526</v>
      </c>
      <c r="H264" s="483" t="s">
        <v>468</v>
      </c>
    </row>
    <row r="265" spans="1:8">
      <c r="A265" s="500">
        <v>43</v>
      </c>
      <c r="B265" s="459" t="s">
        <v>791</v>
      </c>
      <c r="C265" s="460" t="s">
        <v>200</v>
      </c>
      <c r="D265" s="479" t="s">
        <v>58</v>
      </c>
      <c r="E265" s="461">
        <v>1</v>
      </c>
      <c r="F265" s="462">
        <v>82383</v>
      </c>
      <c r="G265" s="494">
        <v>82383</v>
      </c>
      <c r="H265" s="483" t="s">
        <v>468</v>
      </c>
    </row>
    <row r="266" spans="1:8">
      <c r="A266" s="500">
        <v>44</v>
      </c>
      <c r="B266" s="459" t="s">
        <v>792</v>
      </c>
      <c r="C266" s="460" t="s">
        <v>172</v>
      </c>
      <c r="D266" s="479" t="s">
        <v>58</v>
      </c>
      <c r="E266" s="461">
        <v>1</v>
      </c>
      <c r="F266" s="462">
        <v>99996.800000000003</v>
      </c>
      <c r="G266" s="494">
        <v>99996.800000000003</v>
      </c>
      <c r="H266" s="483" t="s">
        <v>468</v>
      </c>
    </row>
    <row r="267" spans="1:8">
      <c r="A267" s="500">
        <v>45</v>
      </c>
      <c r="B267" s="459" t="s">
        <v>793</v>
      </c>
      <c r="C267" s="460" t="s">
        <v>173</v>
      </c>
      <c r="D267" s="479" t="s">
        <v>58</v>
      </c>
      <c r="E267" s="461">
        <v>1</v>
      </c>
      <c r="F267" s="462">
        <v>95340.17</v>
      </c>
      <c r="G267" s="494">
        <v>95340.17</v>
      </c>
      <c r="H267" s="483" t="s">
        <v>468</v>
      </c>
    </row>
    <row r="268" spans="1:8">
      <c r="A268" s="500">
        <v>46</v>
      </c>
      <c r="B268" s="459" t="s">
        <v>794</v>
      </c>
      <c r="C268" s="460" t="s">
        <v>173</v>
      </c>
      <c r="D268" s="479" t="s">
        <v>58</v>
      </c>
      <c r="E268" s="461">
        <v>2</v>
      </c>
      <c r="F268" s="462">
        <v>110045</v>
      </c>
      <c r="G268" s="494">
        <v>220090</v>
      </c>
      <c r="H268" s="483" t="s">
        <v>468</v>
      </c>
    </row>
    <row r="269" spans="1:8">
      <c r="A269" s="500">
        <v>47</v>
      </c>
      <c r="B269" s="459" t="s">
        <v>795</v>
      </c>
      <c r="C269" s="460" t="s">
        <v>174</v>
      </c>
      <c r="D269" s="479" t="s">
        <v>58</v>
      </c>
      <c r="E269" s="461">
        <v>1</v>
      </c>
      <c r="F269" s="462">
        <v>98964</v>
      </c>
      <c r="G269" s="494">
        <v>98964</v>
      </c>
      <c r="H269" s="483" t="s">
        <v>468</v>
      </c>
    </row>
    <row r="270" spans="1:8">
      <c r="A270" s="500">
        <v>48</v>
      </c>
      <c r="B270" s="459" t="s">
        <v>796</v>
      </c>
      <c r="C270" s="460" t="s">
        <v>175</v>
      </c>
      <c r="D270" s="479" t="s">
        <v>58</v>
      </c>
      <c r="E270" s="461">
        <v>1</v>
      </c>
      <c r="F270" s="462">
        <v>17246.63</v>
      </c>
      <c r="G270" s="494">
        <v>17246.63</v>
      </c>
      <c r="H270" s="483" t="s">
        <v>468</v>
      </c>
    </row>
    <row r="271" spans="1:8">
      <c r="A271" s="500">
        <v>49</v>
      </c>
      <c r="B271" s="459" t="s">
        <v>797</v>
      </c>
      <c r="C271" s="460" t="s">
        <v>203</v>
      </c>
      <c r="D271" s="479" t="s">
        <v>58</v>
      </c>
      <c r="E271" s="461">
        <v>1</v>
      </c>
      <c r="F271" s="462">
        <v>18825.13</v>
      </c>
      <c r="G271" s="494">
        <v>18825.13</v>
      </c>
      <c r="H271" s="483" t="s">
        <v>468</v>
      </c>
    </row>
    <row r="272" spans="1:8">
      <c r="A272" s="500">
        <v>50</v>
      </c>
      <c r="B272" s="459" t="s">
        <v>798</v>
      </c>
      <c r="C272" s="460" t="s">
        <v>176</v>
      </c>
      <c r="D272" s="479" t="s">
        <v>58</v>
      </c>
      <c r="E272" s="461">
        <v>1</v>
      </c>
      <c r="F272" s="462">
        <v>34240.68</v>
      </c>
      <c r="G272" s="494">
        <v>34240.68</v>
      </c>
      <c r="H272" s="483" t="s">
        <v>468</v>
      </c>
    </row>
    <row r="273" spans="1:8">
      <c r="A273" s="500">
        <v>51</v>
      </c>
      <c r="B273" s="459" t="s">
        <v>799</v>
      </c>
      <c r="C273" s="460" t="s">
        <v>800</v>
      </c>
      <c r="D273" s="479" t="s">
        <v>58</v>
      </c>
      <c r="E273" s="461">
        <v>1</v>
      </c>
      <c r="F273" s="462">
        <v>31900</v>
      </c>
      <c r="G273" s="494">
        <v>31900</v>
      </c>
      <c r="H273" s="483" t="s">
        <v>468</v>
      </c>
    </row>
    <row r="274" spans="1:8">
      <c r="A274" s="500">
        <v>52</v>
      </c>
      <c r="B274" s="459" t="s">
        <v>801</v>
      </c>
      <c r="C274" s="460" t="s">
        <v>177</v>
      </c>
      <c r="D274" s="479" t="s">
        <v>58</v>
      </c>
      <c r="E274" s="461">
        <v>4</v>
      </c>
      <c r="F274" s="462">
        <v>33605</v>
      </c>
      <c r="G274" s="494">
        <v>134420</v>
      </c>
      <c r="H274" s="483" t="s">
        <v>468</v>
      </c>
    </row>
    <row r="275" spans="1:8">
      <c r="A275" s="500">
        <v>53</v>
      </c>
      <c r="B275" s="459" t="s">
        <v>802</v>
      </c>
      <c r="C275" s="460" t="s">
        <v>178</v>
      </c>
      <c r="D275" s="479" t="s">
        <v>58</v>
      </c>
      <c r="E275" s="461">
        <v>8</v>
      </c>
      <c r="F275" s="462">
        <v>64307.43</v>
      </c>
      <c r="G275" s="494">
        <v>514459.44</v>
      </c>
      <c r="H275" s="483" t="s">
        <v>468</v>
      </c>
    </row>
    <row r="276" spans="1:8">
      <c r="A276" s="500">
        <v>54</v>
      </c>
      <c r="B276" s="459" t="s">
        <v>803</v>
      </c>
      <c r="C276" s="460" t="s">
        <v>860</v>
      </c>
      <c r="D276" s="479" t="s">
        <v>58</v>
      </c>
      <c r="E276" s="461">
        <v>1</v>
      </c>
      <c r="F276" s="462">
        <v>32420</v>
      </c>
      <c r="G276" s="494">
        <v>32420</v>
      </c>
      <c r="H276" s="483" t="s">
        <v>468</v>
      </c>
    </row>
    <row r="277" spans="1:8">
      <c r="A277" s="500">
        <v>55</v>
      </c>
      <c r="B277" s="459" t="s">
        <v>804</v>
      </c>
      <c r="C277" s="460" t="s">
        <v>179</v>
      </c>
      <c r="D277" s="479" t="s">
        <v>58</v>
      </c>
      <c r="E277" s="461">
        <v>3</v>
      </c>
      <c r="F277" s="462">
        <v>57389.75</v>
      </c>
      <c r="G277" s="494">
        <v>172169.25</v>
      </c>
      <c r="H277" s="483" t="s">
        <v>468</v>
      </c>
    </row>
    <row r="278" spans="1:8">
      <c r="A278" s="500">
        <v>56</v>
      </c>
      <c r="B278" s="459" t="s">
        <v>805</v>
      </c>
      <c r="C278" s="460" t="s">
        <v>861</v>
      </c>
      <c r="D278" s="479" t="s">
        <v>58</v>
      </c>
      <c r="E278" s="461">
        <v>1</v>
      </c>
      <c r="F278" s="462">
        <v>49142</v>
      </c>
      <c r="G278" s="494">
        <v>49142</v>
      </c>
      <c r="H278" s="483" t="s">
        <v>468</v>
      </c>
    </row>
    <row r="279" spans="1:8">
      <c r="A279" s="500">
        <v>57</v>
      </c>
      <c r="B279" s="459" t="s">
        <v>806</v>
      </c>
      <c r="C279" s="460" t="s">
        <v>180</v>
      </c>
      <c r="D279" s="479" t="s">
        <v>58</v>
      </c>
      <c r="E279" s="461">
        <v>2</v>
      </c>
      <c r="F279" s="462">
        <v>80269</v>
      </c>
      <c r="G279" s="494">
        <v>160538</v>
      </c>
      <c r="H279" s="483" t="s">
        <v>468</v>
      </c>
    </row>
    <row r="280" spans="1:8">
      <c r="A280" s="500">
        <v>58</v>
      </c>
      <c r="B280" s="459" t="s">
        <v>807</v>
      </c>
      <c r="C280" s="460" t="s">
        <v>808</v>
      </c>
      <c r="D280" s="479" t="s">
        <v>58</v>
      </c>
      <c r="E280" s="461">
        <v>2</v>
      </c>
      <c r="F280" s="462">
        <v>65900</v>
      </c>
      <c r="G280" s="494">
        <v>131800</v>
      </c>
      <c r="H280" s="483" t="s">
        <v>468</v>
      </c>
    </row>
    <row r="281" spans="1:8">
      <c r="A281" s="500">
        <v>59</v>
      </c>
      <c r="B281" s="459" t="s">
        <v>809</v>
      </c>
      <c r="C281" s="460" t="s">
        <v>810</v>
      </c>
      <c r="D281" s="479" t="s">
        <v>58</v>
      </c>
      <c r="E281" s="461">
        <v>1</v>
      </c>
      <c r="F281" s="462">
        <v>78334</v>
      </c>
      <c r="G281" s="494">
        <v>78334</v>
      </c>
      <c r="H281" s="483" t="s">
        <v>468</v>
      </c>
    </row>
    <row r="282" spans="1:8">
      <c r="A282" s="500">
        <v>60</v>
      </c>
      <c r="B282" s="459" t="s">
        <v>811</v>
      </c>
      <c r="C282" s="460" t="s">
        <v>862</v>
      </c>
      <c r="D282" s="479" t="s">
        <v>58</v>
      </c>
      <c r="E282" s="461">
        <v>1</v>
      </c>
      <c r="F282" s="462">
        <v>68936</v>
      </c>
      <c r="G282" s="494">
        <v>68936</v>
      </c>
      <c r="H282" s="483" t="s">
        <v>468</v>
      </c>
    </row>
    <row r="283" spans="1:8">
      <c r="A283" s="500">
        <v>61</v>
      </c>
      <c r="B283" s="459" t="s">
        <v>812</v>
      </c>
      <c r="C283" s="460" t="s">
        <v>181</v>
      </c>
      <c r="D283" s="479" t="s">
        <v>58</v>
      </c>
      <c r="E283" s="461">
        <v>1</v>
      </c>
      <c r="F283" s="462">
        <v>53568.800000000003</v>
      </c>
      <c r="G283" s="494">
        <v>53568.800000000003</v>
      </c>
      <c r="H283" s="483" t="s">
        <v>468</v>
      </c>
    </row>
    <row r="284" spans="1:8">
      <c r="A284" s="500">
        <v>62</v>
      </c>
      <c r="B284" s="459" t="s">
        <v>813</v>
      </c>
      <c r="C284" s="460" t="s">
        <v>182</v>
      </c>
      <c r="D284" s="479" t="s">
        <v>58</v>
      </c>
      <c r="E284" s="461">
        <v>8</v>
      </c>
      <c r="F284" s="462">
        <v>80707.58</v>
      </c>
      <c r="G284" s="494">
        <v>645660.64</v>
      </c>
      <c r="H284" s="483" t="s">
        <v>468</v>
      </c>
    </row>
    <row r="285" spans="1:8">
      <c r="A285" s="500">
        <v>63</v>
      </c>
      <c r="B285" s="459" t="s">
        <v>814</v>
      </c>
      <c r="C285" s="460" t="s">
        <v>183</v>
      </c>
      <c r="D285" s="479" t="s">
        <v>58</v>
      </c>
      <c r="E285" s="461">
        <v>2</v>
      </c>
      <c r="F285" s="462">
        <v>99200</v>
      </c>
      <c r="G285" s="494">
        <v>198400</v>
      </c>
      <c r="H285" s="483" t="s">
        <v>468</v>
      </c>
    </row>
    <row r="286" spans="1:8">
      <c r="A286" s="500">
        <v>64</v>
      </c>
      <c r="B286" s="459" t="s">
        <v>815</v>
      </c>
      <c r="C286" s="460" t="s">
        <v>184</v>
      </c>
      <c r="D286" s="479" t="s">
        <v>58</v>
      </c>
      <c r="E286" s="461">
        <v>4</v>
      </c>
      <c r="F286" s="462">
        <v>83389.33</v>
      </c>
      <c r="G286" s="494">
        <v>333557.32</v>
      </c>
      <c r="H286" s="483" t="s">
        <v>468</v>
      </c>
    </row>
    <row r="287" spans="1:8">
      <c r="A287" s="500">
        <v>65</v>
      </c>
      <c r="B287" s="459" t="s">
        <v>816</v>
      </c>
      <c r="C287" s="460" t="s">
        <v>185</v>
      </c>
      <c r="D287" s="479" t="s">
        <v>58</v>
      </c>
      <c r="E287" s="461">
        <v>20</v>
      </c>
      <c r="F287" s="462">
        <v>71165</v>
      </c>
      <c r="G287" s="494">
        <v>1423300</v>
      </c>
      <c r="H287" s="483" t="s">
        <v>468</v>
      </c>
    </row>
    <row r="288" spans="1:8">
      <c r="A288" s="500">
        <v>66</v>
      </c>
      <c r="B288" s="459" t="s">
        <v>817</v>
      </c>
      <c r="C288" s="460" t="s">
        <v>186</v>
      </c>
      <c r="D288" s="479" t="s">
        <v>58</v>
      </c>
      <c r="E288" s="461">
        <v>1</v>
      </c>
      <c r="F288" s="462">
        <v>70000</v>
      </c>
      <c r="G288" s="494">
        <v>70000</v>
      </c>
      <c r="H288" s="483" t="s">
        <v>468</v>
      </c>
    </row>
    <row r="289" spans="1:8">
      <c r="A289" s="500">
        <v>67</v>
      </c>
      <c r="B289" s="459" t="s">
        <v>818</v>
      </c>
      <c r="C289" s="460" t="s">
        <v>188</v>
      </c>
      <c r="D289" s="479" t="s">
        <v>58</v>
      </c>
      <c r="E289" s="461">
        <v>2</v>
      </c>
      <c r="F289" s="462">
        <v>70000</v>
      </c>
      <c r="G289" s="494">
        <v>140000</v>
      </c>
      <c r="H289" s="483" t="s">
        <v>468</v>
      </c>
    </row>
    <row r="290" spans="1:8">
      <c r="A290" s="500">
        <v>68</v>
      </c>
      <c r="B290" s="459" t="s">
        <v>819</v>
      </c>
      <c r="C290" s="460" t="s">
        <v>187</v>
      </c>
      <c r="D290" s="479" t="s">
        <v>58</v>
      </c>
      <c r="E290" s="461">
        <v>2</v>
      </c>
      <c r="F290" s="462">
        <v>34800</v>
      </c>
      <c r="G290" s="494">
        <v>69600</v>
      </c>
      <c r="H290" s="483" t="s">
        <v>468</v>
      </c>
    </row>
    <row r="291" spans="1:8">
      <c r="A291" s="500">
        <v>69</v>
      </c>
      <c r="B291" s="459" t="s">
        <v>820</v>
      </c>
      <c r="C291" s="460" t="s">
        <v>821</v>
      </c>
      <c r="D291" s="479" t="s">
        <v>58</v>
      </c>
      <c r="E291" s="461">
        <v>1532</v>
      </c>
      <c r="F291" s="462">
        <v>1739</v>
      </c>
      <c r="G291" s="494">
        <v>2664148</v>
      </c>
      <c r="H291" s="483" t="s">
        <v>468</v>
      </c>
    </row>
    <row r="292" spans="1:8">
      <c r="A292" s="500">
        <v>70</v>
      </c>
      <c r="B292" s="459" t="s">
        <v>822</v>
      </c>
      <c r="C292" s="460" t="s">
        <v>144</v>
      </c>
      <c r="D292" s="479" t="s">
        <v>58</v>
      </c>
      <c r="E292" s="461">
        <v>64</v>
      </c>
      <c r="F292" s="462">
        <v>633.88</v>
      </c>
      <c r="G292" s="494">
        <v>40568.32</v>
      </c>
      <c r="H292" s="483" t="s">
        <v>468</v>
      </c>
    </row>
    <row r="293" spans="1:8">
      <c r="A293" s="500">
        <v>71</v>
      </c>
      <c r="B293" s="459" t="s">
        <v>823</v>
      </c>
      <c r="C293" s="460" t="s">
        <v>143</v>
      </c>
      <c r="D293" s="479" t="s">
        <v>58</v>
      </c>
      <c r="E293" s="461">
        <v>4</v>
      </c>
      <c r="F293" s="462">
        <v>1456.13</v>
      </c>
      <c r="G293" s="494">
        <v>5824.52</v>
      </c>
      <c r="H293" s="483" t="s">
        <v>468</v>
      </c>
    </row>
    <row r="294" spans="1:8">
      <c r="A294" s="500">
        <v>72</v>
      </c>
      <c r="B294" s="459" t="s">
        <v>824</v>
      </c>
      <c r="C294" s="460" t="s">
        <v>139</v>
      </c>
      <c r="D294" s="479" t="s">
        <v>58</v>
      </c>
      <c r="E294" s="461">
        <v>60</v>
      </c>
      <c r="F294" s="462">
        <v>1457.5</v>
      </c>
      <c r="G294" s="494">
        <v>87450</v>
      </c>
      <c r="H294" s="483" t="s">
        <v>468</v>
      </c>
    </row>
    <row r="295" spans="1:8">
      <c r="A295" s="500">
        <v>73</v>
      </c>
      <c r="B295" s="459" t="s">
        <v>825</v>
      </c>
      <c r="C295" s="460" t="s">
        <v>863</v>
      </c>
      <c r="D295" s="479" t="s">
        <v>58</v>
      </c>
      <c r="E295" s="461">
        <v>2</v>
      </c>
      <c r="F295" s="462">
        <v>5381.63</v>
      </c>
      <c r="G295" s="494">
        <v>10763.26</v>
      </c>
      <c r="H295" s="483" t="s">
        <v>468</v>
      </c>
    </row>
    <row r="296" spans="1:8">
      <c r="A296" s="500">
        <v>74</v>
      </c>
      <c r="B296" s="459" t="s">
        <v>826</v>
      </c>
      <c r="C296" s="460" t="s">
        <v>146</v>
      </c>
      <c r="D296" s="479" t="s">
        <v>58</v>
      </c>
      <c r="E296" s="461">
        <v>4</v>
      </c>
      <c r="F296" s="462">
        <v>2374.63</v>
      </c>
      <c r="G296" s="494">
        <v>9498.52</v>
      </c>
      <c r="H296" s="483" t="s">
        <v>468</v>
      </c>
    </row>
    <row r="297" spans="1:8">
      <c r="A297" s="500">
        <v>75</v>
      </c>
      <c r="B297" s="459" t="s">
        <v>827</v>
      </c>
      <c r="C297" s="460" t="s">
        <v>168</v>
      </c>
      <c r="D297" s="479" t="s">
        <v>58</v>
      </c>
      <c r="E297" s="461">
        <v>4</v>
      </c>
      <c r="F297" s="462">
        <v>1000</v>
      </c>
      <c r="G297" s="494">
        <v>4000</v>
      </c>
      <c r="H297" s="483" t="s">
        <v>468</v>
      </c>
    </row>
    <row r="298" spans="1:8">
      <c r="A298" s="500">
        <v>76</v>
      </c>
      <c r="B298" s="459" t="s">
        <v>828</v>
      </c>
      <c r="C298" s="460" t="s">
        <v>145</v>
      </c>
      <c r="D298" s="479" t="s">
        <v>58</v>
      </c>
      <c r="E298" s="461">
        <v>4</v>
      </c>
      <c r="F298" s="462">
        <v>2374.63</v>
      </c>
      <c r="G298" s="494">
        <v>9498.52</v>
      </c>
      <c r="H298" s="483" t="s">
        <v>468</v>
      </c>
    </row>
    <row r="299" spans="1:8">
      <c r="A299" s="500">
        <v>77</v>
      </c>
      <c r="B299" s="459" t="s">
        <v>829</v>
      </c>
      <c r="C299" s="460" t="s">
        <v>864</v>
      </c>
      <c r="D299" s="479" t="s">
        <v>58</v>
      </c>
      <c r="E299" s="461">
        <v>1</v>
      </c>
      <c r="F299" s="462">
        <v>40675</v>
      </c>
      <c r="G299" s="494">
        <v>40675</v>
      </c>
      <c r="H299" s="483" t="s">
        <v>468</v>
      </c>
    </row>
    <row r="300" spans="1:8">
      <c r="A300" s="500">
        <v>78</v>
      </c>
      <c r="B300" s="459" t="s">
        <v>830</v>
      </c>
      <c r="C300" s="460" t="s">
        <v>189</v>
      </c>
      <c r="D300" s="479" t="s">
        <v>58</v>
      </c>
      <c r="E300" s="461">
        <v>19</v>
      </c>
      <c r="F300" s="462">
        <v>1180</v>
      </c>
      <c r="G300" s="494">
        <v>22420</v>
      </c>
      <c r="H300" s="483" t="s">
        <v>468</v>
      </c>
    </row>
    <row r="301" spans="1:8">
      <c r="A301" s="500">
        <v>79</v>
      </c>
      <c r="B301" s="459" t="s">
        <v>831</v>
      </c>
      <c r="C301" s="460" t="s">
        <v>190</v>
      </c>
      <c r="D301" s="479" t="s">
        <v>58</v>
      </c>
      <c r="E301" s="461">
        <v>4</v>
      </c>
      <c r="F301" s="462">
        <v>1420</v>
      </c>
      <c r="G301" s="494">
        <v>5680</v>
      </c>
      <c r="H301" s="483" t="s">
        <v>468</v>
      </c>
    </row>
    <row r="302" spans="1:8">
      <c r="A302" s="500">
        <v>80</v>
      </c>
      <c r="B302" s="459" t="s">
        <v>832</v>
      </c>
      <c r="C302" s="460" t="s">
        <v>191</v>
      </c>
      <c r="D302" s="479" t="s">
        <v>58</v>
      </c>
      <c r="E302" s="461">
        <v>14</v>
      </c>
      <c r="F302" s="462">
        <v>1500</v>
      </c>
      <c r="G302" s="494">
        <v>21000</v>
      </c>
      <c r="H302" s="483" t="s">
        <v>468</v>
      </c>
    </row>
    <row r="303" spans="1:8">
      <c r="A303" s="500">
        <v>81</v>
      </c>
      <c r="B303" s="459" t="s">
        <v>833</v>
      </c>
      <c r="C303" s="460" t="s">
        <v>192</v>
      </c>
      <c r="D303" s="479" t="s">
        <v>58</v>
      </c>
      <c r="E303" s="461">
        <v>3</v>
      </c>
      <c r="F303" s="462">
        <v>2630</v>
      </c>
      <c r="G303" s="494">
        <v>7890</v>
      </c>
      <c r="H303" s="483" t="s">
        <v>468</v>
      </c>
    </row>
    <row r="304" spans="1:8">
      <c r="A304" s="500">
        <v>82</v>
      </c>
      <c r="B304" s="459" t="s">
        <v>834</v>
      </c>
      <c r="C304" s="460" t="s">
        <v>865</v>
      </c>
      <c r="D304" s="479" t="s">
        <v>58</v>
      </c>
      <c r="E304" s="461">
        <v>1</v>
      </c>
      <c r="F304" s="462">
        <v>86776</v>
      </c>
      <c r="G304" s="494">
        <v>86776</v>
      </c>
      <c r="H304" s="483" t="s">
        <v>468</v>
      </c>
    </row>
    <row r="305" spans="1:8">
      <c r="A305" s="500">
        <v>83</v>
      </c>
      <c r="B305" s="459" t="s">
        <v>835</v>
      </c>
      <c r="C305" s="460" t="s">
        <v>197</v>
      </c>
      <c r="D305" s="479" t="s">
        <v>58</v>
      </c>
      <c r="E305" s="461">
        <v>1</v>
      </c>
      <c r="F305" s="462">
        <v>162273</v>
      </c>
      <c r="G305" s="494">
        <v>162273</v>
      </c>
      <c r="H305" s="483" t="s">
        <v>468</v>
      </c>
    </row>
    <row r="306" spans="1:8">
      <c r="A306" s="500">
        <v>84</v>
      </c>
      <c r="B306" s="459" t="s">
        <v>836</v>
      </c>
      <c r="C306" s="460" t="s">
        <v>866</v>
      </c>
      <c r="D306" s="479" t="s">
        <v>58</v>
      </c>
      <c r="E306" s="461">
        <v>5</v>
      </c>
      <c r="F306" s="462">
        <v>287323</v>
      </c>
      <c r="G306" s="494">
        <v>1436615</v>
      </c>
      <c r="H306" s="483" t="s">
        <v>468</v>
      </c>
    </row>
    <row r="307" spans="1:8">
      <c r="A307" s="500">
        <v>85</v>
      </c>
      <c r="B307" s="459" t="s">
        <v>837</v>
      </c>
      <c r="C307" s="460" t="s">
        <v>867</v>
      </c>
      <c r="D307" s="479" t="s">
        <v>58</v>
      </c>
      <c r="E307" s="461">
        <v>1</v>
      </c>
      <c r="F307" s="462">
        <v>40932</v>
      </c>
      <c r="G307" s="494">
        <v>40932</v>
      </c>
      <c r="H307" s="483" t="s">
        <v>468</v>
      </c>
    </row>
    <row r="308" spans="1:8">
      <c r="A308" s="500">
        <v>86</v>
      </c>
      <c r="B308" s="459" t="s">
        <v>838</v>
      </c>
      <c r="C308" s="460" t="s">
        <v>868</v>
      </c>
      <c r="D308" s="479" t="s">
        <v>58</v>
      </c>
      <c r="E308" s="461">
        <v>1</v>
      </c>
      <c r="F308" s="462">
        <v>41155</v>
      </c>
      <c r="G308" s="494">
        <v>41155</v>
      </c>
      <c r="H308" s="483" t="s">
        <v>468</v>
      </c>
    </row>
    <row r="309" spans="1:8">
      <c r="A309" s="500">
        <v>87</v>
      </c>
      <c r="B309" s="459" t="s">
        <v>839</v>
      </c>
      <c r="C309" s="460" t="s">
        <v>869</v>
      </c>
      <c r="D309" s="479" t="s">
        <v>58</v>
      </c>
      <c r="E309" s="461">
        <v>3</v>
      </c>
      <c r="F309" s="462">
        <v>76791</v>
      </c>
      <c r="G309" s="494">
        <v>230373</v>
      </c>
      <c r="H309" s="483" t="s">
        <v>468</v>
      </c>
    </row>
    <row r="310" spans="1:8">
      <c r="A310" s="500">
        <v>88</v>
      </c>
      <c r="B310" s="459" t="s">
        <v>840</v>
      </c>
      <c r="C310" s="460" t="s">
        <v>193</v>
      </c>
      <c r="D310" s="479" t="s">
        <v>58</v>
      </c>
      <c r="E310" s="461">
        <v>3</v>
      </c>
      <c r="F310" s="462">
        <v>107725.86</v>
      </c>
      <c r="G310" s="494">
        <v>323177.58</v>
      </c>
      <c r="H310" s="483" t="s">
        <v>468</v>
      </c>
    </row>
    <row r="311" spans="1:8">
      <c r="A311" s="500">
        <v>89</v>
      </c>
      <c r="B311" s="459" t="s">
        <v>841</v>
      </c>
      <c r="C311" s="460" t="s">
        <v>194</v>
      </c>
      <c r="D311" s="479" t="s">
        <v>58</v>
      </c>
      <c r="E311" s="461">
        <v>36</v>
      </c>
      <c r="F311" s="462">
        <v>89101.27</v>
      </c>
      <c r="G311" s="494">
        <v>3207645.72</v>
      </c>
      <c r="H311" s="483" t="s">
        <v>468</v>
      </c>
    </row>
    <row r="312" spans="1:8">
      <c r="A312" s="500">
        <v>90</v>
      </c>
      <c r="B312" s="459" t="s">
        <v>842</v>
      </c>
      <c r="C312" s="460" t="s">
        <v>843</v>
      </c>
      <c r="D312" s="479" t="s">
        <v>58</v>
      </c>
      <c r="E312" s="461">
        <v>14</v>
      </c>
      <c r="F312" s="462">
        <v>8973</v>
      </c>
      <c r="G312" s="494">
        <v>125622</v>
      </c>
      <c r="H312" s="483" t="s">
        <v>468</v>
      </c>
    </row>
    <row r="313" spans="1:8">
      <c r="A313" s="500">
        <v>91</v>
      </c>
      <c r="B313" s="459" t="s">
        <v>844</v>
      </c>
      <c r="C313" s="460" t="s">
        <v>149</v>
      </c>
      <c r="D313" s="479" t="s">
        <v>58</v>
      </c>
      <c r="E313" s="461">
        <v>83</v>
      </c>
      <c r="F313" s="462">
        <v>5000</v>
      </c>
      <c r="G313" s="494">
        <f>E313*F313</f>
        <v>415000</v>
      </c>
      <c r="H313" s="483" t="s">
        <v>468</v>
      </c>
    </row>
    <row r="314" spans="1:8">
      <c r="A314" s="500">
        <v>92</v>
      </c>
      <c r="B314" s="459" t="s">
        <v>845</v>
      </c>
      <c r="C314" s="460" t="s">
        <v>150</v>
      </c>
      <c r="D314" s="479" t="s">
        <v>58</v>
      </c>
      <c r="E314" s="461">
        <v>111</v>
      </c>
      <c r="F314" s="462">
        <v>2000</v>
      </c>
      <c r="G314" s="494">
        <v>222000</v>
      </c>
      <c r="H314" s="483" t="s">
        <v>468</v>
      </c>
    </row>
    <row r="315" spans="1:8">
      <c r="A315" s="500">
        <v>93</v>
      </c>
      <c r="B315" s="459" t="s">
        <v>846</v>
      </c>
      <c r="C315" s="460" t="s">
        <v>195</v>
      </c>
      <c r="D315" s="479" t="s">
        <v>58</v>
      </c>
      <c r="E315" s="461">
        <v>20</v>
      </c>
      <c r="F315" s="462">
        <v>36648.68</v>
      </c>
      <c r="G315" s="494">
        <v>732973.6</v>
      </c>
      <c r="H315" s="483" t="s">
        <v>468</v>
      </c>
    </row>
    <row r="316" spans="1:8">
      <c r="A316" s="500">
        <v>94</v>
      </c>
      <c r="B316" s="459" t="s">
        <v>847</v>
      </c>
      <c r="C316" s="460" t="s">
        <v>140</v>
      </c>
      <c r="D316" s="479" t="s">
        <v>51</v>
      </c>
      <c r="E316" s="461">
        <v>1.47</v>
      </c>
      <c r="F316" s="462">
        <v>758.38095199999998</v>
      </c>
      <c r="G316" s="494">
        <v>1114.8199990000001</v>
      </c>
      <c r="H316" s="483" t="s">
        <v>468</v>
      </c>
    </row>
    <row r="317" spans="1:8">
      <c r="A317" s="500">
        <v>95</v>
      </c>
      <c r="B317" s="459" t="s">
        <v>848</v>
      </c>
      <c r="C317" s="460" t="s">
        <v>141</v>
      </c>
      <c r="D317" s="479" t="s">
        <v>51</v>
      </c>
      <c r="E317" s="461">
        <v>2.5</v>
      </c>
      <c r="F317" s="462">
        <v>758.38</v>
      </c>
      <c r="G317" s="494">
        <v>1895.95</v>
      </c>
      <c r="H317" s="483" t="s">
        <v>468</v>
      </c>
    </row>
    <row r="318" spans="1:8">
      <c r="A318" s="500">
        <v>96</v>
      </c>
      <c r="B318" s="459" t="s">
        <v>849</v>
      </c>
      <c r="C318" s="460" t="s">
        <v>199</v>
      </c>
      <c r="D318" s="479" t="s">
        <v>51</v>
      </c>
      <c r="E318" s="461">
        <v>6.56</v>
      </c>
      <c r="F318" s="462">
        <v>758.37957300000005</v>
      </c>
      <c r="G318" s="494">
        <v>4974.9699989999999</v>
      </c>
      <c r="H318" s="483" t="s">
        <v>468</v>
      </c>
    </row>
    <row r="319" spans="1:8">
      <c r="A319" s="500">
        <v>97</v>
      </c>
      <c r="B319" s="459" t="s">
        <v>850</v>
      </c>
      <c r="C319" s="460" t="s">
        <v>142</v>
      </c>
      <c r="D319" s="479" t="s">
        <v>51</v>
      </c>
      <c r="E319" s="461">
        <v>2.34</v>
      </c>
      <c r="F319" s="462">
        <v>686.089744</v>
      </c>
      <c r="G319" s="494">
        <v>1605.4500009999999</v>
      </c>
      <c r="H319" s="483" t="s">
        <v>468</v>
      </c>
    </row>
    <row r="320" spans="1:8" ht="13.5" thickBot="1">
      <c r="A320" s="500">
        <v>98</v>
      </c>
      <c r="B320" s="459" t="s">
        <v>851</v>
      </c>
      <c r="C320" s="460" t="s">
        <v>196</v>
      </c>
      <c r="D320" s="479" t="s">
        <v>51</v>
      </c>
      <c r="E320" s="461">
        <v>452.8</v>
      </c>
      <c r="F320" s="462">
        <v>1787.310017</v>
      </c>
      <c r="G320" s="507">
        <v>809293.97569800005</v>
      </c>
      <c r="H320" s="483" t="s">
        <v>468</v>
      </c>
    </row>
    <row r="321" spans="1:8" ht="13.5" thickBot="1">
      <c r="A321" s="495"/>
      <c r="B321" s="496"/>
      <c r="C321" s="497" t="s">
        <v>859</v>
      </c>
      <c r="D321" s="498"/>
      <c r="E321" s="499"/>
      <c r="F321" s="504"/>
      <c r="G321" s="506">
        <f>SUM(G223:G320)</f>
        <v>30243856.420697</v>
      </c>
      <c r="H321" s="483"/>
    </row>
    <row r="322" spans="1:8">
      <c r="B322" s="368"/>
      <c r="C322" s="464"/>
      <c r="D322" s="446"/>
      <c r="E322" s="370"/>
      <c r="F322" s="465"/>
      <c r="G322" s="370"/>
      <c r="H322" s="368"/>
    </row>
    <row r="323" spans="1:8" ht="21" thickBot="1">
      <c r="G323" s="476">
        <v>11</v>
      </c>
    </row>
    <row r="324" spans="1:8" s="443" customFormat="1">
      <c r="A324" s="487" t="s">
        <v>998</v>
      </c>
      <c r="B324" s="488" t="s">
        <v>46</v>
      </c>
      <c r="C324" s="489" t="s">
        <v>857</v>
      </c>
      <c r="D324" s="488" t="s">
        <v>378</v>
      </c>
      <c r="E324" s="490" t="s">
        <v>1206</v>
      </c>
      <c r="F324" s="491" t="s">
        <v>47</v>
      </c>
      <c r="G324" s="492" t="s">
        <v>1067</v>
      </c>
      <c r="H324" s="481" t="s">
        <v>858</v>
      </c>
    </row>
    <row r="325" spans="1:8" s="466" customFormat="1">
      <c r="A325" s="493">
        <v>1</v>
      </c>
      <c r="B325" s="459" t="s">
        <v>852</v>
      </c>
      <c r="C325" s="460" t="s">
        <v>870</v>
      </c>
      <c r="D325" s="479" t="s">
        <v>56</v>
      </c>
      <c r="E325" s="461">
        <v>256</v>
      </c>
      <c r="F325" s="462">
        <v>134</v>
      </c>
      <c r="G325" s="494">
        <v>34304</v>
      </c>
      <c r="H325" s="483" t="s">
        <v>468</v>
      </c>
    </row>
    <row r="326" spans="1:8" s="466" customFormat="1">
      <c r="A326" s="493">
        <v>2</v>
      </c>
      <c r="B326" s="459" t="s">
        <v>853</v>
      </c>
      <c r="C326" s="460" t="s">
        <v>206</v>
      </c>
      <c r="D326" s="479" t="s">
        <v>56</v>
      </c>
      <c r="E326" s="461">
        <v>77841.789999999994</v>
      </c>
      <c r="F326" s="462">
        <v>237.34909999999999</v>
      </c>
      <c r="G326" s="494">
        <v>18475678.798889</v>
      </c>
      <c r="H326" s="483" t="s">
        <v>468</v>
      </c>
    </row>
    <row r="327" spans="1:8" s="466" customFormat="1">
      <c r="A327" s="493">
        <v>3</v>
      </c>
      <c r="B327" s="459" t="s">
        <v>854</v>
      </c>
      <c r="C327" s="460" t="s">
        <v>209</v>
      </c>
      <c r="D327" s="479" t="s">
        <v>56</v>
      </c>
      <c r="E327" s="461">
        <v>2640.34</v>
      </c>
      <c r="F327" s="462">
        <v>180.52</v>
      </c>
      <c r="G327" s="494">
        <v>476634.17680000002</v>
      </c>
      <c r="H327" s="483" t="s">
        <v>468</v>
      </c>
    </row>
    <row r="328" spans="1:8">
      <c r="A328" s="493">
        <v>4</v>
      </c>
      <c r="B328" s="459" t="s">
        <v>854</v>
      </c>
      <c r="C328" s="460" t="s">
        <v>209</v>
      </c>
      <c r="D328" s="479" t="s">
        <v>56</v>
      </c>
      <c r="E328" s="461">
        <v>619.87400000000002</v>
      </c>
      <c r="F328" s="462">
        <v>180.52</v>
      </c>
      <c r="G328" s="494">
        <v>111899.65448</v>
      </c>
      <c r="H328" s="483" t="s">
        <v>466</v>
      </c>
    </row>
    <row r="329" spans="1:8" ht="12.75" customHeight="1">
      <c r="A329" s="493">
        <v>5</v>
      </c>
      <c r="B329" s="459" t="s">
        <v>855</v>
      </c>
      <c r="C329" s="460" t="s">
        <v>207</v>
      </c>
      <c r="D329" s="479" t="s">
        <v>56</v>
      </c>
      <c r="E329" s="461">
        <v>212.35</v>
      </c>
      <c r="F329" s="462">
        <v>222</v>
      </c>
      <c r="G329" s="494">
        <v>47141.7</v>
      </c>
      <c r="H329" s="484" t="s">
        <v>468</v>
      </c>
    </row>
    <row r="330" spans="1:8" ht="12.75" customHeight="1" thickBot="1">
      <c r="A330" s="493">
        <v>6</v>
      </c>
      <c r="B330" s="471" t="s">
        <v>856</v>
      </c>
      <c r="C330" s="471" t="s">
        <v>208</v>
      </c>
      <c r="D330" s="472" t="s">
        <v>56</v>
      </c>
      <c r="E330" s="475">
        <v>11470.5</v>
      </c>
      <c r="F330" s="475">
        <v>172.601</v>
      </c>
      <c r="G330" s="505">
        <v>1979819.7705000001</v>
      </c>
      <c r="H330" s="485" t="s">
        <v>468</v>
      </c>
    </row>
    <row r="331" spans="1:8" ht="13.5" thickBot="1">
      <c r="A331" s="495"/>
      <c r="B331" s="496"/>
      <c r="C331" s="497" t="s">
        <v>859</v>
      </c>
      <c r="D331" s="498"/>
      <c r="E331" s="499"/>
      <c r="F331" s="504"/>
      <c r="G331" s="506">
        <f>SUM(G325:G330)</f>
        <v>21125478.100669</v>
      </c>
      <c r="H331" s="486"/>
    </row>
    <row r="332" spans="1:8">
      <c r="G332" s="470"/>
    </row>
    <row r="333" spans="1:8">
      <c r="G333" s="470"/>
    </row>
    <row r="335" spans="1:8" ht="18.75">
      <c r="C335" s="874" t="s">
        <v>109</v>
      </c>
      <c r="D335" s="874"/>
      <c r="E335" s="874"/>
      <c r="F335" s="874"/>
      <c r="G335" s="550">
        <f>G7+G16+G20+G39+G118+G123+G185+G219+G321+G331</f>
        <v>71818216.054189473</v>
      </c>
    </row>
    <row r="348" spans="5:7">
      <c r="E348" s="872" t="s">
        <v>463</v>
      </c>
      <c r="F348" s="872"/>
      <c r="G348" s="872"/>
    </row>
    <row r="349" spans="5:7">
      <c r="E349" s="872" t="s">
        <v>53</v>
      </c>
      <c r="F349" s="872"/>
      <c r="G349" s="872"/>
    </row>
    <row r="350" spans="5:7">
      <c r="E350" s="873" t="s">
        <v>54</v>
      </c>
      <c r="F350" s="873"/>
      <c r="G350" s="873"/>
    </row>
  </sheetData>
  <mergeCells count="4">
    <mergeCell ref="E348:G348"/>
    <mergeCell ref="E349:G349"/>
    <mergeCell ref="E350:G350"/>
    <mergeCell ref="C335:F335"/>
  </mergeCells>
  <phoneticPr fontId="5" type="noConversion"/>
  <pageMargins left="0.17" right="0.17" top="0.23" bottom="0.28000000000000003" header="0.16" footer="0.17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7"/>
  <dimension ref="B1:K43"/>
  <sheetViews>
    <sheetView workbookViewId="0">
      <selection activeCell="N13" sqref="N13"/>
    </sheetView>
  </sheetViews>
  <sheetFormatPr defaultRowHeight="12.75"/>
  <cols>
    <col min="1" max="1" width="0.7109375" customWidth="1"/>
    <col min="2" max="2" width="5.42578125" customWidth="1"/>
    <col min="3" max="3" width="11.42578125" customWidth="1"/>
    <col min="4" max="4" width="16.42578125" customWidth="1"/>
    <col min="5" max="5" width="4.5703125" customWidth="1"/>
    <col min="6" max="6" width="3" customWidth="1"/>
    <col min="7" max="7" width="3.7109375" customWidth="1"/>
    <col min="10" max="10" width="17.42578125" customWidth="1"/>
    <col min="11" max="11" width="6.42578125" hidden="1" customWidth="1"/>
  </cols>
  <sheetData>
    <row r="1" spans="2:11" ht="16.5" thickBot="1">
      <c r="B1" s="165"/>
      <c r="C1" s="165"/>
      <c r="D1" s="165"/>
      <c r="E1" s="165"/>
      <c r="F1" s="165"/>
      <c r="G1" s="165"/>
      <c r="H1" s="165"/>
    </row>
    <row r="2" spans="2:11" ht="15.75">
      <c r="B2" s="166"/>
      <c r="C2" s="167"/>
      <c r="D2" s="167"/>
      <c r="E2" s="875"/>
      <c r="F2" s="875"/>
      <c r="G2" s="875"/>
      <c r="H2" s="167"/>
      <c r="I2" s="168"/>
      <c r="J2" s="169"/>
      <c r="K2" s="169"/>
    </row>
    <row r="3" spans="2:11" ht="15.75">
      <c r="B3" s="170"/>
      <c r="C3" s="171"/>
      <c r="D3" s="171"/>
      <c r="E3" s="876"/>
      <c r="F3" s="876"/>
      <c r="G3" s="876"/>
      <c r="H3" s="173"/>
      <c r="I3" s="83"/>
      <c r="J3" s="174"/>
      <c r="K3" s="174"/>
    </row>
    <row r="4" spans="2:11">
      <c r="B4" s="175"/>
      <c r="C4" s="83"/>
      <c r="D4" s="83"/>
      <c r="E4" s="83"/>
      <c r="F4" s="83"/>
      <c r="G4" s="83"/>
      <c r="H4" s="83"/>
      <c r="I4" s="83"/>
      <c r="J4" s="174"/>
      <c r="K4" s="174"/>
    </row>
    <row r="5" spans="2:11">
      <c r="B5" s="175"/>
      <c r="C5" s="877" t="s">
        <v>1201</v>
      </c>
      <c r="D5" s="877"/>
      <c r="E5" s="877"/>
      <c r="F5" s="877"/>
      <c r="G5" s="877"/>
      <c r="H5" s="877"/>
      <c r="I5" s="83"/>
      <c r="J5" s="174"/>
      <c r="K5" s="174"/>
    </row>
    <row r="6" spans="2:11">
      <c r="B6" s="175"/>
      <c r="C6" s="83"/>
      <c r="D6" s="83"/>
      <c r="E6" s="83"/>
      <c r="F6" s="83"/>
      <c r="G6" s="83"/>
      <c r="H6" s="83"/>
      <c r="I6" s="83"/>
      <c r="J6" s="174"/>
      <c r="K6" s="174"/>
    </row>
    <row r="7" spans="2:11">
      <c r="B7" s="175"/>
      <c r="C7" s="83"/>
      <c r="D7" s="83"/>
      <c r="E7" s="83"/>
      <c r="F7" s="83"/>
      <c r="G7" s="83"/>
      <c r="H7" s="83"/>
      <c r="I7" s="83"/>
      <c r="J7" s="174"/>
      <c r="K7" s="174"/>
    </row>
    <row r="8" spans="2:11" ht="15.75">
      <c r="B8" s="170"/>
      <c r="C8" s="171"/>
      <c r="D8" s="171"/>
      <c r="E8" s="171"/>
      <c r="F8" s="171"/>
      <c r="G8" s="171"/>
      <c r="H8" s="171"/>
      <c r="I8" s="83"/>
      <c r="J8" s="174"/>
      <c r="K8" s="174"/>
    </row>
    <row r="9" spans="2:11" ht="15.75">
      <c r="B9" s="170"/>
      <c r="C9" s="171"/>
      <c r="D9" s="171"/>
      <c r="E9" s="171"/>
      <c r="F9" s="171"/>
      <c r="G9" s="171"/>
      <c r="H9" s="171"/>
      <c r="I9" s="83"/>
      <c r="J9" s="174"/>
      <c r="K9" s="174"/>
    </row>
    <row r="10" spans="2:11" ht="45.75">
      <c r="B10" s="176"/>
      <c r="C10" s="177"/>
      <c r="D10" s="177"/>
      <c r="E10" s="177"/>
      <c r="F10" s="177"/>
      <c r="G10" s="177"/>
      <c r="H10" s="177"/>
      <c r="I10" s="177"/>
      <c r="J10" s="178"/>
      <c r="K10" s="174"/>
    </row>
    <row r="11" spans="2:11" ht="15.75">
      <c r="B11" s="170"/>
      <c r="C11" s="171"/>
      <c r="D11" s="171"/>
      <c r="E11" s="876"/>
      <c r="F11" s="876"/>
      <c r="G11" s="876"/>
      <c r="H11" s="876"/>
      <c r="I11" s="83"/>
      <c r="J11" s="174"/>
      <c r="K11" s="174"/>
    </row>
    <row r="12" spans="2:11" ht="15.75">
      <c r="B12" s="170"/>
      <c r="C12" s="83"/>
      <c r="D12" s="83"/>
      <c r="E12" s="83"/>
      <c r="F12" s="83"/>
      <c r="G12" s="83"/>
      <c r="H12" s="83"/>
      <c r="I12" s="83"/>
      <c r="J12" s="174"/>
      <c r="K12" s="174"/>
    </row>
    <row r="13" spans="2:11" ht="15.75">
      <c r="B13" s="179"/>
      <c r="C13" s="180"/>
      <c r="D13" s="180"/>
      <c r="E13" s="180"/>
      <c r="F13" s="181"/>
      <c r="G13" s="181"/>
      <c r="H13" s="83"/>
      <c r="I13" s="83"/>
      <c r="J13" s="174"/>
      <c r="K13" s="174"/>
    </row>
    <row r="14" spans="2:11" ht="15.75">
      <c r="B14" s="179"/>
      <c r="C14" s="180"/>
      <c r="D14" s="180"/>
      <c r="E14" s="180"/>
      <c r="F14" s="180"/>
      <c r="G14" s="180"/>
      <c r="H14" s="180"/>
      <c r="I14" s="83"/>
      <c r="J14" s="174"/>
      <c r="K14" s="174"/>
    </row>
    <row r="15" spans="2:11" ht="15.75">
      <c r="B15" s="170"/>
      <c r="C15" s="83"/>
      <c r="D15" s="83"/>
      <c r="E15" s="83"/>
      <c r="F15" s="83"/>
      <c r="G15" s="83"/>
      <c r="H15" s="83"/>
      <c r="I15" s="83"/>
      <c r="J15" s="174"/>
      <c r="K15" s="174"/>
    </row>
    <row r="16" spans="2:11" ht="15.75">
      <c r="B16" s="170"/>
      <c r="C16" s="83"/>
      <c r="D16" s="83"/>
      <c r="E16" s="83"/>
      <c r="F16" s="83"/>
      <c r="G16" s="83"/>
      <c r="H16" s="83"/>
      <c r="I16" s="83"/>
      <c r="J16" s="174"/>
      <c r="K16" s="174"/>
    </row>
    <row r="17" spans="2:11" ht="15.75">
      <c r="B17" s="170"/>
      <c r="C17" s="171"/>
      <c r="D17" s="171"/>
      <c r="E17" s="171"/>
      <c r="F17" s="171"/>
      <c r="G17" s="171"/>
      <c r="H17" s="171"/>
      <c r="I17" s="83"/>
      <c r="J17" s="174"/>
      <c r="K17" s="174"/>
    </row>
    <row r="18" spans="2:11" ht="15.75">
      <c r="B18" s="170"/>
      <c r="C18" s="171"/>
      <c r="D18" s="171"/>
      <c r="E18" s="881"/>
      <c r="F18" s="881"/>
      <c r="G18" s="881"/>
      <c r="H18" s="881"/>
      <c r="I18" s="83"/>
      <c r="J18" s="174"/>
      <c r="K18" s="174"/>
    </row>
    <row r="19" spans="2:11" ht="15.75">
      <c r="B19" s="170"/>
      <c r="C19" s="171"/>
      <c r="D19" s="171"/>
      <c r="E19" s="881"/>
      <c r="F19" s="881"/>
      <c r="G19" s="881"/>
      <c r="H19" s="881"/>
      <c r="I19" s="83"/>
      <c r="J19" s="174"/>
      <c r="K19" s="174"/>
    </row>
    <row r="20" spans="2:11" ht="15.75">
      <c r="B20" s="170"/>
      <c r="C20" s="171"/>
      <c r="D20" s="171"/>
      <c r="E20" s="881"/>
      <c r="F20" s="881"/>
      <c r="G20" s="881"/>
      <c r="H20" s="881"/>
      <c r="I20" s="83"/>
      <c r="J20" s="174"/>
      <c r="K20" s="174"/>
    </row>
    <row r="21" spans="2:11" ht="15.75">
      <c r="B21" s="170"/>
      <c r="C21" s="171"/>
      <c r="D21" s="171"/>
      <c r="E21" s="171"/>
      <c r="F21" s="171"/>
      <c r="G21" s="171"/>
      <c r="H21" s="171"/>
      <c r="I21" s="83"/>
      <c r="J21" s="174"/>
      <c r="K21" s="174"/>
    </row>
    <row r="22" spans="2:11" ht="15.75">
      <c r="B22" s="170"/>
      <c r="C22" s="171"/>
      <c r="D22" s="171"/>
      <c r="E22" s="171"/>
      <c r="F22" s="171"/>
      <c r="G22" s="171"/>
      <c r="H22" s="171"/>
      <c r="I22" s="83"/>
      <c r="J22" s="174"/>
      <c r="K22" s="174"/>
    </row>
    <row r="23" spans="2:11" ht="18.75">
      <c r="B23" s="170"/>
      <c r="C23" s="882"/>
      <c r="D23" s="882"/>
      <c r="E23" s="882"/>
      <c r="F23" s="882"/>
      <c r="G23" s="882"/>
      <c r="H23" s="171"/>
      <c r="I23" s="83"/>
      <c r="J23" s="174"/>
      <c r="K23" s="174"/>
    </row>
    <row r="24" spans="2:11" ht="15.75">
      <c r="B24" s="170"/>
      <c r="C24" s="171"/>
      <c r="D24" s="171"/>
      <c r="E24" s="171"/>
      <c r="F24" s="171"/>
      <c r="G24" s="171"/>
      <c r="H24" s="171"/>
      <c r="I24" s="83"/>
      <c r="J24" s="174"/>
      <c r="K24" s="174"/>
    </row>
    <row r="25" spans="2:11" ht="15.75">
      <c r="B25" s="170"/>
      <c r="C25" s="171"/>
      <c r="D25" s="171"/>
      <c r="E25" s="171"/>
      <c r="F25" s="171"/>
      <c r="G25" s="171"/>
      <c r="H25" s="171"/>
      <c r="I25" s="171"/>
      <c r="J25" s="182"/>
      <c r="K25" s="174"/>
    </row>
    <row r="26" spans="2:11" ht="15.75">
      <c r="B26" s="183"/>
      <c r="C26" s="184" t="s">
        <v>1202</v>
      </c>
      <c r="D26" s="185"/>
      <c r="E26" s="185"/>
      <c r="F26" s="184"/>
      <c r="G26" s="185"/>
      <c r="H26" s="185"/>
      <c r="I26" s="184" t="s">
        <v>1203</v>
      </c>
      <c r="J26" s="186"/>
      <c r="K26" s="174"/>
    </row>
    <row r="27" spans="2:11" ht="15.75">
      <c r="B27" s="878"/>
      <c r="C27" s="879"/>
      <c r="D27" s="879"/>
      <c r="E27" s="879"/>
      <c r="F27" s="879"/>
      <c r="G27" s="879"/>
      <c r="H27" s="879"/>
      <c r="I27" s="879"/>
      <c r="J27" s="880"/>
      <c r="K27" s="174"/>
    </row>
    <row r="28" spans="2:11" ht="15.75">
      <c r="B28" s="183"/>
      <c r="C28" s="187"/>
      <c r="D28" s="188"/>
      <c r="E28" s="185"/>
      <c r="F28" s="187"/>
      <c r="G28" s="188"/>
      <c r="H28" s="185"/>
      <c r="I28" s="187"/>
      <c r="J28" s="189"/>
      <c r="K28" s="174"/>
    </row>
    <row r="29" spans="2:11" ht="15.75">
      <c r="B29" s="190" t="s">
        <v>1204</v>
      </c>
      <c r="C29" s="191"/>
      <c r="D29" s="191" t="s">
        <v>1205</v>
      </c>
      <c r="E29" s="191"/>
      <c r="F29" s="191"/>
      <c r="G29" s="191"/>
      <c r="H29" s="191" t="s">
        <v>1204</v>
      </c>
      <c r="I29" s="191"/>
      <c r="J29" s="192" t="s">
        <v>1205</v>
      </c>
      <c r="K29" s="174"/>
    </row>
    <row r="30" spans="2:11" ht="15.75">
      <c r="B30" s="170"/>
      <c r="C30" s="193"/>
      <c r="D30" s="173"/>
      <c r="E30" s="171"/>
      <c r="F30" s="171"/>
      <c r="G30" s="171"/>
      <c r="H30" s="193"/>
      <c r="I30" s="193"/>
      <c r="J30" s="194"/>
      <c r="K30" s="174"/>
    </row>
    <row r="31" spans="2:11" ht="15.75">
      <c r="B31" s="170"/>
      <c r="C31" s="173"/>
      <c r="D31" s="173"/>
      <c r="E31" s="171"/>
      <c r="F31" s="171"/>
      <c r="G31" s="171"/>
      <c r="H31" s="193"/>
      <c r="I31" s="193"/>
      <c r="J31" s="194"/>
      <c r="K31" s="174"/>
    </row>
    <row r="32" spans="2:11" ht="15.75">
      <c r="B32" s="170"/>
      <c r="C32" s="122"/>
      <c r="D32" s="83"/>
      <c r="E32" s="172"/>
      <c r="F32" s="171"/>
      <c r="G32" s="171"/>
      <c r="H32" s="193"/>
      <c r="I32" s="195"/>
      <c r="J32" s="196"/>
      <c r="K32" s="174"/>
    </row>
    <row r="33" spans="2:11" ht="15.75">
      <c r="B33" s="170"/>
      <c r="C33" s="83"/>
      <c r="D33" s="83"/>
      <c r="E33" s="171"/>
      <c r="F33" s="171"/>
      <c r="G33" s="171"/>
      <c r="H33" s="193"/>
      <c r="I33" s="193"/>
      <c r="J33" s="194"/>
      <c r="K33" s="174"/>
    </row>
    <row r="34" spans="2:11" ht="15.75">
      <c r="B34" s="170"/>
      <c r="C34" s="193"/>
      <c r="D34" s="197"/>
      <c r="E34" s="171"/>
      <c r="F34" s="171"/>
      <c r="G34" s="171"/>
      <c r="H34" s="193"/>
      <c r="I34" s="198"/>
      <c r="J34" s="194"/>
      <c r="K34" s="174"/>
    </row>
    <row r="35" spans="2:11" ht="15.75">
      <c r="B35" s="170"/>
      <c r="C35" s="173"/>
      <c r="D35" s="173"/>
      <c r="E35" s="171"/>
      <c r="F35" s="171"/>
      <c r="G35" s="171"/>
      <c r="H35" s="173"/>
      <c r="I35" s="173"/>
      <c r="J35" s="199"/>
      <c r="K35" s="174"/>
    </row>
    <row r="36" spans="2:11" ht="15.75">
      <c r="B36" s="170"/>
      <c r="C36" s="193"/>
      <c r="D36" s="198"/>
      <c r="E36" s="200"/>
      <c r="F36" s="201"/>
      <c r="G36" s="171"/>
      <c r="H36" s="193"/>
      <c r="I36" s="193"/>
      <c r="J36" s="202"/>
      <c r="K36" s="174"/>
    </row>
    <row r="37" spans="2:11" ht="15.75">
      <c r="B37" s="170"/>
      <c r="C37" s="173"/>
      <c r="D37" s="173"/>
      <c r="E37" s="171"/>
      <c r="F37" s="171"/>
      <c r="G37" s="171"/>
      <c r="H37" s="203"/>
      <c r="I37" s="203"/>
      <c r="J37" s="204"/>
      <c r="K37" s="174"/>
    </row>
    <row r="38" spans="2:11" ht="15.75">
      <c r="B38" s="170"/>
      <c r="C38" s="193"/>
      <c r="D38" s="173"/>
      <c r="E38" s="172"/>
      <c r="F38" s="171"/>
      <c r="G38" s="171"/>
      <c r="H38" s="203"/>
      <c r="I38" s="205"/>
      <c r="J38" s="196"/>
      <c r="K38" s="174"/>
    </row>
    <row r="39" spans="2:11" ht="15.75">
      <c r="B39" s="170"/>
      <c r="C39" s="171"/>
      <c r="D39" s="171"/>
      <c r="E39" s="171"/>
      <c r="F39" s="171"/>
      <c r="G39" s="171"/>
      <c r="H39" s="171"/>
      <c r="I39" s="171"/>
      <c r="J39" s="182"/>
      <c r="K39" s="174"/>
    </row>
    <row r="40" spans="2:11" ht="16.5" thickBot="1">
      <c r="B40" s="206"/>
      <c r="C40" s="207"/>
      <c r="D40" s="207"/>
      <c r="E40" s="207"/>
      <c r="F40" s="207"/>
      <c r="G40" s="208"/>
      <c r="H40" s="207"/>
      <c r="I40" s="208"/>
      <c r="J40" s="209"/>
      <c r="K40" s="209"/>
    </row>
    <row r="41" spans="2:11" ht="15.75">
      <c r="B41" s="165"/>
      <c r="C41" s="165"/>
      <c r="D41" s="165"/>
      <c r="E41" s="165"/>
      <c r="F41" s="165"/>
      <c r="G41" s="165"/>
      <c r="H41" s="165"/>
    </row>
    <row r="42" spans="2:11" ht="15.75">
      <c r="B42" s="165"/>
      <c r="C42" s="165"/>
      <c r="D42" s="165"/>
      <c r="E42" s="165"/>
      <c r="F42" s="165"/>
      <c r="G42" s="165"/>
      <c r="H42" s="165"/>
    </row>
    <row r="43" spans="2:11" ht="15.75">
      <c r="B43" s="165"/>
      <c r="C43" s="165"/>
      <c r="D43" s="165"/>
      <c r="E43" s="165"/>
      <c r="F43" s="165"/>
      <c r="G43" s="165"/>
      <c r="H43" s="165"/>
    </row>
  </sheetData>
  <mergeCells count="11">
    <mergeCell ref="E2:G2"/>
    <mergeCell ref="E3:G3"/>
    <mergeCell ref="C5:H5"/>
    <mergeCell ref="E11:H11"/>
    <mergeCell ref="B27:D27"/>
    <mergeCell ref="E27:G27"/>
    <mergeCell ref="H27:J27"/>
    <mergeCell ref="E18:H18"/>
    <mergeCell ref="E19:H19"/>
    <mergeCell ref="E20:H20"/>
    <mergeCell ref="C23:G23"/>
  </mergeCells>
  <phoneticPr fontId="5" type="noConversion"/>
  <pageMargins left="0.91" right="0.75" top="1" bottom="1" header="0.57999999999999996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R182"/>
  <sheetViews>
    <sheetView topLeftCell="A101" zoomScaleNormal="100" workbookViewId="0">
      <selection activeCell="I16" sqref="I16:M122"/>
    </sheetView>
  </sheetViews>
  <sheetFormatPr defaultRowHeight="11.25"/>
  <cols>
    <col min="1" max="1" width="6" style="3" customWidth="1"/>
    <col min="2" max="2" width="43.5703125" style="3" customWidth="1"/>
    <col min="3" max="3" width="14.140625" style="3" hidden="1" customWidth="1"/>
    <col min="4" max="5" width="14.140625" style="3" customWidth="1"/>
    <col min="6" max="6" width="14.5703125" style="3" customWidth="1"/>
    <col min="7" max="7" width="14.5703125" style="3" hidden="1" customWidth="1"/>
    <col min="8" max="8" width="14" style="3" hidden="1" customWidth="1"/>
    <col min="9" max="9" width="11.85546875" style="3" customWidth="1"/>
    <col min="10" max="10" width="10.7109375" style="3" customWidth="1"/>
    <col min="11" max="11" width="9.85546875" style="3" customWidth="1"/>
    <col min="12" max="12" width="9.85546875" style="3" bestFit="1" customWidth="1"/>
    <col min="13" max="13" width="10.7109375" style="3" bestFit="1" customWidth="1"/>
    <col min="14" max="14" width="9.140625" style="3"/>
    <col min="15" max="15" width="11.5703125" style="3" customWidth="1"/>
    <col min="16" max="16" width="9.140625" style="3"/>
    <col min="17" max="17" width="14" style="3" customWidth="1"/>
    <col min="18" max="16384" width="9.140625" style="3"/>
  </cols>
  <sheetData>
    <row r="1" spans="1:9" ht="12.75" customHeight="1">
      <c r="A1" s="747" t="s">
        <v>299</v>
      </c>
      <c r="B1" s="747"/>
      <c r="C1" s="2"/>
      <c r="D1" s="2"/>
      <c r="E1" s="2"/>
      <c r="F1" s="2"/>
      <c r="G1" s="2"/>
    </row>
    <row r="2" spans="1:9" ht="12.75" customHeight="1">
      <c r="F2" s="2"/>
      <c r="G2" s="2"/>
    </row>
    <row r="3" spans="1:9" ht="12.75" customHeight="1">
      <c r="A3" s="748" t="s">
        <v>1161</v>
      </c>
      <c r="B3" s="748"/>
      <c r="C3" s="748"/>
      <c r="D3" s="748"/>
      <c r="E3" s="748"/>
      <c r="F3" s="748"/>
      <c r="G3" s="748"/>
    </row>
    <row r="4" spans="1:9" ht="12.75" customHeight="1">
      <c r="A4" s="2"/>
      <c r="B4" s="2"/>
      <c r="C4" s="2"/>
      <c r="D4" s="2"/>
      <c r="E4" s="2"/>
    </row>
    <row r="5" spans="1:9" ht="12.75" customHeight="1">
      <c r="A5" s="746" t="s">
        <v>300</v>
      </c>
      <c r="B5" s="746"/>
      <c r="C5" s="4" t="s">
        <v>301</v>
      </c>
      <c r="D5" s="5" t="s">
        <v>302</v>
      </c>
      <c r="E5" s="6">
        <v>2012</v>
      </c>
      <c r="F5" s="6">
        <v>2011</v>
      </c>
      <c r="G5" s="6">
        <v>2010</v>
      </c>
      <c r="H5" s="6">
        <v>2009</v>
      </c>
    </row>
    <row r="6" spans="1:9" ht="12.75" customHeight="1">
      <c r="A6" s="4" t="s">
        <v>303</v>
      </c>
      <c r="B6" s="7" t="s">
        <v>304</v>
      </c>
      <c r="C6" s="8"/>
      <c r="D6" s="8"/>
      <c r="E6" s="9">
        <f>E7+E10+E14+E20+E27+E28+E29</f>
        <v>500843475</v>
      </c>
      <c r="F6" s="9">
        <f>F7+F10+F14+F20+F27+F28+F29</f>
        <v>536507912.21000004</v>
      </c>
      <c r="G6" s="9">
        <f>G7+G10+G14+G20+G27+G28+G29</f>
        <v>515231593.19</v>
      </c>
      <c r="H6" s="9">
        <f>H7+H10+H14+H20+H27+H28+H29</f>
        <v>353477859</v>
      </c>
    </row>
    <row r="7" spans="1:9" ht="12.75" customHeight="1">
      <c r="A7" s="4">
        <v>1</v>
      </c>
      <c r="B7" s="7" t="s">
        <v>305</v>
      </c>
      <c r="C7" s="8">
        <v>512531</v>
      </c>
      <c r="D7" s="8">
        <v>512531</v>
      </c>
      <c r="E7" s="9">
        <f>E8+E9</f>
        <v>1474623</v>
      </c>
      <c r="F7" s="9">
        <f>F8+F9</f>
        <v>5669291.1199999992</v>
      </c>
      <c r="G7" s="9">
        <f>G8+G9</f>
        <v>12164179</v>
      </c>
      <c r="H7" s="9">
        <f>H8+H9</f>
        <v>19796288</v>
      </c>
    </row>
    <row r="8" spans="1:9" ht="12.75" customHeight="1">
      <c r="A8" s="10" t="s">
        <v>306</v>
      </c>
      <c r="B8" s="11" t="s">
        <v>307</v>
      </c>
      <c r="C8" s="8"/>
      <c r="D8" s="8"/>
      <c r="E8" s="8">
        <f>3437+9770+1365+5934+7166+16009+7993+1439+856+9439+967+22748+14880+93857-(2515+412+2373+10585)</f>
        <v>179975</v>
      </c>
      <c r="F8" s="8">
        <f>9123+13270.51+191.4+19744-2930+4578.61+156.99+1336.94+13988.86+12790+2639.67-5161.92+13077.58+32145+2054882.39+8060.72+28542.76+93856.61</f>
        <v>2300293.1199999996</v>
      </c>
      <c r="G8" s="8">
        <f>6425+5006618+22005+2728+6631-400+6245-416+73849+599189+32745+18832+14478+37834-1125+90767</f>
        <v>5916405</v>
      </c>
      <c r="H8" s="8">
        <f>18841036</f>
        <v>18841036</v>
      </c>
      <c r="I8" s="12"/>
    </row>
    <row r="9" spans="1:9" ht="12.75" customHeight="1">
      <c r="A9" s="10" t="s">
        <v>308</v>
      </c>
      <c r="B9" s="11" t="s">
        <v>309</v>
      </c>
      <c r="C9" s="8"/>
      <c r="D9" s="8"/>
      <c r="E9" s="8">
        <f>930775+363873</f>
        <v>1294648</v>
      </c>
      <c r="F9" s="8">
        <v>3368998</v>
      </c>
      <c r="G9" s="8">
        <f>3642395+2605379</f>
        <v>6247774</v>
      </c>
      <c r="H9" s="8">
        <f>955252</f>
        <v>955252</v>
      </c>
    </row>
    <row r="10" spans="1:9" ht="12.75" customHeight="1">
      <c r="A10" s="4">
        <v>2</v>
      </c>
      <c r="B10" s="7" t="s">
        <v>310</v>
      </c>
      <c r="C10" s="8"/>
      <c r="D10" s="8"/>
      <c r="E10" s="8">
        <f>E11+E12</f>
        <v>0</v>
      </c>
      <c r="F10" s="8">
        <f>F11+F12</f>
        <v>0</v>
      </c>
      <c r="G10" s="8">
        <f>G11+G12</f>
        <v>0</v>
      </c>
      <c r="H10" s="8">
        <f>H11+H12</f>
        <v>0</v>
      </c>
    </row>
    <row r="11" spans="1:9" ht="12.75" customHeight="1">
      <c r="A11" s="10" t="s">
        <v>306</v>
      </c>
      <c r="B11" s="11" t="s">
        <v>311</v>
      </c>
      <c r="C11" s="8">
        <v>551559</v>
      </c>
      <c r="D11" s="8">
        <v>551559</v>
      </c>
      <c r="E11" s="13">
        <v>0</v>
      </c>
      <c r="F11" s="13">
        <v>0</v>
      </c>
      <c r="G11" s="13">
        <v>0</v>
      </c>
      <c r="H11" s="13">
        <v>0</v>
      </c>
    </row>
    <row r="12" spans="1:9" ht="12.75" customHeight="1">
      <c r="A12" s="10" t="s">
        <v>308</v>
      </c>
      <c r="B12" s="11" t="s">
        <v>312</v>
      </c>
      <c r="C12" s="8">
        <v>552559590</v>
      </c>
      <c r="D12" s="8">
        <v>552559590</v>
      </c>
      <c r="E12" s="13">
        <v>0</v>
      </c>
      <c r="F12" s="13">
        <v>0</v>
      </c>
      <c r="G12" s="13">
        <v>0</v>
      </c>
      <c r="H12" s="13">
        <v>0</v>
      </c>
    </row>
    <row r="13" spans="1:9" ht="12.75" customHeight="1">
      <c r="A13" s="10"/>
      <c r="B13" s="7" t="s">
        <v>313</v>
      </c>
      <c r="C13" s="8"/>
      <c r="D13" s="8"/>
      <c r="E13" s="13">
        <f>E11+E12</f>
        <v>0</v>
      </c>
      <c r="F13" s="13">
        <f>F11+F12</f>
        <v>0</v>
      </c>
      <c r="G13" s="13">
        <f>G11+G12</f>
        <v>0</v>
      </c>
      <c r="H13" s="13">
        <f>H11+H12</f>
        <v>0</v>
      </c>
    </row>
    <row r="14" spans="1:9" ht="12.75" customHeight="1">
      <c r="A14" s="4">
        <v>3</v>
      </c>
      <c r="B14" s="7" t="s">
        <v>314</v>
      </c>
      <c r="C14" s="8"/>
      <c r="D14" s="8"/>
      <c r="E14" s="14">
        <f>E15+E16+E17+E18</f>
        <v>428819202</v>
      </c>
      <c r="F14" s="14">
        <f>F15+F16+F17+F18</f>
        <v>436977008.09000003</v>
      </c>
      <c r="G14" s="14">
        <f>G15+G16+G17+G18</f>
        <v>399352706.19</v>
      </c>
      <c r="H14" s="14">
        <f>H15+H16+H17+H18</f>
        <v>211388144</v>
      </c>
    </row>
    <row r="15" spans="1:9" ht="12.75" customHeight="1">
      <c r="A15" s="10" t="s">
        <v>306</v>
      </c>
      <c r="B15" s="11" t="s">
        <v>315</v>
      </c>
      <c r="C15" s="8">
        <v>411</v>
      </c>
      <c r="D15" s="8">
        <v>411</v>
      </c>
      <c r="E15" s="383">
        <v>428819202</v>
      </c>
      <c r="F15" s="383">
        <v>421106380.61000001</v>
      </c>
      <c r="G15" s="15">
        <v>309022003</v>
      </c>
      <c r="H15" s="13">
        <f>193163280-1082032-3</f>
        <v>192081245</v>
      </c>
    </row>
    <row r="16" spans="1:9" ht="12.75" customHeight="1">
      <c r="A16" s="10" t="s">
        <v>308</v>
      </c>
      <c r="B16" s="11" t="s">
        <v>316</v>
      </c>
      <c r="C16" s="8" t="s">
        <v>317</v>
      </c>
      <c r="D16" s="8" t="s">
        <v>317</v>
      </c>
      <c r="E16" s="383">
        <v>0</v>
      </c>
      <c r="F16" s="383"/>
      <c r="G16" s="15"/>
      <c r="H16" s="13">
        <f>11020000-'te ardhura e shpenzime'!H31</f>
        <v>6401090</v>
      </c>
    </row>
    <row r="17" spans="1:15" ht="12.75" customHeight="1">
      <c r="A17" s="10" t="s">
        <v>318</v>
      </c>
      <c r="B17" s="11" t="s">
        <v>319</v>
      </c>
      <c r="C17" s="8">
        <v>469</v>
      </c>
      <c r="D17" s="8">
        <v>469</v>
      </c>
      <c r="E17" s="383"/>
      <c r="F17" s="383">
        <f>23451204-7580576.52</f>
        <v>15870627.48</v>
      </c>
      <c r="G17" s="15">
        <f>94726283.58+13804419.61-18200000</f>
        <v>90330703.189999998</v>
      </c>
      <c r="H17" s="8">
        <v>0</v>
      </c>
    </row>
    <row r="18" spans="1:15" ht="12.75" customHeight="1">
      <c r="A18" s="10" t="s">
        <v>320</v>
      </c>
      <c r="B18" s="11" t="s">
        <v>321</v>
      </c>
      <c r="C18" s="8">
        <v>460</v>
      </c>
      <c r="D18" s="8">
        <v>460</v>
      </c>
      <c r="E18" s="13">
        <v>0</v>
      </c>
      <c r="F18" s="13">
        <v>0</v>
      </c>
      <c r="G18" s="13">
        <v>0</v>
      </c>
      <c r="H18" s="13">
        <v>12905809</v>
      </c>
    </row>
    <row r="19" spans="1:15" ht="12.75" customHeight="1">
      <c r="A19" s="10"/>
      <c r="B19" s="7" t="s">
        <v>322</v>
      </c>
      <c r="C19" s="8"/>
      <c r="D19" s="8"/>
      <c r="E19" s="14">
        <f>E15+E16+E17+E18</f>
        <v>428819202</v>
      </c>
      <c r="F19" s="14">
        <f>F15+F16+F17+F18</f>
        <v>436977008.09000003</v>
      </c>
      <c r="G19" s="14">
        <f>G15+G16+G17+G18</f>
        <v>399352706.19</v>
      </c>
      <c r="H19" s="14">
        <f>H15+H16+H17+H18</f>
        <v>211388144</v>
      </c>
    </row>
    <row r="20" spans="1:15" ht="12.75" customHeight="1">
      <c r="A20" s="4">
        <v>4</v>
      </c>
      <c r="B20" s="7" t="s">
        <v>323</v>
      </c>
      <c r="C20" s="8"/>
      <c r="D20" s="8"/>
      <c r="E20" s="14">
        <f>E21+E22+E23+E24+E25</f>
        <v>70549650</v>
      </c>
      <c r="F20" s="14">
        <f>F21+F22+F23+F24+F25</f>
        <v>93861613</v>
      </c>
      <c r="G20" s="14">
        <f>G21+G22+G23+G24+G25</f>
        <v>103714708</v>
      </c>
      <c r="H20" s="14">
        <f>H21+H22+H23+H24+H25</f>
        <v>122293427</v>
      </c>
      <c r="I20" s="12"/>
      <c r="J20" s="12"/>
      <c r="K20" s="12"/>
      <c r="M20" s="12"/>
    </row>
    <row r="21" spans="1:15" ht="12.75" customHeight="1">
      <c r="A21" s="10" t="s">
        <v>306</v>
      </c>
      <c r="B21" s="11" t="s">
        <v>324</v>
      </c>
      <c r="C21" s="8" t="s">
        <v>325</v>
      </c>
      <c r="D21" s="8" t="s">
        <v>325</v>
      </c>
      <c r="E21" s="383">
        <f>240298+1122000+191859+6909325+11116590+828274+482473+1091875+3486266-1256200</f>
        <v>24212760</v>
      </c>
      <c r="F21" s="383">
        <f>4762964+117862+12390247+2112502+998911+1288384+70800-1256200</f>
        <v>20485470</v>
      </c>
      <c r="G21" s="15">
        <f>12290198+16730+12494550+399374+841925+1533335-1256200</f>
        <v>26319912</v>
      </c>
      <c r="H21" s="13">
        <f>7470792+513974+14737026+1043789+901775+1600171-1256200</f>
        <v>25011327</v>
      </c>
      <c r="I21" s="12"/>
      <c r="J21" s="12"/>
      <c r="M21" s="12"/>
    </row>
    <row r="22" spans="1:15" ht="12.75" customHeight="1">
      <c r="A22" s="10" t="s">
        <v>308</v>
      </c>
      <c r="B22" s="11" t="s">
        <v>326</v>
      </c>
      <c r="C22" s="8" t="s">
        <v>327</v>
      </c>
      <c r="D22" s="8" t="s">
        <v>327</v>
      </c>
      <c r="E22" s="383">
        <v>0</v>
      </c>
      <c r="F22" s="383">
        <v>0</v>
      </c>
      <c r="G22" s="15">
        <v>0</v>
      </c>
      <c r="H22" s="13">
        <v>0</v>
      </c>
      <c r="I22" s="12"/>
      <c r="M22" s="12"/>
    </row>
    <row r="23" spans="1:15" ht="12.75" customHeight="1">
      <c r="A23" s="10" t="s">
        <v>318</v>
      </c>
      <c r="B23" s="11" t="s">
        <v>328</v>
      </c>
      <c r="C23" s="8">
        <v>341342394</v>
      </c>
      <c r="D23" s="8">
        <v>341342394</v>
      </c>
      <c r="E23" s="383">
        <f>25179122+21157768</f>
        <v>46336890</v>
      </c>
      <c r="F23" s="383">
        <f>6909325+27584178+38882640</f>
        <v>73376143</v>
      </c>
      <c r="G23" s="15">
        <f>6909325+46439595+24045876</f>
        <v>77394796</v>
      </c>
      <c r="H23" s="13">
        <f>62234553+28078718+6909325+27214+32290</f>
        <v>97282100</v>
      </c>
      <c r="I23" s="12"/>
      <c r="J23" s="12"/>
      <c r="K23" s="12"/>
      <c r="L23" s="12"/>
      <c r="M23" s="12"/>
    </row>
    <row r="24" spans="1:15" ht="12.75" customHeight="1">
      <c r="A24" s="10" t="s">
        <v>320</v>
      </c>
      <c r="B24" s="11" t="s">
        <v>329</v>
      </c>
      <c r="C24" s="8">
        <v>351395</v>
      </c>
      <c r="D24" s="8">
        <v>351395</v>
      </c>
      <c r="E24" s="8">
        <v>0</v>
      </c>
      <c r="F24" s="8">
        <v>0</v>
      </c>
      <c r="G24" s="8">
        <v>0</v>
      </c>
      <c r="H24" s="8">
        <v>0</v>
      </c>
      <c r="I24" s="12"/>
      <c r="J24" s="12"/>
      <c r="L24" s="12"/>
    </row>
    <row r="25" spans="1:15" ht="12.75" customHeight="1">
      <c r="A25" s="10" t="s">
        <v>330</v>
      </c>
      <c r="B25" s="11" t="s">
        <v>331</v>
      </c>
      <c r="C25" s="8" t="s">
        <v>332</v>
      </c>
      <c r="D25" s="8" t="s">
        <v>332</v>
      </c>
      <c r="E25" s="13"/>
      <c r="F25" s="13"/>
      <c r="G25" s="13"/>
      <c r="H25" s="13"/>
      <c r="I25" s="12"/>
      <c r="K25" s="12"/>
    </row>
    <row r="26" spans="1:15" ht="12.75" customHeight="1">
      <c r="A26" s="10"/>
      <c r="B26" s="7" t="s">
        <v>333</v>
      </c>
      <c r="C26" s="8"/>
      <c r="D26" s="8"/>
      <c r="E26" s="14">
        <f>E21+E22+E23+E24+E25</f>
        <v>70549650</v>
      </c>
      <c r="F26" s="14">
        <f>F21+F22+F23+F24+F25</f>
        <v>93861613</v>
      </c>
      <c r="G26" s="14">
        <f>G21+G22+G23+G24+G25</f>
        <v>103714708</v>
      </c>
      <c r="H26" s="14">
        <f>H21+H22+H23+H24+H25</f>
        <v>122293427</v>
      </c>
    </row>
    <row r="27" spans="1:15" ht="12.75" customHeight="1">
      <c r="A27" s="4">
        <v>5</v>
      </c>
      <c r="B27" s="7" t="s">
        <v>334</v>
      </c>
      <c r="C27" s="8">
        <v>36</v>
      </c>
      <c r="D27" s="8">
        <v>36</v>
      </c>
      <c r="E27" s="13"/>
      <c r="F27" s="13"/>
      <c r="G27" s="13"/>
      <c r="H27" s="13"/>
    </row>
    <row r="28" spans="1:15" ht="12.75" customHeight="1">
      <c r="A28" s="4">
        <v>6</v>
      </c>
      <c r="B28" s="7" t="s">
        <v>335</v>
      </c>
      <c r="C28" s="8" t="s">
        <v>336</v>
      </c>
      <c r="D28" s="8" t="s">
        <v>336</v>
      </c>
      <c r="E28" s="13"/>
      <c r="F28" s="13"/>
      <c r="G28" s="13"/>
      <c r="H28" s="13"/>
      <c r="O28" s="21"/>
    </row>
    <row r="29" spans="1:15" ht="12.75" customHeight="1">
      <c r="A29" s="4">
        <v>7</v>
      </c>
      <c r="B29" s="7" t="s">
        <v>337</v>
      </c>
      <c r="C29" s="8" t="s">
        <v>338</v>
      </c>
      <c r="D29" s="8" t="s">
        <v>338</v>
      </c>
      <c r="E29" s="8"/>
      <c r="F29" s="8"/>
      <c r="G29" s="8"/>
      <c r="H29" s="8"/>
      <c r="O29" s="21"/>
    </row>
    <row r="30" spans="1:15" ht="12.75" customHeight="1">
      <c r="A30" s="10"/>
      <c r="B30" s="11"/>
      <c r="C30" s="8"/>
      <c r="D30" s="8"/>
      <c r="E30" s="8"/>
      <c r="F30" s="8"/>
      <c r="G30" s="8"/>
      <c r="H30" s="8"/>
      <c r="O30" s="21"/>
    </row>
    <row r="31" spans="1:15" ht="12.75" customHeight="1">
      <c r="A31" s="4" t="s">
        <v>339</v>
      </c>
      <c r="B31" s="7" t="s">
        <v>340</v>
      </c>
      <c r="C31" s="8"/>
      <c r="D31" s="8"/>
      <c r="E31" s="14">
        <f>E32+E38+E45+E46+E51+E52</f>
        <v>852990714</v>
      </c>
      <c r="F31" s="14">
        <f>F32+F38+F45+F46+F51+F52</f>
        <v>854341709.52999997</v>
      </c>
      <c r="G31" s="14">
        <f>G32+G38+G45+G46+G51+G52</f>
        <v>759790943.91999996</v>
      </c>
      <c r="H31" s="14">
        <f>H32+H38+H45+H46+H51+H52</f>
        <v>643684288</v>
      </c>
      <c r="O31" s="21"/>
    </row>
    <row r="32" spans="1:15" ht="12.75" customHeight="1">
      <c r="A32" s="4">
        <v>1</v>
      </c>
      <c r="B32" s="7" t="s">
        <v>341</v>
      </c>
      <c r="C32" s="8"/>
      <c r="D32" s="8"/>
      <c r="E32" s="14">
        <f>E34+E36</f>
        <v>96426887</v>
      </c>
      <c r="F32" s="14">
        <f>F34+F36</f>
        <v>93795026.929999992</v>
      </c>
      <c r="G32" s="14">
        <f>G34+G36</f>
        <v>143697630</v>
      </c>
      <c r="H32" s="14">
        <f>H34+H36</f>
        <v>99981857</v>
      </c>
      <c r="I32" s="12"/>
      <c r="O32" s="88"/>
    </row>
    <row r="33" spans="1:15" ht="12.75" customHeight="1">
      <c r="A33" s="10" t="s">
        <v>306</v>
      </c>
      <c r="B33" s="11" t="s">
        <v>342</v>
      </c>
      <c r="C33" s="8">
        <v>261</v>
      </c>
      <c r="D33" s="8">
        <v>261</v>
      </c>
      <c r="E33" s="13">
        <v>0</v>
      </c>
      <c r="F33" s="13">
        <v>0</v>
      </c>
      <c r="G33" s="13">
        <v>0</v>
      </c>
      <c r="H33" s="13">
        <v>0</v>
      </c>
      <c r="O33" s="21"/>
    </row>
    <row r="34" spans="1:15" ht="12.75" customHeight="1">
      <c r="A34" s="10" t="s">
        <v>308</v>
      </c>
      <c r="B34" s="11" t="s">
        <v>343</v>
      </c>
      <c r="C34" s="8">
        <v>262</v>
      </c>
      <c r="D34" s="8">
        <v>262</v>
      </c>
      <c r="E34" s="13">
        <f>118300+1608000</f>
        <v>1726300</v>
      </c>
      <c r="F34" s="13">
        <f>118300+1608000</f>
        <v>1726300</v>
      </c>
      <c r="G34" s="13">
        <f>118300+1608000</f>
        <v>1726300</v>
      </c>
      <c r="H34" s="13">
        <f>118300+1608000</f>
        <v>1726300</v>
      </c>
      <c r="O34" s="145"/>
    </row>
    <row r="35" spans="1:15" ht="12.75" customHeight="1">
      <c r="A35" s="10" t="s">
        <v>318</v>
      </c>
      <c r="B35" s="11" t="s">
        <v>344</v>
      </c>
      <c r="C35" s="8">
        <v>263</v>
      </c>
      <c r="D35" s="8">
        <v>263</v>
      </c>
      <c r="E35" s="13">
        <v>0</v>
      </c>
      <c r="F35" s="13">
        <v>0</v>
      </c>
      <c r="G35" s="13">
        <v>0</v>
      </c>
      <c r="H35" s="13">
        <v>0</v>
      </c>
      <c r="O35" s="21"/>
    </row>
    <row r="36" spans="1:15" ht="12.75" customHeight="1">
      <c r="A36" s="10" t="s">
        <v>320</v>
      </c>
      <c r="B36" s="16" t="s">
        <v>345</v>
      </c>
      <c r="C36" s="8">
        <v>265268451455</v>
      </c>
      <c r="D36" s="8">
        <v>265268451455</v>
      </c>
      <c r="E36" s="8">
        <f>154266+5675367+1853804+30801118+20942208+463702+2974563+23383130+1200463+9778672-2526706</f>
        <v>94700587</v>
      </c>
      <c r="F36" s="8">
        <f>3435199+5675367+1853804.2+17898809.98+30801118.51+20942208.32+463701.7+1658820+9137826.22+201872</f>
        <v>92068726.929999992</v>
      </c>
      <c r="G36" s="8">
        <f>27564658+3435199+5675367+32005196+1853804+17898810+25630288+16342822+11565186</f>
        <v>141971330</v>
      </c>
      <c r="H36" s="8">
        <f>27564658+3435199+5675367+3749148+32005196+3795243+17898810+13300196+3737549-3435199-5675367-3795243</f>
        <v>98255557</v>
      </c>
      <c r="O36" s="21"/>
    </row>
    <row r="37" spans="1:15" ht="12.75" customHeight="1">
      <c r="A37" s="10"/>
      <c r="B37" s="7" t="s">
        <v>346</v>
      </c>
      <c r="C37" s="8"/>
      <c r="D37" s="8"/>
      <c r="E37" s="14">
        <f>E33+E34+E35+E36</f>
        <v>96426887</v>
      </c>
      <c r="F37" s="14">
        <f>F33+F34+F35+F36</f>
        <v>93795026.929999992</v>
      </c>
      <c r="G37" s="14">
        <f>G33+G34+G35+G36</f>
        <v>143697630</v>
      </c>
      <c r="H37" s="14">
        <f>H33+H34+H35+H36</f>
        <v>99981857</v>
      </c>
      <c r="O37" s="21"/>
    </row>
    <row r="38" spans="1:15" ht="12.75" customHeight="1">
      <c r="A38" s="4">
        <v>2</v>
      </c>
      <c r="B38" s="7" t="s">
        <v>347</v>
      </c>
      <c r="C38" s="8"/>
      <c r="D38" s="8"/>
      <c r="E38" s="14">
        <f>E39+E40+E41+E42+E43</f>
        <v>756563827</v>
      </c>
      <c r="F38" s="14">
        <f>F39+F40+F41+F42+F43</f>
        <v>760546682.60000002</v>
      </c>
      <c r="G38" s="14">
        <f>G39+G40+G41+G42+G43</f>
        <v>616093313.91999996</v>
      </c>
      <c r="H38" s="14">
        <f>H39+H40+H41+H42+H43</f>
        <v>543702431</v>
      </c>
      <c r="I38" s="12"/>
      <c r="O38" s="21"/>
    </row>
    <row r="39" spans="1:15" ht="12.75" customHeight="1">
      <c r="A39" s="10" t="s">
        <v>306</v>
      </c>
      <c r="B39" s="11" t="s">
        <v>348</v>
      </c>
      <c r="C39" s="8">
        <v>211291</v>
      </c>
      <c r="D39" s="8">
        <v>211291</v>
      </c>
      <c r="E39" s="383">
        <v>15425800</v>
      </c>
      <c r="F39" s="383">
        <v>13448000</v>
      </c>
      <c r="G39" s="15">
        <v>8005000</v>
      </c>
      <c r="H39" s="13">
        <f>8005000</f>
        <v>8005000</v>
      </c>
      <c r="O39" s="21"/>
    </row>
    <row r="40" spans="1:15" ht="12.75" customHeight="1">
      <c r="A40" s="10" t="s">
        <v>308</v>
      </c>
      <c r="B40" s="11" t="s">
        <v>349</v>
      </c>
      <c r="C40" s="8">
        <v>212281291</v>
      </c>
      <c r="D40" s="8">
        <v>212281291</v>
      </c>
      <c r="E40" s="383">
        <f>14709242-8414679</f>
        <v>6294563</v>
      </c>
      <c r="F40" s="383">
        <f>14709242-7753702</f>
        <v>6955540</v>
      </c>
      <c r="G40" s="15">
        <f>14709242-7057937</f>
        <v>7651305</v>
      </c>
      <c r="H40" s="13">
        <f>14709242-6325283</f>
        <v>8383959</v>
      </c>
      <c r="M40" s="12"/>
    </row>
    <row r="41" spans="1:15" ht="12.75" customHeight="1">
      <c r="A41" s="10" t="s">
        <v>318</v>
      </c>
      <c r="B41" s="11" t="s">
        <v>350</v>
      </c>
      <c r="C41" s="8">
        <v>213215281291</v>
      </c>
      <c r="D41" s="8">
        <v>213215281291</v>
      </c>
      <c r="E41" s="735">
        <f>321754653-136910449+4100000</f>
        <v>188944204</v>
      </c>
      <c r="F41" s="383">
        <f>4569305+276826479+5287592-97032180</f>
        <v>189651196</v>
      </c>
      <c r="G41" s="15">
        <f>157682213+5287592.04-88074353</f>
        <v>74895452.039999992</v>
      </c>
      <c r="H41" s="13">
        <f>145475539+5287592-74620884</f>
        <v>76142247</v>
      </c>
      <c r="M41" s="12"/>
    </row>
    <row r="42" spans="1:15" ht="12.75" customHeight="1">
      <c r="A42" s="10" t="s">
        <v>320</v>
      </c>
      <c r="B42" s="11" t="s">
        <v>351</v>
      </c>
      <c r="C42" s="8">
        <v>218281291</v>
      </c>
      <c r="D42" s="8">
        <v>218281291</v>
      </c>
      <c r="E42" s="383">
        <f>(61605210+18111431)-(29644573+8792003)</f>
        <v>41280065</v>
      </c>
      <c r="F42" s="383">
        <f>65605210.33+925410.83+6668041.62+41150-21733905-5633156</f>
        <v>45872751.780000001</v>
      </c>
      <c r="G42" s="15">
        <f>37440479.44+231630+6235686.62-(20842044+2143390)</f>
        <v>20922362.059999995</v>
      </c>
      <c r="H42" s="13">
        <f>35908994+231630+531976-15635910-708683+700000-1</f>
        <v>21028006</v>
      </c>
      <c r="M42" s="12"/>
    </row>
    <row r="43" spans="1:15" ht="12.75" customHeight="1">
      <c r="A43" s="10" t="s">
        <v>318</v>
      </c>
      <c r="B43" s="11" t="s">
        <v>352</v>
      </c>
      <c r="C43" s="8">
        <v>232</v>
      </c>
      <c r="D43" s="8"/>
      <c r="E43" s="383">
        <v>504619195</v>
      </c>
      <c r="F43" s="383">
        <v>504619194.81999999</v>
      </c>
      <c r="G43" s="15">
        <v>504619194.81999999</v>
      </c>
      <c r="H43" s="13">
        <f>430143219</f>
        <v>430143219</v>
      </c>
    </row>
    <row r="44" spans="1:15" ht="12.75" customHeight="1">
      <c r="A44" s="10"/>
      <c r="B44" s="7" t="s">
        <v>313</v>
      </c>
      <c r="C44" s="8"/>
      <c r="D44" s="8"/>
      <c r="E44" s="14">
        <f>E43+E42+E41+E40+E39</f>
        <v>756563827</v>
      </c>
      <c r="F44" s="14">
        <f>F43+F42+F41+F40+F39</f>
        <v>760546682.60000002</v>
      </c>
      <c r="G44" s="14">
        <f>G43+G42+G41+G40+G39</f>
        <v>616093313.91999996</v>
      </c>
      <c r="H44" s="14">
        <f>H43+H42+H41+H40+H39</f>
        <v>543702431</v>
      </c>
    </row>
    <row r="45" spans="1:15" ht="12.75" customHeight="1">
      <c r="A45" s="4">
        <v>3</v>
      </c>
      <c r="B45" s="7" t="s">
        <v>353</v>
      </c>
      <c r="C45" s="8">
        <v>24284293</v>
      </c>
      <c r="D45" s="8">
        <v>24284293</v>
      </c>
      <c r="E45" s="13">
        <v>0</v>
      </c>
      <c r="F45" s="13">
        <v>0</v>
      </c>
      <c r="G45" s="13">
        <v>0</v>
      </c>
      <c r="H45" s="13">
        <v>0</v>
      </c>
    </row>
    <row r="46" spans="1:15" ht="12.75" customHeight="1">
      <c r="A46" s="4">
        <v>4</v>
      </c>
      <c r="B46" s="7" t="s">
        <v>354</v>
      </c>
      <c r="E46" s="8">
        <f>E47+E48+E49</f>
        <v>0</v>
      </c>
      <c r="F46" s="8">
        <f>F47+F48+F49</f>
        <v>0</v>
      </c>
      <c r="G46" s="8">
        <f>G47+G48+G49</f>
        <v>0</v>
      </c>
      <c r="H46" s="8">
        <f>H47+H48+H49</f>
        <v>0</v>
      </c>
    </row>
    <row r="47" spans="1:15" ht="12.75" customHeight="1">
      <c r="A47" s="10" t="s">
        <v>306</v>
      </c>
      <c r="B47" s="11" t="s">
        <v>355</v>
      </c>
      <c r="C47" s="8">
        <v>201280290</v>
      </c>
      <c r="D47" s="8">
        <v>201280290</v>
      </c>
      <c r="E47" s="13">
        <v>0</v>
      </c>
      <c r="F47" s="13">
        <v>0</v>
      </c>
      <c r="G47" s="13">
        <v>0</v>
      </c>
      <c r="H47" s="13">
        <v>0</v>
      </c>
    </row>
    <row r="48" spans="1:15" ht="12.75" customHeight="1">
      <c r="A48" s="10" t="s">
        <v>308</v>
      </c>
      <c r="B48" s="11" t="s">
        <v>356</v>
      </c>
      <c r="C48" s="8">
        <v>203280290</v>
      </c>
      <c r="D48" s="8">
        <v>203280290</v>
      </c>
      <c r="E48" s="13">
        <v>0</v>
      </c>
      <c r="F48" s="13">
        <v>0</v>
      </c>
      <c r="G48" s="13">
        <v>0</v>
      </c>
      <c r="H48" s="13">
        <v>0</v>
      </c>
    </row>
    <row r="49" spans="1:8" ht="12.75" customHeight="1">
      <c r="A49" s="10" t="s">
        <v>318</v>
      </c>
      <c r="B49" s="11" t="s">
        <v>357</v>
      </c>
      <c r="C49" s="8">
        <v>205280290</v>
      </c>
      <c r="D49" s="8">
        <v>205280290</v>
      </c>
      <c r="E49" s="13">
        <v>0</v>
      </c>
      <c r="F49" s="13">
        <v>0</v>
      </c>
      <c r="G49" s="13">
        <v>0</v>
      </c>
      <c r="H49" s="13">
        <v>0</v>
      </c>
    </row>
    <row r="50" spans="1:8" ht="12.75" customHeight="1">
      <c r="A50" s="10"/>
      <c r="B50" s="7" t="s">
        <v>333</v>
      </c>
      <c r="C50" s="8"/>
      <c r="D50" s="8"/>
      <c r="E50" s="13">
        <f>E47+E48+E49</f>
        <v>0</v>
      </c>
      <c r="F50" s="13">
        <f>F47+F48+F49</f>
        <v>0</v>
      </c>
      <c r="G50" s="13">
        <f>G47+G48+G49</f>
        <v>0</v>
      </c>
      <c r="H50" s="13">
        <f>H47+H48+H49</f>
        <v>0</v>
      </c>
    </row>
    <row r="51" spans="1:8" ht="12.75" customHeight="1">
      <c r="A51" s="4">
        <v>5</v>
      </c>
      <c r="B51" s="7" t="s">
        <v>358</v>
      </c>
      <c r="C51" s="8">
        <v>456</v>
      </c>
      <c r="D51" s="8">
        <v>456</v>
      </c>
      <c r="E51" s="13"/>
      <c r="F51" s="13"/>
      <c r="G51" s="13"/>
      <c r="H51" s="13"/>
    </row>
    <row r="52" spans="1:8" ht="12.75" customHeight="1">
      <c r="A52" s="4">
        <v>6</v>
      </c>
      <c r="B52" s="7" t="s">
        <v>359</v>
      </c>
      <c r="C52" s="8"/>
      <c r="D52" s="8"/>
      <c r="E52" s="13"/>
      <c r="F52" s="13"/>
      <c r="G52" s="13"/>
      <c r="H52" s="13"/>
    </row>
    <row r="53" spans="1:8" ht="12.75" customHeight="1">
      <c r="A53" s="10"/>
      <c r="B53" s="7" t="s">
        <v>360</v>
      </c>
      <c r="C53" s="8"/>
      <c r="D53" s="8"/>
      <c r="E53" s="14">
        <f>E32+E38</f>
        <v>852990714</v>
      </c>
      <c r="F53" s="14">
        <f>F32+F38</f>
        <v>854341709.52999997</v>
      </c>
      <c r="G53" s="14">
        <f>G32+G38</f>
        <v>759790943.91999996</v>
      </c>
      <c r="H53" s="14">
        <f>H32+H38</f>
        <v>643684288</v>
      </c>
    </row>
    <row r="54" spans="1:8" ht="12.75" customHeight="1">
      <c r="A54" s="10"/>
      <c r="B54" s="7" t="s">
        <v>361</v>
      </c>
      <c r="C54" s="8"/>
      <c r="D54" s="8"/>
      <c r="E54" s="14">
        <f>E53+E6</f>
        <v>1353834189</v>
      </c>
      <c r="F54" s="14">
        <f>F53+F6</f>
        <v>1390849621.74</v>
      </c>
      <c r="G54" s="14">
        <f>G53+G6</f>
        <v>1275022537.1099999</v>
      </c>
      <c r="H54" s="14">
        <f>H53+H6</f>
        <v>997162147</v>
      </c>
    </row>
    <row r="55" spans="1:8" ht="12.75" customHeight="1">
      <c r="A55" s="11"/>
      <c r="B55" s="11"/>
      <c r="C55" s="8"/>
      <c r="D55" s="8"/>
      <c r="E55" s="8"/>
      <c r="F55" s="13"/>
      <c r="G55" s="13"/>
      <c r="H55" s="13"/>
    </row>
    <row r="56" spans="1:8" ht="12.75" customHeight="1">
      <c r="A56" s="749"/>
      <c r="B56" s="749"/>
      <c r="C56" s="14"/>
      <c r="D56" s="14"/>
      <c r="E56" s="14"/>
      <c r="F56" s="14"/>
      <c r="G56" s="14"/>
      <c r="H56" s="14"/>
    </row>
    <row r="57" spans="1:8" ht="12.75" customHeight="1">
      <c r="A57" s="18"/>
      <c r="B57" s="18"/>
      <c r="C57" s="19"/>
      <c r="D57" s="19"/>
      <c r="E57" s="19"/>
      <c r="H57" s="20"/>
    </row>
    <row r="58" spans="1:8" ht="12.75" customHeight="1">
      <c r="A58" s="747" t="s">
        <v>299</v>
      </c>
      <c r="B58" s="747"/>
      <c r="C58" s="21"/>
      <c r="D58" s="21"/>
      <c r="E58" s="21"/>
      <c r="H58" s="20"/>
    </row>
    <row r="59" spans="1:8" ht="12.75" customHeight="1">
      <c r="A59" s="1"/>
      <c r="B59" s="1"/>
      <c r="C59" s="21"/>
      <c r="D59" s="21"/>
      <c r="E59" s="21"/>
      <c r="H59" s="20"/>
    </row>
    <row r="60" spans="1:8" ht="12.75" customHeight="1">
      <c r="A60" s="748" t="s">
        <v>85</v>
      </c>
      <c r="B60" s="748"/>
      <c r="C60" s="748"/>
      <c r="D60" s="748"/>
      <c r="E60" s="748"/>
      <c r="F60" s="748"/>
      <c r="G60" s="748"/>
      <c r="H60" s="20"/>
    </row>
    <row r="61" spans="1:8" ht="12.75" customHeight="1">
      <c r="A61" s="746" t="s">
        <v>362</v>
      </c>
      <c r="B61" s="746"/>
      <c r="C61" s="4" t="s">
        <v>301</v>
      </c>
      <c r="D61" s="5"/>
      <c r="E61" s="17">
        <v>2012</v>
      </c>
      <c r="F61" s="17">
        <v>2011</v>
      </c>
      <c r="G61" s="17">
        <v>2010</v>
      </c>
      <c r="H61" s="17">
        <v>2009</v>
      </c>
    </row>
    <row r="62" spans="1:8" ht="12.75" customHeight="1">
      <c r="A62" s="746" t="s">
        <v>363</v>
      </c>
      <c r="B62" s="746"/>
      <c r="C62" s="4"/>
      <c r="D62" s="5"/>
      <c r="E62" s="17"/>
      <c r="F62" s="17"/>
      <c r="G62" s="17"/>
      <c r="H62" s="17"/>
    </row>
    <row r="63" spans="1:8" ht="12.75" customHeight="1">
      <c r="A63" s="22" t="s">
        <v>303</v>
      </c>
      <c r="B63" s="7" t="s">
        <v>871</v>
      </c>
      <c r="C63" s="8"/>
      <c r="D63" s="8"/>
      <c r="E63" s="9">
        <f>E64+E65+E70+E78+E79</f>
        <v>628648167.70000005</v>
      </c>
      <c r="F63" s="9">
        <f>F64+F65+F70+F78+F79</f>
        <v>588674063.44999993</v>
      </c>
      <c r="G63" s="9">
        <f>G64+G65+G70+G78+G79</f>
        <v>244079291.24000001</v>
      </c>
      <c r="H63" s="9">
        <f>H64+H65+H70+H78+H79</f>
        <v>375037189</v>
      </c>
    </row>
    <row r="64" spans="1:8" ht="12.75" customHeight="1">
      <c r="A64" s="4">
        <v>1</v>
      </c>
      <c r="B64" s="7" t="s">
        <v>311</v>
      </c>
      <c r="C64" s="8">
        <v>551552</v>
      </c>
      <c r="D64" s="8">
        <v>551552</v>
      </c>
      <c r="E64" s="8">
        <v>0</v>
      </c>
      <c r="F64" s="8">
        <v>0</v>
      </c>
      <c r="G64" s="8">
        <v>0</v>
      </c>
      <c r="H64" s="8">
        <v>0</v>
      </c>
    </row>
    <row r="65" spans="1:18" ht="12.75" customHeight="1">
      <c r="A65" s="4">
        <v>2</v>
      </c>
      <c r="B65" s="7" t="s">
        <v>872</v>
      </c>
      <c r="C65" s="8"/>
      <c r="D65" s="8"/>
      <c r="E65" s="13">
        <f>E66+E67+E68</f>
        <v>302965955</v>
      </c>
      <c r="F65" s="13">
        <f>F66+F67+F68</f>
        <v>246939327.75</v>
      </c>
      <c r="G65" s="13">
        <f>G66+G67+G68</f>
        <v>0</v>
      </c>
      <c r="H65" s="13">
        <f>H66+H67+H68</f>
        <v>0</v>
      </c>
    </row>
    <row r="66" spans="1:18" ht="12.75" customHeight="1">
      <c r="A66" s="10" t="s">
        <v>306</v>
      </c>
      <c r="B66" s="11" t="s">
        <v>873</v>
      </c>
      <c r="C66" s="8">
        <v>519542544461</v>
      </c>
      <c r="D66" s="8">
        <v>519542544461</v>
      </c>
      <c r="E66" s="13">
        <f>(69250000+34871842+48866679+6802004+143175430)</f>
        <v>302965955</v>
      </c>
      <c r="F66" s="13">
        <f>69996475.91+34522271.12+880714.97+139798227.75+1741638</f>
        <v>246939327.75</v>
      </c>
      <c r="G66" s="13">
        <v>0</v>
      </c>
      <c r="H66" s="13">
        <v>0</v>
      </c>
      <c r="J66" s="12"/>
    </row>
    <row r="67" spans="1:18" ht="12.75" customHeight="1">
      <c r="A67" s="10" t="s">
        <v>308</v>
      </c>
      <c r="B67" s="11" t="s">
        <v>874</v>
      </c>
      <c r="C67" s="8">
        <v>468</v>
      </c>
      <c r="D67" s="8">
        <v>468</v>
      </c>
      <c r="E67" s="13">
        <v>0</v>
      </c>
      <c r="F67" s="13">
        <v>0</v>
      </c>
      <c r="G67" s="13">
        <v>0</v>
      </c>
      <c r="H67" s="13">
        <v>0</v>
      </c>
    </row>
    <row r="68" spans="1:18" ht="12.75" customHeight="1">
      <c r="A68" s="10" t="s">
        <v>318</v>
      </c>
      <c r="B68" s="11" t="s">
        <v>875</v>
      </c>
      <c r="C68" s="8"/>
      <c r="D68" s="8"/>
      <c r="E68" s="8">
        <v>0</v>
      </c>
      <c r="F68" s="8">
        <v>0</v>
      </c>
      <c r="G68" s="8">
        <v>0</v>
      </c>
      <c r="H68" s="8">
        <v>0</v>
      </c>
    </row>
    <row r="69" spans="1:18" ht="12.75" customHeight="1">
      <c r="A69" s="10"/>
      <c r="B69" s="7" t="s">
        <v>313</v>
      </c>
      <c r="C69" s="8"/>
      <c r="D69" s="8"/>
      <c r="E69" s="13">
        <f>E68+E67+E66</f>
        <v>302965955</v>
      </c>
      <c r="F69" s="13">
        <f>F68+F67+F66</f>
        <v>246939327.75</v>
      </c>
      <c r="G69" s="13">
        <f>G68+G67+G66</f>
        <v>0</v>
      </c>
      <c r="H69" s="13">
        <f>H68+H67+H66</f>
        <v>0</v>
      </c>
    </row>
    <row r="70" spans="1:18" ht="12.75" customHeight="1">
      <c r="A70" s="4">
        <v>3</v>
      </c>
      <c r="B70" s="7" t="s">
        <v>876</v>
      </c>
      <c r="C70" s="8"/>
      <c r="D70" s="8"/>
      <c r="E70" s="14">
        <f>E71+E72+E73+E74+E75+E76</f>
        <v>325682212.69999999</v>
      </c>
      <c r="F70" s="14">
        <f>F71+F72+F73+F74+F75+F76</f>
        <v>341734735.69999993</v>
      </c>
      <c r="G70" s="14">
        <f>G71+G72+G73+G74+G75+G76</f>
        <v>244079291.24000001</v>
      </c>
      <c r="H70" s="14">
        <f>H71+H72+H73+H74+H75+H76</f>
        <v>375037189</v>
      </c>
    </row>
    <row r="71" spans="1:18" ht="12.75" customHeight="1">
      <c r="A71" s="10" t="s">
        <v>306</v>
      </c>
      <c r="B71" s="16" t="s">
        <v>877</v>
      </c>
      <c r="C71" s="8">
        <v>401403404</v>
      </c>
      <c r="D71" s="8">
        <v>401403404</v>
      </c>
      <c r="E71" s="383">
        <v>250076365</v>
      </c>
      <c r="F71" s="383">
        <f>302748912.57-351074.29+1558321.43</f>
        <v>303956159.70999998</v>
      </c>
      <c r="G71" s="15">
        <v>183110886.44</v>
      </c>
      <c r="H71" s="13">
        <f>323716386-7377-317310</f>
        <v>323391699</v>
      </c>
    </row>
    <row r="72" spans="1:18" ht="12.75" customHeight="1">
      <c r="A72" s="10" t="s">
        <v>308</v>
      </c>
      <c r="B72" s="16" t="s">
        <v>878</v>
      </c>
      <c r="C72" s="8">
        <v>421423</v>
      </c>
      <c r="D72" s="8">
        <v>421</v>
      </c>
      <c r="E72" s="383">
        <v>12278161</v>
      </c>
      <c r="F72" s="383">
        <f>5687725.78+872000</f>
        <v>6559725.7800000003</v>
      </c>
      <c r="G72" s="15">
        <v>6434091</v>
      </c>
      <c r="H72" s="13">
        <f>3942367+1025965</f>
        <v>4968332</v>
      </c>
      <c r="O72" s="3" t="s">
        <v>1027</v>
      </c>
      <c r="P72" s="3" t="s">
        <v>1028</v>
      </c>
      <c r="Q72" s="3" t="s">
        <v>973</v>
      </c>
    </row>
    <row r="73" spans="1:18" ht="12.75" customHeight="1">
      <c r="A73" s="10" t="s">
        <v>318</v>
      </c>
      <c r="B73" s="16" t="s">
        <v>879</v>
      </c>
      <c r="C73" s="8" t="s">
        <v>880</v>
      </c>
      <c r="D73" s="8" t="s">
        <v>880</v>
      </c>
      <c r="E73" s="699">
        <f>2438757+5887429+2442514+28277781-76078+'te ardhura e shpenzime'!E31-521682</f>
        <v>43045084.700000003</v>
      </c>
      <c r="F73" s="383">
        <f>3183230-33693+3557037+11413823.01-441749+'te ardhura e shpenzime'!F31</f>
        <v>25691957.209999997</v>
      </c>
      <c r="G73" s="15">
        <f>6880241+2651447-5611+5793704.8+899328</f>
        <v>16219109.800000001</v>
      </c>
      <c r="H73" s="13">
        <f>1323328+469145-68805+415775468-409137182</f>
        <v>8361954</v>
      </c>
      <c r="J73" s="12"/>
      <c r="M73" s="29"/>
      <c r="O73" s="20">
        <f>1048038/0.1</f>
        <v>10480380</v>
      </c>
      <c r="P73" s="20">
        <f>510284/0.1</f>
        <v>5102840</v>
      </c>
      <c r="Q73" s="398">
        <f>P73+O73</f>
        <v>15583220</v>
      </c>
    </row>
    <row r="74" spans="1:18" ht="12.75" customHeight="1">
      <c r="A74" s="10" t="s">
        <v>320</v>
      </c>
      <c r="B74" s="16" t="s">
        <v>881</v>
      </c>
      <c r="C74" s="8" t="s">
        <v>882</v>
      </c>
      <c r="D74" s="8" t="s">
        <v>882</v>
      </c>
      <c r="E74" s="383">
        <f>2488025+44483627-30805352</f>
        <v>16166300</v>
      </c>
      <c r="F74" s="383"/>
      <c r="G74" s="15"/>
      <c r="H74" s="8">
        <v>0</v>
      </c>
    </row>
    <row r="75" spans="1:18" ht="12.75" customHeight="1">
      <c r="A75" s="10" t="s">
        <v>330</v>
      </c>
      <c r="B75" s="16" t="s">
        <v>883</v>
      </c>
      <c r="C75" s="8">
        <v>409</v>
      </c>
      <c r="D75" s="8">
        <v>409</v>
      </c>
      <c r="E75" s="383"/>
      <c r="F75" s="383">
        <v>1410591</v>
      </c>
      <c r="G75" s="15">
        <f>31215394+2983508</f>
        <v>34198902</v>
      </c>
      <c r="H75" s="23">
        <f>31215394+2983508</f>
        <v>34198902</v>
      </c>
      <c r="I75" s="12"/>
      <c r="K75" s="24"/>
      <c r="O75" s="25"/>
      <c r="Q75" s="26"/>
      <c r="R75" s="12"/>
    </row>
    <row r="76" spans="1:18" ht="12.75" customHeight="1">
      <c r="A76" s="10" t="s">
        <v>884</v>
      </c>
      <c r="B76" s="16" t="s">
        <v>885</v>
      </c>
      <c r="C76" s="8"/>
      <c r="D76" s="8"/>
      <c r="E76" s="383">
        <v>4116302</v>
      </c>
      <c r="F76" s="383">
        <f>4116302</f>
        <v>4116302</v>
      </c>
      <c r="G76" s="15">
        <f>4116302</f>
        <v>4116302</v>
      </c>
      <c r="H76" s="13">
        <f>4116302</f>
        <v>4116302</v>
      </c>
      <c r="K76" s="24"/>
      <c r="O76" s="25"/>
      <c r="Q76" s="26"/>
      <c r="R76" s="12"/>
    </row>
    <row r="77" spans="1:18" ht="12.75" customHeight="1">
      <c r="A77" s="10"/>
      <c r="B77" s="7" t="s">
        <v>322</v>
      </c>
      <c r="C77" s="8"/>
      <c r="D77" s="8">
        <v>466484488</v>
      </c>
      <c r="E77" s="14">
        <f>E75+E74+E73+E72+E71+E76</f>
        <v>325682212.69999999</v>
      </c>
      <c r="F77" s="14">
        <f>F75+F74+F73+F72+F71+F76</f>
        <v>341734735.69999999</v>
      </c>
      <c r="G77" s="14">
        <f>G75+G74+G73+G72+G71+G76</f>
        <v>244079291.24000001</v>
      </c>
      <c r="H77" s="14">
        <f>H75+H74+H73+H72+H71+H76</f>
        <v>375037189</v>
      </c>
      <c r="O77" s="20">
        <f>1048038</f>
        <v>1048038</v>
      </c>
      <c r="P77" s="20">
        <f>510284</f>
        <v>510284</v>
      </c>
      <c r="Q77" s="12"/>
      <c r="R77" s="12"/>
    </row>
    <row r="78" spans="1:18" ht="12.75" customHeight="1">
      <c r="A78" s="4">
        <v>4</v>
      </c>
      <c r="B78" s="7" t="s">
        <v>886</v>
      </c>
      <c r="C78" s="8">
        <v>466484488</v>
      </c>
      <c r="D78" s="8">
        <v>463</v>
      </c>
      <c r="E78" s="13"/>
      <c r="F78" s="13"/>
      <c r="G78" s="13"/>
      <c r="H78" s="13"/>
      <c r="K78" s="24"/>
      <c r="O78" s="25"/>
    </row>
    <row r="79" spans="1:18" ht="12.75" customHeight="1">
      <c r="A79" s="4">
        <v>5</v>
      </c>
      <c r="B79" s="7" t="s">
        <v>887</v>
      </c>
      <c r="C79" s="8">
        <v>463</v>
      </c>
      <c r="D79" s="8"/>
      <c r="E79" s="13"/>
      <c r="F79" s="13"/>
      <c r="G79" s="13"/>
      <c r="H79" s="13"/>
      <c r="K79" s="24"/>
      <c r="O79" s="25"/>
    </row>
    <row r="80" spans="1:18" ht="12.75" customHeight="1">
      <c r="A80" s="10"/>
      <c r="B80" s="7" t="s">
        <v>888</v>
      </c>
      <c r="C80" s="8"/>
      <c r="D80" s="8"/>
      <c r="E80" s="14">
        <f>E79+E78+E77+E69+E64</f>
        <v>628648167.70000005</v>
      </c>
      <c r="F80" s="14">
        <f>F79+F78+F77+F69+F64</f>
        <v>588674063.45000005</v>
      </c>
      <c r="G80" s="14">
        <f>G79+G78+G77+G69+G64</f>
        <v>244079291.24000001</v>
      </c>
      <c r="H80" s="14">
        <f>H79+H78+H77+H69+H64</f>
        <v>375037189</v>
      </c>
      <c r="O80" s="12"/>
    </row>
    <row r="81" spans="1:10" ht="12.75" customHeight="1">
      <c r="A81" s="10"/>
      <c r="B81" s="16"/>
      <c r="C81" s="8"/>
      <c r="D81" s="8"/>
      <c r="E81" s="8"/>
      <c r="F81" s="8"/>
      <c r="G81" s="8"/>
      <c r="H81" s="8"/>
    </row>
    <row r="82" spans="1:10" ht="12.75" customHeight="1">
      <c r="A82" s="22" t="s">
        <v>339</v>
      </c>
      <c r="B82" s="7" t="s">
        <v>889</v>
      </c>
      <c r="C82" s="8"/>
      <c r="D82" s="8"/>
      <c r="E82" s="14">
        <f>E83+E87+E88+E89</f>
        <v>275088513</v>
      </c>
      <c r="F82" s="14">
        <f>F83+F87+F88+F89</f>
        <v>353295788.51999998</v>
      </c>
      <c r="G82" s="14">
        <f>G83+G87+G88+G89</f>
        <v>621965484</v>
      </c>
      <c r="H82" s="14">
        <f>H83+H87+H88+H89</f>
        <v>262845812</v>
      </c>
    </row>
    <row r="83" spans="1:10" ht="12.75" customHeight="1">
      <c r="A83" s="4">
        <v>1</v>
      </c>
      <c r="B83" s="7" t="s">
        <v>890</v>
      </c>
      <c r="C83" s="8">
        <v>468460</v>
      </c>
      <c r="D83" s="8">
        <v>468460</v>
      </c>
      <c r="E83" s="13">
        <f>E84+E85</f>
        <v>275088513</v>
      </c>
      <c r="F83" s="13">
        <f>F84+F85</f>
        <v>353295788.51999998</v>
      </c>
      <c r="G83" s="13">
        <f>G84+G85</f>
        <v>621366897</v>
      </c>
      <c r="H83" s="13">
        <f>H84+H85</f>
        <v>262043166</v>
      </c>
    </row>
    <row r="84" spans="1:10" ht="12.75" customHeight="1">
      <c r="A84" s="10" t="s">
        <v>306</v>
      </c>
      <c r="B84" s="11" t="s">
        <v>891</v>
      </c>
      <c r="C84" s="8">
        <v>163</v>
      </c>
      <c r="D84" s="8"/>
      <c r="E84" s="8">
        <f>77522338+197566175</f>
        <v>275088513</v>
      </c>
      <c r="F84" s="8">
        <f>145545788.52+207750000</f>
        <v>353295788.51999998</v>
      </c>
      <c r="G84" s="8">
        <f>169607852+207750000+34766580+139786617+69455848</f>
        <v>621366897</v>
      </c>
      <c r="H84" s="8">
        <f>188254532+73788634</f>
        <v>262043166</v>
      </c>
      <c r="J84" s="12"/>
    </row>
    <row r="85" spans="1:10" ht="12.75" customHeight="1">
      <c r="A85" s="10" t="s">
        <v>308</v>
      </c>
      <c r="B85" s="11" t="s">
        <v>892</v>
      </c>
      <c r="C85" s="8"/>
      <c r="D85" s="8"/>
      <c r="E85" s="8">
        <v>0</v>
      </c>
      <c r="F85" s="8">
        <v>0</v>
      </c>
      <c r="G85" s="8">
        <v>0</v>
      </c>
      <c r="H85" s="8">
        <v>0</v>
      </c>
    </row>
    <row r="86" spans="1:10" ht="12.75" customHeight="1">
      <c r="A86" s="10"/>
      <c r="B86" s="7" t="s">
        <v>346</v>
      </c>
      <c r="C86" s="8"/>
      <c r="D86" s="8"/>
      <c r="E86" s="14">
        <f>E85+E84</f>
        <v>275088513</v>
      </c>
      <c r="F86" s="14">
        <f>F85+F84</f>
        <v>353295788.51999998</v>
      </c>
      <c r="G86" s="14">
        <f>G85+G84</f>
        <v>621366897</v>
      </c>
      <c r="H86" s="14">
        <f>H85+H84</f>
        <v>262043166</v>
      </c>
    </row>
    <row r="87" spans="1:10" ht="12.75" customHeight="1">
      <c r="A87" s="4">
        <v>2</v>
      </c>
      <c r="B87" s="7" t="s">
        <v>893</v>
      </c>
      <c r="C87" s="8" t="s">
        <v>894</v>
      </c>
      <c r="D87" s="8" t="s">
        <v>894</v>
      </c>
      <c r="E87" s="13">
        <v>0</v>
      </c>
      <c r="F87" s="13">
        <v>0</v>
      </c>
      <c r="G87" s="13">
        <v>0</v>
      </c>
      <c r="H87" s="13">
        <v>0</v>
      </c>
    </row>
    <row r="88" spans="1:10" ht="12.75" customHeight="1">
      <c r="A88" s="4">
        <v>3</v>
      </c>
      <c r="B88" s="7" t="s">
        <v>895</v>
      </c>
      <c r="C88" s="8">
        <v>463</v>
      </c>
      <c r="D88" s="8">
        <v>463</v>
      </c>
      <c r="E88" s="13"/>
      <c r="F88" s="13"/>
      <c r="G88" s="13"/>
      <c r="H88" s="13"/>
    </row>
    <row r="89" spans="1:10" ht="12.75" customHeight="1">
      <c r="A89" s="4">
        <v>4</v>
      </c>
      <c r="B89" s="7" t="s">
        <v>886</v>
      </c>
      <c r="C89" s="8">
        <v>466</v>
      </c>
      <c r="D89" s="8">
        <v>466</v>
      </c>
      <c r="E89" s="13">
        <v>0</v>
      </c>
      <c r="F89" s="13">
        <v>0</v>
      </c>
      <c r="G89" s="13">
        <f>598587</f>
        <v>598587</v>
      </c>
      <c r="H89" s="13">
        <v>802646</v>
      </c>
    </row>
    <row r="90" spans="1:10" ht="12.75" customHeight="1">
      <c r="A90" s="10"/>
      <c r="B90" s="7" t="s">
        <v>896</v>
      </c>
      <c r="C90" s="8"/>
      <c r="D90" s="8"/>
      <c r="E90" s="14">
        <f>E89+E88+E87+E86</f>
        <v>275088513</v>
      </c>
      <c r="F90" s="14">
        <f>F89+F88+F87+F86</f>
        <v>353295788.51999998</v>
      </c>
      <c r="G90" s="14">
        <f>G89+G88+G87+G86</f>
        <v>621965484</v>
      </c>
      <c r="H90" s="14">
        <f>H89+H88+H87+H86</f>
        <v>262845812</v>
      </c>
    </row>
    <row r="91" spans="1:10" ht="12.75" customHeight="1">
      <c r="A91" s="10"/>
      <c r="B91" s="7" t="s">
        <v>897</v>
      </c>
      <c r="C91" s="8"/>
      <c r="D91" s="8"/>
      <c r="E91" s="14">
        <f>E90+E80</f>
        <v>903736680.70000005</v>
      </c>
      <c r="F91" s="14">
        <f>F90+F80</f>
        <v>941969851.97000003</v>
      </c>
      <c r="G91" s="14">
        <f>G90+G80</f>
        <v>866044775.24000001</v>
      </c>
      <c r="H91" s="14">
        <f>H90+H80</f>
        <v>637883001</v>
      </c>
    </row>
    <row r="92" spans="1:10" ht="12.75" customHeight="1">
      <c r="A92" s="10"/>
      <c r="B92" s="11"/>
      <c r="C92" s="8"/>
      <c r="D92" s="8"/>
      <c r="E92" s="13"/>
      <c r="F92" s="13"/>
      <c r="G92" s="13"/>
      <c r="H92" s="13"/>
    </row>
    <row r="93" spans="1:10" ht="12.75" customHeight="1">
      <c r="A93" s="22" t="s">
        <v>898</v>
      </c>
      <c r="B93" s="7" t="s">
        <v>899</v>
      </c>
      <c r="C93" s="8"/>
      <c r="D93" s="8"/>
      <c r="E93" s="9">
        <f>E94+E95+E96+E97+E98+E99+E100+E101+E102+E103</f>
        <v>450097508.30000001</v>
      </c>
      <c r="F93" s="9">
        <f>F94+F95+F96+F97+F98+F99+F100+F101+F102+F103</f>
        <v>448879769.79000002</v>
      </c>
      <c r="G93" s="9">
        <f>G94+G95+G96+G97+G98+G99+G100+G101+G102+G103</f>
        <v>408977762.16899991</v>
      </c>
      <c r="H93" s="9">
        <f>H94+H95+H96+H97+H98+H99+H100+H101+H102+H103</f>
        <v>359279146</v>
      </c>
    </row>
    <row r="94" spans="1:10" ht="27" customHeight="1">
      <c r="A94" s="4">
        <v>1</v>
      </c>
      <c r="B94" s="27" t="s">
        <v>900</v>
      </c>
      <c r="C94" s="8"/>
      <c r="D94" s="8"/>
      <c r="E94" s="13"/>
      <c r="F94" s="13"/>
      <c r="G94" s="13"/>
      <c r="H94" s="13"/>
    </row>
    <row r="95" spans="1:10" ht="28.5" customHeight="1">
      <c r="A95" s="4">
        <v>2</v>
      </c>
      <c r="B95" s="28" t="s">
        <v>901</v>
      </c>
      <c r="C95" s="8"/>
      <c r="D95" s="8"/>
      <c r="E95" s="13"/>
      <c r="F95" s="13"/>
      <c r="G95" s="13"/>
      <c r="H95" s="13"/>
    </row>
    <row r="96" spans="1:10" ht="12.75" customHeight="1">
      <c r="A96" s="4">
        <v>3</v>
      </c>
      <c r="B96" s="11" t="s">
        <v>902</v>
      </c>
      <c r="C96" s="8">
        <v>101102</v>
      </c>
      <c r="D96" s="8">
        <v>101102</v>
      </c>
      <c r="E96" s="13">
        <v>171500000</v>
      </c>
      <c r="F96" s="13">
        <v>171500000</v>
      </c>
      <c r="G96" s="13">
        <v>171500000</v>
      </c>
      <c r="H96" s="13">
        <v>171500000</v>
      </c>
    </row>
    <row r="97" spans="1:10" ht="12.75" customHeight="1">
      <c r="A97" s="4">
        <v>4</v>
      </c>
      <c r="B97" s="11" t="s">
        <v>903</v>
      </c>
      <c r="C97" s="8">
        <v>104105</v>
      </c>
      <c r="D97" s="8">
        <v>104105</v>
      </c>
      <c r="E97" s="13"/>
      <c r="F97" s="13"/>
      <c r="G97" s="13"/>
      <c r="H97" s="13"/>
    </row>
    <row r="98" spans="1:10" ht="12.75" customHeight="1">
      <c r="A98" s="4">
        <v>5</v>
      </c>
      <c r="B98" s="11" t="s">
        <v>904</v>
      </c>
      <c r="C98" s="8">
        <v>103</v>
      </c>
      <c r="D98" s="8">
        <v>103</v>
      </c>
      <c r="E98" s="13"/>
      <c r="F98" s="13"/>
      <c r="G98" s="13"/>
      <c r="H98" s="13"/>
    </row>
    <row r="99" spans="1:10" ht="12.75" customHeight="1">
      <c r="A99" s="4">
        <v>6</v>
      </c>
      <c r="B99" s="11" t="s">
        <v>905</v>
      </c>
      <c r="C99" s="8">
        <v>107</v>
      </c>
      <c r="D99" s="8">
        <v>107</v>
      </c>
      <c r="E99" s="13"/>
      <c r="F99" s="13"/>
      <c r="G99" s="13"/>
      <c r="H99" s="13"/>
    </row>
    <row r="100" spans="1:10" ht="12.75" customHeight="1">
      <c r="A100" s="4">
        <v>7</v>
      </c>
      <c r="B100" s="11" t="s">
        <v>906</v>
      </c>
      <c r="C100" s="8">
        <v>107</v>
      </c>
      <c r="D100" s="8">
        <v>107</v>
      </c>
      <c r="E100" s="23">
        <v>23579566</v>
      </c>
      <c r="F100" s="23">
        <v>21584466.600000001</v>
      </c>
      <c r="G100" s="13">
        <f>21584467</f>
        <v>21584467</v>
      </c>
      <c r="H100" s="13">
        <f>21584467</f>
        <v>21584467</v>
      </c>
      <c r="I100" s="12"/>
    </row>
    <row r="101" spans="1:10" ht="12.75" customHeight="1">
      <c r="A101" s="4">
        <v>8</v>
      </c>
      <c r="B101" s="11" t="s">
        <v>907</v>
      </c>
      <c r="C101" s="8">
        <v>106</v>
      </c>
      <c r="D101" s="8">
        <v>106</v>
      </c>
      <c r="E101" s="23">
        <v>253800203</v>
      </c>
      <c r="F101" s="23">
        <v>215893295.02000001</v>
      </c>
      <c r="G101" s="13">
        <f>166194681</f>
        <v>166194681</v>
      </c>
      <c r="H101" s="13">
        <f>129630447</f>
        <v>129630447</v>
      </c>
      <c r="I101" s="12"/>
    </row>
    <row r="102" spans="1:10" ht="12.75" customHeight="1">
      <c r="A102" s="4">
        <v>9</v>
      </c>
      <c r="B102" s="11" t="s">
        <v>908</v>
      </c>
      <c r="C102" s="8">
        <v>108</v>
      </c>
      <c r="D102" s="8">
        <v>108</v>
      </c>
      <c r="E102" s="13"/>
      <c r="F102" s="23"/>
      <c r="G102" s="13"/>
      <c r="H102" s="13"/>
      <c r="I102" s="12"/>
    </row>
    <row r="103" spans="1:10" ht="12.75" customHeight="1">
      <c r="A103" s="4">
        <v>10</v>
      </c>
      <c r="B103" s="11" t="s">
        <v>909</v>
      </c>
      <c r="C103" s="8">
        <v>109</v>
      </c>
      <c r="D103" s="8">
        <v>109</v>
      </c>
      <c r="E103" s="13">
        <f>'te ardhura e shpenzime'!E32</f>
        <v>1217739.2999999998</v>
      </c>
      <c r="F103" s="23">
        <f>'te ardhura e shpenzime'!F32</f>
        <v>39902008.169999994</v>
      </c>
      <c r="G103" s="13">
        <f>'te ardhura e shpenzime'!G32</f>
        <v>49698614.168999881</v>
      </c>
      <c r="H103" s="13">
        <v>36564232</v>
      </c>
      <c r="I103" s="12"/>
      <c r="J103" s="12"/>
    </row>
    <row r="104" spans="1:10" ht="12.75" customHeight="1">
      <c r="A104" s="10"/>
      <c r="B104" s="7" t="s">
        <v>910</v>
      </c>
      <c r="C104" s="8"/>
      <c r="D104" s="8"/>
      <c r="E104" s="13">
        <f>E103+E102+E101+E100+E99+E98+E97+E96+E95+E94</f>
        <v>450097508.30000001</v>
      </c>
      <c r="F104" s="13">
        <f>F103+F102+F101+F100+F99+F98+F97+F96+F95+F94</f>
        <v>448879769.79000002</v>
      </c>
      <c r="G104" s="13">
        <f>G103+G102+G101+G100+G99+G98+G97+G96+G95+G94</f>
        <v>408977762.16899991</v>
      </c>
      <c r="H104" s="13">
        <f>H103+H102+H101+H100+H99+H98+H97+H96+H95+H94</f>
        <v>359279146</v>
      </c>
    </row>
    <row r="105" spans="1:10" ht="12.75" customHeight="1">
      <c r="A105" s="10"/>
      <c r="B105" s="11"/>
      <c r="C105" s="8"/>
      <c r="D105" s="8"/>
      <c r="E105" s="13"/>
      <c r="F105" s="13"/>
      <c r="G105" s="13"/>
      <c r="H105" s="13"/>
    </row>
    <row r="106" spans="1:10" ht="12.75" customHeight="1">
      <c r="A106" s="10"/>
      <c r="B106" s="7" t="s">
        <v>911</v>
      </c>
      <c r="C106" s="8"/>
      <c r="D106" s="8"/>
      <c r="E106" s="14">
        <f>E104+E82+E80</f>
        <v>1353834189</v>
      </c>
      <c r="F106" s="14">
        <f>F104+F82+F80</f>
        <v>1390849621.76</v>
      </c>
      <c r="G106" s="14">
        <f>G104+G82+G80</f>
        <v>1275022537.4089999</v>
      </c>
      <c r="H106" s="14">
        <f>H104+H82+H80</f>
        <v>997162147</v>
      </c>
    </row>
    <row r="107" spans="1:10" ht="12.75" customHeight="1">
      <c r="A107" s="10"/>
      <c r="B107" s="11"/>
      <c r="C107" s="8"/>
      <c r="D107" s="8"/>
      <c r="E107" s="13"/>
      <c r="F107" s="13"/>
      <c r="G107" s="13"/>
      <c r="H107" s="13"/>
    </row>
    <row r="108" spans="1:10" ht="12.75" customHeight="1">
      <c r="C108" s="21"/>
      <c r="D108" s="21"/>
      <c r="E108" s="29">
        <f>E106-E54</f>
        <v>0</v>
      </c>
      <c r="F108" s="29">
        <f>F106-F54</f>
        <v>1.9999980926513672E-2</v>
      </c>
      <c r="G108" s="29">
        <f>G106-G54</f>
        <v>0.29900002479553223</v>
      </c>
      <c r="H108" s="12">
        <f>H106-H54</f>
        <v>0</v>
      </c>
    </row>
    <row r="109" spans="1:10" ht="12.75" customHeight="1">
      <c r="C109" s="30"/>
      <c r="D109" s="30"/>
      <c r="E109" s="30"/>
    </row>
    <row r="110" spans="1:10" ht="12.75" customHeight="1">
      <c r="C110" s="21"/>
      <c r="D110" s="21"/>
      <c r="E110" s="21"/>
    </row>
    <row r="111" spans="1:10" ht="12.75" customHeight="1">
      <c r="C111" s="21"/>
      <c r="D111" s="21"/>
      <c r="E111" s="21"/>
    </row>
    <row r="112" spans="1:10" ht="12.75" customHeight="1">
      <c r="C112" s="21"/>
      <c r="D112" s="21"/>
      <c r="E112" s="21"/>
    </row>
    <row r="113" spans="3:5" ht="12.75" customHeight="1">
      <c r="C113" s="21"/>
      <c r="D113" s="21"/>
      <c r="E113" s="21"/>
    </row>
    <row r="114" spans="3:5" ht="12.75" customHeight="1">
      <c r="C114" s="30"/>
      <c r="D114" s="30"/>
      <c r="E114" s="30"/>
    </row>
    <row r="115" spans="3:5" ht="12.75" customHeight="1">
      <c r="C115" s="21"/>
      <c r="D115" s="21"/>
      <c r="E115" s="21"/>
    </row>
    <row r="116" spans="3:5" ht="12.75" customHeight="1">
      <c r="C116" s="21"/>
      <c r="D116" s="21"/>
      <c r="E116" s="21"/>
    </row>
    <row r="117" spans="3:5" ht="12.75" customHeight="1">
      <c r="C117" s="21"/>
      <c r="D117" s="21"/>
      <c r="E117" s="21"/>
    </row>
    <row r="118" spans="3:5" ht="12.75" customHeight="1">
      <c r="C118" s="21"/>
      <c r="D118" s="21"/>
      <c r="E118" s="21"/>
    </row>
    <row r="119" spans="3:5" ht="12.75" customHeight="1">
      <c r="C119" s="21"/>
      <c r="D119" s="21"/>
      <c r="E119" s="21"/>
    </row>
    <row r="120" spans="3:5" ht="12.75" customHeight="1">
      <c r="C120" s="21"/>
      <c r="D120" s="21"/>
      <c r="E120" s="21"/>
    </row>
    <row r="121" spans="3:5" ht="12.75" customHeight="1">
      <c r="C121" s="21"/>
      <c r="D121" s="21"/>
      <c r="E121" s="21"/>
    </row>
    <row r="122" spans="3:5" ht="12.75" customHeight="1">
      <c r="C122" s="21"/>
      <c r="D122" s="21"/>
      <c r="E122" s="21"/>
    </row>
    <row r="123" spans="3:5" ht="12.75" customHeight="1">
      <c r="C123" s="21"/>
      <c r="D123" s="21"/>
      <c r="E123" s="21"/>
    </row>
    <row r="124" spans="3:5">
      <c r="C124" s="21"/>
      <c r="D124" s="21"/>
      <c r="E124" s="21"/>
    </row>
    <row r="125" spans="3:5">
      <c r="C125" s="21"/>
      <c r="D125" s="21"/>
      <c r="E125" s="21"/>
    </row>
    <row r="126" spans="3:5">
      <c r="C126" s="21"/>
      <c r="D126" s="21"/>
      <c r="E126" s="21"/>
    </row>
    <row r="127" spans="3:5">
      <c r="C127" s="21"/>
      <c r="D127" s="21"/>
      <c r="E127" s="21"/>
    </row>
    <row r="128" spans="3:5">
      <c r="C128" s="21"/>
      <c r="D128" s="21"/>
      <c r="E128" s="21"/>
    </row>
    <row r="129" spans="3:5">
      <c r="C129" s="21"/>
      <c r="D129" s="21"/>
      <c r="E129" s="21"/>
    </row>
    <row r="130" spans="3:5">
      <c r="C130" s="21"/>
      <c r="D130" s="21"/>
      <c r="E130" s="21"/>
    </row>
    <row r="131" spans="3:5">
      <c r="C131" s="21"/>
      <c r="D131" s="21"/>
      <c r="E131" s="21"/>
    </row>
    <row r="132" spans="3:5">
      <c r="C132" s="21"/>
      <c r="D132" s="21"/>
      <c r="E132" s="21"/>
    </row>
    <row r="133" spans="3:5">
      <c r="C133" s="21"/>
      <c r="D133" s="21"/>
      <c r="E133" s="21"/>
    </row>
    <row r="134" spans="3:5">
      <c r="C134" s="21"/>
      <c r="D134" s="21"/>
      <c r="E134" s="21"/>
    </row>
    <row r="135" spans="3:5">
      <c r="C135" s="21"/>
      <c r="D135" s="21"/>
      <c r="E135" s="21"/>
    </row>
    <row r="136" spans="3:5">
      <c r="C136" s="21"/>
      <c r="D136" s="21"/>
      <c r="E136" s="21"/>
    </row>
    <row r="137" spans="3:5">
      <c r="C137" s="21"/>
      <c r="D137" s="21"/>
      <c r="E137" s="21"/>
    </row>
    <row r="138" spans="3:5">
      <c r="C138" s="21"/>
      <c r="D138" s="21"/>
      <c r="E138" s="21"/>
    </row>
    <row r="139" spans="3:5">
      <c r="C139" s="21"/>
      <c r="D139" s="21"/>
      <c r="E139" s="21"/>
    </row>
    <row r="140" spans="3:5">
      <c r="C140" s="21"/>
      <c r="D140" s="21"/>
      <c r="E140" s="21"/>
    </row>
    <row r="141" spans="3:5">
      <c r="C141" s="21"/>
      <c r="D141" s="21"/>
      <c r="E141" s="21"/>
    </row>
    <row r="142" spans="3:5">
      <c r="C142" s="21"/>
      <c r="D142" s="21"/>
      <c r="E142" s="21"/>
    </row>
    <row r="143" spans="3:5">
      <c r="C143" s="21"/>
      <c r="D143" s="21"/>
      <c r="E143" s="21"/>
    </row>
    <row r="144" spans="3:5">
      <c r="C144" s="21"/>
      <c r="D144" s="21"/>
      <c r="E144" s="21"/>
    </row>
    <row r="145" spans="3:5">
      <c r="C145" s="21"/>
      <c r="D145" s="21"/>
      <c r="E145" s="21"/>
    </row>
    <row r="146" spans="3:5">
      <c r="C146" s="21"/>
      <c r="D146" s="21"/>
      <c r="E146" s="21"/>
    </row>
    <row r="147" spans="3:5">
      <c r="C147" s="21"/>
      <c r="D147" s="21"/>
      <c r="E147" s="21"/>
    </row>
    <row r="148" spans="3:5">
      <c r="C148" s="21"/>
      <c r="D148" s="21"/>
      <c r="E148" s="21"/>
    </row>
    <row r="149" spans="3:5">
      <c r="C149" s="21"/>
      <c r="D149" s="21"/>
      <c r="E149" s="21"/>
    </row>
    <row r="150" spans="3:5">
      <c r="C150" s="21"/>
      <c r="D150" s="21"/>
      <c r="E150" s="21"/>
    </row>
    <row r="151" spans="3:5">
      <c r="C151" s="21"/>
      <c r="D151" s="21"/>
      <c r="E151" s="21"/>
    </row>
    <row r="152" spans="3:5">
      <c r="C152" s="21"/>
      <c r="D152" s="21"/>
      <c r="E152" s="21"/>
    </row>
    <row r="153" spans="3:5">
      <c r="C153" s="21"/>
      <c r="D153" s="21"/>
      <c r="E153" s="21"/>
    </row>
    <row r="154" spans="3:5">
      <c r="C154" s="21"/>
      <c r="D154" s="21"/>
      <c r="E154" s="21"/>
    </row>
    <row r="155" spans="3:5">
      <c r="C155" s="21"/>
      <c r="D155" s="21"/>
      <c r="E155" s="21"/>
    </row>
    <row r="156" spans="3:5">
      <c r="C156" s="21"/>
      <c r="D156" s="21"/>
      <c r="E156" s="21"/>
    </row>
    <row r="157" spans="3:5">
      <c r="C157" s="21"/>
      <c r="D157" s="21"/>
      <c r="E157" s="21"/>
    </row>
    <row r="158" spans="3:5">
      <c r="C158" s="21"/>
      <c r="D158" s="21"/>
      <c r="E158" s="21"/>
    </row>
    <row r="159" spans="3:5">
      <c r="C159" s="21"/>
      <c r="D159" s="21"/>
      <c r="E159" s="21"/>
    </row>
    <row r="160" spans="3:5">
      <c r="C160" s="21"/>
      <c r="D160" s="21"/>
      <c r="E160" s="21"/>
    </row>
    <row r="161" spans="3:5">
      <c r="C161" s="21"/>
      <c r="D161" s="21"/>
      <c r="E161" s="21"/>
    </row>
    <row r="162" spans="3:5">
      <c r="C162" s="21"/>
      <c r="D162" s="21"/>
      <c r="E162" s="21"/>
    </row>
    <row r="163" spans="3:5">
      <c r="C163" s="21"/>
      <c r="D163" s="21"/>
      <c r="E163" s="21"/>
    </row>
    <row r="164" spans="3:5">
      <c r="C164" s="21"/>
      <c r="D164" s="21"/>
      <c r="E164" s="21"/>
    </row>
    <row r="165" spans="3:5">
      <c r="C165" s="21"/>
      <c r="D165" s="21"/>
      <c r="E165" s="21"/>
    </row>
    <row r="166" spans="3:5">
      <c r="C166" s="21"/>
      <c r="D166" s="21"/>
      <c r="E166" s="21"/>
    </row>
    <row r="167" spans="3:5">
      <c r="C167" s="21"/>
      <c r="D167" s="21"/>
      <c r="E167" s="21"/>
    </row>
    <row r="168" spans="3:5">
      <c r="C168" s="21"/>
      <c r="D168" s="21"/>
      <c r="E168" s="21"/>
    </row>
    <row r="169" spans="3:5">
      <c r="C169" s="21"/>
      <c r="D169" s="21"/>
      <c r="E169" s="21"/>
    </row>
    <row r="170" spans="3:5">
      <c r="C170" s="21"/>
      <c r="D170" s="21"/>
      <c r="E170" s="21"/>
    </row>
    <row r="171" spans="3:5">
      <c r="C171" s="21"/>
      <c r="D171" s="21"/>
      <c r="E171" s="21"/>
    </row>
    <row r="172" spans="3:5">
      <c r="C172" s="21"/>
      <c r="D172" s="21"/>
      <c r="E172" s="21"/>
    </row>
    <row r="173" spans="3:5">
      <c r="C173" s="21"/>
      <c r="D173" s="21"/>
      <c r="E173" s="21"/>
    </row>
    <row r="174" spans="3:5">
      <c r="C174" s="21"/>
      <c r="D174" s="21"/>
      <c r="E174" s="21"/>
    </row>
    <row r="175" spans="3:5">
      <c r="C175" s="21"/>
      <c r="D175" s="21"/>
      <c r="E175" s="21"/>
    </row>
    <row r="176" spans="3:5">
      <c r="C176" s="21"/>
      <c r="D176" s="21"/>
      <c r="E176" s="21"/>
    </row>
    <row r="177" spans="3:5">
      <c r="C177" s="21"/>
      <c r="D177" s="21"/>
      <c r="E177" s="21"/>
    </row>
    <row r="178" spans="3:5">
      <c r="C178" s="21"/>
      <c r="D178" s="21"/>
      <c r="E178" s="21"/>
    </row>
    <row r="179" spans="3:5">
      <c r="C179" s="21"/>
      <c r="D179" s="21"/>
      <c r="E179" s="21"/>
    </row>
    <row r="180" spans="3:5">
      <c r="C180" s="21"/>
      <c r="D180" s="21"/>
      <c r="E180" s="21"/>
    </row>
    <row r="181" spans="3:5">
      <c r="C181" s="21"/>
      <c r="D181" s="21"/>
      <c r="E181" s="21"/>
    </row>
    <row r="182" spans="3:5">
      <c r="C182" s="21"/>
      <c r="D182" s="21"/>
      <c r="E182" s="21"/>
    </row>
  </sheetData>
  <mergeCells count="8">
    <mergeCell ref="A61:B61"/>
    <mergeCell ref="A62:B62"/>
    <mergeCell ref="A1:B1"/>
    <mergeCell ref="A3:G3"/>
    <mergeCell ref="A5:B5"/>
    <mergeCell ref="A56:B56"/>
    <mergeCell ref="A58:B58"/>
    <mergeCell ref="A60:G60"/>
  </mergeCells>
  <phoneticPr fontId="0" type="noConversion"/>
  <pageMargins left="0.5" right="0.61" top="0.51" bottom="1.28" header="0.3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M43"/>
  <sheetViews>
    <sheetView topLeftCell="A20" zoomScaleNormal="100" workbookViewId="0">
      <selection activeCell="K34" sqref="K34"/>
    </sheetView>
  </sheetViews>
  <sheetFormatPr defaultRowHeight="12.75"/>
  <cols>
    <col min="1" max="1" width="5.42578125" style="31" customWidth="1"/>
    <col min="2" max="2" width="47" style="31" customWidth="1"/>
    <col min="3" max="3" width="12.85546875" style="31" customWidth="1"/>
    <col min="4" max="4" width="12.85546875" style="31" hidden="1" customWidth="1"/>
    <col min="5" max="5" width="12.85546875" style="31" customWidth="1"/>
    <col min="6" max="6" width="12.42578125" style="58" customWidth="1"/>
    <col min="7" max="7" width="12.42578125" style="58" hidden="1" customWidth="1"/>
    <col min="8" max="8" width="15.5703125" style="31" hidden="1" customWidth="1"/>
    <col min="9" max="9" width="12" style="31" customWidth="1"/>
    <col min="10" max="10" width="15.85546875" style="31" customWidth="1"/>
    <col min="11" max="11" width="15.5703125" style="31" customWidth="1"/>
    <col min="12" max="12" width="12.85546875" style="382" bestFit="1" customWidth="1"/>
    <col min="13" max="13" width="12" style="382" bestFit="1" customWidth="1"/>
    <col min="14" max="16384" width="9.140625" style="31"/>
  </cols>
  <sheetData>
    <row r="1" spans="1:12">
      <c r="A1" s="750" t="s">
        <v>912</v>
      </c>
      <c r="B1" s="750"/>
      <c r="C1" s="750"/>
      <c r="D1" s="750"/>
      <c r="E1" s="750"/>
      <c r="F1" s="750"/>
      <c r="G1" s="750"/>
      <c r="H1" s="750"/>
    </row>
    <row r="2" spans="1:12" ht="12.75" customHeight="1">
      <c r="A2" s="748" t="s">
        <v>1162</v>
      </c>
      <c r="B2" s="748"/>
      <c r="C2" s="748"/>
      <c r="D2" s="748"/>
      <c r="E2" s="748"/>
      <c r="F2" s="748"/>
      <c r="G2" s="748"/>
      <c r="H2" s="748"/>
    </row>
    <row r="3" spans="1:12" ht="12.75" customHeight="1">
      <c r="A3" s="2"/>
      <c r="B3" s="2"/>
      <c r="C3" s="2"/>
      <c r="D3" s="2"/>
      <c r="E3" s="2"/>
      <c r="F3" s="32"/>
      <c r="G3" s="32"/>
      <c r="H3" s="2"/>
    </row>
    <row r="4" spans="1:12" ht="25.5" customHeight="1">
      <c r="A4" s="33"/>
      <c r="B4" s="34" t="s">
        <v>913</v>
      </c>
      <c r="C4" s="35" t="s">
        <v>914</v>
      </c>
      <c r="D4" s="35"/>
      <c r="E4" s="36" t="s">
        <v>1163</v>
      </c>
      <c r="F4" s="36" t="s">
        <v>86</v>
      </c>
      <c r="G4" s="36" t="s">
        <v>957</v>
      </c>
      <c r="H4" s="35" t="s">
        <v>915</v>
      </c>
    </row>
    <row r="5" spans="1:12" ht="12.75" customHeight="1">
      <c r="A5" s="11"/>
      <c r="B5" s="11"/>
      <c r="C5" s="8"/>
      <c r="D5" s="8"/>
      <c r="E5" s="37"/>
      <c r="F5" s="37"/>
      <c r="G5" s="37"/>
      <c r="H5" s="38"/>
      <c r="I5" s="466"/>
      <c r="J5" s="466"/>
      <c r="K5" s="466"/>
      <c r="L5" s="469"/>
    </row>
    <row r="6" spans="1:12" ht="20.100000000000001" customHeight="1">
      <c r="A6" s="7">
        <v>1</v>
      </c>
      <c r="B6" s="11" t="s">
        <v>916</v>
      </c>
      <c r="C6" s="8" t="s">
        <v>917</v>
      </c>
      <c r="D6" s="8" t="s">
        <v>917</v>
      </c>
      <c r="E6" s="383">
        <f>1043745+166402+205666+41095+4161277+4056886+33705380+2314544+374531+22440+505431234</f>
        <v>551523200</v>
      </c>
      <c r="F6" s="383">
        <f>22584+4604600+19418100+372344+5748196.54+950000+37636259.49+59071091+36398123.67+126494.76+130274+12109142+4051238.29</f>
        <v>180638447.74999997</v>
      </c>
      <c r="G6" s="15">
        <f>289140+124800+8239370+32184570+6021120+375000+267330+1281413.4+570341.05+402000+9225921+6542060+305001.37+3990000+2964000+244000+4394884+241000</f>
        <v>77661950.819999993</v>
      </c>
      <c r="H6" s="8">
        <f>406186+417534+11970803+39831440+40229000+15204927+3234794+100214+1671975+6564127+1688300+19474482+2550229+2918930+1125000</f>
        <v>147387941</v>
      </c>
      <c r="I6" s="466"/>
      <c r="J6" s="466"/>
      <c r="K6" s="466"/>
      <c r="L6" s="469"/>
    </row>
    <row r="7" spans="1:12" ht="20.100000000000001" customHeight="1">
      <c r="A7" s="7">
        <v>2</v>
      </c>
      <c r="B7" s="11" t="s">
        <v>918</v>
      </c>
      <c r="C7" s="8" t="s">
        <v>919</v>
      </c>
      <c r="D7" s="8" t="s">
        <v>919</v>
      </c>
      <c r="E7" s="383">
        <f>600967+798700+25712+9632052+1745810</f>
        <v>12803241</v>
      </c>
      <c r="F7" s="383">
        <f>488271688.05+9424564.25</f>
        <v>497696252.30000001</v>
      </c>
      <c r="G7" s="15">
        <f>561394582+10015642.5+9461908.67+0.4</f>
        <v>580872133.56999993</v>
      </c>
      <c r="H7" s="8">
        <f>655578890+27794407+130770+1208334+83424395+46537</f>
        <v>768183333</v>
      </c>
      <c r="I7" s="466"/>
      <c r="J7" s="466"/>
      <c r="K7" s="466"/>
      <c r="L7" s="469"/>
    </row>
    <row r="8" spans="1:12" ht="20.100000000000001" customHeight="1">
      <c r="A8" s="7">
        <v>3</v>
      </c>
      <c r="B8" s="11" t="s">
        <v>920</v>
      </c>
      <c r="C8" s="8"/>
      <c r="D8" s="39">
        <v>71</v>
      </c>
      <c r="E8" s="383">
        <v>0</v>
      </c>
      <c r="F8" s="383">
        <v>0</v>
      </c>
      <c r="G8" s="15">
        <f>74475976</f>
        <v>74475976</v>
      </c>
      <c r="H8" s="8">
        <f>5418531+41780941</f>
        <v>47199472</v>
      </c>
      <c r="I8" s="466"/>
      <c r="J8" s="466"/>
      <c r="K8" s="466"/>
      <c r="L8" s="469"/>
    </row>
    <row r="9" spans="1:12" ht="28.5" customHeight="1">
      <c r="A9" s="7">
        <v>4</v>
      </c>
      <c r="B9" s="28" t="s">
        <v>921</v>
      </c>
      <c r="C9" s="39">
        <v>71</v>
      </c>
      <c r="D9" s="39"/>
      <c r="E9" s="383">
        <v>-27039253</v>
      </c>
      <c r="F9" s="383">
        <v>-4018653</v>
      </c>
      <c r="G9" s="15">
        <v>-19887304</v>
      </c>
      <c r="H9" s="38">
        <f>42946418+27214+32290</f>
        <v>43005922</v>
      </c>
      <c r="I9" s="466"/>
      <c r="J9" s="466"/>
      <c r="K9" s="466"/>
      <c r="L9" s="469"/>
    </row>
    <row r="10" spans="1:12" ht="28.5" customHeight="1">
      <c r="A10" s="7" t="s">
        <v>303</v>
      </c>
      <c r="B10" s="40" t="s">
        <v>922</v>
      </c>
      <c r="C10" s="41"/>
      <c r="D10" s="41"/>
      <c r="E10" s="384">
        <f>E6+E7+E9+E8</f>
        <v>537287188</v>
      </c>
      <c r="F10" s="384">
        <f>F6+F7+F9+F8</f>
        <v>674316047.04999995</v>
      </c>
      <c r="G10" s="42">
        <f>G6+G7+G9+G8</f>
        <v>713122756.38999987</v>
      </c>
      <c r="H10" s="43">
        <f>H6+H7+H9+H8</f>
        <v>1005776668</v>
      </c>
      <c r="I10" s="466"/>
      <c r="J10" s="466"/>
      <c r="K10" s="466"/>
      <c r="L10" s="469"/>
    </row>
    <row r="11" spans="1:12" ht="20.100000000000001" customHeight="1">
      <c r="A11" s="7">
        <v>5</v>
      </c>
      <c r="B11" s="11" t="s">
        <v>923</v>
      </c>
      <c r="C11" s="8" t="s">
        <v>924</v>
      </c>
      <c r="D11" s="8" t="s">
        <v>924</v>
      </c>
      <c r="E11" s="383">
        <f>17600475+1201200+979834+2112000+644432+3598153+4393135+54500041+13864416+34780739+54822904+361250+6311318+14020852+107099-3727290</f>
        <v>205570558</v>
      </c>
      <c r="F11" s="383">
        <f>8701819.47+151145.49+159300+3626304+5224158+924417+72000+9240+2071101.72+17227213.73+15668894.66+41215400+53575799.29+60425628.11+44121606.27+295883.33+3645463.6+5959071.57+7426102-1591660</f>
        <v>268908888.24000001</v>
      </c>
      <c r="G11" s="15">
        <f>848302.35+39541+12716+72000+926224+2160977+2077300+295200+198000+18950890+17185103.29+29380306+43036178.77+54097787.9+78995649.86+50286967.89+9752060.78-4322162+3013577+15445</f>
        <v>307022064.83999997</v>
      </c>
      <c r="H11" s="38">
        <f>338564+3305450+1932800+1126250+38500+41549890+93232400+31058303+8789580+3341600+89100+5981224+13087987+45872893+45226500+72439276+107625975+48931164+9619200-12730103</f>
        <v>520856553</v>
      </c>
      <c r="I11" s="466"/>
      <c r="J11" s="466"/>
      <c r="K11" s="466"/>
      <c r="L11" s="469"/>
    </row>
    <row r="12" spans="1:12" ht="20.100000000000001" customHeight="1">
      <c r="A12" s="7">
        <v>6</v>
      </c>
      <c r="B12" s="11" t="s">
        <v>925</v>
      </c>
      <c r="C12" s="45" t="s">
        <v>926</v>
      </c>
      <c r="D12" s="45" t="s">
        <v>927</v>
      </c>
      <c r="E12" s="383">
        <f>15501022+9914621+20523978+1046627+34386681+13428110+1527117+29918939+538641</f>
        <v>126785736</v>
      </c>
      <c r="F12" s="383">
        <f>1328656.28+43566619.53+340900.28+26852368.41+2507814.57+39619945.79+13907481.47+1358627.72+128973.8+34670859.1+1117265.21</f>
        <v>165399512.16</v>
      </c>
      <c r="G12" s="15">
        <f>1076368.76+79109050+177737.04+25860360.81+2334772.18+55109392.03+12019758.34+1646579.25+6472495.83+11610043.05+1791847.68+1983.21</f>
        <v>197210388.18000007</v>
      </c>
      <c r="H12" s="38">
        <f>1159883+83330655+126500+66260898+3180744+76401190+2997000+9439543+478453+32931033+909293+213503</f>
        <v>277428695</v>
      </c>
      <c r="I12" s="466"/>
      <c r="J12" s="466"/>
      <c r="K12" s="466"/>
      <c r="L12" s="469"/>
    </row>
    <row r="13" spans="1:12" ht="20.100000000000001" customHeight="1">
      <c r="A13" s="7">
        <v>7</v>
      </c>
      <c r="B13" s="28" t="s">
        <v>928</v>
      </c>
      <c r="C13" s="8" t="s">
        <v>929</v>
      </c>
      <c r="D13" s="8"/>
      <c r="E13" s="46">
        <f>E14+E15+E16</f>
        <v>87763934</v>
      </c>
      <c r="F13" s="46">
        <f>F14+F15+F16</f>
        <v>80449126</v>
      </c>
      <c r="G13" s="46">
        <f>G14+G15+G16</f>
        <v>73830078</v>
      </c>
      <c r="H13" s="8">
        <f>H14+H15+H16</f>
        <v>74079150</v>
      </c>
      <c r="I13" s="466"/>
      <c r="J13" s="466"/>
      <c r="K13" s="466"/>
      <c r="L13" s="469"/>
    </row>
    <row r="14" spans="1:12" ht="20.100000000000001" customHeight="1">
      <c r="A14" s="47">
        <v>0</v>
      </c>
      <c r="B14" s="11" t="s">
        <v>930</v>
      </c>
      <c r="C14" s="38">
        <v>641</v>
      </c>
      <c r="D14" s="48">
        <v>641</v>
      </c>
      <c r="E14" s="383">
        <v>76085836</v>
      </c>
      <c r="F14" s="383">
        <v>70160255</v>
      </c>
      <c r="G14" s="15">
        <v>63873622</v>
      </c>
      <c r="H14" s="38">
        <f>64231439</f>
        <v>64231439</v>
      </c>
      <c r="I14" s="466"/>
      <c r="J14" s="751"/>
      <c r="K14" s="751"/>
      <c r="L14" s="469"/>
    </row>
    <row r="15" spans="1:12" ht="20.100000000000001" customHeight="1">
      <c r="A15" s="47">
        <v>0</v>
      </c>
      <c r="B15" s="11" t="s">
        <v>931</v>
      </c>
      <c r="C15" s="38">
        <v>644</v>
      </c>
      <c r="D15" s="48">
        <v>644</v>
      </c>
      <c r="E15" s="383">
        <v>11678098</v>
      </c>
      <c r="F15" s="383">
        <v>10288871</v>
      </c>
      <c r="G15" s="15">
        <v>9554059</v>
      </c>
      <c r="H15" s="38">
        <f>9847711</f>
        <v>9847711</v>
      </c>
      <c r="I15" s="466"/>
      <c r="J15" s="751"/>
      <c r="K15" s="751"/>
      <c r="L15" s="469"/>
    </row>
    <row r="16" spans="1:12" ht="17.25" customHeight="1">
      <c r="A16" s="47">
        <v>0</v>
      </c>
      <c r="B16" s="11" t="s">
        <v>1152</v>
      </c>
      <c r="C16" s="38">
        <v>648</v>
      </c>
      <c r="E16" s="383"/>
      <c r="F16" s="383"/>
      <c r="G16" s="15">
        <f>102500+299897</f>
        <v>402397</v>
      </c>
      <c r="H16" s="38">
        <v>0</v>
      </c>
      <c r="I16" s="466"/>
      <c r="J16" s="751"/>
      <c r="K16" s="751"/>
      <c r="L16" s="469"/>
    </row>
    <row r="17" spans="1:12" ht="20.100000000000001" customHeight="1">
      <c r="A17" s="7">
        <v>9</v>
      </c>
      <c r="B17" s="11" t="s">
        <v>932</v>
      </c>
      <c r="C17" s="38" t="s">
        <v>933</v>
      </c>
      <c r="D17" s="48" t="s">
        <v>933</v>
      </c>
      <c r="E17" s="735">
        <f>51608761-4100000</f>
        <v>47508761</v>
      </c>
      <c r="F17" s="383">
        <v>31587841</v>
      </c>
      <c r="G17" s="15">
        <v>21119014</v>
      </c>
      <c r="H17" s="37">
        <f>11888280</f>
        <v>11888280</v>
      </c>
      <c r="I17" s="466"/>
      <c r="J17" s="751"/>
      <c r="K17" s="751"/>
      <c r="L17" s="469"/>
    </row>
    <row r="18" spans="1:12" ht="20.100000000000001" customHeight="1">
      <c r="A18" s="7">
        <v>10</v>
      </c>
      <c r="B18" s="11" t="s">
        <v>934</v>
      </c>
      <c r="C18" s="8" t="s">
        <v>935</v>
      </c>
      <c r="D18" s="49">
        <v>63</v>
      </c>
      <c r="E18" s="383">
        <f>1595302+30120+429236+99222+804006+2900535+5166642+6207682</f>
        <v>17232745</v>
      </c>
      <c r="F18" s="383">
        <f>6272942.87+11531712+2303000+720000+8221434.99+336254.71+51429.52+9893.32+304.25+35931.2+2726583.22+2949728.76+0.31-12000000</f>
        <v>23159215.149999999</v>
      </c>
      <c r="G18" s="15">
        <f>1645548.52+69000+2804632.86+1210398.1+2559045</f>
        <v>8288624.4800000004</v>
      </c>
      <c r="H18" s="46">
        <f>2635491+101500+42633596+318288+3552225+353619+725632-1+1453732</f>
        <v>51774082</v>
      </c>
      <c r="I18" s="466"/>
      <c r="J18" s="466"/>
      <c r="K18" s="740"/>
      <c r="L18" s="469"/>
    </row>
    <row r="19" spans="1:12" ht="20.100000000000001" customHeight="1">
      <c r="A19" s="7" t="s">
        <v>339</v>
      </c>
      <c r="B19" s="40" t="s">
        <v>936</v>
      </c>
      <c r="C19" s="50"/>
      <c r="D19" s="38"/>
      <c r="E19" s="42">
        <f>E11+E12+E13+E17+E18</f>
        <v>484861734</v>
      </c>
      <c r="F19" s="42">
        <f>F11+F12+F13+F17+F18</f>
        <v>569504582.54999995</v>
      </c>
      <c r="G19" s="42">
        <f>G11+G12+G13+G17+G18</f>
        <v>607470169.5</v>
      </c>
      <c r="H19" s="43">
        <f>H11+H12+H13+H17+H18</f>
        <v>936026760</v>
      </c>
      <c r="I19" s="466"/>
      <c r="J19" s="466"/>
      <c r="K19" s="740"/>
      <c r="L19" s="469"/>
    </row>
    <row r="20" spans="1:12" ht="20.100000000000001" customHeight="1">
      <c r="A20" s="7"/>
      <c r="B20" s="7" t="s">
        <v>937</v>
      </c>
      <c r="C20" s="38"/>
      <c r="E20" s="51">
        <f>E10-E19</f>
        <v>52425454</v>
      </c>
      <c r="F20" s="51">
        <f>F10-F19</f>
        <v>104811464.5</v>
      </c>
      <c r="G20" s="51">
        <f>G10-G19</f>
        <v>105652586.88999987</v>
      </c>
      <c r="H20" s="52">
        <f>H10-H19</f>
        <v>69749908</v>
      </c>
      <c r="I20" s="466"/>
      <c r="J20" s="466"/>
      <c r="K20" s="740"/>
      <c r="L20" s="469"/>
    </row>
    <row r="21" spans="1:12" ht="24.75" customHeight="1">
      <c r="A21" s="7">
        <v>10</v>
      </c>
      <c r="B21" s="28" t="s">
        <v>938</v>
      </c>
      <c r="C21" s="38" t="s">
        <v>939</v>
      </c>
      <c r="D21" s="38" t="s">
        <v>939</v>
      </c>
      <c r="E21" s="37">
        <v>0</v>
      </c>
      <c r="F21" s="37">
        <v>0</v>
      </c>
      <c r="G21" s="37">
        <v>0</v>
      </c>
      <c r="H21" s="38">
        <f>754010</f>
        <v>754010</v>
      </c>
      <c r="I21" s="466"/>
      <c r="J21" s="466"/>
      <c r="K21" s="466"/>
      <c r="L21" s="469"/>
    </row>
    <row r="22" spans="1:12" ht="18.75" customHeight="1">
      <c r="A22" s="7">
        <v>11</v>
      </c>
      <c r="B22" s="28" t="s">
        <v>940</v>
      </c>
      <c r="C22" s="38" t="s">
        <v>941</v>
      </c>
      <c r="D22" s="38" t="s">
        <v>941</v>
      </c>
      <c r="E22" s="37"/>
      <c r="F22" s="37"/>
      <c r="G22" s="37"/>
      <c r="H22" s="38"/>
      <c r="I22" s="466"/>
      <c r="J22" s="466"/>
      <c r="K22" s="466"/>
      <c r="L22" s="469"/>
    </row>
    <row r="23" spans="1:12" ht="20.100000000000001" customHeight="1">
      <c r="A23" s="7">
        <v>12</v>
      </c>
      <c r="B23" s="28" t="s">
        <v>942</v>
      </c>
      <c r="C23" s="8"/>
      <c r="D23" s="8"/>
      <c r="E23" s="46">
        <f>E24+E25+E26+E27</f>
        <v>-46611351</v>
      </c>
      <c r="F23" s="46">
        <f>F24+F25+F26+F27</f>
        <v>-56896147.130000003</v>
      </c>
      <c r="G23" s="46">
        <f>G24+G25+G26+G27</f>
        <v>-49693789.939999998</v>
      </c>
      <c r="H23" s="46">
        <f>H24+H25+H26+H27</f>
        <v>-29320776</v>
      </c>
      <c r="I23" s="466"/>
      <c r="J23" s="466"/>
      <c r="K23" s="741"/>
      <c r="L23" s="469"/>
    </row>
    <row r="24" spans="1:12" ht="21" customHeight="1">
      <c r="A24" s="7">
        <v>12.1</v>
      </c>
      <c r="B24" s="28" t="s">
        <v>943</v>
      </c>
      <c r="C24" s="53" t="s">
        <v>944</v>
      </c>
      <c r="D24" s="53" t="s">
        <v>944</v>
      </c>
      <c r="E24" s="37"/>
      <c r="F24" s="37"/>
      <c r="G24" s="37"/>
      <c r="H24" s="37"/>
      <c r="I24" s="466"/>
      <c r="J24" s="466"/>
      <c r="K24" s="740"/>
      <c r="L24" s="469"/>
    </row>
    <row r="25" spans="1:12" ht="20.100000000000001" customHeight="1">
      <c r="A25" s="7">
        <v>12.2</v>
      </c>
      <c r="B25" s="28" t="s">
        <v>945</v>
      </c>
      <c r="C25" s="38" t="s">
        <v>946</v>
      </c>
      <c r="D25" s="38" t="s">
        <v>946</v>
      </c>
      <c r="E25" s="383">
        <f>1287-47954861</f>
        <v>-47953574</v>
      </c>
      <c r="F25" s="383">
        <f>-(300224+6834582.78+11487693.67+7364927.71+3491199.8+21175195.05-20001.95)</f>
        <v>-50633821.060000002</v>
      </c>
      <c r="G25" s="15">
        <f>-(902963.37+9544520.6+5810718.81+1772107.76+206524.5+72277.27-31251.02)</f>
        <v>-18277861.289999999</v>
      </c>
      <c r="H25" s="37">
        <f>-(112207+15010255+6618037-40314)</f>
        <v>-21700185</v>
      </c>
      <c r="I25" s="466"/>
      <c r="J25" s="466"/>
      <c r="K25" s="741"/>
      <c r="L25" s="469"/>
    </row>
    <row r="26" spans="1:12" ht="20.100000000000001" customHeight="1">
      <c r="A26" s="7">
        <v>12.3</v>
      </c>
      <c r="B26" s="11" t="s">
        <v>947</v>
      </c>
      <c r="C26" s="38" t="s">
        <v>948</v>
      </c>
      <c r="D26" s="38" t="s">
        <v>949</v>
      </c>
      <c r="E26" s="383">
        <f>5093871-3911118-3</f>
        <v>1182750</v>
      </c>
      <c r="F26" s="383">
        <f>-(9185653.63-2630450.52)</f>
        <v>-6555203.1100000013</v>
      </c>
      <c r="G26" s="15">
        <f>-(32784334.34-1172337.63)</f>
        <v>-31611996.710000001</v>
      </c>
      <c r="H26" s="37">
        <f>-(9603935-1983344)</f>
        <v>-7620591</v>
      </c>
      <c r="I26" s="466"/>
      <c r="J26" s="466"/>
      <c r="K26" s="466"/>
      <c r="L26" s="469"/>
    </row>
    <row r="27" spans="1:12" ht="20.100000000000001" customHeight="1">
      <c r="A27" s="7">
        <v>12.4</v>
      </c>
      <c r="B27" s="11" t="s">
        <v>950</v>
      </c>
      <c r="C27" s="8" t="s">
        <v>951</v>
      </c>
      <c r="D27" s="8" t="s">
        <v>951</v>
      </c>
      <c r="E27" s="383">
        <v>159473</v>
      </c>
      <c r="F27" s="383">
        <f>60057.04+232820</f>
        <v>292877.03999999998</v>
      </c>
      <c r="G27" s="15">
        <f>196068.06</f>
        <v>196068.06</v>
      </c>
      <c r="H27" s="8">
        <v>0</v>
      </c>
      <c r="I27" s="466"/>
      <c r="J27" s="466"/>
      <c r="K27" s="466"/>
      <c r="L27" s="469"/>
    </row>
    <row r="28" spans="1:12" ht="26.25" customHeight="1">
      <c r="A28" s="7">
        <v>13</v>
      </c>
      <c r="B28" s="54" t="s">
        <v>952</v>
      </c>
      <c r="C28" s="38"/>
      <c r="D28" s="38"/>
      <c r="E28" s="51">
        <f>E21+E22+E23</f>
        <v>-46611351</v>
      </c>
      <c r="F28" s="51">
        <f>F21+F22+F23</f>
        <v>-56896147.130000003</v>
      </c>
      <c r="G28" s="51">
        <f>G21+G22+G23</f>
        <v>-49693789.939999998</v>
      </c>
      <c r="H28" s="51">
        <f>H21+H22+H23</f>
        <v>-28566766</v>
      </c>
      <c r="I28" s="466"/>
      <c r="J28" s="466"/>
      <c r="K28" s="466"/>
      <c r="L28" s="469"/>
    </row>
    <row r="29" spans="1:12" ht="20.100000000000001" customHeight="1">
      <c r="A29" s="7">
        <v>14</v>
      </c>
      <c r="B29" s="40" t="s">
        <v>953</v>
      </c>
      <c r="C29" s="50"/>
      <c r="D29" s="38">
        <v>69</v>
      </c>
      <c r="E29" s="51">
        <f>E20+E28</f>
        <v>5814103</v>
      </c>
      <c r="F29" s="42">
        <f>F20+F28</f>
        <v>47915317.369999997</v>
      </c>
      <c r="G29" s="42">
        <f>G20+G28</f>
        <v>55958796.949999869</v>
      </c>
      <c r="H29" s="43">
        <f>H20+H28</f>
        <v>41183142</v>
      </c>
      <c r="I29" s="466"/>
      <c r="J29" s="466"/>
      <c r="K29" s="466"/>
      <c r="L29" s="469"/>
    </row>
    <row r="30" spans="1:12" ht="20.100000000000001" customHeight="1">
      <c r="A30" s="7">
        <v>15</v>
      </c>
      <c r="B30" s="7" t="s">
        <v>954</v>
      </c>
      <c r="C30" s="38"/>
      <c r="D30" s="38"/>
      <c r="E30" s="698">
        <v>40149534</v>
      </c>
      <c r="F30" s="38">
        <v>80133092</v>
      </c>
      <c r="G30" s="38">
        <v>62601827.809999868</v>
      </c>
      <c r="H30" s="38">
        <v>46189099</v>
      </c>
      <c r="I30" s="466"/>
      <c r="J30" s="742"/>
      <c r="K30" s="466"/>
      <c r="L30" s="469"/>
    </row>
    <row r="31" spans="1:12" ht="20.100000000000001" customHeight="1">
      <c r="A31" s="7">
        <v>15</v>
      </c>
      <c r="B31" s="11" t="s">
        <v>955</v>
      </c>
      <c r="C31" s="38">
        <v>69</v>
      </c>
      <c r="D31" s="38"/>
      <c r="E31" s="38">
        <f>(E29+E30)*0.1</f>
        <v>4596363.7</v>
      </c>
      <c r="F31" s="38">
        <f>F30*0.1</f>
        <v>8013309.2000000002</v>
      </c>
      <c r="G31" s="37">
        <f>G30*0.1</f>
        <v>6260182.7809999874</v>
      </c>
      <c r="H31" s="38">
        <v>4618910</v>
      </c>
      <c r="I31" s="466"/>
      <c r="J31" s="466"/>
      <c r="K31" s="466"/>
      <c r="L31" s="469"/>
    </row>
    <row r="32" spans="1:12" ht="20.100000000000001" customHeight="1">
      <c r="A32" s="7">
        <v>16</v>
      </c>
      <c r="B32" s="55" t="s">
        <v>956</v>
      </c>
      <c r="C32" s="56"/>
      <c r="D32" s="56"/>
      <c r="E32" s="57">
        <f>E29-E31</f>
        <v>1217739.2999999998</v>
      </c>
      <c r="F32" s="57">
        <f>F29-F31</f>
        <v>39902008.169999994</v>
      </c>
      <c r="G32" s="57">
        <f>G29-G31</f>
        <v>49698614.168999881</v>
      </c>
      <c r="H32" s="56">
        <f>H29-H31</f>
        <v>36564232</v>
      </c>
      <c r="I32" s="466"/>
      <c r="J32" s="742"/>
      <c r="K32" s="466"/>
      <c r="L32" s="469"/>
    </row>
    <row r="33" spans="2:13">
      <c r="F33" s="396"/>
      <c r="G33" s="385">
        <f>G30/G10</f>
        <v>8.7785486087844797E-2</v>
      </c>
      <c r="H33" s="31">
        <f>H30/H10</f>
        <v>4.5923812382571594E-2</v>
      </c>
      <c r="I33" s="466"/>
      <c r="J33" s="466"/>
      <c r="K33" s="466"/>
      <c r="L33" s="469"/>
    </row>
    <row r="34" spans="2:13">
      <c r="B34" s="59"/>
      <c r="E34" s="360"/>
      <c r="I34" s="466"/>
      <c r="J34" s="466"/>
      <c r="K34" s="466"/>
      <c r="L34" s="469"/>
    </row>
    <row r="35" spans="2:13">
      <c r="B35" s="59"/>
      <c r="E35" s="60"/>
      <c r="F35" s="379"/>
      <c r="G35" s="60"/>
      <c r="H35" s="466"/>
      <c r="I35" s="466"/>
      <c r="J35" s="466"/>
      <c r="K35" s="469"/>
      <c r="M35" s="31"/>
    </row>
    <row r="36" spans="2:13">
      <c r="B36" s="59"/>
      <c r="E36" s="701"/>
      <c r="F36" s="556"/>
      <c r="G36" s="379"/>
      <c r="H36" s="60"/>
      <c r="I36" s="466"/>
      <c r="J36" s="466"/>
      <c r="K36" s="740"/>
      <c r="L36" s="742"/>
    </row>
    <row r="37" spans="2:13">
      <c r="C37" s="551"/>
      <c r="D37" s="551"/>
      <c r="E37" s="551"/>
      <c r="F37" s="379"/>
      <c r="G37" s="379"/>
      <c r="H37" s="379"/>
      <c r="I37" s="381"/>
      <c r="J37" s="466"/>
      <c r="K37" s="740"/>
      <c r="L37" s="742"/>
    </row>
    <row r="38" spans="2:13">
      <c r="B38" s="59"/>
      <c r="C38" s="551"/>
      <c r="D38" s="551"/>
      <c r="E38" s="700"/>
      <c r="F38" s="379"/>
      <c r="G38" s="379"/>
      <c r="H38" s="379"/>
      <c r="I38" s="551"/>
      <c r="J38" s="466"/>
      <c r="K38" s="740"/>
      <c r="L38" s="743"/>
    </row>
    <row r="39" spans="2:13">
      <c r="B39" s="552"/>
      <c r="C39" s="553"/>
      <c r="D39" s="551"/>
      <c r="E39" s="551"/>
      <c r="F39" s="553"/>
      <c r="G39" s="380"/>
      <c r="H39" s="551"/>
      <c r="I39" s="551"/>
      <c r="J39" s="466"/>
      <c r="K39" s="466"/>
      <c r="L39" s="469"/>
    </row>
    <row r="40" spans="2:13">
      <c r="B40" s="552"/>
      <c r="C40" s="553"/>
      <c r="D40" s="551"/>
      <c r="E40" s="551"/>
      <c r="F40" s="553"/>
      <c r="G40" s="380"/>
      <c r="H40" s="551"/>
      <c r="I40" s="551"/>
      <c r="J40" s="466"/>
      <c r="K40" s="466"/>
      <c r="L40" s="469"/>
    </row>
    <row r="41" spans="2:13">
      <c r="B41" s="554"/>
      <c r="C41" s="555"/>
      <c r="D41" s="551"/>
      <c r="E41" s="551"/>
      <c r="F41" s="381"/>
      <c r="G41" s="381"/>
      <c r="H41" s="551"/>
      <c r="I41" s="551"/>
    </row>
    <row r="42" spans="2:13">
      <c r="B42" s="551"/>
      <c r="C42" s="551"/>
      <c r="D42" s="551"/>
      <c r="E42" s="551"/>
      <c r="F42" s="381"/>
      <c r="G42" s="381"/>
      <c r="H42" s="551"/>
      <c r="I42" s="551"/>
    </row>
    <row r="43" spans="2:13">
      <c r="G43" s="381"/>
    </row>
  </sheetData>
  <mergeCells count="6">
    <mergeCell ref="A1:H1"/>
    <mergeCell ref="A2:H2"/>
    <mergeCell ref="J17:K17"/>
    <mergeCell ref="J16:K16"/>
    <mergeCell ref="J15:K15"/>
    <mergeCell ref="J14:K14"/>
  </mergeCells>
  <phoneticPr fontId="0" type="noConversion"/>
  <pageMargins left="0.41" right="0.17" top="0.25" bottom="0.19" header="0.16" footer="0.17"/>
  <pageSetup paperSize="9" scale="10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G48"/>
  <sheetViews>
    <sheetView topLeftCell="A17" zoomScaleNormal="100" workbookViewId="0">
      <selection activeCell="J41" sqref="J41"/>
    </sheetView>
  </sheetViews>
  <sheetFormatPr defaultColWidth="26.7109375" defaultRowHeight="12.75"/>
  <cols>
    <col min="1" max="1" width="5" style="562" customWidth="1"/>
    <col min="2" max="2" width="9.140625" style="562" customWidth="1"/>
    <col min="3" max="3" width="26.7109375" style="562"/>
    <col min="4" max="4" width="31.5703125" style="87" customWidth="1"/>
    <col min="5" max="5" width="14" style="570" customWidth="1"/>
    <col min="6" max="6" width="12.7109375" style="570" customWidth="1"/>
    <col min="7" max="16384" width="26.7109375" style="87"/>
  </cols>
  <sheetData>
    <row r="1" spans="1:6" ht="15.75">
      <c r="A1" s="569" t="s">
        <v>428</v>
      </c>
    </row>
    <row r="2" spans="1:6" s="563" customFormat="1" ht="18">
      <c r="A2" s="569" t="s">
        <v>443</v>
      </c>
      <c r="B2" s="564"/>
      <c r="C2" s="565"/>
      <c r="D2" s="566"/>
      <c r="E2" s="571"/>
      <c r="F2" s="572" t="s">
        <v>402</v>
      </c>
    </row>
    <row r="3" spans="1:6" s="563" customFormat="1" ht="18">
      <c r="A3" s="573" t="s">
        <v>429</v>
      </c>
      <c r="B3" s="564"/>
      <c r="C3" s="565"/>
      <c r="D3" s="566"/>
      <c r="E3" s="574"/>
      <c r="F3" s="575"/>
    </row>
    <row r="4" spans="1:6" s="563" customFormat="1" ht="18">
      <c r="A4" s="573" t="s">
        <v>445</v>
      </c>
      <c r="B4" s="564"/>
      <c r="C4" s="565"/>
      <c r="D4" s="566"/>
      <c r="E4" s="572"/>
      <c r="F4" s="571"/>
    </row>
    <row r="5" spans="1:6" s="563" customFormat="1" ht="18">
      <c r="A5" s="573"/>
      <c r="B5" s="564"/>
      <c r="C5" s="565"/>
      <c r="D5" s="566"/>
      <c r="E5" s="572"/>
      <c r="F5" s="571"/>
    </row>
    <row r="6" spans="1:6" s="563" customFormat="1" ht="18">
      <c r="A6" s="573"/>
      <c r="B6" s="564"/>
      <c r="C6" s="565"/>
      <c r="D6" s="566"/>
      <c r="E6" s="572"/>
      <c r="F6" s="571"/>
    </row>
    <row r="7" spans="1:6" s="563" customFormat="1" ht="18">
      <c r="A7" s="573"/>
      <c r="B7" s="564"/>
      <c r="C7" s="565"/>
      <c r="D7" s="566"/>
      <c r="E7" s="572"/>
      <c r="F7" s="571"/>
    </row>
    <row r="8" spans="1:6" s="563" customFormat="1" ht="18">
      <c r="A8" s="752" t="s">
        <v>403</v>
      </c>
      <c r="B8" s="752"/>
      <c r="C8" s="752"/>
      <c r="D8" s="752"/>
      <c r="E8" s="752"/>
      <c r="F8" s="752"/>
    </row>
    <row r="9" spans="1:6" ht="13.5" thickBot="1"/>
    <row r="10" spans="1:6" s="563" customFormat="1">
      <c r="A10" s="753" t="s">
        <v>998</v>
      </c>
      <c r="B10" s="755" t="s">
        <v>404</v>
      </c>
      <c r="C10" s="755"/>
      <c r="D10" s="755"/>
      <c r="E10" s="757" t="s">
        <v>430</v>
      </c>
      <c r="F10" s="759" t="s">
        <v>431</v>
      </c>
    </row>
    <row r="11" spans="1:6" s="563" customFormat="1" ht="13.5" thickBot="1">
      <c r="A11" s="754"/>
      <c r="B11" s="756"/>
      <c r="C11" s="756"/>
      <c r="D11" s="756"/>
      <c r="E11" s="758"/>
      <c r="F11" s="760"/>
    </row>
    <row r="12" spans="1:6" s="563" customFormat="1">
      <c r="A12" s="576"/>
      <c r="B12" s="577" t="s">
        <v>405</v>
      </c>
      <c r="C12" s="578"/>
      <c r="D12" s="579"/>
      <c r="E12" s="580">
        <v>0</v>
      </c>
      <c r="F12" s="581">
        <v>0</v>
      </c>
    </row>
    <row r="13" spans="1:6" s="563" customFormat="1">
      <c r="A13" s="582"/>
      <c r="B13" s="583"/>
      <c r="C13" s="584" t="s">
        <v>1106</v>
      </c>
      <c r="D13" s="584"/>
      <c r="E13" s="585">
        <f>'te ardhura e shpenzime'!E29</f>
        <v>5814103</v>
      </c>
      <c r="F13" s="586">
        <f>'te ardhura e shpenzime'!F29</f>
        <v>47915317.369999997</v>
      </c>
    </row>
    <row r="14" spans="1:6" s="563" customFormat="1">
      <c r="A14" s="582"/>
      <c r="B14" s="587"/>
      <c r="C14" s="588" t="s">
        <v>406</v>
      </c>
      <c r="D14" s="567"/>
      <c r="E14" s="585"/>
      <c r="F14" s="586">
        <v>0</v>
      </c>
    </row>
    <row r="15" spans="1:6" s="563" customFormat="1">
      <c r="A15" s="582"/>
      <c r="B15" s="583"/>
      <c r="C15" s="589"/>
      <c r="D15" s="590" t="s">
        <v>407</v>
      </c>
      <c r="E15" s="585">
        <f>'te ardhura e shpenzime'!E17</f>
        <v>47508761</v>
      </c>
      <c r="F15" s="586">
        <f>'te ardhura e shpenzime'!F17</f>
        <v>31587841</v>
      </c>
    </row>
    <row r="16" spans="1:6" s="563" customFormat="1">
      <c r="A16" s="582"/>
      <c r="B16" s="583"/>
      <c r="C16" s="589"/>
      <c r="D16" s="590" t="s">
        <v>408</v>
      </c>
      <c r="E16" s="585">
        <v>0</v>
      </c>
      <c r="F16" s="586">
        <v>0</v>
      </c>
    </row>
    <row r="17" spans="1:6" s="563" customFormat="1">
      <c r="A17" s="582"/>
      <c r="B17" s="583"/>
      <c r="C17" s="589"/>
      <c r="D17" s="590" t="s">
        <v>409</v>
      </c>
      <c r="E17" s="585"/>
      <c r="F17" s="586"/>
    </row>
    <row r="18" spans="1:6" s="563" customFormat="1">
      <c r="A18" s="582"/>
      <c r="B18" s="583"/>
      <c r="C18" s="589"/>
      <c r="D18" s="590" t="s">
        <v>1283</v>
      </c>
      <c r="E18" s="585"/>
      <c r="F18" s="586">
        <v>0</v>
      </c>
    </row>
    <row r="19" spans="1:6" s="567" customFormat="1">
      <c r="A19" s="769"/>
      <c r="B19" s="763"/>
      <c r="C19" s="591" t="s">
        <v>410</v>
      </c>
      <c r="E19" s="771">
        <f>'Aktiv-Pasiv'!F14-'Aktiv-Pasiv'!E14</f>
        <v>8157806.0900000334</v>
      </c>
      <c r="F19" s="767">
        <f>'[1]Aktiv-Pasiv'!$F$14-'[1]Aktiv-Pasiv'!$E$14</f>
        <v>-37624301.900000036</v>
      </c>
    </row>
    <row r="20" spans="1:6" s="567" customFormat="1">
      <c r="A20" s="770"/>
      <c r="B20" s="764"/>
      <c r="C20" s="592" t="s">
        <v>411</v>
      </c>
      <c r="E20" s="772"/>
      <c r="F20" s="768"/>
    </row>
    <row r="21" spans="1:6" s="563" customFormat="1">
      <c r="A21" s="593"/>
      <c r="B21" s="583"/>
      <c r="C21" s="584" t="s">
        <v>412</v>
      </c>
      <c r="D21" s="584"/>
      <c r="E21" s="594">
        <f>'Aktiv-Pasiv'!F20-'Aktiv-Pasiv'!E20</f>
        <v>23311963</v>
      </c>
      <c r="F21" s="595">
        <f>'[1]Aktiv-Pasiv'!$F$20-'[1]Aktiv-Pasiv'!$E$20</f>
        <v>9853095</v>
      </c>
    </row>
    <row r="22" spans="1:6" s="563" customFormat="1">
      <c r="A22" s="761"/>
      <c r="B22" s="763"/>
      <c r="C22" s="591" t="s">
        <v>413</v>
      </c>
      <c r="D22" s="591"/>
      <c r="E22" s="765">
        <f>'Aktiv-Pasiv'!E91-'Aktiv-Pasiv'!F91+1128493-793176-410000</f>
        <v>-38307854.269999981</v>
      </c>
      <c r="F22" s="767">
        <f>'[1]Aktiv-Pasiv'!$E$91-'[1]Aktiv-Pasiv'!$F$91-7571561</f>
        <v>68353515.766000032</v>
      </c>
    </row>
    <row r="23" spans="1:6" s="563" customFormat="1">
      <c r="A23" s="762"/>
      <c r="B23" s="764"/>
      <c r="C23" s="588" t="s">
        <v>414</v>
      </c>
      <c r="D23" s="588"/>
      <c r="E23" s="766"/>
      <c r="F23" s="768"/>
    </row>
    <row r="24" spans="1:6" s="563" customFormat="1">
      <c r="A24" s="582"/>
      <c r="B24" s="583"/>
      <c r="C24" s="584" t="s">
        <v>415</v>
      </c>
      <c r="D24" s="584"/>
      <c r="E24" s="596">
        <f>SUM(E13:E23)</f>
        <v>46484778.820000052</v>
      </c>
      <c r="F24" s="597">
        <f>SUM(F13:F23)</f>
        <v>120085467.236</v>
      </c>
    </row>
    <row r="25" spans="1:6" s="563" customFormat="1">
      <c r="A25" s="582"/>
      <c r="B25" s="583"/>
      <c r="C25" s="584" t="s">
        <v>416</v>
      </c>
      <c r="D25" s="584"/>
      <c r="E25" s="585">
        <v>0</v>
      </c>
      <c r="F25" s="586"/>
    </row>
    <row r="26" spans="1:6" s="563" customFormat="1">
      <c r="A26" s="582"/>
      <c r="B26" s="583"/>
      <c r="C26" s="584" t="s">
        <v>417</v>
      </c>
      <c r="D26" s="584"/>
      <c r="E26" s="598">
        <f>-521682</f>
        <v>-521682</v>
      </c>
      <c r="F26" s="696">
        <v>-441749</v>
      </c>
    </row>
    <row r="27" spans="1:6" s="563" customFormat="1">
      <c r="A27" s="582"/>
      <c r="B27" s="583"/>
      <c r="C27" s="599" t="s">
        <v>418</v>
      </c>
      <c r="D27" s="600"/>
      <c r="E27" s="601">
        <f>SUM(E24:E26)</f>
        <v>45963096.820000052</v>
      </c>
      <c r="F27" s="602">
        <f>SUM(F24:F26)</f>
        <v>119643718.236</v>
      </c>
    </row>
    <row r="28" spans="1:6" s="563" customFormat="1">
      <c r="A28" s="582"/>
      <c r="B28" s="603" t="s">
        <v>958</v>
      </c>
      <c r="C28" s="589"/>
      <c r="D28" s="584"/>
      <c r="E28" s="585"/>
      <c r="F28" s="586"/>
    </row>
    <row r="29" spans="1:6" s="563" customFormat="1">
      <c r="A29" s="582"/>
      <c r="B29" s="583"/>
      <c r="C29" s="584" t="s">
        <v>419</v>
      </c>
      <c r="D29" s="584"/>
      <c r="E29" s="585">
        <v>0</v>
      </c>
      <c r="F29" s="586"/>
    </row>
    <row r="30" spans="1:6" s="563" customFormat="1">
      <c r="A30" s="582"/>
      <c r="B30" s="583"/>
      <c r="C30" s="584" t="s">
        <v>420</v>
      </c>
      <c r="D30" s="584"/>
      <c r="E30" s="585">
        <f>-AAM!E17</f>
        <v>-47525905</v>
      </c>
      <c r="F30" s="586">
        <f>-[1]AAM!$E$17</f>
        <v>-189875920.90000001</v>
      </c>
    </row>
    <row r="31" spans="1:6" s="563" customFormat="1">
      <c r="A31" s="582"/>
      <c r="B31" s="604"/>
      <c r="C31" s="584" t="s">
        <v>421</v>
      </c>
      <c r="D31" s="584"/>
      <c r="E31" s="624">
        <v>0</v>
      </c>
      <c r="F31" s="625">
        <f>'[1]Aktive Qendrushme'!$L$30-[1]Amortizimi!$M$27</f>
        <v>13834712.039999999</v>
      </c>
    </row>
    <row r="32" spans="1:6" s="563" customFormat="1">
      <c r="A32" s="582"/>
      <c r="B32" s="605"/>
      <c r="C32" s="584" t="s">
        <v>432</v>
      </c>
      <c r="D32" s="584"/>
      <c r="E32" s="585">
        <f>'Aktiv-Pasiv'!F32-'Aktiv-Pasiv'!E32</f>
        <v>-2631860.0700000077</v>
      </c>
      <c r="F32" s="586">
        <f>'[1]Aktiv-Pasiv'!$F$32-'[1]Aktiv-Pasiv'!$E$32</f>
        <v>49902603.070000008</v>
      </c>
    </row>
    <row r="33" spans="1:7" s="563" customFormat="1">
      <c r="A33" s="582"/>
      <c r="B33" s="605"/>
      <c r="C33" s="584" t="s">
        <v>959</v>
      </c>
      <c r="D33" s="584"/>
      <c r="E33" s="624"/>
      <c r="F33" s="625"/>
    </row>
    <row r="34" spans="1:7" s="563" customFormat="1">
      <c r="A34" s="582"/>
      <c r="B34" s="605"/>
      <c r="C34" s="606" t="s">
        <v>422</v>
      </c>
      <c r="D34" s="584"/>
      <c r="E34" s="601">
        <f>SUM(E29:E33)</f>
        <v>-50157765.070000008</v>
      </c>
      <c r="F34" s="602">
        <f>SUM(F29:F33)</f>
        <v>-126138605.79000001</v>
      </c>
    </row>
    <row r="35" spans="1:7" s="563" customFormat="1">
      <c r="A35" s="582"/>
      <c r="B35" s="583" t="s">
        <v>960</v>
      </c>
      <c r="C35" s="607"/>
      <c r="D35" s="584"/>
      <c r="E35" s="585"/>
      <c r="F35" s="586">
        <f>F36+F37+F38+F39+F40</f>
        <v>0</v>
      </c>
    </row>
    <row r="36" spans="1:7" s="563" customFormat="1">
      <c r="A36" s="582"/>
      <c r="B36" s="605"/>
      <c r="C36" s="584" t="s">
        <v>423</v>
      </c>
      <c r="D36" s="584"/>
      <c r="E36" s="585"/>
      <c r="F36" s="586"/>
    </row>
    <row r="37" spans="1:7" s="563" customFormat="1">
      <c r="A37" s="582"/>
      <c r="B37" s="605"/>
      <c r="C37" s="584" t="s">
        <v>424</v>
      </c>
      <c r="D37" s="584"/>
      <c r="E37" s="585"/>
      <c r="F37" s="586"/>
    </row>
    <row r="38" spans="1:7" s="563" customFormat="1">
      <c r="A38" s="582"/>
      <c r="B38" s="605"/>
      <c r="C38" s="584" t="s">
        <v>425</v>
      </c>
      <c r="D38" s="584"/>
      <c r="E38" s="585"/>
      <c r="F38" s="586"/>
    </row>
    <row r="39" spans="1:7" s="563" customFormat="1">
      <c r="A39" s="582"/>
      <c r="B39" s="605"/>
      <c r="C39" s="584" t="s">
        <v>961</v>
      </c>
      <c r="D39" s="584"/>
      <c r="E39" s="585"/>
      <c r="F39" s="586"/>
    </row>
    <row r="40" spans="1:7" s="563" customFormat="1">
      <c r="A40" s="582"/>
      <c r="B40" s="605"/>
      <c r="C40" s="606" t="s">
        <v>426</v>
      </c>
      <c r="D40" s="584"/>
      <c r="E40" s="585">
        <f>SUM(E36:E39)</f>
        <v>0</v>
      </c>
      <c r="F40" s="586">
        <f>SUM(F36:F39)</f>
        <v>0</v>
      </c>
    </row>
    <row r="41" spans="1:7">
      <c r="A41" s="608"/>
      <c r="B41" s="603" t="s">
        <v>427</v>
      </c>
      <c r="C41" s="609"/>
      <c r="D41" s="610"/>
      <c r="E41" s="611">
        <f>E40+E34+E27</f>
        <v>-4194668.2499999553</v>
      </c>
      <c r="F41" s="612">
        <f>F40+F34+F27</f>
        <v>-6494887.5540000051</v>
      </c>
    </row>
    <row r="42" spans="1:7">
      <c r="A42" s="608"/>
      <c r="B42" s="603" t="s">
        <v>963</v>
      </c>
      <c r="C42" s="609"/>
      <c r="D42" s="610"/>
      <c r="E42" s="613">
        <f>'Aktiv-Pasiv'!F7</f>
        <v>5669291.1199999992</v>
      </c>
      <c r="F42" s="614">
        <f>'[1]Aktiv-Pasiv'!$F$7</f>
        <v>12164179</v>
      </c>
      <c r="G42" s="568"/>
    </row>
    <row r="43" spans="1:7">
      <c r="A43" s="608"/>
      <c r="B43" s="603" t="s">
        <v>964</v>
      </c>
      <c r="C43" s="609"/>
      <c r="D43" s="610"/>
      <c r="E43" s="613">
        <f>'Aktiv-Pasiv'!E7</f>
        <v>1474623</v>
      </c>
      <c r="F43" s="615">
        <f>E42</f>
        <v>5669291.1199999992</v>
      </c>
    </row>
    <row r="44" spans="1:7">
      <c r="A44" s="616"/>
      <c r="B44" s="116"/>
      <c r="C44" s="116"/>
      <c r="D44" s="86"/>
      <c r="E44" s="617"/>
      <c r="F44" s="618"/>
    </row>
    <row r="45" spans="1:7" ht="13.5" thickBot="1">
      <c r="A45" s="619"/>
      <c r="B45" s="620"/>
      <c r="C45" s="620"/>
      <c r="D45" s="621"/>
      <c r="E45" s="622">
        <f>E43-E42</f>
        <v>-4194668.1199999992</v>
      </c>
      <c r="F45" s="623">
        <f>F43-F42</f>
        <v>-6494887.8800000008</v>
      </c>
    </row>
    <row r="48" spans="1:7">
      <c r="E48" s="570">
        <f>E45-+E41</f>
        <v>0.12999995611608028</v>
      </c>
      <c r="F48" s="570">
        <f>F45-+F41</f>
        <v>-0.32599999569356441</v>
      </c>
    </row>
  </sheetData>
  <mergeCells count="13">
    <mergeCell ref="A22:A23"/>
    <mergeCell ref="B22:B23"/>
    <mergeCell ref="E22:E23"/>
    <mergeCell ref="F22:F23"/>
    <mergeCell ref="A19:A20"/>
    <mergeCell ref="B19:B20"/>
    <mergeCell ref="E19:E20"/>
    <mergeCell ref="F19:F20"/>
    <mergeCell ref="A8:F8"/>
    <mergeCell ref="A10:A11"/>
    <mergeCell ref="B10:D11"/>
    <mergeCell ref="E10:E11"/>
    <mergeCell ref="F10:F11"/>
  </mergeCells>
  <phoneticPr fontId="0" type="noConversion"/>
  <pageMargins left="0.17" right="0.17" top="1" bottom="1" header="0.5" footer="0.5"/>
  <pageSetup paperSize="9" orientation="portrait" r:id="rId1"/>
  <headerFooter alignWithMargins="0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K49"/>
  <sheetViews>
    <sheetView topLeftCell="A24" workbookViewId="0">
      <selection activeCell="K42" sqref="K42"/>
    </sheetView>
  </sheetViews>
  <sheetFormatPr defaultRowHeight="12.75"/>
  <cols>
    <col min="1" max="1" width="4" style="70" customWidth="1"/>
    <col min="2" max="2" width="28.5703125" style="70" customWidth="1"/>
    <col min="3" max="3" width="12" style="70" customWidth="1"/>
    <col min="4" max="4" width="7.140625" style="70" customWidth="1"/>
    <col min="5" max="5" width="11" style="70" customWidth="1"/>
    <col min="6" max="6" width="13" style="70" customWidth="1"/>
    <col min="7" max="7" width="9.7109375" style="70" customWidth="1"/>
    <col min="8" max="8" width="11" style="70" customWidth="1"/>
    <col min="9" max="9" width="12.140625" style="70" customWidth="1"/>
    <col min="10" max="10" width="8.7109375" style="70" customWidth="1"/>
    <col min="11" max="11" width="13.140625" style="70" customWidth="1"/>
    <col min="12" max="16384" width="9.140625" style="70"/>
  </cols>
  <sheetData>
    <row r="1" spans="1:11">
      <c r="B1" s="62" t="s">
        <v>912</v>
      </c>
    </row>
    <row r="2" spans="1:11">
      <c r="B2" s="62" t="s">
        <v>968</v>
      </c>
    </row>
    <row r="3" spans="1:11">
      <c r="B3" s="62"/>
    </row>
    <row r="4" spans="1:11">
      <c r="A4" s="71"/>
      <c r="B4" s="71"/>
      <c r="C4" s="72" t="s">
        <v>969</v>
      </c>
      <c r="D4" s="72"/>
      <c r="E4" s="72"/>
      <c r="F4" s="72"/>
      <c r="G4" s="72"/>
      <c r="H4" s="71"/>
      <c r="I4" s="71"/>
      <c r="J4" s="71"/>
      <c r="K4" s="71"/>
    </row>
    <row r="5" spans="1:11" ht="41.25" customHeight="1">
      <c r="A5" s="73"/>
      <c r="B5" s="73"/>
      <c r="C5" s="74" t="s">
        <v>902</v>
      </c>
      <c r="D5" s="75" t="s">
        <v>903</v>
      </c>
      <c r="E5" s="75" t="s">
        <v>907</v>
      </c>
      <c r="F5" s="75" t="s">
        <v>970</v>
      </c>
      <c r="G5" s="75" t="s">
        <v>971</v>
      </c>
      <c r="H5" s="75" t="s">
        <v>972</v>
      </c>
      <c r="I5" s="75" t="s">
        <v>973</v>
      </c>
      <c r="J5" s="75" t="s">
        <v>974</v>
      </c>
      <c r="K5" s="75" t="s">
        <v>973</v>
      </c>
    </row>
    <row r="6" spans="1:11" s="62" customFormat="1" ht="15" hidden="1" customHeight="1">
      <c r="A6" s="67" t="s">
        <v>303</v>
      </c>
      <c r="B6" s="76" t="s">
        <v>975</v>
      </c>
      <c r="C6" s="68">
        <v>171500000</v>
      </c>
      <c r="D6" s="68">
        <v>0</v>
      </c>
      <c r="E6" s="68">
        <v>70965635</v>
      </c>
      <c r="F6" s="68">
        <v>18496843</v>
      </c>
      <c r="G6" s="68">
        <v>0</v>
      </c>
      <c r="H6" s="68">
        <v>61752434</v>
      </c>
      <c r="I6" s="68">
        <v>322714912</v>
      </c>
      <c r="J6" s="68">
        <v>0</v>
      </c>
      <c r="K6" s="68">
        <v>322714912</v>
      </c>
    </row>
    <row r="7" spans="1:11" hidden="1">
      <c r="A7" s="64">
        <v>1</v>
      </c>
      <c r="B7" s="77" t="s">
        <v>976</v>
      </c>
      <c r="C7" s="66"/>
      <c r="D7" s="66"/>
      <c r="E7" s="66"/>
      <c r="F7" s="66"/>
      <c r="G7" s="66"/>
      <c r="H7" s="66"/>
      <c r="I7" s="66"/>
      <c r="J7" s="66"/>
      <c r="K7" s="66"/>
    </row>
    <row r="8" spans="1:11" ht="15" hidden="1" customHeight="1">
      <c r="A8" s="64">
        <v>2</v>
      </c>
      <c r="B8" s="78" t="s">
        <v>977</v>
      </c>
      <c r="C8" s="66"/>
      <c r="D8" s="66"/>
      <c r="E8" s="66"/>
      <c r="F8" s="66"/>
      <c r="G8" s="66"/>
      <c r="H8" s="66"/>
      <c r="I8" s="66">
        <v>0</v>
      </c>
      <c r="J8" s="66"/>
      <c r="K8" s="66">
        <v>0</v>
      </c>
    </row>
    <row r="9" spans="1:11" ht="25.5" hidden="1">
      <c r="A9" s="64">
        <v>3</v>
      </c>
      <c r="B9" s="77" t="s">
        <v>978</v>
      </c>
      <c r="C9" s="66"/>
      <c r="D9" s="66"/>
      <c r="E9" s="66"/>
      <c r="F9" s="66"/>
      <c r="G9" s="66"/>
      <c r="H9" s="66"/>
      <c r="I9" s="66">
        <v>0</v>
      </c>
      <c r="J9" s="66"/>
      <c r="K9" s="66">
        <v>0</v>
      </c>
    </row>
    <row r="10" spans="1:11" ht="42.75" hidden="1" customHeight="1">
      <c r="A10" s="64">
        <v>4</v>
      </c>
      <c r="B10" s="77" t="s">
        <v>979</v>
      </c>
      <c r="C10" s="66"/>
      <c r="D10" s="66"/>
      <c r="E10" s="66"/>
      <c r="F10" s="66"/>
      <c r="G10" s="66"/>
      <c r="H10" s="66"/>
      <c r="I10" s="66">
        <v>0</v>
      </c>
      <c r="J10" s="66"/>
      <c r="K10" s="66">
        <v>0</v>
      </c>
    </row>
    <row r="11" spans="1:11" ht="15" hidden="1" customHeight="1">
      <c r="A11" s="64">
        <v>5</v>
      </c>
      <c r="B11" s="77" t="s">
        <v>980</v>
      </c>
      <c r="C11" s="66"/>
      <c r="D11" s="66"/>
      <c r="E11" s="66"/>
      <c r="F11" s="66"/>
      <c r="G11" s="66"/>
      <c r="H11" s="66">
        <v>36564232</v>
      </c>
      <c r="I11" s="66">
        <v>36564232</v>
      </c>
      <c r="J11" s="66"/>
      <c r="K11" s="66">
        <v>36564232</v>
      </c>
    </row>
    <row r="12" spans="1:11" ht="15" hidden="1" customHeight="1">
      <c r="A12" s="64">
        <v>6</v>
      </c>
      <c r="B12" s="77" t="s">
        <v>981</v>
      </c>
      <c r="C12" s="66"/>
      <c r="D12" s="66"/>
      <c r="E12" s="66"/>
      <c r="F12" s="66"/>
      <c r="G12" s="66"/>
      <c r="H12" s="66"/>
      <c r="I12" s="66">
        <v>0</v>
      </c>
      <c r="J12" s="66"/>
      <c r="K12" s="66">
        <v>0</v>
      </c>
    </row>
    <row r="13" spans="1:11" ht="25.5" hidden="1">
      <c r="A13" s="64">
        <v>7</v>
      </c>
      <c r="B13" s="77" t="s">
        <v>982</v>
      </c>
      <c r="C13" s="66"/>
      <c r="D13" s="66"/>
      <c r="E13" s="66">
        <v>58664812</v>
      </c>
      <c r="F13" s="66">
        <v>3087624</v>
      </c>
      <c r="G13" s="66"/>
      <c r="H13" s="66">
        <v>-61752436</v>
      </c>
      <c r="I13" s="66">
        <v>0</v>
      </c>
      <c r="J13" s="66"/>
      <c r="K13" s="66">
        <v>0</v>
      </c>
    </row>
    <row r="14" spans="1:11" ht="15.95" hidden="1" customHeight="1">
      <c r="A14" s="64">
        <v>8</v>
      </c>
      <c r="B14" s="77" t="s">
        <v>987</v>
      </c>
      <c r="C14" s="66"/>
      <c r="D14" s="66"/>
      <c r="E14" s="66"/>
      <c r="F14" s="66"/>
      <c r="G14" s="66"/>
      <c r="H14" s="66"/>
      <c r="I14" s="66">
        <v>0</v>
      </c>
      <c r="J14" s="66"/>
      <c r="K14" s="66">
        <v>0</v>
      </c>
    </row>
    <row r="15" spans="1:11" s="62" customFormat="1" ht="15.95" customHeight="1">
      <c r="A15" s="67" t="s">
        <v>339</v>
      </c>
      <c r="B15" s="76" t="s">
        <v>988</v>
      </c>
      <c r="C15" s="68">
        <f>SUM(C6:C14)</f>
        <v>171500000</v>
      </c>
      <c r="D15" s="68">
        <f t="shared" ref="D15:K15" si="0">SUM(D6:D14)</f>
        <v>0</v>
      </c>
      <c r="E15" s="68">
        <f t="shared" si="0"/>
        <v>129630447</v>
      </c>
      <c r="F15" s="68">
        <f t="shared" si="0"/>
        <v>21584467</v>
      </c>
      <c r="G15" s="68">
        <f t="shared" si="0"/>
        <v>0</v>
      </c>
      <c r="H15" s="68">
        <f t="shared" si="0"/>
        <v>36564230</v>
      </c>
      <c r="I15" s="68">
        <f t="shared" si="0"/>
        <v>359279144</v>
      </c>
      <c r="J15" s="68">
        <f t="shared" si="0"/>
        <v>0</v>
      </c>
      <c r="K15" s="68">
        <f t="shared" si="0"/>
        <v>359279144</v>
      </c>
    </row>
    <row r="16" spans="1:11">
      <c r="A16" s="64">
        <v>1</v>
      </c>
      <c r="B16" s="78"/>
      <c r="C16" s="66"/>
      <c r="D16" s="66"/>
      <c r="E16" s="66"/>
      <c r="F16" s="66"/>
      <c r="G16" s="66"/>
      <c r="H16" s="66"/>
      <c r="I16" s="66"/>
      <c r="J16" s="66"/>
      <c r="K16" s="66"/>
    </row>
    <row r="17" spans="1:11" ht="25.5">
      <c r="A17" s="64">
        <v>2</v>
      </c>
      <c r="B17" s="77" t="s">
        <v>978</v>
      </c>
      <c r="C17" s="66"/>
      <c r="D17" s="66"/>
      <c r="E17" s="66"/>
      <c r="F17" s="66"/>
      <c r="G17" s="66"/>
      <c r="H17" s="66"/>
      <c r="I17" s="66">
        <f>H17+G17+F17+E17+D17+C17</f>
        <v>0</v>
      </c>
      <c r="J17" s="66"/>
      <c r="K17" s="66">
        <f t="shared" ref="K17:K23" si="1">I17+J17</f>
        <v>0</v>
      </c>
    </row>
    <row r="18" spans="1:11" ht="34.5" customHeight="1">
      <c r="A18" s="64">
        <v>3</v>
      </c>
      <c r="B18" s="77" t="s">
        <v>979</v>
      </c>
      <c r="C18" s="66"/>
      <c r="D18" s="66"/>
      <c r="E18" s="66"/>
      <c r="F18" s="66"/>
      <c r="G18" s="66"/>
      <c r="H18" s="66"/>
      <c r="I18" s="66">
        <f t="shared" ref="I18:I23" si="2">H18+G18+F18+E18+D18+C18</f>
        <v>0</v>
      </c>
      <c r="J18" s="66"/>
      <c r="K18" s="66">
        <f t="shared" si="1"/>
        <v>0</v>
      </c>
    </row>
    <row r="19" spans="1:11">
      <c r="A19" s="64">
        <v>4</v>
      </c>
      <c r="B19" s="78"/>
      <c r="C19" s="66"/>
      <c r="D19" s="66"/>
      <c r="E19" s="66"/>
      <c r="F19" s="66"/>
      <c r="G19" s="66"/>
      <c r="H19" s="66"/>
      <c r="I19" s="66">
        <f t="shared" si="2"/>
        <v>0</v>
      </c>
      <c r="J19" s="66"/>
      <c r="K19" s="66">
        <f t="shared" si="1"/>
        <v>0</v>
      </c>
    </row>
    <row r="20" spans="1:11">
      <c r="A20" s="64">
        <v>5</v>
      </c>
      <c r="B20" s="77" t="s">
        <v>989</v>
      </c>
      <c r="C20" s="66"/>
      <c r="D20" s="66"/>
      <c r="E20" s="66">
        <v>0</v>
      </c>
      <c r="F20" s="66"/>
      <c r="G20" s="66"/>
      <c r="H20" s="66">
        <f>'Aktiv-Pasiv'!G103</f>
        <v>49698614.168999881</v>
      </c>
      <c r="I20" s="66">
        <f>H20+G20+F20+E20+D20+C20</f>
        <v>49698614.168999881</v>
      </c>
      <c r="J20" s="66"/>
      <c r="K20" s="66">
        <f t="shared" si="1"/>
        <v>49698614.168999881</v>
      </c>
    </row>
    <row r="21" spans="1:11" ht="15" customHeight="1">
      <c r="A21" s="64">
        <v>6</v>
      </c>
      <c r="B21" s="77" t="s">
        <v>981</v>
      </c>
      <c r="C21" s="66"/>
      <c r="D21" s="66"/>
      <c r="E21" s="66"/>
      <c r="F21" s="66"/>
      <c r="G21" s="66"/>
      <c r="H21" s="66"/>
      <c r="I21" s="66">
        <f t="shared" si="2"/>
        <v>0</v>
      </c>
      <c r="J21" s="66"/>
      <c r="K21" s="66">
        <f t="shared" si="1"/>
        <v>0</v>
      </c>
    </row>
    <row r="22" spans="1:11" ht="15" customHeight="1">
      <c r="A22" s="64">
        <v>7</v>
      </c>
      <c r="B22" s="77" t="s">
        <v>990</v>
      </c>
      <c r="C22" s="66"/>
      <c r="D22" s="66"/>
      <c r="E22" s="66">
        <f>36564230</f>
        <v>36564230</v>
      </c>
      <c r="F22" s="66">
        <v>0</v>
      </c>
      <c r="G22" s="66"/>
      <c r="H22" s="66">
        <f>-36564230</f>
        <v>-36564230</v>
      </c>
      <c r="I22" s="66">
        <f>H22+G22+F22+E22+D22+C22</f>
        <v>0</v>
      </c>
      <c r="J22" s="66"/>
      <c r="K22" s="66">
        <f t="shared" si="1"/>
        <v>0</v>
      </c>
    </row>
    <row r="23" spans="1:11" ht="15" customHeight="1">
      <c r="A23" s="64">
        <v>8</v>
      </c>
      <c r="B23" s="77" t="s">
        <v>991</v>
      </c>
      <c r="C23" s="66"/>
      <c r="D23" s="66"/>
      <c r="E23" s="66"/>
      <c r="F23" s="66"/>
      <c r="G23" s="66"/>
      <c r="H23" s="66"/>
      <c r="I23" s="66">
        <f t="shared" si="2"/>
        <v>0</v>
      </c>
      <c r="J23" s="66"/>
      <c r="K23" s="66">
        <f t="shared" si="1"/>
        <v>0</v>
      </c>
    </row>
    <row r="24" spans="1:11" s="62" customFormat="1" ht="15" customHeight="1">
      <c r="A24" s="67" t="s">
        <v>898</v>
      </c>
      <c r="B24" s="76" t="s">
        <v>992</v>
      </c>
      <c r="C24" s="68">
        <f>SUM(C15:C23)</f>
        <v>171500000</v>
      </c>
      <c r="D24" s="68">
        <f t="shared" ref="D24:K24" si="3">SUM(D15:D23)</f>
        <v>0</v>
      </c>
      <c r="E24" s="68">
        <f t="shared" si="3"/>
        <v>166194677</v>
      </c>
      <c r="F24" s="68">
        <f t="shared" si="3"/>
        <v>21584467</v>
      </c>
      <c r="G24" s="68">
        <f t="shared" si="3"/>
        <v>0</v>
      </c>
      <c r="H24" s="68">
        <f>SUM(H15:H23)</f>
        <v>49698614.168999881</v>
      </c>
      <c r="I24" s="68">
        <f t="shared" si="3"/>
        <v>408977758.16899991</v>
      </c>
      <c r="J24" s="68">
        <f t="shared" si="3"/>
        <v>0</v>
      </c>
      <c r="K24" s="68">
        <f t="shared" si="3"/>
        <v>408977758.16899991</v>
      </c>
    </row>
    <row r="25" spans="1:11">
      <c r="A25" s="64">
        <v>1</v>
      </c>
      <c r="B25" s="78"/>
      <c r="C25" s="66"/>
      <c r="D25" s="66"/>
      <c r="E25" s="66"/>
      <c r="F25" s="66"/>
      <c r="G25" s="66"/>
      <c r="H25" s="66"/>
      <c r="I25" s="66"/>
      <c r="J25" s="66"/>
      <c r="K25" s="66"/>
    </row>
    <row r="26" spans="1:11" ht="25.5">
      <c r="A26" s="64">
        <v>2</v>
      </c>
      <c r="B26" s="77" t="s">
        <v>978</v>
      </c>
      <c r="C26" s="66"/>
      <c r="D26" s="66"/>
      <c r="E26" s="66"/>
      <c r="F26" s="66"/>
      <c r="G26" s="66"/>
      <c r="H26" s="66"/>
      <c r="I26" s="66">
        <f t="shared" ref="I26:I32" si="4">H26+G26+F26+E26+D26+C26</f>
        <v>0</v>
      </c>
      <c r="J26" s="66"/>
      <c r="K26" s="66">
        <f t="shared" ref="K26:K32" si="5">I26+J26</f>
        <v>0</v>
      </c>
    </row>
    <row r="27" spans="1:11" ht="35.25" customHeight="1">
      <c r="A27" s="64">
        <v>3</v>
      </c>
      <c r="B27" s="77" t="s">
        <v>979</v>
      </c>
      <c r="C27" s="66"/>
      <c r="D27" s="66"/>
      <c r="E27" s="66"/>
      <c r="F27" s="66"/>
      <c r="G27" s="66"/>
      <c r="H27" s="66"/>
      <c r="I27" s="66">
        <f t="shared" si="4"/>
        <v>0</v>
      </c>
      <c r="J27" s="66"/>
      <c r="K27" s="66">
        <f t="shared" si="5"/>
        <v>0</v>
      </c>
    </row>
    <row r="28" spans="1:11">
      <c r="A28" s="64">
        <v>4</v>
      </c>
      <c r="B28" s="78"/>
      <c r="C28" s="66"/>
      <c r="D28" s="66"/>
      <c r="E28" s="66"/>
      <c r="F28" s="66"/>
      <c r="G28" s="66"/>
      <c r="H28" s="66"/>
      <c r="I28" s="66">
        <f t="shared" si="4"/>
        <v>0</v>
      </c>
      <c r="J28" s="66"/>
      <c r="K28" s="66">
        <f t="shared" si="5"/>
        <v>0</v>
      </c>
    </row>
    <row r="29" spans="1:11">
      <c r="A29" s="64">
        <v>5</v>
      </c>
      <c r="B29" s="77" t="s">
        <v>989</v>
      </c>
      <c r="C29" s="66"/>
      <c r="D29" s="66"/>
      <c r="E29" s="66">
        <v>0</v>
      </c>
      <c r="F29" s="66"/>
      <c r="G29" s="66"/>
      <c r="H29" s="66">
        <f>'Aktiv-Pasiv'!F103</f>
        <v>39902008.169999994</v>
      </c>
      <c r="I29" s="66">
        <f t="shared" si="4"/>
        <v>39902008.169999994</v>
      </c>
      <c r="J29" s="66"/>
      <c r="K29" s="66">
        <f t="shared" si="5"/>
        <v>39902008.169999994</v>
      </c>
    </row>
    <row r="30" spans="1:11">
      <c r="A30" s="64">
        <v>6</v>
      </c>
      <c r="B30" s="77" t="s">
        <v>981</v>
      </c>
      <c r="C30" s="66"/>
      <c r="D30" s="66"/>
      <c r="E30" s="66"/>
      <c r="F30" s="66"/>
      <c r="G30" s="66"/>
      <c r="H30" s="66"/>
      <c r="I30" s="66">
        <f t="shared" si="4"/>
        <v>0</v>
      </c>
      <c r="J30" s="66"/>
      <c r="K30" s="66">
        <f t="shared" si="5"/>
        <v>0</v>
      </c>
    </row>
    <row r="31" spans="1:11">
      <c r="A31" s="64">
        <v>7</v>
      </c>
      <c r="B31" s="77" t="s">
        <v>990</v>
      </c>
      <c r="C31" s="66"/>
      <c r="D31" s="66"/>
      <c r="E31" s="66">
        <f>H20</f>
        <v>49698614.168999881</v>
      </c>
      <c r="F31" s="66">
        <v>0</v>
      </c>
      <c r="G31" s="66"/>
      <c r="H31" s="66">
        <f>-E31</f>
        <v>-49698614.168999881</v>
      </c>
      <c r="I31" s="66">
        <f t="shared" si="4"/>
        <v>0</v>
      </c>
      <c r="J31" s="66"/>
      <c r="K31" s="66">
        <f t="shared" si="5"/>
        <v>0</v>
      </c>
    </row>
    <row r="32" spans="1:11">
      <c r="A32" s="64">
        <v>8</v>
      </c>
      <c r="B32" s="77" t="s">
        <v>991</v>
      </c>
      <c r="C32" s="66"/>
      <c r="D32" s="66"/>
      <c r="E32" s="66"/>
      <c r="F32" s="66"/>
      <c r="G32" s="66"/>
      <c r="H32" s="66"/>
      <c r="I32" s="66">
        <f t="shared" si="4"/>
        <v>0</v>
      </c>
      <c r="J32" s="66"/>
      <c r="K32" s="66">
        <f t="shared" si="5"/>
        <v>0</v>
      </c>
    </row>
    <row r="33" spans="1:11">
      <c r="A33" s="67" t="s">
        <v>898</v>
      </c>
      <c r="B33" s="76" t="s">
        <v>1380</v>
      </c>
      <c r="C33" s="68">
        <f>SUM(C24:C32)</f>
        <v>171500000</v>
      </c>
      <c r="D33" s="68">
        <f t="shared" ref="D33:K33" si="6">SUM(D24:D32)</f>
        <v>0</v>
      </c>
      <c r="E33" s="68">
        <f t="shared" si="6"/>
        <v>215893291.16899988</v>
      </c>
      <c r="F33" s="68">
        <f t="shared" si="6"/>
        <v>21584467</v>
      </c>
      <c r="G33" s="68">
        <f t="shared" si="6"/>
        <v>0</v>
      </c>
      <c r="H33" s="68">
        <f t="shared" si="6"/>
        <v>39902008.169999987</v>
      </c>
      <c r="I33" s="68">
        <f t="shared" si="6"/>
        <v>448879766.33899993</v>
      </c>
      <c r="J33" s="68">
        <f t="shared" si="6"/>
        <v>0</v>
      </c>
      <c r="K33" s="68">
        <f t="shared" si="6"/>
        <v>448879766.33899993</v>
      </c>
    </row>
    <row r="34" spans="1:11">
      <c r="A34" s="64">
        <v>1</v>
      </c>
      <c r="B34" s="78"/>
      <c r="C34" s="66"/>
      <c r="D34" s="66"/>
      <c r="E34" s="66"/>
      <c r="F34" s="66"/>
      <c r="G34" s="66"/>
      <c r="H34" s="66"/>
      <c r="I34" s="66"/>
      <c r="J34" s="66"/>
      <c r="K34" s="66"/>
    </row>
    <row r="35" spans="1:11" ht="25.5">
      <c r="A35" s="64">
        <v>2</v>
      </c>
      <c r="B35" s="77" t="s">
        <v>978</v>
      </c>
      <c r="C35" s="66"/>
      <c r="D35" s="66"/>
      <c r="E35" s="66"/>
      <c r="F35" s="66"/>
      <c r="G35" s="66"/>
      <c r="H35" s="66"/>
      <c r="I35" s="66">
        <f t="shared" ref="I35:I41" si="7">H35+G35+F35+E35+D35+C35</f>
        <v>0</v>
      </c>
      <c r="J35" s="66"/>
      <c r="K35" s="66">
        <f t="shared" ref="K35:K41" si="8">I35+J35</f>
        <v>0</v>
      </c>
    </row>
    <row r="36" spans="1:11" ht="37.5" customHeight="1">
      <c r="A36" s="64">
        <v>3</v>
      </c>
      <c r="B36" s="77" t="s">
        <v>979</v>
      </c>
      <c r="C36" s="66"/>
      <c r="D36" s="66"/>
      <c r="E36" s="66"/>
      <c r="F36" s="66"/>
      <c r="G36" s="66"/>
      <c r="H36" s="66"/>
      <c r="I36" s="66">
        <f t="shared" si="7"/>
        <v>0</v>
      </c>
      <c r="J36" s="66"/>
      <c r="K36" s="66">
        <f t="shared" si="8"/>
        <v>0</v>
      </c>
    </row>
    <row r="37" spans="1:11">
      <c r="A37" s="64">
        <v>4</v>
      </c>
      <c r="B37" s="78"/>
      <c r="C37" s="66"/>
      <c r="D37" s="66"/>
      <c r="E37" s="66"/>
      <c r="F37" s="66"/>
      <c r="G37" s="66"/>
      <c r="H37" s="66"/>
      <c r="I37" s="66">
        <f t="shared" si="7"/>
        <v>0</v>
      </c>
      <c r="J37" s="66"/>
      <c r="K37" s="66">
        <f t="shared" si="8"/>
        <v>0</v>
      </c>
    </row>
    <row r="38" spans="1:11">
      <c r="A38" s="64">
        <v>5</v>
      </c>
      <c r="B38" s="77" t="s">
        <v>989</v>
      </c>
      <c r="C38" s="66"/>
      <c r="D38" s="66"/>
      <c r="E38" s="66">
        <v>0</v>
      </c>
      <c r="F38" s="66"/>
      <c r="G38" s="66"/>
      <c r="H38" s="66">
        <f>'Aktiv-Pasiv'!E103</f>
        <v>1217739.2999999998</v>
      </c>
      <c r="I38" s="66">
        <f t="shared" si="7"/>
        <v>1217739.2999999998</v>
      </c>
      <c r="J38" s="66"/>
      <c r="K38" s="66">
        <f t="shared" si="8"/>
        <v>1217739.2999999998</v>
      </c>
    </row>
    <row r="39" spans="1:11">
      <c r="A39" s="64">
        <v>6</v>
      </c>
      <c r="B39" s="77" t="s">
        <v>981</v>
      </c>
      <c r="C39" s="66"/>
      <c r="D39" s="66"/>
      <c r="E39" s="66"/>
      <c r="F39" s="66"/>
      <c r="G39" s="66"/>
      <c r="H39" s="66"/>
      <c r="I39" s="66">
        <f t="shared" si="7"/>
        <v>0</v>
      </c>
      <c r="J39" s="66"/>
      <c r="K39" s="66">
        <f t="shared" si="8"/>
        <v>0</v>
      </c>
    </row>
    <row r="40" spans="1:11">
      <c r="A40" s="64">
        <v>7</v>
      </c>
      <c r="B40" s="77" t="s">
        <v>990</v>
      </c>
      <c r="C40" s="66"/>
      <c r="D40" s="66"/>
      <c r="E40" s="66">
        <f>H29</f>
        <v>39902008.169999994</v>
      </c>
      <c r="F40" s="66">
        <v>0</v>
      </c>
      <c r="G40" s="66"/>
      <c r="H40" s="66">
        <f>-E40</f>
        <v>-39902008.169999994</v>
      </c>
      <c r="I40" s="66">
        <f t="shared" si="7"/>
        <v>0</v>
      </c>
      <c r="J40" s="66"/>
      <c r="K40" s="66">
        <f t="shared" si="8"/>
        <v>0</v>
      </c>
    </row>
    <row r="41" spans="1:11">
      <c r="A41" s="64">
        <v>8</v>
      </c>
      <c r="B41" s="77" t="s">
        <v>991</v>
      </c>
      <c r="C41" s="66"/>
      <c r="D41" s="66"/>
      <c r="E41" s="66"/>
      <c r="F41" s="66"/>
      <c r="G41" s="66"/>
      <c r="H41" s="66"/>
      <c r="I41" s="66">
        <f t="shared" si="7"/>
        <v>0</v>
      </c>
      <c r="J41" s="66"/>
      <c r="K41" s="66">
        <f t="shared" si="8"/>
        <v>0</v>
      </c>
    </row>
    <row r="42" spans="1:11">
      <c r="A42" s="67" t="s">
        <v>898</v>
      </c>
      <c r="B42" s="557" t="s">
        <v>983</v>
      </c>
      <c r="C42" s="68">
        <f t="shared" ref="C42:K42" si="9">SUM(C33:C41)</f>
        <v>171500000</v>
      </c>
      <c r="D42" s="68">
        <f t="shared" si="9"/>
        <v>0</v>
      </c>
      <c r="E42" s="68">
        <f t="shared" si="9"/>
        <v>255795299.33899987</v>
      </c>
      <c r="F42" s="68">
        <f t="shared" si="9"/>
        <v>21584467</v>
      </c>
      <c r="G42" s="68">
        <f t="shared" si="9"/>
        <v>0</v>
      </c>
      <c r="H42" s="68">
        <f t="shared" si="9"/>
        <v>1217739.2999999896</v>
      </c>
      <c r="I42" s="68">
        <f t="shared" si="9"/>
        <v>450097505.63899994</v>
      </c>
      <c r="J42" s="68">
        <f t="shared" si="9"/>
        <v>0</v>
      </c>
      <c r="K42" s="68">
        <f t="shared" si="9"/>
        <v>450097505.63899994</v>
      </c>
    </row>
    <row r="47" spans="1:11">
      <c r="I47" s="79" t="s">
        <v>965</v>
      </c>
      <c r="J47" s="79"/>
    </row>
    <row r="48" spans="1:11">
      <c r="I48" s="773" t="s">
        <v>966</v>
      </c>
      <c r="J48" s="773"/>
      <c r="K48" s="773"/>
    </row>
    <row r="49" spans="9:11">
      <c r="I49" s="773" t="s">
        <v>967</v>
      </c>
      <c r="J49" s="773"/>
      <c r="K49" s="773"/>
    </row>
  </sheetData>
  <mergeCells count="2">
    <mergeCell ref="I48:K48"/>
    <mergeCell ref="I49:K49"/>
  </mergeCells>
  <phoneticPr fontId="5" type="noConversion"/>
  <pageMargins left="0.38" right="0.25" top="0.25" bottom="0.22" header="0.22" footer="0.1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B1:Q219"/>
  <sheetViews>
    <sheetView topLeftCell="A189" zoomScaleNormal="100" workbookViewId="0">
      <selection activeCell="G219" sqref="G219:K219"/>
    </sheetView>
  </sheetViews>
  <sheetFormatPr defaultRowHeight="12.75"/>
  <cols>
    <col min="1" max="1" width="2.5703125" style="316" customWidth="1"/>
    <col min="2" max="2" width="2" style="316" customWidth="1"/>
    <col min="3" max="3" width="3.42578125" style="316" customWidth="1"/>
    <col min="4" max="4" width="29.85546875" style="316" customWidth="1"/>
    <col min="5" max="5" width="12.85546875" style="44" customWidth="1"/>
    <col min="6" max="6" width="12.42578125" style="316" customWidth="1"/>
    <col min="7" max="7" width="13" style="347" customWidth="1"/>
    <col min="8" max="8" width="12.7109375" style="347" customWidth="1"/>
    <col min="9" max="9" width="12.85546875" style="316" customWidth="1"/>
    <col min="10" max="10" width="12.85546875" style="44" customWidth="1"/>
    <col min="11" max="13" width="14.28515625" style="316" customWidth="1"/>
    <col min="14" max="14" width="9.140625" style="316"/>
    <col min="15" max="15" width="4" style="316" customWidth="1"/>
    <col min="16" max="16" width="13" style="316" customWidth="1"/>
    <col min="17" max="16384" width="9.140625" style="316"/>
  </cols>
  <sheetData>
    <row r="1" spans="2:17">
      <c r="B1" s="318"/>
      <c r="C1" s="318"/>
      <c r="D1" s="318"/>
      <c r="E1" s="88"/>
      <c r="F1" s="318"/>
      <c r="G1" s="319"/>
      <c r="H1" s="319"/>
      <c r="I1" s="318"/>
      <c r="J1" s="88"/>
      <c r="K1" s="318"/>
    </row>
    <row r="2" spans="2:17" s="320" customFormat="1" ht="12.75" customHeight="1">
      <c r="B2" s="80"/>
      <c r="C2" s="80"/>
      <c r="D2" s="80"/>
      <c r="E2" s="90"/>
      <c r="F2" s="80"/>
      <c r="G2" s="91"/>
      <c r="H2" s="91"/>
      <c r="I2" s="80"/>
      <c r="J2" s="90"/>
      <c r="K2" s="80"/>
    </row>
    <row r="3" spans="2:17" ht="15.75">
      <c r="B3" s="777" t="s">
        <v>994</v>
      </c>
      <c r="C3" s="777"/>
      <c r="D3" s="92" t="s">
        <v>995</v>
      </c>
      <c r="E3" s="88"/>
      <c r="F3" s="318"/>
      <c r="G3" s="319"/>
      <c r="H3" s="319"/>
      <c r="I3" s="321"/>
      <c r="J3" s="93"/>
      <c r="K3" s="318"/>
    </row>
    <row r="4" spans="2:17">
      <c r="B4" s="318"/>
      <c r="C4" s="318"/>
      <c r="D4" s="318"/>
      <c r="E4" s="88"/>
      <c r="F4" s="318"/>
      <c r="G4" s="319"/>
      <c r="H4" s="319"/>
      <c r="I4" s="321"/>
      <c r="J4" s="93"/>
      <c r="K4" s="318"/>
    </row>
    <row r="5" spans="2:17">
      <c r="B5" s="318"/>
      <c r="C5" s="94" t="s">
        <v>303</v>
      </c>
      <c r="D5" s="95" t="s">
        <v>996</v>
      </c>
      <c r="E5" s="96"/>
      <c r="F5" s="95"/>
      <c r="G5" s="319"/>
      <c r="H5" s="319"/>
      <c r="I5" s="318"/>
      <c r="J5" s="88"/>
      <c r="K5" s="318"/>
    </row>
    <row r="6" spans="2:17">
      <c r="B6" s="318"/>
      <c r="C6" s="94"/>
      <c r="D6" s="95"/>
      <c r="E6" s="96"/>
      <c r="F6" s="95"/>
      <c r="G6" s="319"/>
      <c r="H6" s="319"/>
      <c r="I6" s="318"/>
      <c r="J6" s="88"/>
      <c r="K6" s="318"/>
    </row>
    <row r="7" spans="2:17">
      <c r="B7" s="318"/>
      <c r="C7" s="97">
        <v>1</v>
      </c>
      <c r="D7" s="98" t="s">
        <v>997</v>
      </c>
      <c r="E7" s="99"/>
      <c r="F7" s="318"/>
      <c r="G7" s="319"/>
      <c r="H7" s="319"/>
      <c r="I7" s="318"/>
      <c r="J7" s="88"/>
      <c r="K7" s="318"/>
    </row>
    <row r="8" spans="2:17">
      <c r="B8" s="318"/>
      <c r="C8" s="318"/>
      <c r="D8" s="317" t="s">
        <v>307</v>
      </c>
      <c r="E8" s="93"/>
      <c r="F8" s="321"/>
      <c r="G8" s="322"/>
      <c r="H8" s="322"/>
      <c r="I8" s="321"/>
      <c r="J8" s="93"/>
      <c r="K8" s="318"/>
    </row>
    <row r="9" spans="2:17">
      <c r="B9" s="318"/>
      <c r="C9" s="774" t="s">
        <v>998</v>
      </c>
      <c r="D9" s="774" t="s">
        <v>999</v>
      </c>
      <c r="E9" s="774"/>
      <c r="F9" s="774" t="s">
        <v>1000</v>
      </c>
      <c r="G9" s="774" t="s">
        <v>1001</v>
      </c>
      <c r="H9" s="774"/>
      <c r="I9" s="323" t="s">
        <v>1002</v>
      </c>
      <c r="J9" s="323" t="s">
        <v>1002</v>
      </c>
      <c r="L9" s="324"/>
      <c r="M9" s="101"/>
      <c r="N9" s="102"/>
      <c r="O9" s="103"/>
      <c r="P9" s="103"/>
      <c r="Q9" s="318"/>
    </row>
    <row r="10" spans="2:17">
      <c r="B10" s="318"/>
      <c r="C10" s="774"/>
      <c r="D10" s="774"/>
      <c r="E10" s="774"/>
      <c r="F10" s="774"/>
      <c r="G10" s="774"/>
      <c r="H10" s="774"/>
      <c r="I10" s="325" t="s">
        <v>1003</v>
      </c>
      <c r="J10" s="325" t="s">
        <v>1004</v>
      </c>
      <c r="L10" s="324"/>
      <c r="M10" s="101"/>
      <c r="N10" s="102"/>
      <c r="O10" s="103"/>
      <c r="P10" s="103"/>
      <c r="Q10" s="318"/>
    </row>
    <row r="11" spans="2:17">
      <c r="B11" s="318"/>
      <c r="C11" s="268">
        <v>1</v>
      </c>
      <c r="D11" s="104" t="s">
        <v>1005</v>
      </c>
      <c r="E11" s="105"/>
      <c r="F11" s="106" t="s">
        <v>1006</v>
      </c>
      <c r="G11" s="775">
        <v>20054335301</v>
      </c>
      <c r="H11" s="776"/>
      <c r="I11" s="326"/>
      <c r="J11" s="327"/>
      <c r="L11" s="324"/>
      <c r="M11" s="101"/>
      <c r="N11" s="102"/>
      <c r="O11" s="103"/>
      <c r="P11" s="103"/>
      <c r="Q11" s="318"/>
    </row>
    <row r="12" spans="2:17">
      <c r="B12" s="318"/>
      <c r="C12" s="268">
        <v>2</v>
      </c>
      <c r="D12" s="104" t="s">
        <v>1007</v>
      </c>
      <c r="E12" s="105"/>
      <c r="F12" s="106" t="s">
        <v>1008</v>
      </c>
      <c r="G12" s="775">
        <v>20054335303</v>
      </c>
      <c r="H12" s="776"/>
      <c r="I12" s="326"/>
      <c r="J12" s="327"/>
      <c r="L12" s="324"/>
      <c r="M12" s="101"/>
      <c r="N12" s="102"/>
      <c r="O12" s="103"/>
      <c r="P12" s="103"/>
      <c r="Q12" s="318"/>
    </row>
    <row r="13" spans="2:17">
      <c r="B13" s="318"/>
      <c r="C13" s="268">
        <v>3</v>
      </c>
      <c r="D13" s="104" t="s">
        <v>1007</v>
      </c>
      <c r="E13" s="105"/>
      <c r="F13" s="106" t="s">
        <v>1009</v>
      </c>
      <c r="G13" s="775">
        <v>30590135303</v>
      </c>
      <c r="H13" s="776"/>
      <c r="I13" s="326"/>
      <c r="J13" s="327">
        <v>-2515</v>
      </c>
      <c r="L13" s="324"/>
      <c r="M13" s="101"/>
      <c r="N13" s="102"/>
      <c r="O13" s="103"/>
      <c r="P13" s="103"/>
      <c r="Q13" s="318"/>
    </row>
    <row r="14" spans="2:17">
      <c r="B14" s="318"/>
      <c r="C14" s="268">
        <v>4</v>
      </c>
      <c r="D14" s="104" t="s">
        <v>1007</v>
      </c>
      <c r="E14" s="105"/>
      <c r="F14" s="106" t="s">
        <v>1006</v>
      </c>
      <c r="G14" s="775">
        <v>30590135304</v>
      </c>
      <c r="H14" s="776"/>
      <c r="I14" s="326"/>
      <c r="J14" s="327"/>
      <c r="L14" s="324"/>
      <c r="M14" s="101"/>
      <c r="N14" s="102"/>
      <c r="O14" s="103"/>
      <c r="P14" s="103"/>
      <c r="Q14" s="318"/>
    </row>
    <row r="15" spans="2:17">
      <c r="B15" s="318"/>
      <c r="C15" s="268">
        <v>5</v>
      </c>
      <c r="D15" s="104" t="s">
        <v>1007</v>
      </c>
      <c r="E15" s="105"/>
      <c r="F15" s="106" t="s">
        <v>1008</v>
      </c>
      <c r="G15" s="775">
        <v>30590135305</v>
      </c>
      <c r="H15" s="776"/>
      <c r="I15" s="326"/>
      <c r="J15" s="327">
        <v>1365</v>
      </c>
      <c r="L15" s="324"/>
      <c r="M15" s="101"/>
      <c r="N15" s="102"/>
      <c r="O15" s="103"/>
      <c r="P15" s="103"/>
      <c r="Q15" s="318"/>
    </row>
    <row r="16" spans="2:17">
      <c r="B16" s="318"/>
      <c r="C16" s="268">
        <v>6</v>
      </c>
      <c r="D16" s="104" t="s">
        <v>1007</v>
      </c>
      <c r="E16" s="105"/>
      <c r="F16" s="106" t="s">
        <v>1008</v>
      </c>
      <c r="G16" s="775">
        <v>30590135306</v>
      </c>
      <c r="H16" s="776"/>
      <c r="I16" s="326"/>
      <c r="J16" s="327"/>
      <c r="L16" s="324"/>
      <c r="M16" s="101"/>
      <c r="N16" s="102"/>
      <c r="O16" s="103"/>
      <c r="P16" s="103"/>
      <c r="Q16" s="318"/>
    </row>
    <row r="17" spans="2:17">
      <c r="B17" s="318"/>
      <c r="C17" s="268">
        <v>7</v>
      </c>
      <c r="D17" s="104" t="s">
        <v>1010</v>
      </c>
      <c r="E17" s="105"/>
      <c r="F17" s="106" t="s">
        <v>1006</v>
      </c>
      <c r="G17" s="775">
        <v>113405</v>
      </c>
      <c r="H17" s="776"/>
      <c r="I17" s="326"/>
      <c r="J17" s="327">
        <v>-412</v>
      </c>
      <c r="L17" s="324"/>
      <c r="M17" s="101"/>
      <c r="N17" s="102"/>
      <c r="O17" s="103"/>
      <c r="P17" s="103"/>
      <c r="Q17" s="318"/>
    </row>
    <row r="18" spans="2:17">
      <c r="B18" s="318"/>
      <c r="C18" s="268">
        <v>8</v>
      </c>
      <c r="D18" s="104" t="s">
        <v>1011</v>
      </c>
      <c r="E18" s="105"/>
      <c r="F18" s="106" t="s">
        <v>1008</v>
      </c>
      <c r="G18" s="775">
        <v>110841</v>
      </c>
      <c r="H18" s="776"/>
      <c r="I18" s="326"/>
      <c r="J18" s="327">
        <v>5934</v>
      </c>
      <c r="L18" s="324"/>
      <c r="M18" s="101"/>
      <c r="N18" s="102"/>
      <c r="O18" s="103"/>
      <c r="P18" s="103"/>
      <c r="Q18" s="318"/>
    </row>
    <row r="19" spans="2:17">
      <c r="B19" s="318"/>
      <c r="C19" s="268">
        <v>9</v>
      </c>
      <c r="D19" s="104" t="s">
        <v>1381</v>
      </c>
      <c r="E19" s="105"/>
      <c r="F19" s="106" t="s">
        <v>1006</v>
      </c>
      <c r="G19" s="779">
        <v>190083740001</v>
      </c>
      <c r="H19" s="780"/>
      <c r="I19" s="326"/>
      <c r="J19" s="327">
        <v>3437</v>
      </c>
      <c r="L19" s="324"/>
      <c r="M19" s="101"/>
      <c r="N19" s="102"/>
      <c r="O19" s="103"/>
      <c r="P19" s="103"/>
      <c r="Q19" s="318"/>
    </row>
    <row r="20" spans="2:17">
      <c r="B20" s="318"/>
      <c r="C20" s="268">
        <v>10</v>
      </c>
      <c r="D20" s="104" t="s">
        <v>1381</v>
      </c>
      <c r="E20" s="105"/>
      <c r="F20" s="106" t="s">
        <v>1008</v>
      </c>
      <c r="G20" s="779">
        <v>190083740102</v>
      </c>
      <c r="H20" s="780"/>
      <c r="I20" s="326"/>
      <c r="J20" s="327">
        <v>9770</v>
      </c>
      <c r="L20" s="324"/>
      <c r="M20" s="101"/>
      <c r="N20" s="102"/>
      <c r="O20" s="103"/>
      <c r="P20" s="103"/>
      <c r="Q20" s="318"/>
    </row>
    <row r="21" spans="2:17">
      <c r="B21" s="318"/>
      <c r="C21" s="268">
        <v>11</v>
      </c>
      <c r="D21" s="104" t="s">
        <v>0</v>
      </c>
      <c r="E21" s="105"/>
      <c r="F21" s="106" t="s">
        <v>1006</v>
      </c>
      <c r="G21" s="775">
        <v>9569</v>
      </c>
      <c r="H21" s="776"/>
      <c r="I21" s="326"/>
      <c r="J21" s="558">
        <v>7166</v>
      </c>
      <c r="L21" s="324"/>
      <c r="M21" s="101"/>
      <c r="N21" s="102"/>
      <c r="O21" s="103"/>
      <c r="P21" s="103"/>
      <c r="Q21" s="318"/>
    </row>
    <row r="22" spans="2:17">
      <c r="B22" s="318"/>
      <c r="C22" s="268">
        <v>12</v>
      </c>
      <c r="D22" s="104" t="s">
        <v>0</v>
      </c>
      <c r="E22" s="105"/>
      <c r="F22" s="106" t="s">
        <v>1008</v>
      </c>
      <c r="G22" s="775">
        <v>9569</v>
      </c>
      <c r="H22" s="776"/>
      <c r="I22" s="326"/>
      <c r="J22" s="327">
        <v>16010</v>
      </c>
      <c r="L22" s="324"/>
      <c r="M22" s="101"/>
      <c r="N22" s="102"/>
      <c r="O22" s="103"/>
      <c r="P22" s="103"/>
      <c r="Q22" s="318"/>
    </row>
    <row r="23" spans="2:17">
      <c r="B23" s="318"/>
      <c r="C23" s="268">
        <v>13</v>
      </c>
      <c r="D23" s="104" t="s">
        <v>1012</v>
      </c>
      <c r="E23" s="105"/>
      <c r="F23" s="106" t="s">
        <v>1006</v>
      </c>
      <c r="G23" s="775">
        <v>33454</v>
      </c>
      <c r="H23" s="776"/>
      <c r="I23" s="326"/>
      <c r="J23" s="327">
        <v>7990</v>
      </c>
      <c r="L23" s="324"/>
      <c r="M23" s="101"/>
      <c r="N23" s="102"/>
      <c r="O23" s="103"/>
      <c r="P23" s="103"/>
      <c r="Q23" s="318"/>
    </row>
    <row r="24" spans="2:17">
      <c r="B24" s="318"/>
      <c r="C24" s="268">
        <v>14</v>
      </c>
      <c r="D24" s="104" t="s">
        <v>1012</v>
      </c>
      <c r="E24" s="105"/>
      <c r="F24" s="106" t="s">
        <v>1008</v>
      </c>
      <c r="G24" s="775">
        <v>62281</v>
      </c>
      <c r="H24" s="776"/>
      <c r="I24" s="326"/>
      <c r="J24" s="327">
        <v>-2373</v>
      </c>
      <c r="L24" s="324"/>
      <c r="M24" s="101"/>
      <c r="N24" s="102"/>
      <c r="O24" s="103"/>
      <c r="P24" s="103"/>
      <c r="Q24" s="318"/>
    </row>
    <row r="25" spans="2:17">
      <c r="B25" s="318"/>
      <c r="C25" s="268">
        <v>15</v>
      </c>
      <c r="D25" s="104" t="s">
        <v>1012</v>
      </c>
      <c r="E25" s="105"/>
      <c r="F25" s="106" t="s">
        <v>1009</v>
      </c>
      <c r="G25" s="775">
        <v>46773</v>
      </c>
      <c r="H25" s="776"/>
      <c r="I25" s="326"/>
      <c r="J25" s="327">
        <v>-10585</v>
      </c>
      <c r="L25" s="324"/>
      <c r="M25" s="101"/>
      <c r="N25" s="102"/>
      <c r="O25" s="103"/>
      <c r="P25" s="103"/>
      <c r="Q25" s="318"/>
    </row>
    <row r="26" spans="2:17">
      <c r="B26" s="318"/>
      <c r="C26" s="268">
        <v>16</v>
      </c>
      <c r="D26" s="104" t="s">
        <v>1013</v>
      </c>
      <c r="E26" s="105"/>
      <c r="F26" s="106" t="s">
        <v>1006</v>
      </c>
      <c r="G26" s="775">
        <v>100107582</v>
      </c>
      <c r="H26" s="776"/>
      <c r="I26" s="326"/>
      <c r="J26" s="327">
        <v>1438</v>
      </c>
      <c r="L26" s="324"/>
      <c r="M26" s="101"/>
      <c r="N26" s="102"/>
      <c r="O26" s="103"/>
      <c r="P26" s="103"/>
      <c r="Q26" s="318"/>
    </row>
    <row r="27" spans="2:17">
      <c r="B27" s="318"/>
      <c r="C27" s="268">
        <v>17</v>
      </c>
      <c r="D27" s="104" t="s">
        <v>1013</v>
      </c>
      <c r="E27" s="105"/>
      <c r="F27" s="106" t="s">
        <v>1008</v>
      </c>
      <c r="G27" s="775">
        <v>8001107582</v>
      </c>
      <c r="H27" s="776"/>
      <c r="I27" s="326"/>
      <c r="J27" s="327">
        <v>856</v>
      </c>
      <c r="L27" s="324"/>
      <c r="M27" s="101"/>
      <c r="N27" s="102"/>
      <c r="O27" s="103"/>
      <c r="P27" s="107"/>
      <c r="Q27" s="318"/>
    </row>
    <row r="28" spans="2:17">
      <c r="B28" s="318"/>
      <c r="C28" s="268">
        <v>18</v>
      </c>
      <c r="D28" s="104" t="s">
        <v>1015</v>
      </c>
      <c r="E28" s="105"/>
      <c r="F28" s="106" t="s">
        <v>1006</v>
      </c>
      <c r="G28" s="775">
        <v>403145584</v>
      </c>
      <c r="H28" s="776"/>
      <c r="I28" s="326"/>
      <c r="J28" s="327">
        <v>9439</v>
      </c>
      <c r="L28" s="324"/>
      <c r="M28" s="101"/>
      <c r="N28" s="102"/>
      <c r="O28" s="103"/>
      <c r="P28" s="103"/>
      <c r="Q28" s="318"/>
    </row>
    <row r="29" spans="2:17">
      <c r="B29" s="318"/>
      <c r="C29" s="268">
        <v>19</v>
      </c>
      <c r="D29" s="104" t="s">
        <v>1015</v>
      </c>
      <c r="E29" s="105"/>
      <c r="F29" s="106" t="s">
        <v>1008</v>
      </c>
      <c r="G29" s="775">
        <v>403145584</v>
      </c>
      <c r="H29" s="776"/>
      <c r="I29" s="326"/>
      <c r="J29" s="327">
        <v>969</v>
      </c>
      <c r="L29" s="324"/>
      <c r="M29" s="101"/>
      <c r="N29" s="102"/>
      <c r="O29" s="103"/>
      <c r="P29" s="103"/>
      <c r="Q29" s="318"/>
    </row>
    <row r="30" spans="2:17">
      <c r="B30" s="318"/>
      <c r="C30" s="268">
        <v>20</v>
      </c>
      <c r="D30" s="104" t="s">
        <v>1016</v>
      </c>
      <c r="E30" s="105"/>
      <c r="F30" s="106" t="s">
        <v>1006</v>
      </c>
      <c r="G30" s="779">
        <v>100300300100</v>
      </c>
      <c r="H30" s="780"/>
      <c r="I30" s="326"/>
      <c r="J30" s="327">
        <v>22748</v>
      </c>
      <c r="L30" s="324"/>
      <c r="M30" s="101"/>
      <c r="N30" s="102"/>
      <c r="O30" s="103"/>
      <c r="P30" s="103"/>
      <c r="Q30" s="318"/>
    </row>
    <row r="31" spans="2:17">
      <c r="B31" s="318"/>
      <c r="C31" s="268">
        <v>21</v>
      </c>
      <c r="D31" s="104" t="s">
        <v>1016</v>
      </c>
      <c r="E31" s="105"/>
      <c r="F31" s="106" t="s">
        <v>1008</v>
      </c>
      <c r="G31" s="779">
        <v>160300300100</v>
      </c>
      <c r="H31" s="780"/>
      <c r="I31" s="326"/>
      <c r="J31" s="327">
        <v>14880</v>
      </c>
      <c r="M31" s="101"/>
      <c r="N31" s="102"/>
      <c r="O31" s="103"/>
      <c r="P31" s="108"/>
      <c r="Q31" s="318"/>
    </row>
    <row r="32" spans="2:17">
      <c r="B32" s="318"/>
      <c r="C32" s="268">
        <v>22</v>
      </c>
      <c r="D32" s="104" t="s">
        <v>1017</v>
      </c>
      <c r="E32" s="105"/>
      <c r="F32" s="106" t="s">
        <v>1009</v>
      </c>
      <c r="G32" s="782" t="s">
        <v>1018</v>
      </c>
      <c r="H32" s="783"/>
      <c r="I32" s="326"/>
      <c r="J32" s="328">
        <v>93857</v>
      </c>
      <c r="M32" s="329"/>
    </row>
    <row r="33" spans="2:12" s="320" customFormat="1" ht="21" customHeight="1">
      <c r="B33" s="331"/>
      <c r="C33" s="332"/>
      <c r="D33" s="784">
        <v>179974</v>
      </c>
      <c r="E33" s="785"/>
      <c r="F33" s="785"/>
      <c r="G33" s="785"/>
      <c r="H33" s="785"/>
      <c r="I33" s="785"/>
      <c r="J33" s="786"/>
      <c r="K33" s="333"/>
    </row>
    <row r="34" spans="2:12">
      <c r="B34" s="318"/>
      <c r="C34" s="101"/>
      <c r="D34" s="317" t="s">
        <v>309</v>
      </c>
      <c r="E34" s="88"/>
      <c r="F34" s="101"/>
      <c r="G34" s="109"/>
      <c r="H34" s="109"/>
      <c r="I34" s="101"/>
      <c r="J34" s="88"/>
      <c r="K34" s="318"/>
    </row>
    <row r="35" spans="2:12">
      <c r="B35" s="318"/>
      <c r="C35" s="774" t="s">
        <v>998</v>
      </c>
      <c r="D35" s="774" t="s">
        <v>1019</v>
      </c>
      <c r="E35" s="774"/>
      <c r="F35" s="774"/>
      <c r="G35" s="774"/>
      <c r="H35" s="778"/>
      <c r="I35" s="334" t="s">
        <v>1002</v>
      </c>
      <c r="J35" s="323" t="s">
        <v>1002</v>
      </c>
      <c r="K35" s="323"/>
    </row>
    <row r="36" spans="2:12">
      <c r="B36" s="318"/>
      <c r="C36" s="774"/>
      <c r="D36" s="774"/>
      <c r="E36" s="774"/>
      <c r="F36" s="774"/>
      <c r="G36" s="774"/>
      <c r="H36" s="778"/>
      <c r="I36" s="335" t="s">
        <v>1003</v>
      </c>
      <c r="J36" s="325" t="s">
        <v>1004</v>
      </c>
      <c r="K36" s="325"/>
      <c r="L36" s="336"/>
    </row>
    <row r="37" spans="2:12">
      <c r="B37" s="318"/>
      <c r="C37" s="337"/>
      <c r="D37" s="791" t="s">
        <v>1020</v>
      </c>
      <c r="E37" s="791"/>
      <c r="F37" s="791"/>
      <c r="G37" s="791"/>
      <c r="H37" s="791"/>
      <c r="I37" s="338"/>
      <c r="J37" s="339">
        <v>930775</v>
      </c>
      <c r="K37" s="339"/>
    </row>
    <row r="38" spans="2:12">
      <c r="B38" s="318"/>
      <c r="C38" s="340"/>
      <c r="D38" s="791" t="s">
        <v>1021</v>
      </c>
      <c r="E38" s="791"/>
      <c r="F38" s="791"/>
      <c r="G38" s="791"/>
      <c r="H38" s="791"/>
      <c r="I38" s="328">
        <v>0</v>
      </c>
      <c r="J38" s="328">
        <v>363873</v>
      </c>
      <c r="K38" s="328"/>
    </row>
    <row r="39" spans="2:12">
      <c r="B39" s="318"/>
      <c r="C39" s="340"/>
      <c r="D39" s="791" t="s">
        <v>1022</v>
      </c>
      <c r="E39" s="791"/>
      <c r="F39" s="791"/>
      <c r="G39" s="791"/>
      <c r="H39" s="791"/>
      <c r="I39" s="328"/>
      <c r="J39" s="15">
        <v>0</v>
      </c>
      <c r="K39" s="328"/>
    </row>
    <row r="40" spans="2:12">
      <c r="B40" s="318"/>
      <c r="C40" s="340"/>
      <c r="D40" s="791"/>
      <c r="E40" s="791"/>
      <c r="F40" s="791"/>
      <c r="G40" s="791"/>
      <c r="H40" s="791"/>
      <c r="I40" s="328"/>
      <c r="J40" s="15"/>
      <c r="K40" s="328"/>
    </row>
    <row r="41" spans="2:12" ht="18" customHeight="1">
      <c r="B41" s="318"/>
      <c r="C41" s="332"/>
      <c r="D41" s="781">
        <v>1294648</v>
      </c>
      <c r="E41" s="781"/>
      <c r="F41" s="781"/>
      <c r="G41" s="781"/>
      <c r="H41" s="781"/>
      <c r="I41" s="781"/>
      <c r="J41" s="781"/>
      <c r="K41" s="333"/>
    </row>
    <row r="42" spans="2:12">
      <c r="B42" s="318"/>
      <c r="C42" s="318"/>
      <c r="D42" s="318"/>
      <c r="E42" s="88"/>
      <c r="F42" s="318"/>
      <c r="G42" s="319"/>
      <c r="H42" s="319"/>
      <c r="I42" s="318"/>
      <c r="J42" s="88"/>
      <c r="K42" s="318"/>
    </row>
    <row r="43" spans="2:12">
      <c r="B43" s="318"/>
      <c r="C43" s="318"/>
      <c r="D43" s="318"/>
      <c r="E43" s="88"/>
      <c r="F43" s="318"/>
      <c r="G43" s="319"/>
      <c r="H43" s="319"/>
      <c r="I43" s="318"/>
      <c r="J43" s="88"/>
      <c r="K43" s="318"/>
    </row>
    <row r="44" spans="2:12">
      <c r="B44" s="318"/>
      <c r="C44" s="111">
        <v>2</v>
      </c>
      <c r="D44" s="112" t="s">
        <v>1023</v>
      </c>
      <c r="E44" s="99"/>
      <c r="F44" s="318"/>
      <c r="G44" s="319"/>
      <c r="H44" s="319"/>
      <c r="I44" s="318"/>
      <c r="J44" s="88"/>
      <c r="K44" s="318"/>
    </row>
    <row r="45" spans="2:12">
      <c r="B45" s="318"/>
      <c r="C45" s="318"/>
      <c r="D45" s="318"/>
      <c r="E45" s="88" t="s">
        <v>1024</v>
      </c>
      <c r="F45" s="318"/>
      <c r="G45" s="319"/>
      <c r="H45" s="319"/>
      <c r="I45" s="318"/>
      <c r="J45" s="88"/>
      <c r="K45" s="318"/>
    </row>
    <row r="46" spans="2:12">
      <c r="B46" s="318"/>
      <c r="C46" s="318"/>
      <c r="D46" s="318"/>
      <c r="E46" s="88"/>
      <c r="F46" s="318"/>
      <c r="G46" s="319"/>
      <c r="H46" s="319"/>
      <c r="I46" s="318"/>
      <c r="J46" s="88"/>
      <c r="K46" s="318"/>
    </row>
    <row r="47" spans="2:12">
      <c r="B47" s="318"/>
      <c r="C47" s="111">
        <v>3</v>
      </c>
      <c r="D47" s="112" t="s">
        <v>1025</v>
      </c>
      <c r="E47" s="99"/>
      <c r="F47" s="318"/>
      <c r="G47" s="319"/>
      <c r="H47" s="319"/>
      <c r="I47" s="318"/>
      <c r="J47" s="88"/>
      <c r="K47" s="318"/>
    </row>
    <row r="48" spans="2:12">
      <c r="B48" s="318"/>
      <c r="C48" s="113"/>
      <c r="D48" s="114"/>
      <c r="E48" s="99"/>
      <c r="F48" s="318"/>
      <c r="G48" s="319"/>
      <c r="H48" s="319"/>
      <c r="I48" s="318"/>
      <c r="J48" s="88"/>
      <c r="K48" s="318"/>
    </row>
    <row r="49" spans="2:11">
      <c r="B49" s="318"/>
      <c r="C49" s="330" t="s">
        <v>1026</v>
      </c>
      <c r="D49" s="115" t="s">
        <v>1029</v>
      </c>
      <c r="E49" s="88"/>
      <c r="F49" s="318"/>
      <c r="G49" s="319"/>
      <c r="H49" s="319">
        <f>'Aktiv-Pasiv'!E15</f>
        <v>428819202</v>
      </c>
      <c r="I49" s="318"/>
      <c r="J49" s="319">
        <f>'Aktiv-Pasiv'!F15</f>
        <v>421106380.61000001</v>
      </c>
      <c r="K49" s="318"/>
    </row>
    <row r="50" spans="2:11">
      <c r="B50" s="318"/>
      <c r="C50" s="318"/>
      <c r="D50" s="789" t="s">
        <v>1030</v>
      </c>
      <c r="E50" s="789"/>
      <c r="F50" s="318"/>
      <c r="G50" s="341" t="s">
        <v>998</v>
      </c>
      <c r="H50" s="319"/>
      <c r="I50" s="317" t="s">
        <v>1006</v>
      </c>
      <c r="J50" s="329"/>
      <c r="K50" s="318"/>
    </row>
    <row r="51" spans="2:11">
      <c r="B51" s="318"/>
      <c r="C51" s="318"/>
      <c r="D51" s="789" t="s">
        <v>1031</v>
      </c>
      <c r="E51" s="789"/>
      <c r="F51" s="318"/>
      <c r="G51" s="341" t="s">
        <v>998</v>
      </c>
      <c r="H51" s="342"/>
      <c r="I51" s="317" t="s">
        <v>1006</v>
      </c>
      <c r="J51" s="343"/>
      <c r="K51" s="318"/>
    </row>
    <row r="52" spans="2:11">
      <c r="B52" s="318"/>
      <c r="C52" s="318"/>
      <c r="D52" s="318" t="s">
        <v>1032</v>
      </c>
      <c r="E52" s="88"/>
      <c r="F52" s="318"/>
      <c r="G52" s="341" t="s">
        <v>998</v>
      </c>
      <c r="H52" s="342"/>
      <c r="I52" s="317" t="s">
        <v>1006</v>
      </c>
      <c r="J52" s="343"/>
      <c r="K52" s="318"/>
    </row>
    <row r="53" spans="2:11">
      <c r="B53" s="318"/>
      <c r="C53" s="318"/>
      <c r="D53" s="318" t="s">
        <v>1033</v>
      </c>
      <c r="E53" s="88"/>
      <c r="F53" s="318"/>
      <c r="G53" s="341" t="s">
        <v>998</v>
      </c>
      <c r="H53" s="342"/>
      <c r="I53" s="317" t="s">
        <v>1006</v>
      </c>
      <c r="J53" s="343"/>
      <c r="K53" s="318"/>
    </row>
    <row r="54" spans="2:11">
      <c r="B54" s="318"/>
      <c r="C54" s="318"/>
      <c r="D54" s="318" t="s">
        <v>1034</v>
      </c>
      <c r="E54" s="88"/>
      <c r="F54" s="318"/>
      <c r="G54" s="341" t="s">
        <v>998</v>
      </c>
      <c r="H54" s="342"/>
      <c r="I54" s="317" t="s">
        <v>1006</v>
      </c>
      <c r="J54" s="343"/>
      <c r="K54" s="318"/>
    </row>
    <row r="55" spans="2:11">
      <c r="B55" s="318"/>
      <c r="C55" s="318"/>
      <c r="D55" s="318" t="s">
        <v>1035</v>
      </c>
      <c r="E55" s="88"/>
      <c r="F55" s="318"/>
      <c r="G55" s="341" t="s">
        <v>998</v>
      </c>
      <c r="H55" s="342"/>
      <c r="I55" s="317" t="s">
        <v>1006</v>
      </c>
      <c r="J55" s="343"/>
      <c r="K55" s="318"/>
    </row>
    <row r="56" spans="2:11">
      <c r="B56" s="318"/>
      <c r="C56" s="318"/>
      <c r="D56" s="790" t="s">
        <v>1036</v>
      </c>
      <c r="E56" s="790"/>
      <c r="F56" s="318"/>
      <c r="G56" s="341" t="s">
        <v>998</v>
      </c>
      <c r="H56" s="342"/>
      <c r="I56" s="317" t="s">
        <v>1006</v>
      </c>
      <c r="J56" s="343"/>
      <c r="K56" s="318"/>
    </row>
    <row r="57" spans="2:11">
      <c r="B57" s="318"/>
      <c r="C57" s="318"/>
      <c r="D57" s="344" t="s">
        <v>1037</v>
      </c>
      <c r="E57" s="88"/>
      <c r="F57" s="318"/>
      <c r="G57" s="341" t="s">
        <v>998</v>
      </c>
      <c r="H57" s="342"/>
      <c r="I57" s="317" t="s">
        <v>1006</v>
      </c>
      <c r="J57" s="343"/>
      <c r="K57" s="318"/>
    </row>
    <row r="58" spans="2:11">
      <c r="B58" s="318"/>
      <c r="C58" s="318"/>
      <c r="D58" s="344" t="s">
        <v>1038</v>
      </c>
      <c r="E58" s="88"/>
      <c r="F58" s="318"/>
      <c r="G58" s="341" t="s">
        <v>998</v>
      </c>
      <c r="H58" s="342"/>
      <c r="I58" s="317" t="s">
        <v>1006</v>
      </c>
      <c r="J58" s="343"/>
      <c r="K58" s="318"/>
    </row>
    <row r="59" spans="2:11">
      <c r="B59" s="318"/>
      <c r="C59" s="318"/>
      <c r="D59" s="318"/>
      <c r="E59" s="88"/>
      <c r="F59" s="318"/>
      <c r="G59" s="319"/>
      <c r="H59" s="319"/>
      <c r="I59" s="318"/>
      <c r="J59" s="336"/>
      <c r="K59" s="318"/>
    </row>
    <row r="60" spans="2:11">
      <c r="B60" s="318"/>
      <c r="C60" s="330" t="s">
        <v>1026</v>
      </c>
      <c r="D60" s="115" t="s">
        <v>1039</v>
      </c>
      <c r="E60" s="88"/>
      <c r="F60" s="318"/>
      <c r="G60" s="319"/>
      <c r="H60" s="319"/>
      <c r="I60" s="318"/>
      <c r="J60" s="336"/>
      <c r="K60" s="318"/>
    </row>
    <row r="61" spans="2:11">
      <c r="B61" s="318"/>
      <c r="C61" s="318"/>
      <c r="D61" s="318"/>
      <c r="E61" s="88"/>
      <c r="F61" s="318"/>
      <c r="G61" s="319"/>
      <c r="H61" s="319"/>
      <c r="I61" s="318"/>
      <c r="J61" s="336"/>
      <c r="K61" s="318"/>
    </row>
    <row r="62" spans="2:11">
      <c r="B62" s="318"/>
      <c r="C62" s="330" t="s">
        <v>1026</v>
      </c>
      <c r="D62" s="115" t="s">
        <v>1040</v>
      </c>
      <c r="E62" s="88"/>
      <c r="F62" s="792"/>
      <c r="G62" s="792"/>
      <c r="H62" s="441"/>
      <c r="I62" s="85"/>
      <c r="J62" s="441"/>
      <c r="K62" s="318"/>
    </row>
    <row r="63" spans="2:11">
      <c r="B63" s="318"/>
      <c r="C63" s="318"/>
      <c r="D63" s="318"/>
      <c r="E63" s="88" t="s">
        <v>1041</v>
      </c>
      <c r="F63" s="318"/>
      <c r="G63" s="319"/>
      <c r="H63" s="319">
        <v>521682</v>
      </c>
      <c r="I63" s="317" t="s">
        <v>1006</v>
      </c>
      <c r="J63" s="392">
        <v>441749</v>
      </c>
      <c r="K63" s="318"/>
    </row>
    <row r="64" spans="2:11">
      <c r="B64" s="318"/>
      <c r="C64" s="318"/>
      <c r="D64" s="318"/>
      <c r="E64" s="88" t="s">
        <v>1042</v>
      </c>
      <c r="F64" s="318"/>
      <c r="G64" s="319"/>
      <c r="H64" s="319">
        <f>'te ardhura e shpenzime'!E31</f>
        <v>4596363.7</v>
      </c>
      <c r="I64" s="317" t="s">
        <v>1006</v>
      </c>
      <c r="J64" s="319">
        <v>8013309</v>
      </c>
      <c r="K64" s="318"/>
    </row>
    <row r="65" spans="2:11" s="87" customFormat="1">
      <c r="B65" s="86"/>
      <c r="C65" s="86"/>
      <c r="D65" s="86"/>
      <c r="E65" s="88" t="s">
        <v>1043</v>
      </c>
      <c r="F65" s="86"/>
      <c r="G65" s="117"/>
      <c r="H65" s="117"/>
      <c r="I65" s="317" t="s">
        <v>1006</v>
      </c>
      <c r="J65" s="117"/>
      <c r="K65" s="86"/>
    </row>
    <row r="66" spans="2:11" s="87" customFormat="1">
      <c r="B66" s="86"/>
      <c r="C66" s="86"/>
      <c r="D66" s="86"/>
      <c r="E66" s="88" t="s">
        <v>1044</v>
      </c>
      <c r="F66" s="86"/>
      <c r="G66" s="117"/>
      <c r="H66" s="117"/>
      <c r="I66" s="317" t="s">
        <v>1006</v>
      </c>
      <c r="J66" s="117"/>
      <c r="K66" s="86"/>
    </row>
    <row r="67" spans="2:11" s="87" customFormat="1" ht="15">
      <c r="B67" s="86"/>
      <c r="E67" s="88" t="s">
        <v>1045</v>
      </c>
      <c r="F67" s="118"/>
      <c r="G67" s="119"/>
      <c r="H67" s="117">
        <v>0</v>
      </c>
      <c r="I67" s="317" t="s">
        <v>1006</v>
      </c>
      <c r="J67" s="117"/>
      <c r="K67" s="86"/>
    </row>
    <row r="68" spans="2:11" s="87" customFormat="1" ht="15">
      <c r="B68" s="86"/>
      <c r="C68" s="330" t="s">
        <v>1026</v>
      </c>
      <c r="D68" s="115" t="s">
        <v>1046</v>
      </c>
      <c r="E68" s="88"/>
      <c r="F68" s="118"/>
      <c r="G68" s="119"/>
      <c r="H68" s="119"/>
      <c r="I68" s="118"/>
      <c r="J68" s="119"/>
      <c r="K68" s="86"/>
    </row>
    <row r="69" spans="2:11" s="87" customFormat="1">
      <c r="B69" s="86"/>
      <c r="C69" s="86"/>
      <c r="D69" s="86"/>
      <c r="E69" s="88" t="s">
        <v>1047</v>
      </c>
      <c r="F69" s="86"/>
      <c r="G69" s="117"/>
      <c r="H69" s="345"/>
      <c r="I69" s="317" t="s">
        <v>1006</v>
      </c>
      <c r="J69" s="393">
        <v>-11413823</v>
      </c>
      <c r="K69" s="86"/>
    </row>
    <row r="70" spans="2:11" s="87" customFormat="1">
      <c r="B70" s="86"/>
      <c r="C70" s="86"/>
      <c r="D70" s="86"/>
      <c r="E70" s="88" t="s">
        <v>1048</v>
      </c>
      <c r="F70" s="86"/>
      <c r="G70" s="117"/>
      <c r="H70" s="345"/>
      <c r="I70" s="317" t="s">
        <v>1006</v>
      </c>
      <c r="J70" s="343"/>
      <c r="K70" s="120"/>
    </row>
    <row r="71" spans="2:11" s="87" customFormat="1">
      <c r="B71" s="86"/>
      <c r="C71" s="86"/>
      <c r="D71" s="86"/>
      <c r="E71" s="121" t="s">
        <v>1049</v>
      </c>
      <c r="F71" s="86"/>
      <c r="G71" s="117"/>
      <c r="H71" s="345"/>
      <c r="I71" s="317" t="s">
        <v>1006</v>
      </c>
      <c r="J71" s="343"/>
      <c r="K71" s="86"/>
    </row>
    <row r="72" spans="2:11" s="87" customFormat="1">
      <c r="B72" s="86"/>
      <c r="C72" s="86"/>
      <c r="D72" s="86"/>
      <c r="E72" s="88" t="s">
        <v>1050</v>
      </c>
      <c r="F72" s="86"/>
      <c r="G72" s="117"/>
      <c r="H72" s="346"/>
      <c r="I72" s="317" t="s">
        <v>1006</v>
      </c>
      <c r="J72" s="343"/>
      <c r="K72" s="86"/>
    </row>
    <row r="73" spans="2:11" s="87" customFormat="1">
      <c r="B73" s="86"/>
      <c r="C73" s="86"/>
      <c r="D73" s="122"/>
      <c r="E73" s="123"/>
      <c r="F73" s="122"/>
      <c r="G73" s="124"/>
      <c r="H73" s="124"/>
      <c r="I73" s="116"/>
      <c r="J73" s="125"/>
      <c r="K73" s="86"/>
    </row>
    <row r="74" spans="2:11">
      <c r="B74" s="126"/>
      <c r="C74" s="330" t="s">
        <v>1026</v>
      </c>
      <c r="D74" s="115" t="s">
        <v>1051</v>
      </c>
      <c r="E74" s="96"/>
      <c r="F74" s="95"/>
      <c r="G74" s="319"/>
      <c r="I74" s="317"/>
      <c r="J74" s="336"/>
      <c r="K74" s="86"/>
    </row>
    <row r="75" spans="2:11">
      <c r="B75" s="318"/>
      <c r="D75" s="115"/>
      <c r="E75" s="99"/>
      <c r="F75" s="318"/>
      <c r="G75" s="319"/>
      <c r="I75" s="317"/>
      <c r="J75" s="336"/>
      <c r="K75" s="86"/>
    </row>
    <row r="76" spans="2:11">
      <c r="B76" s="318"/>
      <c r="C76" s="330" t="s">
        <v>1026</v>
      </c>
      <c r="D76" s="115"/>
      <c r="E76" s="93"/>
      <c r="F76" s="321"/>
      <c r="G76" s="322"/>
      <c r="I76" s="317"/>
      <c r="J76" s="348"/>
      <c r="K76" s="86"/>
    </row>
    <row r="77" spans="2:11">
      <c r="B77" s="318"/>
      <c r="D77" s="331"/>
      <c r="E77" s="99"/>
      <c r="F77" s="331"/>
      <c r="G77" s="349"/>
      <c r="I77" s="317"/>
      <c r="J77" s="350"/>
      <c r="K77" s="86"/>
    </row>
    <row r="78" spans="2:11">
      <c r="B78" s="318"/>
      <c r="C78" s="330" t="s">
        <v>1026</v>
      </c>
      <c r="D78" s="331"/>
      <c r="E78" s="99"/>
      <c r="F78" s="331"/>
      <c r="G78" s="349"/>
      <c r="I78" s="317"/>
      <c r="J78" s="350"/>
      <c r="K78" s="86"/>
    </row>
    <row r="79" spans="2:11">
      <c r="B79" s="318"/>
      <c r="D79" s="351"/>
      <c r="E79" s="128"/>
      <c r="F79" s="321"/>
      <c r="G79" s="322"/>
      <c r="I79" s="317"/>
      <c r="J79" s="348"/>
      <c r="K79" s="86"/>
    </row>
    <row r="80" spans="2:11">
      <c r="B80" s="318"/>
      <c r="C80" s="94">
        <v>4</v>
      </c>
      <c r="D80" s="129" t="s">
        <v>323</v>
      </c>
      <c r="E80" s="128"/>
      <c r="F80" s="321"/>
      <c r="G80" s="322"/>
      <c r="H80" s="347">
        <f>H82+H88</f>
        <v>70549650</v>
      </c>
      <c r="I80" s="317"/>
      <c r="J80" s="336">
        <f>J82+J84+J88</f>
        <v>93861613</v>
      </c>
      <c r="K80" s="86"/>
    </row>
    <row r="81" spans="2:11">
      <c r="B81" s="318"/>
      <c r="C81" s="318"/>
      <c r="D81" s="351"/>
      <c r="E81" s="128"/>
      <c r="F81" s="321"/>
      <c r="G81" s="322"/>
      <c r="I81" s="317"/>
      <c r="J81" s="336"/>
      <c r="K81" s="86"/>
    </row>
    <row r="82" spans="2:11">
      <c r="B82" s="318"/>
      <c r="C82" s="318" t="s">
        <v>1026</v>
      </c>
      <c r="D82" s="130" t="s">
        <v>1052</v>
      </c>
      <c r="E82" s="128"/>
      <c r="F82" s="321"/>
      <c r="G82" s="322"/>
      <c r="H82" s="347">
        <f>'Aktiv-Pasiv'!E21</f>
        <v>24212760</v>
      </c>
      <c r="I82" s="317"/>
      <c r="J82" s="347">
        <f>'Aktiv-Pasiv'!F21</f>
        <v>20485470</v>
      </c>
      <c r="K82" s="86"/>
    </row>
    <row r="83" spans="2:11">
      <c r="B83" s="318"/>
      <c r="D83" s="131"/>
      <c r="E83" s="128"/>
      <c r="F83" s="321"/>
      <c r="G83" s="322"/>
      <c r="I83" s="317"/>
      <c r="J83" s="347"/>
      <c r="K83" s="86"/>
    </row>
    <row r="84" spans="2:11">
      <c r="B84" s="331"/>
      <c r="C84" s="318" t="s">
        <v>1026</v>
      </c>
      <c r="D84" s="130" t="s">
        <v>1053</v>
      </c>
      <c r="E84" s="132"/>
      <c r="F84" s="352"/>
      <c r="G84" s="353"/>
      <c r="I84" s="317"/>
      <c r="J84" s="347"/>
      <c r="K84" s="86"/>
    </row>
    <row r="85" spans="2:11">
      <c r="B85" s="318"/>
      <c r="D85" s="131"/>
      <c r="E85" s="88"/>
      <c r="F85" s="101"/>
      <c r="G85" s="109"/>
      <c r="I85" s="317"/>
      <c r="J85" s="347"/>
      <c r="K85" s="86"/>
    </row>
    <row r="86" spans="2:11">
      <c r="B86" s="318"/>
      <c r="C86" s="331" t="s">
        <v>1026</v>
      </c>
      <c r="D86" s="133" t="s">
        <v>1054</v>
      </c>
      <c r="E86" s="88"/>
      <c r="F86" s="101"/>
      <c r="G86" s="109"/>
      <c r="I86" s="317"/>
      <c r="J86" s="347"/>
      <c r="K86" s="86"/>
    </row>
    <row r="87" spans="2:11">
      <c r="B87" s="318"/>
      <c r="D87" s="131"/>
      <c r="E87" s="99"/>
      <c r="F87" s="331"/>
      <c r="G87" s="349"/>
      <c r="I87" s="317"/>
      <c r="J87" s="347"/>
      <c r="K87" s="86"/>
    </row>
    <row r="88" spans="2:11">
      <c r="B88" s="318"/>
      <c r="C88" s="318" t="s">
        <v>1026</v>
      </c>
      <c r="D88" s="134" t="s">
        <v>1055</v>
      </c>
      <c r="E88" s="99"/>
      <c r="F88" s="331"/>
      <c r="G88" s="349"/>
      <c r="H88" s="347">
        <f>'Aktiv-Pasiv'!E23</f>
        <v>46336890</v>
      </c>
      <c r="I88" s="317"/>
      <c r="J88" s="347">
        <f>'Aktiv-Pasiv'!F23</f>
        <v>73376143</v>
      </c>
      <c r="K88" s="86"/>
    </row>
    <row r="89" spans="2:11">
      <c r="B89" s="318"/>
      <c r="D89" s="131"/>
      <c r="E89" s="128"/>
      <c r="F89" s="351"/>
      <c r="G89" s="355"/>
      <c r="I89" s="317"/>
      <c r="J89" s="348"/>
      <c r="K89" s="86"/>
    </row>
    <row r="90" spans="2:11">
      <c r="B90" s="318"/>
      <c r="C90" s="318" t="s">
        <v>1026</v>
      </c>
      <c r="D90" s="135" t="s">
        <v>329</v>
      </c>
      <c r="E90" s="128"/>
      <c r="F90" s="351"/>
      <c r="G90" s="355"/>
      <c r="I90" s="317"/>
      <c r="J90" s="336"/>
      <c r="K90" s="86"/>
    </row>
    <row r="91" spans="2:11">
      <c r="B91" s="318"/>
      <c r="D91" s="131"/>
      <c r="E91" s="128"/>
      <c r="F91" s="351"/>
      <c r="G91" s="355"/>
      <c r="I91" s="317"/>
      <c r="J91" s="336"/>
      <c r="K91" s="86"/>
    </row>
    <row r="92" spans="2:11">
      <c r="B92" s="318"/>
      <c r="C92" s="331" t="s">
        <v>1026</v>
      </c>
      <c r="D92" s="115" t="s">
        <v>1056</v>
      </c>
      <c r="E92" s="128"/>
      <c r="F92" s="351"/>
      <c r="G92" s="355"/>
      <c r="I92" s="317"/>
      <c r="J92" s="336"/>
      <c r="K92" s="86"/>
    </row>
    <row r="93" spans="2:11">
      <c r="B93" s="318"/>
      <c r="D93" s="131"/>
      <c r="E93" s="132"/>
      <c r="F93" s="352"/>
      <c r="G93" s="353"/>
      <c r="I93" s="317"/>
      <c r="J93" s="354"/>
      <c r="K93" s="86"/>
    </row>
    <row r="94" spans="2:11">
      <c r="B94" s="318"/>
      <c r="C94" s="331" t="s">
        <v>1026</v>
      </c>
      <c r="D94" s="115"/>
      <c r="E94" s="88"/>
      <c r="F94" s="318"/>
      <c r="G94" s="319"/>
      <c r="I94" s="317"/>
      <c r="J94" s="336"/>
      <c r="K94" s="86"/>
    </row>
    <row r="95" spans="2:11">
      <c r="B95" s="318"/>
      <c r="C95" s="113"/>
      <c r="D95" s="114"/>
      <c r="E95" s="99"/>
      <c r="F95" s="318"/>
      <c r="G95" s="319"/>
      <c r="I95" s="317"/>
      <c r="J95" s="336"/>
      <c r="K95" s="86"/>
    </row>
    <row r="96" spans="2:11">
      <c r="B96" s="318"/>
      <c r="C96" s="94">
        <v>5</v>
      </c>
      <c r="D96" s="129" t="s">
        <v>1057</v>
      </c>
      <c r="E96" s="99"/>
      <c r="F96" s="318"/>
      <c r="G96" s="319"/>
      <c r="I96" s="317" t="s">
        <v>1058</v>
      </c>
      <c r="J96" s="336"/>
      <c r="K96" s="86"/>
    </row>
    <row r="97" spans="2:11">
      <c r="B97" s="318"/>
      <c r="C97" s="318"/>
      <c r="D97" s="318"/>
      <c r="E97" s="88"/>
      <c r="F97" s="318"/>
      <c r="G97" s="319"/>
      <c r="I97" s="317"/>
      <c r="J97" s="336"/>
      <c r="K97" s="86"/>
    </row>
    <row r="98" spans="2:11">
      <c r="B98" s="318"/>
      <c r="C98" s="94">
        <v>6</v>
      </c>
      <c r="D98" s="129" t="s">
        <v>1059</v>
      </c>
      <c r="E98" s="99"/>
      <c r="F98" s="318"/>
      <c r="G98" s="319"/>
      <c r="I98" s="317" t="s">
        <v>1058</v>
      </c>
      <c r="J98" s="336"/>
      <c r="K98" s="86"/>
    </row>
    <row r="99" spans="2:11">
      <c r="B99" s="318"/>
      <c r="F99" s="318"/>
      <c r="G99" s="319"/>
      <c r="I99" s="317"/>
      <c r="J99" s="336"/>
      <c r="K99" s="86"/>
    </row>
    <row r="100" spans="2:11">
      <c r="B100" s="318"/>
      <c r="C100" s="94">
        <v>7</v>
      </c>
      <c r="D100" s="129" t="s">
        <v>1060</v>
      </c>
      <c r="E100" s="99"/>
      <c r="F100" s="318"/>
      <c r="G100" s="319"/>
      <c r="I100" s="317" t="s">
        <v>1058</v>
      </c>
      <c r="J100" s="336"/>
      <c r="K100" s="86"/>
    </row>
    <row r="101" spans="2:11">
      <c r="F101" s="318"/>
      <c r="G101" s="341"/>
      <c r="I101" s="317"/>
      <c r="J101" s="336"/>
      <c r="K101" s="86"/>
    </row>
    <row r="102" spans="2:11">
      <c r="B102" s="318"/>
      <c r="C102" s="330" t="s">
        <v>1026</v>
      </c>
      <c r="D102" s="331" t="s">
        <v>1061</v>
      </c>
      <c r="F102" s="318"/>
      <c r="G102" s="341"/>
      <c r="I102" s="317" t="s">
        <v>1058</v>
      </c>
      <c r="J102" s="336"/>
      <c r="K102" s="86"/>
    </row>
    <row r="103" spans="2:11">
      <c r="B103" s="318"/>
      <c r="C103" s="318"/>
      <c r="D103" s="318"/>
      <c r="E103" s="88"/>
      <c r="F103" s="318"/>
      <c r="G103" s="341"/>
      <c r="I103" s="317"/>
      <c r="J103" s="336"/>
      <c r="K103" s="86"/>
    </row>
    <row r="104" spans="2:11">
      <c r="B104" s="318"/>
      <c r="C104" s="330" t="s">
        <v>1026</v>
      </c>
      <c r="D104" s="318"/>
      <c r="E104" s="88"/>
      <c r="F104" s="318"/>
      <c r="G104" s="341"/>
      <c r="I104" s="317" t="s">
        <v>1058</v>
      </c>
      <c r="J104" s="336"/>
      <c r="K104" s="86"/>
    </row>
    <row r="105" spans="2:11">
      <c r="B105" s="318"/>
      <c r="D105" s="331"/>
      <c r="E105" s="88"/>
      <c r="F105" s="318"/>
      <c r="G105" s="341"/>
      <c r="I105" s="317"/>
      <c r="J105" s="336"/>
      <c r="K105" s="86"/>
    </row>
    <row r="106" spans="2:11">
      <c r="B106" s="318"/>
      <c r="C106" s="122" t="s">
        <v>339</v>
      </c>
      <c r="D106" s="122" t="s">
        <v>340</v>
      </c>
      <c r="E106" s="88"/>
      <c r="F106" s="318"/>
      <c r="G106" s="341"/>
      <c r="I106" s="317" t="s">
        <v>1058</v>
      </c>
      <c r="J106" s="336"/>
      <c r="K106" s="86"/>
    </row>
    <row r="107" spans="2:11">
      <c r="B107" s="318"/>
      <c r="C107" s="318"/>
      <c r="D107" s="351"/>
      <c r="E107" s="128"/>
      <c r="F107" s="318"/>
      <c r="G107" s="341"/>
      <c r="I107" s="317"/>
      <c r="J107" s="336"/>
      <c r="K107" s="86"/>
    </row>
    <row r="108" spans="2:11">
      <c r="B108" s="318"/>
      <c r="C108" s="122">
        <v>1</v>
      </c>
      <c r="D108" s="136" t="s">
        <v>1062</v>
      </c>
      <c r="E108" s="88"/>
      <c r="F108" s="318"/>
      <c r="G108" s="341"/>
      <c r="H108" s="347">
        <f>'Aktiv-Pasiv'!E32</f>
        <v>96426887</v>
      </c>
      <c r="I108" s="317"/>
      <c r="J108" s="336">
        <f>'Aktiv-Pasiv'!F32</f>
        <v>93795026.929999992</v>
      </c>
      <c r="K108" s="86"/>
    </row>
    <row r="109" spans="2:11">
      <c r="B109" s="318"/>
      <c r="C109" s="122"/>
      <c r="D109" s="136"/>
      <c r="E109" s="88"/>
      <c r="F109" s="318"/>
      <c r="G109" s="341"/>
      <c r="I109" s="317"/>
      <c r="J109" s="88"/>
      <c r="K109" s="86"/>
    </row>
    <row r="110" spans="2:11">
      <c r="B110" s="318"/>
      <c r="C110" s="122">
        <v>2</v>
      </c>
      <c r="D110" s="122" t="s">
        <v>347</v>
      </c>
      <c r="E110" s="88"/>
      <c r="F110" s="318"/>
      <c r="G110" s="319"/>
      <c r="I110" s="317" t="s">
        <v>1058</v>
      </c>
      <c r="J110" s="88"/>
      <c r="K110" s="86"/>
    </row>
    <row r="111" spans="2:11">
      <c r="B111" s="318"/>
      <c r="C111" s="318"/>
      <c r="D111" s="318"/>
      <c r="E111" s="88"/>
      <c r="F111" s="318"/>
      <c r="G111" s="319"/>
      <c r="H111" s="319"/>
      <c r="I111" s="318"/>
      <c r="J111" s="88"/>
      <c r="K111" s="86"/>
    </row>
    <row r="112" spans="2:11">
      <c r="B112" s="318"/>
      <c r="C112" s="318"/>
      <c r="D112" s="318"/>
      <c r="E112" s="88" t="s">
        <v>1063</v>
      </c>
      <c r="F112" s="318"/>
      <c r="G112" s="319"/>
      <c r="H112" s="319"/>
      <c r="I112" s="318"/>
      <c r="J112" s="88"/>
      <c r="K112" s="86"/>
    </row>
    <row r="113" spans="2:11">
      <c r="B113" s="318"/>
      <c r="C113" s="793" t="s">
        <v>998</v>
      </c>
      <c r="D113" s="793" t="s">
        <v>1064</v>
      </c>
      <c r="E113" s="794" t="s">
        <v>1065</v>
      </c>
      <c r="F113" s="795"/>
      <c r="G113" s="796"/>
      <c r="H113" s="794" t="s">
        <v>1066</v>
      </c>
      <c r="I113" s="795"/>
      <c r="J113" s="796"/>
      <c r="K113" s="86"/>
    </row>
    <row r="114" spans="2:11">
      <c r="B114" s="318"/>
      <c r="C114" s="793"/>
      <c r="D114" s="793"/>
      <c r="E114" s="137" t="s">
        <v>1067</v>
      </c>
      <c r="F114" s="138" t="s">
        <v>1068</v>
      </c>
      <c r="G114" s="139" t="s">
        <v>1069</v>
      </c>
      <c r="H114" s="139" t="s">
        <v>1067</v>
      </c>
      <c r="I114" s="138" t="s">
        <v>1068</v>
      </c>
      <c r="J114" s="137" t="s">
        <v>1069</v>
      </c>
      <c r="K114" s="86"/>
    </row>
    <row r="115" spans="2:11">
      <c r="B115" s="318"/>
      <c r="C115" s="104"/>
      <c r="D115" s="316" t="s">
        <v>348</v>
      </c>
      <c r="E115" s="328">
        <v>15425800</v>
      </c>
      <c r="F115" s="328">
        <v>0</v>
      </c>
      <c r="G115" s="356">
        <f>E115-F115</f>
        <v>15425800</v>
      </c>
      <c r="H115" s="559">
        <v>13448000</v>
      </c>
      <c r="I115" s="559">
        <v>0</v>
      </c>
      <c r="J115" s="560">
        <v>13448000</v>
      </c>
      <c r="K115" s="86"/>
    </row>
    <row r="116" spans="2:11">
      <c r="B116" s="318"/>
      <c r="C116" s="104"/>
      <c r="D116" s="340" t="s">
        <v>349</v>
      </c>
      <c r="E116" s="328">
        <f>'Aktive Qendrushme'!M20</f>
        <v>14709242</v>
      </c>
      <c r="F116" s="328">
        <v>8414679</v>
      </c>
      <c r="G116" s="356">
        <f>E116-F116</f>
        <v>6294563</v>
      </c>
      <c r="H116" s="559">
        <v>14709242</v>
      </c>
      <c r="I116" s="559">
        <v>7753702</v>
      </c>
      <c r="J116" s="560">
        <v>6955540</v>
      </c>
      <c r="K116" s="86"/>
    </row>
    <row r="117" spans="2:11">
      <c r="B117" s="318"/>
      <c r="C117" s="104"/>
      <c r="D117" s="340" t="s">
        <v>1070</v>
      </c>
      <c r="E117" s="328">
        <v>321036366</v>
      </c>
      <c r="F117" s="736">
        <f>136910449-4100000</f>
        <v>132810449</v>
      </c>
      <c r="G117" s="356">
        <f>E117-F117</f>
        <v>188225917</v>
      </c>
      <c r="H117" s="559">
        <v>282114069.89999998</v>
      </c>
      <c r="I117" s="559">
        <v>97032180.039999992</v>
      </c>
      <c r="J117" s="560">
        <v>185081889.85999998</v>
      </c>
      <c r="K117" s="86"/>
    </row>
    <row r="118" spans="2:11">
      <c r="B118" s="318"/>
      <c r="C118" s="340"/>
      <c r="D118" s="340" t="s">
        <v>1071</v>
      </c>
      <c r="E118" s="328">
        <f>61605210+18829718</f>
        <v>80434928</v>
      </c>
      <c r="F118" s="328">
        <f>29644573+8792003</f>
        <v>38436576</v>
      </c>
      <c r="G118" s="356">
        <f>E118-F118</f>
        <v>41998352</v>
      </c>
      <c r="H118" s="559">
        <v>77809117.540000007</v>
      </c>
      <c r="I118" s="559">
        <v>27367061</v>
      </c>
      <c r="J118" s="560">
        <v>50442056.540000007</v>
      </c>
      <c r="K118" s="86"/>
    </row>
    <row r="119" spans="2:11">
      <c r="B119" s="318"/>
      <c r="C119" s="340"/>
      <c r="D119" s="340" t="s">
        <v>1072</v>
      </c>
      <c r="E119" s="328">
        <f>'Aktive Qendrushme'!M28</f>
        <v>504619196</v>
      </c>
      <c r="F119" s="328">
        <v>0</v>
      </c>
      <c r="G119" s="356">
        <f>E119-F119</f>
        <v>504619196</v>
      </c>
      <c r="H119" s="559">
        <v>504619196</v>
      </c>
      <c r="I119" s="559">
        <v>0</v>
      </c>
      <c r="J119" s="560">
        <v>504619196</v>
      </c>
      <c r="K119" s="86"/>
    </row>
    <row r="120" spans="2:11">
      <c r="B120" s="86"/>
      <c r="C120" s="86"/>
      <c r="D120" s="140" t="s">
        <v>973</v>
      </c>
      <c r="E120" s="125">
        <f>E115+E116+E117+E118+E119</f>
        <v>936225532</v>
      </c>
      <c r="F120" s="125">
        <f>F115+F116+F117+F118+F119</f>
        <v>179661704</v>
      </c>
      <c r="G120" s="141">
        <f>G115+G116+G117+G118+G119</f>
        <v>756563828</v>
      </c>
      <c r="H120" s="561">
        <f>SUM(H115:H119)</f>
        <v>892699625.44000006</v>
      </c>
      <c r="I120" s="561">
        <f>SUM(I115:I119)</f>
        <v>132152943.03999999</v>
      </c>
      <c r="J120" s="561">
        <f>SUM(J115:J119)</f>
        <v>760546682.39999998</v>
      </c>
      <c r="K120" s="86"/>
    </row>
    <row r="121" spans="2:11">
      <c r="B121" s="86"/>
      <c r="C121" s="86"/>
      <c r="D121" s="140"/>
      <c r="E121" s="125"/>
      <c r="F121" s="140"/>
      <c r="G121" s="142"/>
      <c r="H121" s="142"/>
      <c r="I121" s="317"/>
      <c r="J121" s="125"/>
      <c r="K121" s="86"/>
    </row>
    <row r="122" spans="2:11">
      <c r="B122" s="86"/>
      <c r="C122" s="86"/>
      <c r="D122" s="122"/>
      <c r="E122" s="123"/>
      <c r="F122" s="122"/>
      <c r="G122" s="124"/>
      <c r="H122" s="124"/>
      <c r="I122" s="116"/>
      <c r="J122" s="123"/>
      <c r="K122" s="86"/>
    </row>
    <row r="123" spans="2:11">
      <c r="B123" s="86"/>
      <c r="C123" s="86"/>
      <c r="D123" s="122"/>
      <c r="E123" s="123"/>
      <c r="F123" s="122"/>
      <c r="G123" s="124"/>
      <c r="H123" s="124"/>
      <c r="I123" s="116"/>
      <c r="J123" s="123"/>
      <c r="K123" s="86"/>
    </row>
    <row r="124" spans="2:11">
      <c r="B124" s="318"/>
      <c r="C124" s="122">
        <v>3</v>
      </c>
      <c r="D124" s="122" t="s">
        <v>1073</v>
      </c>
      <c r="E124" s="88"/>
      <c r="F124" s="318"/>
      <c r="G124" s="319"/>
      <c r="I124" s="318" t="s">
        <v>1058</v>
      </c>
      <c r="J124" s="123"/>
      <c r="K124" s="86"/>
    </row>
    <row r="125" spans="2:11">
      <c r="B125" s="318"/>
      <c r="C125" s="122"/>
      <c r="D125" s="122"/>
      <c r="E125" s="88"/>
      <c r="F125" s="318"/>
      <c r="G125" s="319"/>
      <c r="I125" s="318"/>
      <c r="J125" s="123"/>
      <c r="K125" s="86"/>
    </row>
    <row r="126" spans="2:11">
      <c r="B126" s="86"/>
      <c r="C126" s="122">
        <v>4</v>
      </c>
      <c r="D126" s="122" t="s">
        <v>1074</v>
      </c>
      <c r="E126" s="88"/>
      <c r="F126" s="86"/>
      <c r="G126" s="117"/>
      <c r="I126" s="86" t="s">
        <v>1058</v>
      </c>
      <c r="J126" s="123"/>
      <c r="K126" s="86"/>
    </row>
    <row r="127" spans="2:11">
      <c r="B127" s="86"/>
      <c r="C127" s="122"/>
      <c r="D127" s="122"/>
      <c r="E127" s="88"/>
      <c r="F127" s="86"/>
      <c r="G127" s="117"/>
      <c r="I127" s="86"/>
      <c r="J127" s="123"/>
      <c r="K127" s="86"/>
    </row>
    <row r="128" spans="2:11" ht="15">
      <c r="B128" s="86"/>
      <c r="C128" s="122">
        <v>5</v>
      </c>
      <c r="D128" s="122" t="s">
        <v>1075</v>
      </c>
      <c r="E128" s="88"/>
      <c r="F128" s="118"/>
      <c r="G128" s="119"/>
      <c r="I128" s="86" t="s">
        <v>1058</v>
      </c>
      <c r="J128" s="123"/>
      <c r="K128" s="86"/>
    </row>
    <row r="129" spans="2:11" ht="15">
      <c r="B129" s="86"/>
      <c r="C129" s="122"/>
      <c r="D129" s="122"/>
      <c r="E129" s="88"/>
      <c r="F129" s="118"/>
      <c r="G129" s="119"/>
      <c r="I129" s="86"/>
      <c r="J129" s="123"/>
      <c r="K129" s="86"/>
    </row>
    <row r="130" spans="2:11" ht="15">
      <c r="B130" s="86"/>
      <c r="C130" s="122">
        <v>6</v>
      </c>
      <c r="D130" s="122" t="s">
        <v>1076</v>
      </c>
      <c r="E130" s="88"/>
      <c r="F130" s="118"/>
      <c r="G130" s="119"/>
      <c r="I130" s="86" t="s">
        <v>1058</v>
      </c>
      <c r="J130" s="123"/>
      <c r="K130" s="86"/>
    </row>
    <row r="131" spans="2:11" ht="15">
      <c r="B131" s="86"/>
      <c r="C131" s="122"/>
      <c r="D131" s="122"/>
      <c r="E131" s="88"/>
      <c r="F131" s="118"/>
      <c r="G131" s="119"/>
      <c r="H131" s="117"/>
      <c r="I131" s="116"/>
      <c r="J131" s="123"/>
      <c r="K131" s="86"/>
    </row>
    <row r="132" spans="2:11">
      <c r="B132" s="318"/>
      <c r="C132" s="143" t="s">
        <v>303</v>
      </c>
      <c r="D132" s="95" t="s">
        <v>1077</v>
      </c>
      <c r="E132" s="96"/>
      <c r="F132" s="321"/>
      <c r="G132" s="322"/>
      <c r="H132" s="117"/>
      <c r="I132" s="116"/>
      <c r="J132" s="123"/>
      <c r="K132" s="86"/>
    </row>
    <row r="133" spans="2:11">
      <c r="B133" s="318"/>
      <c r="C133" s="143"/>
      <c r="D133" s="95"/>
      <c r="E133" s="96"/>
      <c r="F133" s="321"/>
      <c r="G133" s="322"/>
      <c r="H133" s="117"/>
      <c r="I133" s="116"/>
      <c r="J133" s="123"/>
      <c r="K133" s="86"/>
    </row>
    <row r="134" spans="2:11">
      <c r="B134" s="318"/>
      <c r="C134" s="94">
        <v>1</v>
      </c>
      <c r="D134" s="129" t="s">
        <v>311</v>
      </c>
      <c r="E134" s="99"/>
      <c r="F134" s="140"/>
      <c r="G134" s="142"/>
      <c r="H134" s="319"/>
      <c r="I134" s="86" t="s">
        <v>1058</v>
      </c>
      <c r="J134" s="123"/>
      <c r="K134" s="86"/>
    </row>
    <row r="135" spans="2:11">
      <c r="B135" s="318"/>
      <c r="C135" s="94"/>
      <c r="D135" s="129"/>
      <c r="E135" s="99"/>
      <c r="F135" s="140"/>
      <c r="G135" s="142"/>
      <c r="H135" s="319"/>
      <c r="I135" s="86"/>
      <c r="J135" s="123"/>
      <c r="K135" s="86"/>
    </row>
    <row r="136" spans="2:11">
      <c r="B136" s="318"/>
      <c r="C136" s="94">
        <v>2</v>
      </c>
      <c r="D136" s="129" t="s">
        <v>1078</v>
      </c>
      <c r="E136" s="99"/>
      <c r="F136" s="318"/>
      <c r="G136" s="319"/>
      <c r="H136" s="319"/>
      <c r="I136" s="86" t="s">
        <v>1058</v>
      </c>
      <c r="J136" s="88"/>
      <c r="K136" s="318"/>
    </row>
    <row r="137" spans="2:11">
      <c r="B137" s="318"/>
      <c r="C137" s="94"/>
      <c r="D137" s="129"/>
      <c r="E137" s="99"/>
      <c r="F137" s="318"/>
      <c r="G137" s="319"/>
      <c r="H137" s="319"/>
      <c r="I137" s="86"/>
      <c r="J137" s="88"/>
      <c r="K137" s="318"/>
    </row>
    <row r="138" spans="2:11">
      <c r="B138" s="318"/>
      <c r="C138" s="330" t="s">
        <v>1026</v>
      </c>
      <c r="D138" s="115" t="s">
        <v>1079</v>
      </c>
      <c r="E138" s="88"/>
      <c r="F138" s="318"/>
      <c r="G138" s="319"/>
      <c r="H138" s="319"/>
      <c r="I138" s="86" t="s">
        <v>1058</v>
      </c>
      <c r="J138" s="88"/>
      <c r="K138" s="318"/>
    </row>
    <row r="139" spans="2:11">
      <c r="B139" s="318"/>
      <c r="C139" s="330"/>
      <c r="D139" s="115"/>
      <c r="E139" s="88"/>
      <c r="F139" s="318"/>
      <c r="G139" s="319"/>
      <c r="H139" s="319"/>
      <c r="I139" s="86"/>
      <c r="J139" s="88"/>
      <c r="K139" s="318"/>
    </row>
    <row r="140" spans="2:11">
      <c r="B140" s="318"/>
      <c r="C140" s="330" t="s">
        <v>1026</v>
      </c>
      <c r="D140" s="115" t="s">
        <v>1080</v>
      </c>
      <c r="E140" s="88"/>
      <c r="F140" s="318"/>
      <c r="G140" s="319"/>
      <c r="H140" s="319">
        <f>'Aktiv-Pasiv'!E66</f>
        <v>302965955</v>
      </c>
      <c r="I140" s="86" t="s">
        <v>1058</v>
      </c>
      <c r="J140" s="697">
        <v>246939328</v>
      </c>
      <c r="K140" s="318"/>
    </row>
    <row r="141" spans="2:11">
      <c r="B141" s="318"/>
      <c r="C141" s="330"/>
      <c r="D141" s="115"/>
      <c r="E141" s="88"/>
      <c r="F141" s="318"/>
      <c r="G141" s="319"/>
      <c r="H141" s="319"/>
      <c r="I141" s="86"/>
      <c r="J141" s="88"/>
      <c r="K141" s="318"/>
    </row>
    <row r="142" spans="2:11">
      <c r="B142" s="318"/>
      <c r="C142" s="94">
        <v>3</v>
      </c>
      <c r="D142" s="129" t="s">
        <v>1081</v>
      </c>
      <c r="E142" s="99"/>
      <c r="F142" s="318"/>
      <c r="G142" s="319"/>
      <c r="H142" s="319"/>
      <c r="I142" s="86" t="s">
        <v>1058</v>
      </c>
      <c r="J142" s="88"/>
      <c r="K142" s="318"/>
    </row>
    <row r="143" spans="2:11">
      <c r="B143" s="318"/>
      <c r="C143" s="94"/>
      <c r="D143" s="129"/>
      <c r="E143" s="99"/>
      <c r="F143" s="318"/>
      <c r="G143" s="319"/>
      <c r="H143" s="319"/>
      <c r="I143" s="86"/>
      <c r="J143" s="88"/>
      <c r="K143" s="318"/>
    </row>
    <row r="144" spans="2:11">
      <c r="B144" s="318"/>
      <c r="C144" s="330" t="s">
        <v>1026</v>
      </c>
      <c r="D144" s="115" t="s">
        <v>877</v>
      </c>
      <c r="E144" s="88"/>
      <c r="F144" s="318"/>
      <c r="G144" s="319"/>
      <c r="H144" s="319">
        <f>'Aktiv-Pasiv'!E71</f>
        <v>250076365</v>
      </c>
      <c r="I144" s="318"/>
      <c r="J144" s="336">
        <f>'Aktiv-Pasiv'!F71</f>
        <v>303956159.70999998</v>
      </c>
      <c r="K144" s="318"/>
    </row>
    <row r="145" spans="2:12">
      <c r="B145" s="318"/>
      <c r="C145" s="330"/>
      <c r="D145" s="115"/>
      <c r="E145" s="88"/>
      <c r="F145" s="318"/>
      <c r="G145" s="319"/>
      <c r="H145" s="319"/>
      <c r="I145" s="318"/>
      <c r="J145" s="336"/>
      <c r="K145" s="318"/>
    </row>
    <row r="146" spans="2:12">
      <c r="B146" s="318"/>
      <c r="C146" s="330" t="s">
        <v>1026</v>
      </c>
      <c r="D146" s="115" t="s">
        <v>878</v>
      </c>
      <c r="F146" s="318"/>
      <c r="G146" s="319"/>
      <c r="H146" s="319">
        <f>'Aktiv-Pasiv'!E72</f>
        <v>12278161</v>
      </c>
      <c r="I146" s="318"/>
      <c r="J146" s="319">
        <f>'Aktiv-Pasiv'!F72</f>
        <v>6559725.7800000003</v>
      </c>
      <c r="K146" s="318"/>
    </row>
    <row r="147" spans="2:12">
      <c r="B147" s="318"/>
      <c r="C147" s="330"/>
      <c r="D147" s="115"/>
      <c r="F147" s="318"/>
      <c r="G147" s="319"/>
      <c r="H147" s="319"/>
      <c r="I147" s="86"/>
      <c r="J147" s="336"/>
      <c r="K147" s="318"/>
    </row>
    <row r="148" spans="2:12">
      <c r="B148" s="318"/>
      <c r="C148" s="330" t="s">
        <v>1026</v>
      </c>
      <c r="D148" s="115" t="s">
        <v>1082</v>
      </c>
      <c r="F148" s="318"/>
      <c r="G148" s="319"/>
      <c r="H148" s="117">
        <f>2438756-76078</f>
        <v>2362678</v>
      </c>
      <c r="I148" s="86"/>
      <c r="J148" s="117">
        <v>3149537</v>
      </c>
      <c r="K148" s="318"/>
    </row>
    <row r="149" spans="2:12">
      <c r="B149" s="318"/>
      <c r="C149" s="330"/>
      <c r="D149" s="115"/>
      <c r="F149" s="318"/>
      <c r="G149" s="319"/>
      <c r="H149" s="117"/>
      <c r="I149" s="86"/>
      <c r="J149" s="117"/>
      <c r="K149" s="318"/>
    </row>
    <row r="150" spans="2:12">
      <c r="B150" s="318"/>
      <c r="C150" s="330" t="s">
        <v>1026</v>
      </c>
      <c r="D150" s="115" t="s">
        <v>1083</v>
      </c>
      <c r="F150" s="318"/>
      <c r="G150" s="319"/>
      <c r="H150" s="117">
        <f>5887429+2442513</f>
        <v>8329942</v>
      </c>
      <c r="I150" s="86"/>
      <c r="J150" s="117">
        <v>3557037</v>
      </c>
      <c r="K150" s="318"/>
    </row>
    <row r="151" spans="2:12">
      <c r="B151" s="318"/>
      <c r="C151" s="330"/>
      <c r="D151" s="115"/>
      <c r="E151" s="88"/>
      <c r="F151" s="318"/>
      <c r="G151" s="319"/>
      <c r="H151" s="357"/>
      <c r="I151" s="86"/>
      <c r="J151" s="357"/>
      <c r="K151" s="318"/>
    </row>
    <row r="152" spans="2:12">
      <c r="B152" s="318"/>
      <c r="C152" s="330" t="s">
        <v>1026</v>
      </c>
      <c r="D152" s="115" t="s">
        <v>1084</v>
      </c>
      <c r="E152" s="88"/>
      <c r="F152" s="318"/>
      <c r="G152" s="319"/>
      <c r="H152" s="739">
        <f>3664682+410000</f>
        <v>4074682</v>
      </c>
      <c r="I152" s="86"/>
      <c r="J152" s="440">
        <v>7571560</v>
      </c>
      <c r="K152" s="318"/>
    </row>
    <row r="153" spans="2:12">
      <c r="B153" s="318"/>
      <c r="C153" s="330"/>
      <c r="D153" s="115"/>
      <c r="E153" s="88"/>
      <c r="F153" s="318"/>
      <c r="G153" s="319"/>
      <c r="H153" s="357"/>
      <c r="I153" s="86"/>
      <c r="J153" s="357"/>
      <c r="K153" s="318"/>
    </row>
    <row r="154" spans="2:12">
      <c r="B154" s="318"/>
      <c r="C154" s="330" t="s">
        <v>1026</v>
      </c>
      <c r="D154" s="115" t="s">
        <v>1085</v>
      </c>
      <c r="E154" s="88">
        <v>0</v>
      </c>
      <c r="F154" s="318"/>
      <c r="G154" s="319"/>
      <c r="H154" s="117">
        <v>28277781</v>
      </c>
      <c r="I154" s="86"/>
      <c r="J154" s="117">
        <v>11413823</v>
      </c>
      <c r="K154" s="318"/>
      <c r="L154" s="394"/>
    </row>
    <row r="155" spans="2:12">
      <c r="B155" s="318"/>
      <c r="C155" s="330"/>
      <c r="D155" s="115"/>
      <c r="E155" s="88"/>
      <c r="F155" s="318"/>
      <c r="G155" s="319"/>
      <c r="H155" s="319"/>
      <c r="I155" s="86"/>
      <c r="J155" s="336"/>
      <c r="K155" s="318"/>
    </row>
    <row r="156" spans="2:12">
      <c r="B156" s="318"/>
      <c r="C156" s="330" t="s">
        <v>1026</v>
      </c>
      <c r="D156" s="115" t="s">
        <v>1086</v>
      </c>
      <c r="E156" s="88"/>
      <c r="F156" s="318"/>
      <c r="G156" s="319"/>
      <c r="H156" s="319"/>
      <c r="I156" s="86"/>
      <c r="J156" s="336"/>
      <c r="K156" s="318"/>
    </row>
    <row r="157" spans="2:12">
      <c r="B157" s="318"/>
      <c r="C157" s="330"/>
      <c r="D157" s="115"/>
      <c r="E157" s="88"/>
      <c r="F157" s="318"/>
      <c r="G157" s="319"/>
      <c r="H157" s="319"/>
      <c r="I157" s="86"/>
      <c r="J157" s="336"/>
      <c r="K157" s="318"/>
    </row>
    <row r="158" spans="2:12">
      <c r="B158" s="318"/>
      <c r="C158" s="330" t="s">
        <v>1026</v>
      </c>
      <c r="D158" s="115" t="s">
        <v>1051</v>
      </c>
      <c r="E158" s="88"/>
      <c r="F158" s="318"/>
      <c r="G158" s="319"/>
      <c r="H158" s="319"/>
      <c r="I158" s="86"/>
      <c r="J158" s="336"/>
      <c r="K158" s="318"/>
    </row>
    <row r="159" spans="2:12">
      <c r="B159" s="318"/>
      <c r="C159" s="330"/>
      <c r="D159" s="115"/>
      <c r="E159" s="88"/>
      <c r="F159" s="318"/>
      <c r="G159" s="319"/>
      <c r="H159" s="319"/>
      <c r="I159" s="86"/>
      <c r="J159" s="336"/>
      <c r="K159" s="318"/>
    </row>
    <row r="160" spans="2:12">
      <c r="B160" s="318"/>
      <c r="C160" s="330" t="s">
        <v>1026</v>
      </c>
      <c r="D160" s="115" t="s">
        <v>1087</v>
      </c>
      <c r="E160" s="88"/>
      <c r="F160" s="318"/>
      <c r="G160" s="319"/>
      <c r="H160" s="319"/>
      <c r="I160" s="86"/>
      <c r="J160" s="336"/>
      <c r="K160" s="318"/>
    </row>
    <row r="161" spans="2:11">
      <c r="B161" s="318"/>
      <c r="C161" s="330"/>
      <c r="D161" s="115"/>
      <c r="E161" s="88"/>
      <c r="F161" s="318"/>
      <c r="G161" s="319"/>
      <c r="H161" s="319"/>
      <c r="I161" s="86"/>
      <c r="J161" s="336"/>
      <c r="K161" s="318"/>
    </row>
    <row r="162" spans="2:11">
      <c r="B162" s="318"/>
      <c r="C162" s="330" t="s">
        <v>1026</v>
      </c>
      <c r="D162" s="115" t="s">
        <v>1088</v>
      </c>
      <c r="E162" s="88"/>
      <c r="F162" s="318"/>
      <c r="G162" s="319"/>
      <c r="H162" s="319">
        <f>'Aktiv-Pasiv'!F76</f>
        <v>4116302</v>
      </c>
      <c r="I162" s="318"/>
      <c r="J162" s="336">
        <f>'Aktiv-Pasiv'!G76</f>
        <v>4116302</v>
      </c>
      <c r="K162" s="318"/>
    </row>
    <row r="163" spans="2:11">
      <c r="B163" s="318"/>
      <c r="C163" s="330"/>
      <c r="D163" s="115"/>
      <c r="E163" s="88"/>
      <c r="F163" s="318"/>
      <c r="G163" s="319"/>
      <c r="H163" s="319"/>
      <c r="I163" s="86"/>
      <c r="J163" s="336"/>
      <c r="K163" s="318"/>
    </row>
    <row r="164" spans="2:11">
      <c r="B164" s="318"/>
      <c r="C164" s="94">
        <v>4</v>
      </c>
      <c r="D164" s="129" t="s">
        <v>886</v>
      </c>
      <c r="E164" s="99"/>
      <c r="F164" s="318"/>
      <c r="G164" s="319"/>
      <c r="H164" s="319">
        <f>'Aktiv-Pasiv'!F89</f>
        <v>0</v>
      </c>
      <c r="I164" s="318"/>
      <c r="J164" s="319">
        <f>'Aktiv-Pasiv'!G89</f>
        <v>598587</v>
      </c>
      <c r="K164" s="318"/>
    </row>
    <row r="165" spans="2:11">
      <c r="B165" s="318"/>
      <c r="C165" s="94"/>
      <c r="D165" s="129"/>
      <c r="E165" s="99"/>
      <c r="F165" s="318"/>
      <c r="G165" s="319"/>
      <c r="H165" s="319"/>
      <c r="I165" s="86"/>
      <c r="J165" s="336"/>
      <c r="K165" s="318"/>
    </row>
    <row r="166" spans="2:11" ht="18.75" customHeight="1">
      <c r="B166" s="318"/>
      <c r="C166" s="94">
        <v>5</v>
      </c>
      <c r="D166" s="129" t="s">
        <v>1089</v>
      </c>
      <c r="E166" s="99"/>
      <c r="F166" s="318"/>
      <c r="G166" s="319"/>
      <c r="H166" s="319"/>
      <c r="I166" s="86" t="s">
        <v>1058</v>
      </c>
      <c r="J166" s="336"/>
      <c r="K166" s="318"/>
    </row>
    <row r="167" spans="2:11">
      <c r="B167" s="318"/>
      <c r="C167" s="94"/>
      <c r="D167" s="129"/>
      <c r="E167" s="99"/>
      <c r="F167" s="318"/>
      <c r="G167" s="319"/>
      <c r="H167" s="319"/>
      <c r="I167" s="86"/>
      <c r="J167" s="336"/>
      <c r="K167" s="318"/>
    </row>
    <row r="168" spans="2:11">
      <c r="B168" s="318"/>
      <c r="C168" s="140" t="s">
        <v>339</v>
      </c>
      <c r="D168" s="95" t="s">
        <v>1090</v>
      </c>
      <c r="E168" s="96"/>
      <c r="F168" s="318"/>
      <c r="G168" s="319"/>
      <c r="H168" s="319"/>
      <c r="I168" s="86" t="s">
        <v>1058</v>
      </c>
      <c r="J168" s="336"/>
      <c r="K168" s="318"/>
    </row>
    <row r="169" spans="2:11">
      <c r="B169" s="318"/>
      <c r="C169" s="140"/>
      <c r="D169" s="95"/>
      <c r="E169" s="96"/>
      <c r="F169" s="318"/>
      <c r="G169" s="319"/>
      <c r="H169" s="319"/>
      <c r="I169" s="86"/>
      <c r="J169" s="336"/>
      <c r="K169" s="318"/>
    </row>
    <row r="170" spans="2:11">
      <c r="B170" s="318"/>
      <c r="C170" s="94">
        <v>1</v>
      </c>
      <c r="D170" s="129" t="s">
        <v>1091</v>
      </c>
      <c r="E170" s="96"/>
      <c r="F170" s="318"/>
      <c r="G170" s="319"/>
      <c r="H170" s="319"/>
      <c r="I170" s="86" t="s">
        <v>1058</v>
      </c>
      <c r="J170" s="336"/>
      <c r="K170" s="318"/>
    </row>
    <row r="171" spans="2:11">
      <c r="B171" s="318"/>
      <c r="C171" s="94"/>
      <c r="D171" s="129"/>
      <c r="E171" s="96"/>
      <c r="F171" s="318"/>
      <c r="G171" s="319"/>
      <c r="H171" s="319"/>
      <c r="I171" s="86"/>
      <c r="J171" s="336"/>
      <c r="K171" s="318"/>
    </row>
    <row r="172" spans="2:11">
      <c r="B172" s="318"/>
      <c r="C172" s="330" t="s">
        <v>1026</v>
      </c>
      <c r="D172" s="115" t="s">
        <v>1092</v>
      </c>
      <c r="E172" s="88"/>
      <c r="F172" s="318"/>
      <c r="G172" s="319"/>
      <c r="H172" s="319"/>
      <c r="I172" s="86" t="s">
        <v>1058</v>
      </c>
      <c r="J172" s="336"/>
      <c r="K172" s="318"/>
    </row>
    <row r="173" spans="2:11">
      <c r="B173" s="318"/>
      <c r="C173" s="330"/>
      <c r="D173" s="115"/>
      <c r="E173" s="88"/>
      <c r="F173" s="318"/>
      <c r="G173" s="319"/>
      <c r="H173" s="319"/>
      <c r="I173" s="86"/>
      <c r="J173" s="336"/>
      <c r="K173" s="318"/>
    </row>
    <row r="174" spans="2:11">
      <c r="B174" s="318"/>
      <c r="C174" s="330" t="s">
        <v>1026</v>
      </c>
      <c r="D174" s="115" t="s">
        <v>875</v>
      </c>
      <c r="E174" s="88"/>
      <c r="F174" s="318"/>
      <c r="G174" s="319"/>
      <c r="H174" s="319"/>
      <c r="I174" s="86" t="s">
        <v>1058</v>
      </c>
      <c r="J174" s="336"/>
      <c r="K174" s="318"/>
    </row>
    <row r="175" spans="2:11">
      <c r="B175" s="318"/>
      <c r="C175" s="330"/>
      <c r="D175" s="115"/>
      <c r="E175" s="88"/>
      <c r="F175" s="318"/>
      <c r="G175" s="319"/>
      <c r="H175" s="319"/>
      <c r="I175" s="86"/>
      <c r="J175" s="336"/>
      <c r="K175" s="318"/>
    </row>
    <row r="176" spans="2:11">
      <c r="B176" s="318"/>
      <c r="C176" s="94">
        <v>2</v>
      </c>
      <c r="D176" s="129" t="s">
        <v>1093</v>
      </c>
      <c r="E176" s="99"/>
      <c r="F176" s="318"/>
      <c r="G176" s="319"/>
      <c r="H176" s="319">
        <f>'Aktiv-Pasiv'!E90</f>
        <v>275088513</v>
      </c>
      <c r="I176" s="318"/>
      <c r="J176" s="336">
        <f>'Aktiv-Pasiv'!F90</f>
        <v>353295788.51999998</v>
      </c>
      <c r="K176" s="318"/>
    </row>
    <row r="177" spans="2:11">
      <c r="B177" s="318"/>
      <c r="C177" s="94"/>
      <c r="D177" s="129"/>
      <c r="E177" s="99"/>
      <c r="F177" s="318"/>
      <c r="G177" s="319"/>
      <c r="H177" s="319"/>
      <c r="I177" s="86"/>
      <c r="J177" s="336"/>
      <c r="K177" s="318"/>
    </row>
    <row r="178" spans="2:11">
      <c r="B178" s="318"/>
      <c r="C178" s="94">
        <v>3</v>
      </c>
      <c r="D178" s="129" t="s">
        <v>886</v>
      </c>
      <c r="E178" s="99"/>
      <c r="F178" s="318"/>
      <c r="G178" s="319"/>
      <c r="H178" s="319"/>
      <c r="I178" s="86"/>
      <c r="J178" s="336"/>
      <c r="K178" s="318"/>
    </row>
    <row r="179" spans="2:11">
      <c r="B179" s="318"/>
      <c r="C179" s="94"/>
      <c r="D179" s="129"/>
      <c r="E179" s="99"/>
      <c r="F179" s="318"/>
      <c r="G179" s="319"/>
      <c r="H179" s="319"/>
      <c r="I179" s="86"/>
      <c r="J179" s="336"/>
      <c r="K179" s="318"/>
    </row>
    <row r="180" spans="2:11">
      <c r="B180" s="318"/>
      <c r="C180" s="94">
        <v>4</v>
      </c>
      <c r="D180" s="129" t="s">
        <v>895</v>
      </c>
      <c r="E180" s="99"/>
      <c r="F180" s="318"/>
      <c r="G180" s="319"/>
      <c r="H180" s="319"/>
      <c r="I180" s="86"/>
      <c r="J180" s="336"/>
      <c r="K180" s="318"/>
    </row>
    <row r="181" spans="2:11">
      <c r="B181" s="318"/>
      <c r="C181" s="94"/>
      <c r="D181" s="129"/>
      <c r="E181" s="99"/>
      <c r="F181" s="318"/>
      <c r="G181" s="319"/>
      <c r="H181" s="319"/>
      <c r="I181" s="86"/>
      <c r="J181" s="336"/>
      <c r="K181" s="318"/>
    </row>
    <row r="182" spans="2:11">
      <c r="B182" s="318"/>
      <c r="C182" s="140" t="s">
        <v>898</v>
      </c>
      <c r="D182" s="95" t="s">
        <v>1094</v>
      </c>
      <c r="E182" s="96"/>
      <c r="F182" s="318"/>
      <c r="G182" s="319"/>
      <c r="H182" s="319"/>
      <c r="I182" s="86"/>
      <c r="J182" s="336"/>
      <c r="K182" s="318"/>
    </row>
    <row r="183" spans="2:11">
      <c r="B183" s="318"/>
      <c r="C183" s="140"/>
      <c r="D183" s="95"/>
      <c r="E183" s="96"/>
      <c r="F183" s="318"/>
      <c r="G183" s="319"/>
      <c r="H183" s="319"/>
      <c r="I183" s="86"/>
      <c r="J183" s="336"/>
      <c r="K183" s="318"/>
    </row>
    <row r="184" spans="2:11">
      <c r="B184" s="318"/>
      <c r="C184" s="94">
        <v>1</v>
      </c>
      <c r="D184" s="129" t="s">
        <v>1095</v>
      </c>
      <c r="E184" s="99"/>
      <c r="F184" s="318"/>
      <c r="G184" s="319"/>
      <c r="H184" s="319"/>
      <c r="I184" s="86" t="s">
        <v>1058</v>
      </c>
      <c r="J184" s="336"/>
      <c r="K184" s="318"/>
    </row>
    <row r="185" spans="2:11">
      <c r="B185" s="318"/>
      <c r="C185" s="94"/>
      <c r="D185" s="129"/>
      <c r="E185" s="99"/>
      <c r="F185" s="318"/>
      <c r="G185" s="319"/>
      <c r="H185" s="319"/>
      <c r="I185" s="86"/>
      <c r="J185" s="336"/>
      <c r="K185" s="318"/>
    </row>
    <row r="186" spans="2:11">
      <c r="B186" s="318"/>
      <c r="C186" s="94">
        <v>2</v>
      </c>
      <c r="D186" s="129" t="s">
        <v>1096</v>
      </c>
      <c r="E186" s="99"/>
      <c r="F186" s="318"/>
      <c r="G186" s="319"/>
      <c r="H186" s="319"/>
      <c r="I186" s="86"/>
      <c r="J186" s="336"/>
      <c r="K186" s="318"/>
    </row>
    <row r="187" spans="2:11">
      <c r="B187" s="318"/>
      <c r="C187" s="94"/>
      <c r="D187" s="129"/>
      <c r="E187" s="99"/>
      <c r="F187" s="318"/>
      <c r="G187" s="319"/>
      <c r="H187" s="319"/>
      <c r="I187" s="86"/>
      <c r="J187" s="336"/>
      <c r="K187" s="318"/>
    </row>
    <row r="188" spans="2:11">
      <c r="B188" s="318"/>
      <c r="C188" s="94">
        <v>3</v>
      </c>
      <c r="D188" s="129" t="s">
        <v>902</v>
      </c>
      <c r="E188" s="99"/>
      <c r="F188" s="318"/>
      <c r="G188" s="319"/>
      <c r="H188" s="319">
        <f>'Aktiv-Pasiv'!E96</f>
        <v>171500000</v>
      </c>
      <c r="I188" s="318"/>
      <c r="J188" s="336">
        <f>'Aktiv-Pasiv'!F96</f>
        <v>171500000</v>
      </c>
      <c r="K188" s="318"/>
    </row>
    <row r="189" spans="2:11">
      <c r="B189" s="318"/>
      <c r="C189" s="94"/>
      <c r="D189" s="129"/>
      <c r="E189" s="99"/>
      <c r="F189" s="318"/>
      <c r="G189" s="319"/>
      <c r="H189" s="319"/>
      <c r="I189" s="86"/>
      <c r="J189" s="336"/>
      <c r="K189" s="318"/>
    </row>
    <row r="190" spans="2:11">
      <c r="B190" s="318"/>
      <c r="C190" s="94">
        <v>4</v>
      </c>
      <c r="D190" s="129" t="s">
        <v>1097</v>
      </c>
      <c r="E190" s="99"/>
      <c r="F190" s="318"/>
      <c r="G190" s="319"/>
      <c r="H190" s="319"/>
      <c r="I190" s="86"/>
      <c r="J190" s="336"/>
      <c r="K190" s="318"/>
    </row>
    <row r="191" spans="2:11">
      <c r="B191" s="318"/>
      <c r="C191" s="94"/>
      <c r="D191" s="129"/>
      <c r="E191" s="99"/>
      <c r="F191" s="318"/>
      <c r="G191" s="319"/>
      <c r="H191" s="319"/>
      <c r="I191" s="86"/>
      <c r="J191" s="336"/>
      <c r="K191" s="318"/>
    </row>
    <row r="192" spans="2:11">
      <c r="B192" s="318"/>
      <c r="C192" s="94">
        <v>5</v>
      </c>
      <c r="D192" s="129" t="s">
        <v>1098</v>
      </c>
      <c r="E192" s="99"/>
      <c r="F192" s="318"/>
      <c r="G192" s="319"/>
      <c r="H192" s="319"/>
      <c r="I192" s="86"/>
      <c r="J192" s="336"/>
      <c r="K192" s="318"/>
    </row>
    <row r="193" spans="2:11">
      <c r="B193" s="318"/>
      <c r="C193" s="94"/>
      <c r="D193" s="129"/>
      <c r="E193" s="99"/>
      <c r="F193" s="318"/>
      <c r="G193" s="319"/>
      <c r="H193" s="319"/>
      <c r="I193" s="86"/>
      <c r="J193" s="336"/>
      <c r="K193" s="318"/>
    </row>
    <row r="194" spans="2:11">
      <c r="B194" s="318"/>
      <c r="C194" s="94">
        <v>6</v>
      </c>
      <c r="D194" s="129" t="s">
        <v>1099</v>
      </c>
      <c r="E194" s="99"/>
      <c r="F194" s="318"/>
      <c r="G194" s="319"/>
      <c r="H194" s="319"/>
      <c r="I194" s="86"/>
      <c r="J194" s="336"/>
      <c r="K194" s="318"/>
    </row>
    <row r="195" spans="2:11">
      <c r="B195" s="318"/>
      <c r="C195" s="94"/>
      <c r="D195" s="129"/>
      <c r="E195" s="99"/>
      <c r="F195" s="318"/>
      <c r="G195" s="319"/>
      <c r="H195" s="319"/>
      <c r="I195" s="86"/>
      <c r="J195" s="336"/>
      <c r="K195" s="318"/>
    </row>
    <row r="196" spans="2:11">
      <c r="B196" s="318"/>
      <c r="C196" s="94">
        <v>7</v>
      </c>
      <c r="D196" s="129" t="s">
        <v>1100</v>
      </c>
      <c r="E196" s="99"/>
      <c r="F196" s="318"/>
      <c r="G196" s="319"/>
      <c r="H196" s="319">
        <f>'Aktiv-Pasiv'!E100</f>
        <v>23579566</v>
      </c>
      <c r="I196" s="318"/>
      <c r="J196" s="336">
        <f>'Aktiv-Pasiv'!F100</f>
        <v>21584466.600000001</v>
      </c>
      <c r="K196" s="318"/>
    </row>
    <row r="197" spans="2:11">
      <c r="B197" s="318"/>
      <c r="C197" s="94"/>
      <c r="D197" s="129"/>
      <c r="E197" s="99"/>
      <c r="F197" s="318"/>
      <c r="G197" s="319"/>
      <c r="H197" s="88"/>
      <c r="I197" s="318"/>
      <c r="J197" s="336"/>
      <c r="K197" s="318"/>
    </row>
    <row r="198" spans="2:11">
      <c r="B198" s="318"/>
      <c r="C198" s="94">
        <v>8</v>
      </c>
      <c r="D198" s="129" t="s">
        <v>1101</v>
      </c>
      <c r="E198" s="99"/>
      <c r="F198" s="318"/>
      <c r="G198" s="319"/>
      <c r="H198" s="319">
        <f>'Aktiv-Pasiv'!E101</f>
        <v>253800203</v>
      </c>
      <c r="I198" s="318"/>
      <c r="J198" s="336">
        <f>'Aktiv-Pasiv'!F101</f>
        <v>215893295.02000001</v>
      </c>
      <c r="K198" s="318"/>
    </row>
    <row r="199" spans="2:11">
      <c r="B199" s="318"/>
      <c r="C199" s="94"/>
      <c r="D199" s="129"/>
      <c r="E199" s="99"/>
      <c r="F199" s="318"/>
      <c r="G199" s="319"/>
      <c r="H199" s="319"/>
      <c r="I199" s="318"/>
      <c r="J199" s="336"/>
      <c r="K199" s="318"/>
    </row>
    <row r="200" spans="2:11">
      <c r="B200" s="318"/>
      <c r="C200" s="94">
        <v>9</v>
      </c>
      <c r="D200" s="129" t="s">
        <v>908</v>
      </c>
      <c r="E200" s="99"/>
      <c r="F200" s="318"/>
      <c r="G200" s="319"/>
      <c r="H200" s="319"/>
      <c r="I200" s="318"/>
      <c r="J200" s="336"/>
      <c r="K200" s="318"/>
    </row>
    <row r="201" spans="2:11">
      <c r="B201" s="318"/>
      <c r="C201" s="94"/>
      <c r="D201" s="129"/>
      <c r="E201" s="99"/>
      <c r="F201" s="318"/>
      <c r="G201" s="319"/>
      <c r="H201" s="319"/>
      <c r="I201" s="318"/>
      <c r="J201" s="336"/>
      <c r="K201" s="318"/>
    </row>
    <row r="202" spans="2:11">
      <c r="B202" s="318"/>
      <c r="C202" s="94">
        <v>10</v>
      </c>
      <c r="D202" s="129" t="s">
        <v>1102</v>
      </c>
      <c r="E202" s="99"/>
      <c r="F202" s="318"/>
      <c r="G202" s="319"/>
      <c r="H202" s="319">
        <f>'te ardhura e shpenzime'!E32</f>
        <v>1217739.2999999998</v>
      </c>
      <c r="I202" s="318"/>
      <c r="J202" s="336">
        <f>'Aktiv-Pasiv'!F103</f>
        <v>39902008.169999994</v>
      </c>
      <c r="K202" s="318"/>
    </row>
    <row r="203" spans="2:11">
      <c r="B203" s="318"/>
      <c r="C203" s="318"/>
      <c r="D203" s="318"/>
      <c r="E203" s="88"/>
      <c r="F203" s="318"/>
      <c r="G203" s="319"/>
      <c r="H203" s="319"/>
      <c r="I203" s="318"/>
      <c r="J203" s="336"/>
      <c r="K203" s="318"/>
    </row>
    <row r="204" spans="2:11">
      <c r="B204" s="318"/>
      <c r="C204" s="318"/>
      <c r="D204" s="144" t="s">
        <v>1103</v>
      </c>
      <c r="E204" s="93" t="s">
        <v>1104</v>
      </c>
      <c r="F204" s="318"/>
      <c r="G204" s="319"/>
      <c r="H204" s="319">
        <f>'te ardhura e shpenzime'!E29</f>
        <v>5814103</v>
      </c>
      <c r="I204" s="317" t="s">
        <v>1006</v>
      </c>
      <c r="J204" s="319">
        <f>'te ardhura e shpenzime'!F29</f>
        <v>47915317.369999997</v>
      </c>
      <c r="K204" s="318"/>
    </row>
    <row r="205" spans="2:11">
      <c r="B205" s="318"/>
      <c r="C205" s="318"/>
      <c r="D205" s="144" t="s">
        <v>1103</v>
      </c>
      <c r="E205" s="88" t="s">
        <v>1105</v>
      </c>
      <c r="F205" s="318"/>
      <c r="G205" s="319"/>
      <c r="H205" s="319">
        <f>'rezultati tatimor'!D13</f>
        <v>40149534</v>
      </c>
      <c r="I205" s="317" t="s">
        <v>1006</v>
      </c>
      <c r="J205" s="343">
        <v>32217775</v>
      </c>
      <c r="K205" s="318"/>
    </row>
    <row r="206" spans="2:11">
      <c r="B206" s="318"/>
      <c r="C206" s="318"/>
      <c r="D206" s="144" t="s">
        <v>1103</v>
      </c>
      <c r="E206" s="88" t="s">
        <v>1106</v>
      </c>
      <c r="F206" s="318"/>
      <c r="G206" s="319"/>
      <c r="H206" s="319">
        <f>H204+H205</f>
        <v>45963637</v>
      </c>
      <c r="I206" s="317" t="s">
        <v>1006</v>
      </c>
      <c r="J206" s="343">
        <f>SUM(J204:J205)</f>
        <v>80133092.370000005</v>
      </c>
      <c r="K206" s="318"/>
    </row>
    <row r="207" spans="2:11">
      <c r="B207" s="318"/>
      <c r="C207" s="318"/>
      <c r="D207" s="144" t="s">
        <v>1103</v>
      </c>
      <c r="E207" s="145" t="s">
        <v>1107</v>
      </c>
      <c r="F207" s="318"/>
      <c r="G207" s="319"/>
      <c r="H207" s="319">
        <f>H206*0.1</f>
        <v>4596363.7</v>
      </c>
      <c r="I207" s="317" t="s">
        <v>1006</v>
      </c>
      <c r="J207" s="343">
        <f>J206*0.1</f>
        <v>8013309.2370000007</v>
      </c>
      <c r="K207" s="318"/>
    </row>
    <row r="208" spans="2:11">
      <c r="B208" s="318"/>
      <c r="C208" s="318"/>
      <c r="D208" s="318"/>
      <c r="E208" s="88"/>
      <c r="F208" s="318"/>
      <c r="G208" s="319"/>
      <c r="H208" s="319"/>
      <c r="I208" s="318"/>
      <c r="J208" s="88"/>
      <c r="K208" s="318"/>
    </row>
    <row r="209" spans="2:11">
      <c r="B209" s="318"/>
      <c r="C209" s="318"/>
      <c r="D209" s="318"/>
      <c r="E209" s="88"/>
      <c r="F209" s="318"/>
      <c r="G209" s="319"/>
      <c r="H209" s="319"/>
      <c r="I209" s="318"/>
      <c r="J209" s="88"/>
      <c r="K209" s="318"/>
    </row>
    <row r="210" spans="2:11" ht="15.75">
      <c r="B210" s="797" t="s">
        <v>1108</v>
      </c>
      <c r="C210" s="797"/>
      <c r="D210" s="84" t="s">
        <v>1109</v>
      </c>
      <c r="E210" s="88"/>
      <c r="F210" s="318"/>
      <c r="G210" s="319"/>
      <c r="H210" s="319"/>
      <c r="I210" s="318"/>
      <c r="J210" s="88"/>
      <c r="K210" s="318"/>
    </row>
    <row r="211" spans="2:11">
      <c r="B211" s="318"/>
      <c r="C211" s="318"/>
      <c r="D211" s="318"/>
      <c r="E211" s="88"/>
      <c r="F211" s="318"/>
      <c r="G211" s="319"/>
      <c r="H211" s="319"/>
      <c r="I211" s="318"/>
      <c r="J211" s="88"/>
      <c r="K211" s="318"/>
    </row>
    <row r="212" spans="2:11">
      <c r="B212" s="318"/>
      <c r="C212" s="344"/>
      <c r="D212" s="318" t="s">
        <v>1110</v>
      </c>
      <c r="E212" s="88"/>
      <c r="F212" s="318"/>
      <c r="G212" s="319"/>
      <c r="H212" s="319"/>
      <c r="I212" s="318"/>
      <c r="J212" s="88"/>
      <c r="K212" s="318"/>
    </row>
    <row r="213" spans="2:11">
      <c r="B213" s="318"/>
      <c r="C213" s="318" t="s">
        <v>1111</v>
      </c>
      <c r="D213" s="318"/>
      <c r="E213" s="88"/>
      <c r="F213" s="318"/>
      <c r="G213" s="319"/>
      <c r="H213" s="319"/>
      <c r="I213" s="318"/>
      <c r="J213" s="88"/>
      <c r="K213" s="318"/>
    </row>
    <row r="214" spans="2:11">
      <c r="B214" s="318"/>
      <c r="C214" s="318"/>
      <c r="D214" s="318" t="s">
        <v>1112</v>
      </c>
      <c r="E214" s="88"/>
      <c r="F214" s="318"/>
      <c r="G214" s="319"/>
      <c r="H214" s="319"/>
      <c r="I214" s="318"/>
      <c r="J214" s="88"/>
      <c r="K214" s="318"/>
    </row>
    <row r="215" spans="2:11">
      <c r="B215" s="318"/>
      <c r="C215" s="318" t="s">
        <v>1113</v>
      </c>
      <c r="D215" s="318"/>
      <c r="E215" s="88"/>
      <c r="F215" s="318"/>
      <c r="G215" s="319"/>
      <c r="H215" s="319"/>
      <c r="I215" s="318"/>
      <c r="J215" s="88"/>
      <c r="K215" s="318"/>
    </row>
    <row r="216" spans="2:11">
      <c r="B216" s="318"/>
      <c r="C216" s="318"/>
      <c r="D216" s="318"/>
      <c r="E216" s="88"/>
      <c r="F216" s="318"/>
      <c r="G216" s="319"/>
      <c r="H216" s="319"/>
      <c r="I216" s="318"/>
      <c r="J216" s="88"/>
      <c r="K216" s="318"/>
    </row>
    <row r="217" spans="2:11">
      <c r="B217" s="318"/>
      <c r="C217" s="318"/>
      <c r="D217" s="318"/>
      <c r="E217" s="88"/>
      <c r="F217" s="318"/>
      <c r="G217" s="319"/>
      <c r="H217" s="319"/>
      <c r="I217" s="318"/>
      <c r="J217" s="88"/>
      <c r="K217" s="318"/>
    </row>
    <row r="218" spans="2:11" ht="15">
      <c r="B218" s="318"/>
      <c r="C218" s="318"/>
      <c r="D218" s="318"/>
      <c r="E218" s="88"/>
      <c r="F218" s="318"/>
      <c r="G218" s="787" t="s">
        <v>1114</v>
      </c>
      <c r="H218" s="787"/>
      <c r="I218" s="787"/>
      <c r="J218" s="787"/>
      <c r="K218" s="787"/>
    </row>
    <row r="219" spans="2:11" ht="15">
      <c r="G219" s="788" t="s">
        <v>1115</v>
      </c>
      <c r="H219" s="788"/>
      <c r="I219" s="788"/>
      <c r="J219" s="788"/>
      <c r="K219" s="788"/>
    </row>
  </sheetData>
  <mergeCells count="46">
    <mergeCell ref="C113:C114"/>
    <mergeCell ref="D113:D114"/>
    <mergeCell ref="E113:G113"/>
    <mergeCell ref="H113:J113"/>
    <mergeCell ref="B210:C210"/>
    <mergeCell ref="G219:K219"/>
    <mergeCell ref="D50:E50"/>
    <mergeCell ref="D51:E51"/>
    <mergeCell ref="D56:E56"/>
    <mergeCell ref="D37:H37"/>
    <mergeCell ref="D38:H38"/>
    <mergeCell ref="D39:H39"/>
    <mergeCell ref="D40:H40"/>
    <mergeCell ref="F62:G62"/>
    <mergeCell ref="D41:J41"/>
    <mergeCell ref="G31:H31"/>
    <mergeCell ref="G32:H32"/>
    <mergeCell ref="D33:J33"/>
    <mergeCell ref="G218:K218"/>
    <mergeCell ref="C35:C36"/>
    <mergeCell ref="D35:H36"/>
    <mergeCell ref="G18:H18"/>
    <mergeCell ref="G21:H21"/>
    <mergeCell ref="G22:H22"/>
    <mergeCell ref="G23:H23"/>
    <mergeCell ref="G19:H19"/>
    <mergeCell ref="G20:H20"/>
    <mergeCell ref="G24:H24"/>
    <mergeCell ref="G25:H25"/>
    <mergeCell ref="G28:H28"/>
    <mergeCell ref="G29:H29"/>
    <mergeCell ref="G30:H30"/>
    <mergeCell ref="G26:H26"/>
    <mergeCell ref="G27:H27"/>
    <mergeCell ref="G17:H17"/>
    <mergeCell ref="G14:H14"/>
    <mergeCell ref="G15:H15"/>
    <mergeCell ref="G16:H16"/>
    <mergeCell ref="G9:H10"/>
    <mergeCell ref="G11:H11"/>
    <mergeCell ref="G12:H12"/>
    <mergeCell ref="G13:H13"/>
    <mergeCell ref="B3:C3"/>
    <mergeCell ref="C9:C10"/>
    <mergeCell ref="D9:E10"/>
    <mergeCell ref="F9:F10"/>
  </mergeCells>
  <phoneticPr fontId="5" type="noConversion"/>
  <pageMargins left="0.16" right="0.2" top="0.19" bottom="0.18" header="0.19" footer="0.17"/>
  <pageSetup paperSize="9" scale="89" orientation="portrait" r:id="rId1"/>
  <headerFooter alignWithMargins="0"/>
  <ignoredErrors>
    <ignoredError sqref="G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O48"/>
  <sheetViews>
    <sheetView topLeftCell="A8" zoomScaleNormal="100" workbookViewId="0">
      <selection activeCell="P23" sqref="P23"/>
    </sheetView>
  </sheetViews>
  <sheetFormatPr defaultRowHeight="12.75"/>
  <cols>
    <col min="1" max="1" width="29.28515625" customWidth="1"/>
    <col min="2" max="2" width="11.7109375" customWidth="1"/>
    <col min="3" max="3" width="6.28515625" customWidth="1"/>
    <col min="4" max="4" width="10.85546875" customWidth="1"/>
    <col min="5" max="5" width="9.42578125" customWidth="1"/>
    <col min="6" max="6" width="6.140625" customWidth="1"/>
    <col min="7" max="7" width="10.7109375" customWidth="1"/>
    <col min="8" max="8" width="13" customWidth="1"/>
    <col min="9" max="9" width="9.7109375" customWidth="1"/>
    <col min="10" max="10" width="9.42578125" bestFit="1" customWidth="1"/>
    <col min="11" max="11" width="5.28515625" customWidth="1"/>
    <col min="12" max="12" width="10.140625" customWidth="1"/>
    <col min="13" max="13" width="12.85546875" customWidth="1"/>
    <col min="14" max="14" width="16.28515625" bestFit="1" customWidth="1"/>
    <col min="15" max="15" width="15.140625" style="358" bestFit="1" customWidth="1"/>
    <col min="16" max="16" width="11.7109375" customWidth="1"/>
  </cols>
  <sheetData>
    <row r="1" spans="1:15">
      <c r="A1" s="31" t="s">
        <v>336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5">
      <c r="A2" s="61" t="s">
        <v>1116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 t="s">
        <v>336</v>
      </c>
    </row>
    <row r="3" spans="1:15">
      <c r="A3" s="799" t="s">
        <v>1117</v>
      </c>
      <c r="B3" s="799"/>
      <c r="C3" s="799"/>
      <c r="D3" s="799"/>
      <c r="E3" s="799"/>
      <c r="F3" s="799"/>
      <c r="G3" s="799"/>
      <c r="H3" s="799"/>
      <c r="I3" s="799"/>
      <c r="J3" s="799"/>
      <c r="K3" s="799"/>
      <c r="L3" s="799"/>
      <c r="M3" s="799"/>
    </row>
    <row r="4" spans="1:15">
      <c r="A4" s="799" t="s">
        <v>1118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</row>
    <row r="5" spans="1:1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5">
      <c r="A6" s="147"/>
      <c r="B6" s="147" t="s">
        <v>1119</v>
      </c>
      <c r="C6" s="800" t="s">
        <v>1120</v>
      </c>
      <c r="D6" s="800"/>
      <c r="E6" s="800"/>
      <c r="F6" s="800"/>
      <c r="G6" s="800"/>
      <c r="H6" s="800" t="s">
        <v>1121</v>
      </c>
      <c r="I6" s="800"/>
      <c r="J6" s="800"/>
      <c r="K6" s="800"/>
      <c r="L6" s="800"/>
      <c r="M6" s="147" t="s">
        <v>1122</v>
      </c>
    </row>
    <row r="7" spans="1:15">
      <c r="A7" s="149"/>
      <c r="B7" s="150" t="s">
        <v>1123</v>
      </c>
      <c r="C7" s="147" t="s">
        <v>1124</v>
      </c>
      <c r="D7" s="147" t="s">
        <v>1125</v>
      </c>
      <c r="E7" s="147" t="s">
        <v>1126</v>
      </c>
      <c r="F7" s="150" t="s">
        <v>1127</v>
      </c>
      <c r="G7" s="151"/>
      <c r="H7" s="151"/>
      <c r="I7" s="147" t="s">
        <v>1128</v>
      </c>
      <c r="J7" s="147" t="s">
        <v>1129</v>
      </c>
      <c r="K7" s="147" t="s">
        <v>1130</v>
      </c>
      <c r="L7" s="151"/>
      <c r="M7" s="150" t="s">
        <v>1131</v>
      </c>
    </row>
    <row r="8" spans="1:15">
      <c r="A8" s="149"/>
      <c r="B8" s="150" t="s">
        <v>1132</v>
      </c>
      <c r="C8" s="150" t="s">
        <v>1131</v>
      </c>
      <c r="D8" s="150" t="s">
        <v>1133</v>
      </c>
      <c r="E8" s="150"/>
      <c r="F8" s="152" t="s">
        <v>1134</v>
      </c>
      <c r="G8" s="150" t="s">
        <v>1135</v>
      </c>
      <c r="H8" s="150" t="s">
        <v>1136</v>
      </c>
      <c r="I8" s="150" t="s">
        <v>1137</v>
      </c>
      <c r="J8" s="150" t="s">
        <v>1138</v>
      </c>
      <c r="K8" s="150" t="s">
        <v>1139</v>
      </c>
      <c r="L8" s="150" t="s">
        <v>1135</v>
      </c>
      <c r="M8" s="150" t="s">
        <v>1140</v>
      </c>
    </row>
    <row r="9" spans="1:15">
      <c r="A9" s="153"/>
      <c r="B9" s="154" t="s">
        <v>1141</v>
      </c>
      <c r="C9" s="154" t="s">
        <v>1142</v>
      </c>
      <c r="D9" s="154" t="s">
        <v>1143</v>
      </c>
      <c r="E9" s="154"/>
      <c r="F9" s="153"/>
      <c r="G9" s="153"/>
      <c r="H9" s="153"/>
      <c r="I9" s="154" t="s">
        <v>1144</v>
      </c>
      <c r="J9" s="154" t="s">
        <v>1145</v>
      </c>
      <c r="K9" s="154" t="s">
        <v>1146</v>
      </c>
      <c r="L9" s="153"/>
      <c r="M9" s="154" t="s">
        <v>1141</v>
      </c>
    </row>
    <row r="10" spans="1:15">
      <c r="A10" s="148" t="s">
        <v>1147</v>
      </c>
      <c r="B10" s="155">
        <f>B11+B12+B13+B14+B15+B16</f>
        <v>0</v>
      </c>
      <c r="C10" s="155">
        <f t="shared" ref="C10:M10" si="0">SUM(C11:C16)</f>
        <v>0</v>
      </c>
      <c r="D10" s="155">
        <f t="shared" si="0"/>
        <v>0</v>
      </c>
      <c r="E10" s="155">
        <f t="shared" si="0"/>
        <v>0</v>
      </c>
      <c r="F10" s="155">
        <f t="shared" si="0"/>
        <v>0</v>
      </c>
      <c r="G10" s="155">
        <f t="shared" si="0"/>
        <v>0</v>
      </c>
      <c r="H10" s="155">
        <f t="shared" si="0"/>
        <v>0</v>
      </c>
      <c r="I10" s="155">
        <f t="shared" si="0"/>
        <v>0</v>
      </c>
      <c r="J10" s="155">
        <f t="shared" si="0"/>
        <v>0</v>
      </c>
      <c r="K10" s="155">
        <f t="shared" si="0"/>
        <v>0</v>
      </c>
      <c r="L10" s="155">
        <f t="shared" si="0"/>
        <v>0</v>
      </c>
      <c r="M10" s="155">
        <f t="shared" si="0"/>
        <v>0</v>
      </c>
    </row>
    <row r="11" spans="1:15">
      <c r="A11" s="156" t="s">
        <v>1148</v>
      </c>
      <c r="B11" s="155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f t="shared" ref="G11:G16" si="1">SUM(C11:F11)</f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f t="shared" ref="L11:L16" si="2">SUM(H11:K11)</f>
        <v>0</v>
      </c>
      <c r="M11" s="155">
        <f t="shared" ref="M11:M16" si="3">B11+G11-L11</f>
        <v>0</v>
      </c>
    </row>
    <row r="12" spans="1:15">
      <c r="A12" s="156" t="s">
        <v>1149</v>
      </c>
      <c r="B12" s="155">
        <v>0</v>
      </c>
      <c r="C12" s="155">
        <v>0</v>
      </c>
      <c r="D12" s="155">
        <v>0</v>
      </c>
      <c r="E12" s="155">
        <v>0</v>
      </c>
      <c r="F12" s="155">
        <v>0</v>
      </c>
      <c r="G12" s="155">
        <f t="shared" si="1"/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f t="shared" si="2"/>
        <v>0</v>
      </c>
      <c r="M12" s="155">
        <f t="shared" si="3"/>
        <v>0</v>
      </c>
    </row>
    <row r="13" spans="1:15">
      <c r="A13" s="156" t="s">
        <v>1150</v>
      </c>
      <c r="B13" s="155">
        <v>0</v>
      </c>
      <c r="C13" s="155">
        <v>0</v>
      </c>
      <c r="D13" s="155">
        <v>0</v>
      </c>
      <c r="E13" s="155">
        <v>0</v>
      </c>
      <c r="F13" s="155">
        <v>0</v>
      </c>
      <c r="G13" s="155">
        <f t="shared" si="1"/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f t="shared" si="2"/>
        <v>0</v>
      </c>
      <c r="M13" s="155">
        <f t="shared" si="3"/>
        <v>0</v>
      </c>
      <c r="O13"/>
    </row>
    <row r="14" spans="1:15">
      <c r="A14" s="156" t="s">
        <v>1151</v>
      </c>
      <c r="B14" s="155">
        <v>0</v>
      </c>
      <c r="C14" s="155">
        <v>0</v>
      </c>
      <c r="D14" s="155">
        <v>0</v>
      </c>
      <c r="E14" s="155">
        <v>0</v>
      </c>
      <c r="F14" s="155">
        <v>0</v>
      </c>
      <c r="G14" s="155">
        <f t="shared" si="1"/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f t="shared" si="2"/>
        <v>0</v>
      </c>
      <c r="M14" s="155">
        <f t="shared" si="3"/>
        <v>0</v>
      </c>
      <c r="O14"/>
    </row>
    <row r="15" spans="1:15">
      <c r="A15" s="156" t="s">
        <v>1153</v>
      </c>
      <c r="B15" s="155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f t="shared" si="1"/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f t="shared" si="2"/>
        <v>0</v>
      </c>
      <c r="M15" s="155">
        <f t="shared" si="3"/>
        <v>0</v>
      </c>
      <c r="O15"/>
    </row>
    <row r="16" spans="1:15">
      <c r="A16" s="156" t="s">
        <v>1154</v>
      </c>
      <c r="B16" s="155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f t="shared" si="1"/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f t="shared" si="2"/>
        <v>0</v>
      </c>
      <c r="M16" s="155">
        <f t="shared" si="3"/>
        <v>0</v>
      </c>
      <c r="O16"/>
    </row>
    <row r="17" spans="1:15">
      <c r="A17" s="156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O17"/>
    </row>
    <row r="18" spans="1:15">
      <c r="A18" s="148" t="s">
        <v>1155</v>
      </c>
      <c r="B18" s="155">
        <f>SUM(B19:B28)</f>
        <v>892699625.44000006</v>
      </c>
      <c r="C18" s="155">
        <f t="shared" ref="C18:L18" si="4">SUM(C19:C28)</f>
        <v>0</v>
      </c>
      <c r="D18" s="155">
        <f t="shared" si="4"/>
        <v>40425005</v>
      </c>
      <c r="E18" s="155">
        <f>SUM(E19:E28)</f>
        <v>7100900</v>
      </c>
      <c r="F18" s="155">
        <f t="shared" si="4"/>
        <v>0</v>
      </c>
      <c r="G18" s="155">
        <f t="shared" si="4"/>
        <v>47525905</v>
      </c>
      <c r="H18" s="155">
        <f t="shared" si="4"/>
        <v>0</v>
      </c>
      <c r="I18" s="155">
        <f t="shared" si="4"/>
        <v>0</v>
      </c>
      <c r="J18" s="155">
        <f t="shared" si="4"/>
        <v>4000000</v>
      </c>
      <c r="K18" s="155">
        <f t="shared" si="4"/>
        <v>0</v>
      </c>
      <c r="L18" s="155">
        <f t="shared" si="4"/>
        <v>4000000</v>
      </c>
      <c r="M18" s="155">
        <f>SUM(M19:M28)</f>
        <v>936225530.44000006</v>
      </c>
      <c r="O18"/>
    </row>
    <row r="19" spans="1:15">
      <c r="A19" s="156" t="s">
        <v>1156</v>
      </c>
      <c r="B19" s="155">
        <v>13448000</v>
      </c>
      <c r="C19" s="155">
        <v>0</v>
      </c>
      <c r="D19" s="155">
        <v>1977800</v>
      </c>
      <c r="E19" s="155">
        <v>0</v>
      </c>
      <c r="F19" s="155">
        <v>0</v>
      </c>
      <c r="G19" s="155">
        <f>SUM(C19:F19)</f>
        <v>1977800</v>
      </c>
      <c r="H19" s="155"/>
      <c r="I19" s="155">
        <v>0</v>
      </c>
      <c r="J19" s="155">
        <v>0</v>
      </c>
      <c r="K19" s="155">
        <v>0</v>
      </c>
      <c r="L19" s="155">
        <f>SUM(H19:K19)</f>
        <v>0</v>
      </c>
      <c r="M19" s="159">
        <f>B19+G19-L19</f>
        <v>15425800</v>
      </c>
      <c r="O19"/>
    </row>
    <row r="20" spans="1:15">
      <c r="A20" s="156" t="s">
        <v>1157</v>
      </c>
      <c r="B20" s="155">
        <v>14709242</v>
      </c>
      <c r="C20" s="155">
        <v>0</v>
      </c>
      <c r="D20" s="155">
        <v>0</v>
      </c>
      <c r="E20" s="155">
        <v>0</v>
      </c>
      <c r="F20" s="155">
        <v>0</v>
      </c>
      <c r="G20" s="155">
        <f t="shared" ref="G20:G28" si="5">SUM(C20:F20)</f>
        <v>0</v>
      </c>
      <c r="H20" s="155"/>
      <c r="I20" s="155">
        <v>0</v>
      </c>
      <c r="J20" s="155">
        <v>0</v>
      </c>
      <c r="K20" s="155">
        <v>0</v>
      </c>
      <c r="L20" s="155">
        <f t="shared" ref="L20:L28" si="6">SUM(H20:K20)</f>
        <v>0</v>
      </c>
      <c r="M20" s="159">
        <f t="shared" ref="M20:M28" si="7">B20+G20-L20</f>
        <v>14709242</v>
      </c>
      <c r="O20"/>
    </row>
    <row r="21" spans="1:15">
      <c r="A21" s="156" t="s">
        <v>1158</v>
      </c>
      <c r="B21" s="155">
        <v>0</v>
      </c>
      <c r="C21" s="155">
        <v>0</v>
      </c>
      <c r="D21" s="155"/>
      <c r="E21" s="155">
        <v>0</v>
      </c>
      <c r="F21" s="155">
        <v>0</v>
      </c>
      <c r="G21" s="155">
        <f t="shared" si="5"/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f t="shared" si="6"/>
        <v>0</v>
      </c>
      <c r="M21" s="159">
        <f t="shared" si="7"/>
        <v>0</v>
      </c>
      <c r="O21"/>
    </row>
    <row r="22" spans="1:15">
      <c r="A22" s="156" t="s">
        <v>1159</v>
      </c>
      <c r="B22" s="155">
        <v>282114069.89999998</v>
      </c>
      <c r="C22" s="155">
        <v>0</v>
      </c>
      <c r="D22" s="157">
        <v>35640582</v>
      </c>
      <c r="E22" s="155">
        <v>4000000</v>
      </c>
      <c r="F22" s="155">
        <v>0</v>
      </c>
      <c r="G22" s="155">
        <f t="shared" si="5"/>
        <v>39640582</v>
      </c>
      <c r="H22" s="155"/>
      <c r="I22" s="158"/>
      <c r="J22" s="155"/>
      <c r="K22" s="155">
        <v>0</v>
      </c>
      <c r="L22" s="155">
        <f t="shared" si="6"/>
        <v>0</v>
      </c>
      <c r="M22" s="159">
        <f t="shared" si="7"/>
        <v>321754651.89999998</v>
      </c>
      <c r="O22"/>
    </row>
    <row r="23" spans="1:15">
      <c r="A23" s="156" t="s">
        <v>1160</v>
      </c>
      <c r="B23" s="155">
        <v>65605209.590000004</v>
      </c>
      <c r="C23" s="155">
        <v>0</v>
      </c>
      <c r="D23" s="157"/>
      <c r="E23" s="155">
        <v>0</v>
      </c>
      <c r="F23" s="155">
        <v>0</v>
      </c>
      <c r="G23" s="155">
        <f t="shared" si="5"/>
        <v>0</v>
      </c>
      <c r="H23" s="155"/>
      <c r="I23" s="159"/>
      <c r="J23" s="155">
        <v>4000000</v>
      </c>
      <c r="K23" s="155">
        <v>0</v>
      </c>
      <c r="L23" s="155">
        <f t="shared" si="6"/>
        <v>4000000</v>
      </c>
      <c r="M23" s="159">
        <f t="shared" si="7"/>
        <v>61605209.590000004</v>
      </c>
      <c r="O23"/>
    </row>
    <row r="24" spans="1:15">
      <c r="A24" s="156" t="s">
        <v>1166</v>
      </c>
      <c r="B24" s="155">
        <v>12203907.949999999</v>
      </c>
      <c r="C24" s="155">
        <v>0</v>
      </c>
      <c r="D24" s="157">
        <v>2806623</v>
      </c>
      <c r="E24" s="155">
        <v>3100900</v>
      </c>
      <c r="F24" s="155">
        <v>0</v>
      </c>
      <c r="G24" s="155">
        <f t="shared" si="5"/>
        <v>5907523</v>
      </c>
      <c r="H24" s="155">
        <v>0</v>
      </c>
      <c r="I24" s="155">
        <v>0</v>
      </c>
      <c r="J24" s="155">
        <v>0</v>
      </c>
      <c r="K24" s="155">
        <v>0</v>
      </c>
      <c r="L24" s="155">
        <f t="shared" si="6"/>
        <v>0</v>
      </c>
      <c r="M24" s="159">
        <f t="shared" si="7"/>
        <v>18111430.949999999</v>
      </c>
      <c r="O24"/>
    </row>
    <row r="25" spans="1:15">
      <c r="A25" s="156" t="s">
        <v>1167</v>
      </c>
      <c r="B25" s="155">
        <v>0</v>
      </c>
      <c r="C25" s="155">
        <v>0</v>
      </c>
      <c r="D25" s="155"/>
      <c r="E25" s="155">
        <v>0</v>
      </c>
      <c r="F25" s="155">
        <v>0</v>
      </c>
      <c r="G25" s="155">
        <f t="shared" si="5"/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f t="shared" si="6"/>
        <v>0</v>
      </c>
      <c r="M25" s="159">
        <f t="shared" si="7"/>
        <v>0</v>
      </c>
      <c r="O25"/>
    </row>
    <row r="26" spans="1:15">
      <c r="A26" s="156" t="s">
        <v>1168</v>
      </c>
      <c r="B26" s="155">
        <v>0</v>
      </c>
      <c r="C26" s="155">
        <v>0</v>
      </c>
      <c r="D26" s="155"/>
      <c r="E26" s="155">
        <v>0</v>
      </c>
      <c r="F26" s="155">
        <v>0</v>
      </c>
      <c r="G26" s="155">
        <f t="shared" si="5"/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f t="shared" si="6"/>
        <v>0</v>
      </c>
      <c r="M26" s="159">
        <f t="shared" si="7"/>
        <v>0</v>
      </c>
      <c r="O26"/>
    </row>
    <row r="27" spans="1:15">
      <c r="A27" s="156" t="s">
        <v>1169</v>
      </c>
      <c r="B27" s="155">
        <v>0</v>
      </c>
      <c r="C27" s="155">
        <v>0</v>
      </c>
      <c r="D27" s="155"/>
      <c r="E27" s="155">
        <v>0</v>
      </c>
      <c r="F27" s="155">
        <v>0</v>
      </c>
      <c r="G27" s="155">
        <f t="shared" si="5"/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f t="shared" si="6"/>
        <v>0</v>
      </c>
      <c r="M27" s="159">
        <f t="shared" si="7"/>
        <v>0</v>
      </c>
      <c r="O27"/>
    </row>
    <row r="28" spans="1:15">
      <c r="A28" s="156" t="s">
        <v>1170</v>
      </c>
      <c r="B28" s="155">
        <v>504619196</v>
      </c>
      <c r="C28" s="155">
        <v>0</v>
      </c>
      <c r="D28" s="155">
        <v>0</v>
      </c>
      <c r="E28" s="155">
        <v>0</v>
      </c>
      <c r="F28" s="155">
        <v>0</v>
      </c>
      <c r="G28" s="155">
        <f t="shared" si="5"/>
        <v>0</v>
      </c>
      <c r="H28" s="155">
        <v>0</v>
      </c>
      <c r="I28" s="155">
        <v>0</v>
      </c>
      <c r="J28" s="155">
        <v>0</v>
      </c>
      <c r="K28" s="155">
        <v>0</v>
      </c>
      <c r="L28" s="155">
        <f t="shared" si="6"/>
        <v>0</v>
      </c>
      <c r="M28" s="159">
        <f t="shared" si="7"/>
        <v>504619196</v>
      </c>
      <c r="O28"/>
    </row>
    <row r="29" spans="1:15">
      <c r="A29" s="156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9"/>
      <c r="O29"/>
    </row>
    <row r="30" spans="1:15">
      <c r="A30" s="160" t="s">
        <v>1171</v>
      </c>
      <c r="B30" s="161">
        <f t="shared" ref="B30:M30" si="8">B10+B18</f>
        <v>892699625.44000006</v>
      </c>
      <c r="C30" s="161">
        <f t="shared" si="8"/>
        <v>0</v>
      </c>
      <c r="D30" s="161">
        <f t="shared" si="8"/>
        <v>40425005</v>
      </c>
      <c r="E30" s="161">
        <f t="shared" si="8"/>
        <v>7100900</v>
      </c>
      <c r="F30" s="161">
        <f t="shared" si="8"/>
        <v>0</v>
      </c>
      <c r="G30" s="161">
        <f t="shared" si="8"/>
        <v>47525905</v>
      </c>
      <c r="H30" s="161">
        <f t="shared" si="8"/>
        <v>0</v>
      </c>
      <c r="I30" s="161">
        <f t="shared" si="8"/>
        <v>0</v>
      </c>
      <c r="J30" s="161">
        <f t="shared" si="8"/>
        <v>4000000</v>
      </c>
      <c r="K30" s="161">
        <f t="shared" si="8"/>
        <v>0</v>
      </c>
      <c r="L30" s="161">
        <f t="shared" si="8"/>
        <v>4000000</v>
      </c>
      <c r="M30" s="161">
        <f t="shared" si="8"/>
        <v>936225530.44000006</v>
      </c>
      <c r="O30"/>
    </row>
    <row r="31" spans="1:15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O31"/>
    </row>
    <row r="32" spans="1:15">
      <c r="O32"/>
    </row>
    <row r="33" spans="2:15">
      <c r="J33" s="798" t="s">
        <v>965</v>
      </c>
      <c r="K33" s="798"/>
      <c r="L33" s="798"/>
      <c r="M33" s="798"/>
      <c r="O33"/>
    </row>
    <row r="34" spans="2:15">
      <c r="B34" s="386"/>
      <c r="J34" s="798" t="s">
        <v>966</v>
      </c>
      <c r="K34" s="798"/>
      <c r="L34" s="798"/>
      <c r="M34" s="798"/>
      <c r="O34"/>
    </row>
    <row r="35" spans="2:15">
      <c r="J35" s="798" t="s">
        <v>967</v>
      </c>
      <c r="K35" s="798"/>
      <c r="L35" s="798"/>
      <c r="M35" s="798"/>
      <c r="N35" s="389"/>
    </row>
    <row r="36" spans="2:15">
      <c r="N36" s="388"/>
    </row>
    <row r="37" spans="2:15">
      <c r="N37" s="388"/>
    </row>
    <row r="38" spans="2:15">
      <c r="N38" s="388"/>
    </row>
    <row r="39" spans="2:15">
      <c r="H39" s="386"/>
      <c r="N39" s="388"/>
    </row>
    <row r="40" spans="2:15">
      <c r="D40" s="387"/>
      <c r="N40" s="388"/>
    </row>
    <row r="41" spans="2:15">
      <c r="N41" s="388"/>
    </row>
    <row r="42" spans="2:15">
      <c r="N42" s="388"/>
    </row>
    <row r="43" spans="2:15">
      <c r="N43" s="388"/>
    </row>
    <row r="44" spans="2:15">
      <c r="N44" s="388"/>
    </row>
    <row r="45" spans="2:15">
      <c r="N45" s="388"/>
    </row>
    <row r="46" spans="2:15">
      <c r="N46" s="390"/>
    </row>
    <row r="47" spans="2:15">
      <c r="N47" s="389"/>
    </row>
    <row r="48" spans="2:15">
      <c r="N48" s="389"/>
    </row>
  </sheetData>
  <mergeCells count="7">
    <mergeCell ref="J33:M33"/>
    <mergeCell ref="J34:M34"/>
    <mergeCell ref="J35:M35"/>
    <mergeCell ref="A3:M3"/>
    <mergeCell ref="A4:M4"/>
    <mergeCell ref="C6:G6"/>
    <mergeCell ref="H6:L6"/>
  </mergeCells>
  <phoneticPr fontId="5" type="noConversion"/>
  <pageMargins left="0.16" right="0.18" top="0.81" bottom="0.6" header="0.28000000000000003" footer="0.5"/>
  <pageSetup paperSize="9" orientation="landscape" r:id="rId1"/>
  <headerFooter alignWithMargins="0"/>
  <ignoredErrors>
    <ignoredError sqref="G11:G2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P33"/>
  <sheetViews>
    <sheetView topLeftCell="A22" zoomScaleNormal="100" workbookViewId="0">
      <selection activeCell="Q38" sqref="Q38"/>
    </sheetView>
  </sheetViews>
  <sheetFormatPr defaultRowHeight="12.75"/>
  <cols>
    <col min="1" max="1" width="9.140625" style="87"/>
    <col min="2" max="2" width="9.42578125" style="87" customWidth="1"/>
    <col min="3" max="3" width="4.85546875" style="87" customWidth="1"/>
    <col min="4" max="4" width="13.85546875" style="87" customWidth="1"/>
    <col min="5" max="5" width="9" style="87" customWidth="1"/>
    <col min="6" max="6" width="10.7109375" style="87" customWidth="1"/>
    <col min="7" max="7" width="8.7109375" style="87" customWidth="1"/>
    <col min="8" max="8" width="11.140625" style="87" customWidth="1"/>
    <col min="9" max="9" width="8.140625" style="87" customWidth="1"/>
    <col min="10" max="10" width="7" style="87" customWidth="1"/>
    <col min="11" max="11" width="10.42578125" style="87" customWidth="1"/>
    <col min="12" max="12" width="9.85546875" style="87" customWidth="1"/>
    <col min="13" max="13" width="10.85546875" style="87" customWidth="1"/>
    <col min="14" max="14" width="13.7109375" style="87" customWidth="1"/>
    <col min="15" max="15" width="12.7109375" style="87" customWidth="1"/>
    <col min="16" max="16" width="14.5703125" style="87" bestFit="1" customWidth="1"/>
    <col min="17" max="16384" width="9.140625" style="87"/>
  </cols>
  <sheetData>
    <row r="1" spans="1:16">
      <c r="A1" s="61" t="s">
        <v>1116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6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6">
      <c r="A3" s="799" t="s">
        <v>1164</v>
      </c>
      <c r="B3" s="799"/>
      <c r="C3" s="799"/>
      <c r="D3" s="799"/>
      <c r="E3" s="799"/>
      <c r="F3" s="799"/>
      <c r="G3" s="799"/>
      <c r="H3" s="799"/>
      <c r="I3" s="799"/>
      <c r="J3" s="799"/>
      <c r="K3" s="799"/>
      <c r="L3" s="799"/>
      <c r="M3" s="799"/>
    </row>
    <row r="4" spans="1:16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6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6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6">
      <c r="A7" s="805" t="s">
        <v>1172</v>
      </c>
      <c r="B7" s="806"/>
      <c r="C7" s="807"/>
      <c r="D7" s="720" t="s">
        <v>1173</v>
      </c>
      <c r="E7" s="811" t="s">
        <v>1120</v>
      </c>
      <c r="F7" s="811"/>
      <c r="G7" s="811"/>
      <c r="H7" s="811"/>
      <c r="I7" s="811" t="s">
        <v>1121</v>
      </c>
      <c r="J7" s="811"/>
      <c r="K7" s="811"/>
      <c r="L7" s="811"/>
      <c r="M7" s="720" t="s">
        <v>1173</v>
      </c>
      <c r="N7" s="293"/>
    </row>
    <row r="8" spans="1:16">
      <c r="A8" s="808"/>
      <c r="B8" s="809"/>
      <c r="C8" s="810"/>
      <c r="D8" s="721" t="s">
        <v>1174</v>
      </c>
      <c r="E8" s="721" t="s">
        <v>1175</v>
      </c>
      <c r="F8" s="721"/>
      <c r="G8" s="721"/>
      <c r="H8" s="721"/>
      <c r="I8" s="721"/>
      <c r="J8" s="721" t="s">
        <v>1176</v>
      </c>
      <c r="K8" s="721"/>
      <c r="L8" s="721" t="s">
        <v>1177</v>
      </c>
      <c r="M8" s="722"/>
      <c r="N8" s="721" t="s">
        <v>1178</v>
      </c>
    </row>
    <row r="9" spans="1:16">
      <c r="A9" s="723"/>
      <c r="B9" s="724"/>
      <c r="C9" s="725"/>
      <c r="D9" s="721" t="s">
        <v>1179</v>
      </c>
      <c r="E9" s="721" t="s">
        <v>1180</v>
      </c>
      <c r="F9" s="721" t="s">
        <v>1068</v>
      </c>
      <c r="G9" s="721" t="s">
        <v>1145</v>
      </c>
      <c r="H9" s="721" t="s">
        <v>1135</v>
      </c>
      <c r="I9" s="721" t="s">
        <v>1145</v>
      </c>
      <c r="J9" s="721" t="s">
        <v>1181</v>
      </c>
      <c r="K9" s="721" t="s">
        <v>1176</v>
      </c>
      <c r="L9" s="721" t="s">
        <v>1182</v>
      </c>
      <c r="M9" s="721" t="s">
        <v>1183</v>
      </c>
      <c r="N9" s="721" t="s">
        <v>1184</v>
      </c>
    </row>
    <row r="10" spans="1:16" ht="12.75" customHeight="1">
      <c r="A10" s="812" t="s">
        <v>1185</v>
      </c>
      <c r="B10" s="813"/>
      <c r="C10" s="814"/>
      <c r="D10" s="721" t="s">
        <v>1132</v>
      </c>
      <c r="E10" s="721" t="s">
        <v>1186</v>
      </c>
      <c r="F10" s="721" t="s">
        <v>1187</v>
      </c>
      <c r="G10" s="721"/>
      <c r="H10" s="721"/>
      <c r="I10" s="721"/>
      <c r="J10" s="721" t="s">
        <v>1188</v>
      </c>
      <c r="K10" s="721" t="s">
        <v>1189</v>
      </c>
      <c r="L10" s="721" t="s">
        <v>1137</v>
      </c>
      <c r="M10" s="721"/>
      <c r="N10" s="721" t="s">
        <v>1132</v>
      </c>
    </row>
    <row r="11" spans="1:16">
      <c r="A11" s="815"/>
      <c r="B11" s="816"/>
      <c r="C11" s="817"/>
      <c r="D11" s="726" t="s">
        <v>1141</v>
      </c>
      <c r="E11" s="726" t="s">
        <v>1190</v>
      </c>
      <c r="F11" s="726"/>
      <c r="G11" s="726"/>
      <c r="H11" s="726"/>
      <c r="I11" s="726"/>
      <c r="J11" s="726" t="s">
        <v>1191</v>
      </c>
      <c r="K11" s="726"/>
      <c r="L11" s="726" t="s">
        <v>1192</v>
      </c>
      <c r="M11" s="726"/>
      <c r="N11" s="726" t="s">
        <v>1141</v>
      </c>
    </row>
    <row r="12" spans="1:16">
      <c r="A12" s="811" t="s">
        <v>1193</v>
      </c>
      <c r="B12" s="811"/>
      <c r="C12" s="811"/>
      <c r="D12" s="163">
        <v>0</v>
      </c>
      <c r="E12" s="163">
        <v>0</v>
      </c>
      <c r="F12" s="163">
        <v>0</v>
      </c>
      <c r="G12" s="163">
        <v>0</v>
      </c>
      <c r="H12" s="163">
        <v>0</v>
      </c>
      <c r="I12" s="163"/>
      <c r="J12" s="163">
        <v>0</v>
      </c>
      <c r="K12" s="163">
        <v>0</v>
      </c>
      <c r="L12" s="163">
        <v>0</v>
      </c>
      <c r="M12" s="163">
        <v>0</v>
      </c>
      <c r="N12" s="163">
        <v>0</v>
      </c>
    </row>
    <row r="13" spans="1:16">
      <c r="A13" s="811" t="s">
        <v>1194</v>
      </c>
      <c r="B13" s="811"/>
      <c r="C13" s="811"/>
      <c r="D13" s="163">
        <f>SUM(D14:D23)</f>
        <v>132152943.03999999</v>
      </c>
      <c r="E13" s="163">
        <f t="shared" ref="E13:M13" si="0">SUM(E14:E19)</f>
        <v>0</v>
      </c>
      <c r="F13" s="163">
        <f>SUM(F14:F19)</f>
        <v>47508761</v>
      </c>
      <c r="G13" s="163">
        <f t="shared" si="0"/>
        <v>0</v>
      </c>
      <c r="H13" s="163">
        <f>SUM(H14:H19)</f>
        <v>47508761</v>
      </c>
      <c r="I13" s="163">
        <f t="shared" si="0"/>
        <v>0</v>
      </c>
      <c r="J13" s="163">
        <f t="shared" si="0"/>
        <v>0</v>
      </c>
      <c r="K13" s="163">
        <f t="shared" si="0"/>
        <v>0</v>
      </c>
      <c r="L13" s="163">
        <f t="shared" si="0"/>
        <v>0</v>
      </c>
      <c r="M13" s="163">
        <f t="shared" si="0"/>
        <v>0</v>
      </c>
      <c r="N13" s="163">
        <f>SUM(N14:N23)</f>
        <v>179661704.03999999</v>
      </c>
    </row>
    <row r="14" spans="1:16">
      <c r="A14" s="727" t="s">
        <v>1195</v>
      </c>
      <c r="B14" s="728"/>
      <c r="C14" s="729"/>
      <c r="D14" s="163">
        <v>0</v>
      </c>
      <c r="E14" s="163">
        <v>0</v>
      </c>
      <c r="F14" s="163">
        <v>0</v>
      </c>
      <c r="G14" s="163">
        <v>0</v>
      </c>
      <c r="H14" s="163">
        <f>SUM(E14:G14)</f>
        <v>0</v>
      </c>
      <c r="I14" s="163"/>
      <c r="J14" s="163">
        <v>0</v>
      </c>
      <c r="K14" s="163">
        <v>0</v>
      </c>
      <c r="L14" s="163">
        <v>0</v>
      </c>
      <c r="M14" s="163">
        <f>SUM(I14:L14)</f>
        <v>0</v>
      </c>
      <c r="N14" s="163">
        <f t="shared" ref="N14:N23" si="1">D14+H14-M14</f>
        <v>0</v>
      </c>
    </row>
    <row r="15" spans="1:16">
      <c r="A15" s="730" t="s">
        <v>349</v>
      </c>
      <c r="B15" s="731"/>
      <c r="C15" s="729"/>
      <c r="D15" s="163">
        <v>7753702</v>
      </c>
      <c r="E15" s="163">
        <v>0</v>
      </c>
      <c r="F15" s="163">
        <v>660977</v>
      </c>
      <c r="G15" s="163">
        <v>0</v>
      </c>
      <c r="H15" s="163">
        <f>SUM(E15:G15)</f>
        <v>660977</v>
      </c>
      <c r="I15" s="163"/>
      <c r="J15" s="163">
        <v>0</v>
      </c>
      <c r="K15" s="163">
        <v>0</v>
      </c>
      <c r="L15" s="163">
        <v>0</v>
      </c>
      <c r="M15" s="163">
        <f>SUM(I15:L15)</f>
        <v>0</v>
      </c>
      <c r="N15" s="163">
        <f>D15+H15-M15</f>
        <v>8414679</v>
      </c>
      <c r="O15" s="732"/>
      <c r="P15" s="733"/>
    </row>
    <row r="16" spans="1:16">
      <c r="A16" s="727" t="s">
        <v>1196</v>
      </c>
      <c r="B16" s="33"/>
      <c r="C16" s="33"/>
      <c r="D16" s="163">
        <v>0</v>
      </c>
      <c r="E16" s="163">
        <v>0</v>
      </c>
      <c r="F16" s="163"/>
      <c r="G16" s="163">
        <v>0</v>
      </c>
      <c r="H16" s="163">
        <f t="shared" ref="H16:H23" si="2">SUM(E16:G16)</f>
        <v>0</v>
      </c>
      <c r="I16" s="163"/>
      <c r="J16" s="163">
        <v>0</v>
      </c>
      <c r="K16" s="163">
        <v>0</v>
      </c>
      <c r="L16" s="163">
        <v>0</v>
      </c>
      <c r="M16" s="163">
        <f t="shared" ref="M16:M23" si="3">SUM(I16:L16)</f>
        <v>0</v>
      </c>
      <c r="N16" s="163">
        <f t="shared" si="1"/>
        <v>0</v>
      </c>
      <c r="O16" s="732"/>
      <c r="P16" s="733"/>
    </row>
    <row r="17" spans="1:16">
      <c r="A17" s="727" t="s">
        <v>1197</v>
      </c>
      <c r="B17" s="33"/>
      <c r="C17" s="33"/>
      <c r="D17" s="163">
        <v>97032180.039999992</v>
      </c>
      <c r="E17" s="163">
        <v>0</v>
      </c>
      <c r="F17" s="737">
        <f>39878269-4100000</f>
        <v>35778269</v>
      </c>
      <c r="G17" s="163">
        <v>0</v>
      </c>
      <c r="H17" s="163">
        <f>SUM(E17:G17)</f>
        <v>35778269</v>
      </c>
      <c r="I17" s="163"/>
      <c r="J17" s="163">
        <v>0</v>
      </c>
      <c r="K17" s="163"/>
      <c r="L17" s="163"/>
      <c r="M17" s="163">
        <f>SUM(I17:L17)</f>
        <v>0</v>
      </c>
      <c r="N17" s="163">
        <f t="shared" si="1"/>
        <v>132810449.03999999</v>
      </c>
      <c r="O17" s="732"/>
      <c r="P17" s="732"/>
    </row>
    <row r="18" spans="1:16">
      <c r="A18" s="727" t="s">
        <v>1198</v>
      </c>
      <c r="B18" s="728"/>
      <c r="C18" s="729"/>
      <c r="D18" s="163">
        <v>21733905</v>
      </c>
      <c r="E18" s="163">
        <v>0</v>
      </c>
      <c r="F18" s="163">
        <v>7910668</v>
      </c>
      <c r="G18" s="163">
        <v>0</v>
      </c>
      <c r="H18" s="163">
        <f>SUM(E18:G18)</f>
        <v>7910668</v>
      </c>
      <c r="I18" s="163">
        <v>0</v>
      </c>
      <c r="J18" s="163">
        <v>0</v>
      </c>
      <c r="K18" s="163">
        <v>0</v>
      </c>
      <c r="L18" s="163"/>
      <c r="M18" s="163">
        <f t="shared" si="3"/>
        <v>0</v>
      </c>
      <c r="N18" s="163">
        <f t="shared" si="1"/>
        <v>29644573</v>
      </c>
      <c r="O18" s="732"/>
      <c r="P18" s="732"/>
    </row>
    <row r="19" spans="1:16">
      <c r="A19" s="727" t="s">
        <v>1199</v>
      </c>
      <c r="B19" s="33"/>
      <c r="C19" s="33"/>
      <c r="D19" s="163">
        <v>5633156</v>
      </c>
      <c r="E19" s="163">
        <v>0</v>
      </c>
      <c r="F19" s="163">
        <v>3158847</v>
      </c>
      <c r="G19" s="163">
        <v>0</v>
      </c>
      <c r="H19" s="163">
        <f>SUM(E19:G19)</f>
        <v>3158847</v>
      </c>
      <c r="I19" s="163">
        <v>0</v>
      </c>
      <c r="J19" s="163">
        <v>0</v>
      </c>
      <c r="K19" s="163"/>
      <c r="L19" s="163">
        <v>0</v>
      </c>
      <c r="M19" s="163">
        <f t="shared" si="3"/>
        <v>0</v>
      </c>
      <c r="N19" s="163">
        <f t="shared" si="1"/>
        <v>8792003</v>
      </c>
      <c r="O19" s="732"/>
      <c r="P19" s="732"/>
    </row>
    <row r="20" spans="1:16">
      <c r="A20" s="801"/>
      <c r="B20" s="802"/>
      <c r="C20" s="803"/>
      <c r="D20" s="163">
        <v>0</v>
      </c>
      <c r="E20" s="163">
        <v>0</v>
      </c>
      <c r="F20" s="163">
        <v>0</v>
      </c>
      <c r="G20" s="163">
        <v>0</v>
      </c>
      <c r="H20" s="163">
        <f t="shared" si="2"/>
        <v>0</v>
      </c>
      <c r="I20" s="163"/>
      <c r="J20" s="163">
        <v>0</v>
      </c>
      <c r="K20" s="163">
        <v>0</v>
      </c>
      <c r="L20" s="163">
        <v>0</v>
      </c>
      <c r="M20" s="163">
        <f t="shared" si="3"/>
        <v>0</v>
      </c>
      <c r="N20" s="163">
        <f t="shared" si="1"/>
        <v>0</v>
      </c>
      <c r="P20" s="732"/>
    </row>
    <row r="21" spans="1:16">
      <c r="A21" s="801"/>
      <c r="B21" s="802"/>
      <c r="C21" s="803"/>
      <c r="D21" s="163">
        <v>0</v>
      </c>
      <c r="E21" s="163">
        <v>0</v>
      </c>
      <c r="F21" s="163">
        <v>0</v>
      </c>
      <c r="G21" s="163">
        <v>0</v>
      </c>
      <c r="H21" s="163">
        <f t="shared" si="2"/>
        <v>0</v>
      </c>
      <c r="I21" s="163"/>
      <c r="J21" s="163">
        <v>0</v>
      </c>
      <c r="K21" s="163">
        <v>0</v>
      </c>
      <c r="L21" s="163">
        <v>0</v>
      </c>
      <c r="M21" s="163">
        <f t="shared" si="3"/>
        <v>0</v>
      </c>
      <c r="N21" s="163">
        <f t="shared" si="1"/>
        <v>0</v>
      </c>
      <c r="P21" s="732"/>
    </row>
    <row r="22" spans="1:16">
      <c r="A22" s="801"/>
      <c r="B22" s="802"/>
      <c r="C22" s="803"/>
      <c r="D22" s="163">
        <v>0</v>
      </c>
      <c r="E22" s="163">
        <v>0</v>
      </c>
      <c r="F22" s="163">
        <v>0</v>
      </c>
      <c r="G22" s="163">
        <v>0</v>
      </c>
      <c r="H22" s="163">
        <f t="shared" si="2"/>
        <v>0</v>
      </c>
      <c r="I22" s="163"/>
      <c r="J22" s="163">
        <v>0</v>
      </c>
      <c r="K22" s="163">
        <v>0</v>
      </c>
      <c r="L22" s="163">
        <v>0</v>
      </c>
      <c r="M22" s="163">
        <f t="shared" si="3"/>
        <v>0</v>
      </c>
      <c r="N22" s="163">
        <f t="shared" si="1"/>
        <v>0</v>
      </c>
    </row>
    <row r="23" spans="1:16">
      <c r="A23" s="801"/>
      <c r="B23" s="802"/>
      <c r="C23" s="803"/>
      <c r="D23" s="163">
        <v>0</v>
      </c>
      <c r="E23" s="163">
        <v>0</v>
      </c>
      <c r="F23" s="163">
        <v>0</v>
      </c>
      <c r="G23" s="163">
        <v>0</v>
      </c>
      <c r="H23" s="163">
        <f t="shared" si="2"/>
        <v>0</v>
      </c>
      <c r="I23" s="163"/>
      <c r="J23" s="163">
        <v>0</v>
      </c>
      <c r="K23" s="163">
        <v>0</v>
      </c>
      <c r="L23" s="163">
        <v>0</v>
      </c>
      <c r="M23" s="163">
        <f t="shared" si="3"/>
        <v>0</v>
      </c>
      <c r="N23" s="163">
        <f t="shared" si="1"/>
        <v>0</v>
      </c>
    </row>
    <row r="24" spans="1:16">
      <c r="A24" s="804"/>
      <c r="B24" s="804"/>
      <c r="C24" s="804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</row>
    <row r="25" spans="1:16">
      <c r="A25" s="811"/>
      <c r="B25" s="811"/>
      <c r="C25" s="811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</row>
    <row r="26" spans="1:16">
      <c r="A26" s="811"/>
      <c r="B26" s="811"/>
      <c r="C26" s="811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</row>
    <row r="27" spans="1:16">
      <c r="A27" s="818" t="s">
        <v>1200</v>
      </c>
      <c r="B27" s="818"/>
      <c r="C27" s="818"/>
      <c r="D27" s="734">
        <f t="shared" ref="D27:M27" si="4">D12+D13</f>
        <v>132152943.03999999</v>
      </c>
      <c r="E27" s="734">
        <f t="shared" si="4"/>
        <v>0</v>
      </c>
      <c r="F27" s="734">
        <f>F12+F13</f>
        <v>47508761</v>
      </c>
      <c r="G27" s="734">
        <f t="shared" si="4"/>
        <v>0</v>
      </c>
      <c r="H27" s="734">
        <f t="shared" si="4"/>
        <v>47508761</v>
      </c>
      <c r="I27" s="734">
        <f t="shared" si="4"/>
        <v>0</v>
      </c>
      <c r="J27" s="734">
        <f t="shared" si="4"/>
        <v>0</v>
      </c>
      <c r="K27" s="734">
        <f t="shared" si="4"/>
        <v>0</v>
      </c>
      <c r="L27" s="734">
        <f t="shared" si="4"/>
        <v>0</v>
      </c>
      <c r="M27" s="734">
        <f t="shared" si="4"/>
        <v>0</v>
      </c>
      <c r="N27" s="734">
        <f>N12+N13</f>
        <v>179661704.03999999</v>
      </c>
    </row>
    <row r="31" spans="1:16">
      <c r="L31" s="773" t="s">
        <v>965</v>
      </c>
      <c r="M31" s="773"/>
      <c r="N31" s="773"/>
    </row>
    <row r="32" spans="1:16">
      <c r="L32" s="773" t="s">
        <v>966</v>
      </c>
      <c r="M32" s="773"/>
      <c r="N32" s="773"/>
    </row>
    <row r="33" spans="12:14">
      <c r="L33" s="773" t="s">
        <v>967</v>
      </c>
      <c r="M33" s="773"/>
      <c r="N33" s="773"/>
    </row>
  </sheetData>
  <mergeCells count="18">
    <mergeCell ref="L32:N32"/>
    <mergeCell ref="L33:N33"/>
    <mergeCell ref="A25:C25"/>
    <mergeCell ref="A26:C26"/>
    <mergeCell ref="A27:C27"/>
    <mergeCell ref="L31:N31"/>
    <mergeCell ref="A23:C23"/>
    <mergeCell ref="A24:C24"/>
    <mergeCell ref="A3:M3"/>
    <mergeCell ref="A7:C8"/>
    <mergeCell ref="E7:H7"/>
    <mergeCell ref="I7:L7"/>
    <mergeCell ref="A10:C11"/>
    <mergeCell ref="A12:C12"/>
    <mergeCell ref="A13:C13"/>
    <mergeCell ref="A20:C20"/>
    <mergeCell ref="A21:C21"/>
    <mergeCell ref="A22:C22"/>
  </mergeCells>
  <phoneticPr fontId="5" type="noConversion"/>
  <pageMargins left="0.47" right="0.18" top="1.44" bottom="1" header="0.5" footer="0.5"/>
  <pageSetup paperSize="9" orientation="landscape" r:id="rId1"/>
  <headerFooter alignWithMargins="0"/>
  <ignoredErrors>
    <ignoredError sqref="H14:H23 E13:L13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N56"/>
  <sheetViews>
    <sheetView topLeftCell="A26" zoomScaleNormal="100" workbookViewId="0">
      <selection activeCell="E10" sqref="E10"/>
    </sheetView>
  </sheetViews>
  <sheetFormatPr defaultRowHeight="12.75"/>
  <cols>
    <col min="1" max="1" width="5.140625" customWidth="1"/>
    <col min="2" max="2" width="21.140625" customWidth="1"/>
    <col min="3" max="3" width="9.42578125" customWidth="1"/>
    <col min="4" max="4" width="14.5703125" customWidth="1"/>
    <col min="5" max="6" width="13.28515625" customWidth="1"/>
    <col min="7" max="7" width="14.140625" customWidth="1"/>
    <col min="9" max="9" width="22.42578125" customWidth="1"/>
    <col min="10" max="10" width="10.140625" bestFit="1" customWidth="1"/>
    <col min="13" max="13" width="12.28515625" customWidth="1"/>
  </cols>
  <sheetData>
    <row r="1" spans="1:9">
      <c r="B1" s="63" t="s">
        <v>1215</v>
      </c>
    </row>
    <row r="2" spans="1:9">
      <c r="B2" s="63" t="s">
        <v>1216</v>
      </c>
    </row>
    <row r="3" spans="1:9">
      <c r="B3" s="63"/>
    </row>
    <row r="4" spans="1:9" ht="15.75">
      <c r="B4" s="819" t="s">
        <v>984</v>
      </c>
      <c r="C4" s="819"/>
      <c r="D4" s="819"/>
      <c r="E4" s="819"/>
      <c r="F4" s="819"/>
      <c r="G4" s="819"/>
    </row>
    <row r="6" spans="1:9">
      <c r="A6" s="820" t="s">
        <v>998</v>
      </c>
      <c r="B6" s="822" t="s">
        <v>1064</v>
      </c>
      <c r="C6" s="820" t="s">
        <v>1206</v>
      </c>
      <c r="D6" s="399" t="s">
        <v>1119</v>
      </c>
      <c r="E6" s="820" t="s">
        <v>1207</v>
      </c>
      <c r="F6" s="820" t="s">
        <v>1208</v>
      </c>
      <c r="G6" s="399" t="s">
        <v>1119</v>
      </c>
    </row>
    <row r="7" spans="1:9">
      <c r="A7" s="821"/>
      <c r="B7" s="823"/>
      <c r="C7" s="821"/>
      <c r="D7" s="400">
        <v>40909</v>
      </c>
      <c r="E7" s="821"/>
      <c r="F7" s="821"/>
      <c r="G7" s="400">
        <v>41274</v>
      </c>
      <c r="H7" s="83"/>
      <c r="I7" s="83"/>
    </row>
    <row r="8" spans="1:9">
      <c r="A8" s="210">
        <v>1</v>
      </c>
      <c r="B8" s="87" t="s">
        <v>348</v>
      </c>
      <c r="C8" s="210"/>
      <c r="D8" s="211">
        <v>13448000</v>
      </c>
      <c r="E8" s="211">
        <f>'Aktive Qendrushme'!D19</f>
        <v>1977800</v>
      </c>
      <c r="F8" s="211"/>
      <c r="G8" s="211">
        <f t="shared" ref="G8:G16" si="0">D8+E8-F8</f>
        <v>15425800</v>
      </c>
      <c r="H8" s="83"/>
      <c r="I8" s="83"/>
    </row>
    <row r="9" spans="1:9">
      <c r="A9" s="210">
        <v>2</v>
      </c>
      <c r="B9" s="87" t="s">
        <v>1209</v>
      </c>
      <c r="C9" s="210"/>
      <c r="D9" s="211">
        <v>14709242</v>
      </c>
      <c r="E9" s="211"/>
      <c r="F9" s="211"/>
      <c r="G9" s="211">
        <f t="shared" si="0"/>
        <v>14709242</v>
      </c>
      <c r="H9" s="212"/>
      <c r="I9" s="89"/>
    </row>
    <row r="10" spans="1:9">
      <c r="A10" s="210">
        <v>3</v>
      </c>
      <c r="B10" s="213" t="s">
        <v>1070</v>
      </c>
      <c r="C10" s="210"/>
      <c r="D10" s="211">
        <v>282114069.89999998</v>
      </c>
      <c r="E10" s="211">
        <f>'Aktive Qendrushme'!G22</f>
        <v>39640582</v>
      </c>
      <c r="F10" s="211"/>
      <c r="G10" s="211">
        <f t="shared" si="0"/>
        <v>321754651.89999998</v>
      </c>
      <c r="H10" s="212"/>
      <c r="I10" s="89"/>
    </row>
    <row r="11" spans="1:9">
      <c r="A11" s="210">
        <v>4</v>
      </c>
      <c r="B11" s="213" t="s">
        <v>1210</v>
      </c>
      <c r="C11" s="210"/>
      <c r="D11" s="211">
        <v>65605209.590000004</v>
      </c>
      <c r="E11" s="211"/>
      <c r="F11" s="211">
        <f>'Aktive Qendrushme'!L23</f>
        <v>4000000</v>
      </c>
      <c r="G11" s="211">
        <f t="shared" si="0"/>
        <v>61605209.590000004</v>
      </c>
      <c r="H11" s="212"/>
      <c r="I11" s="89"/>
    </row>
    <row r="12" spans="1:9">
      <c r="A12" s="210">
        <v>5</v>
      </c>
      <c r="B12" s="213" t="s">
        <v>1211</v>
      </c>
      <c r="C12" s="210"/>
      <c r="D12" s="211">
        <v>12203907.949999999</v>
      </c>
      <c r="E12" s="211">
        <f>'Aktive Qendrushme'!G24</f>
        <v>5907523</v>
      </c>
      <c r="F12" s="211"/>
      <c r="G12" s="211">
        <f t="shared" si="0"/>
        <v>18111430.949999999</v>
      </c>
      <c r="H12" s="212"/>
      <c r="I12" s="89"/>
    </row>
    <row r="13" spans="1:9">
      <c r="A13" s="210">
        <v>1</v>
      </c>
      <c r="B13" s="213" t="s">
        <v>1212</v>
      </c>
      <c r="C13" s="210"/>
      <c r="D13" s="211">
        <v>0</v>
      </c>
      <c r="E13" s="211"/>
      <c r="F13" s="211"/>
      <c r="G13" s="211">
        <f t="shared" si="0"/>
        <v>0</v>
      </c>
      <c r="H13" s="212"/>
      <c r="I13" s="89"/>
    </row>
    <row r="14" spans="1:9">
      <c r="A14" s="210">
        <v>2</v>
      </c>
      <c r="B14" s="69" t="s">
        <v>440</v>
      </c>
      <c r="C14" s="210"/>
      <c r="D14" s="211">
        <v>504619196</v>
      </c>
      <c r="E14" s="211"/>
      <c r="F14" s="211"/>
      <c r="G14" s="211">
        <f t="shared" si="0"/>
        <v>504619196</v>
      </c>
      <c r="H14" s="83"/>
      <c r="I14" s="83"/>
    </row>
    <row r="15" spans="1:9">
      <c r="A15" s="210">
        <v>3</v>
      </c>
      <c r="B15" s="69"/>
      <c r="C15" s="210"/>
      <c r="D15" s="211"/>
      <c r="E15" s="211"/>
      <c r="F15" s="211"/>
      <c r="G15" s="211">
        <f t="shared" si="0"/>
        <v>0</v>
      </c>
      <c r="H15" s="83"/>
      <c r="I15" s="83"/>
    </row>
    <row r="16" spans="1:9" ht="13.5" thickBot="1">
      <c r="A16" s="100">
        <v>4</v>
      </c>
      <c r="B16" s="214"/>
      <c r="C16" s="100"/>
      <c r="D16" s="215"/>
      <c r="E16" s="215"/>
      <c r="F16" s="215"/>
      <c r="G16" s="215">
        <f t="shared" si="0"/>
        <v>0</v>
      </c>
      <c r="H16" s="83"/>
      <c r="I16" s="83"/>
    </row>
    <row r="17" spans="1:9" ht="13.5" thickBot="1">
      <c r="A17" s="216"/>
      <c r="B17" s="217" t="s">
        <v>1213</v>
      </c>
      <c r="C17" s="218"/>
      <c r="D17" s="219">
        <f>SUM(D8:D16)</f>
        <v>892699625.44000006</v>
      </c>
      <c r="E17" s="219">
        <f>SUM(E8:E16)</f>
        <v>47525905</v>
      </c>
      <c r="F17" s="219">
        <f>SUM(F8:F16)</f>
        <v>4000000</v>
      </c>
      <c r="G17" s="220">
        <f>SUM(G8:G16)</f>
        <v>936225530.44000006</v>
      </c>
      <c r="I17" s="127"/>
    </row>
    <row r="20" spans="1:9" ht="15.75">
      <c r="B20" s="819" t="s">
        <v>985</v>
      </c>
      <c r="C20" s="819"/>
      <c r="D20" s="819"/>
      <c r="E20" s="819"/>
      <c r="F20" s="819"/>
      <c r="G20" s="819"/>
      <c r="I20" s="127"/>
    </row>
    <row r="22" spans="1:9">
      <c r="A22" s="820" t="s">
        <v>998</v>
      </c>
      <c r="B22" s="822" t="s">
        <v>1064</v>
      </c>
      <c r="C22" s="820" t="s">
        <v>1206</v>
      </c>
      <c r="D22" s="399" t="s">
        <v>1119</v>
      </c>
      <c r="E22" s="820" t="s">
        <v>1207</v>
      </c>
      <c r="F22" s="820" t="s">
        <v>1208</v>
      </c>
      <c r="G22" s="399" t="s">
        <v>1119</v>
      </c>
    </row>
    <row r="23" spans="1:9">
      <c r="A23" s="821"/>
      <c r="B23" s="823"/>
      <c r="C23" s="821"/>
      <c r="D23" s="400">
        <v>40909</v>
      </c>
      <c r="E23" s="821"/>
      <c r="F23" s="821"/>
      <c r="G23" s="400">
        <v>41274</v>
      </c>
    </row>
    <row r="24" spans="1:9">
      <c r="A24" s="210">
        <v>1</v>
      </c>
      <c r="B24" s="213" t="s">
        <v>348</v>
      </c>
      <c r="C24" s="210"/>
      <c r="D24" s="211"/>
      <c r="E24" s="211">
        <v>0</v>
      </c>
      <c r="F24" s="211"/>
      <c r="G24" s="211">
        <f>D24+E24</f>
        <v>0</v>
      </c>
    </row>
    <row r="25" spans="1:9">
      <c r="A25" s="210">
        <v>2</v>
      </c>
      <c r="B25" s="213" t="s">
        <v>1209</v>
      </c>
      <c r="C25" s="210"/>
      <c r="D25" s="211">
        <f>Amortizimi!D15</f>
        <v>7753702</v>
      </c>
      <c r="E25" s="211">
        <f>Amortizimi!H15</f>
        <v>660977</v>
      </c>
      <c r="F25" s="211"/>
      <c r="G25" s="211">
        <f>D25+E25</f>
        <v>8414679</v>
      </c>
    </row>
    <row r="26" spans="1:9">
      <c r="A26" s="210">
        <v>3</v>
      </c>
      <c r="B26" s="213" t="s">
        <v>1214</v>
      </c>
      <c r="C26" s="210"/>
      <c r="D26" s="211">
        <f>Amortizimi!D17</f>
        <v>97032180.039999992</v>
      </c>
      <c r="E26" s="211">
        <f>Amortizimi!H17</f>
        <v>35778269</v>
      </c>
      <c r="F26" s="211">
        <f>Amortizimi!M17</f>
        <v>0</v>
      </c>
      <c r="G26" s="211">
        <f>D26+E26-F26</f>
        <v>132810449.03999999</v>
      </c>
    </row>
    <row r="27" spans="1:9">
      <c r="A27" s="210">
        <v>4</v>
      </c>
      <c r="B27" s="213" t="s">
        <v>1210</v>
      </c>
      <c r="C27" s="210"/>
      <c r="D27" s="211">
        <f>Amortizimi!D18</f>
        <v>21733905</v>
      </c>
      <c r="E27" s="211">
        <f>Amortizimi!H18</f>
        <v>7910668</v>
      </c>
      <c r="F27" s="211">
        <f>Amortizimi!M18</f>
        <v>0</v>
      </c>
      <c r="G27" s="211">
        <f>D27+E27-F27</f>
        <v>29644573</v>
      </c>
    </row>
    <row r="28" spans="1:9">
      <c r="A28" s="210">
        <v>5</v>
      </c>
      <c r="B28" s="213" t="s">
        <v>1211</v>
      </c>
      <c r="C28" s="210"/>
      <c r="D28" s="211">
        <f>Amortizimi!D19</f>
        <v>5633156</v>
      </c>
      <c r="E28" s="211">
        <f>Amortizimi!H19</f>
        <v>3158847</v>
      </c>
      <c r="F28" s="211"/>
      <c r="G28" s="211">
        <f>D28+E28-F28</f>
        <v>8792003</v>
      </c>
    </row>
    <row r="29" spans="1:9">
      <c r="A29" s="210">
        <v>1</v>
      </c>
      <c r="B29" s="213" t="s">
        <v>1212</v>
      </c>
      <c r="C29" s="210"/>
      <c r="D29" s="211"/>
      <c r="E29" s="211"/>
      <c r="F29" s="211"/>
      <c r="G29" s="211"/>
    </row>
    <row r="30" spans="1:9">
      <c r="A30" s="210">
        <v>2</v>
      </c>
      <c r="B30" s="69"/>
      <c r="C30" s="210"/>
      <c r="D30" s="211"/>
      <c r="E30" s="211"/>
      <c r="F30" s="211"/>
      <c r="G30" s="211">
        <f>D30+E30-F30</f>
        <v>0</v>
      </c>
    </row>
    <row r="31" spans="1:9">
      <c r="A31" s="210">
        <v>3</v>
      </c>
      <c r="B31" s="69"/>
      <c r="C31" s="210"/>
      <c r="D31" s="211"/>
      <c r="E31" s="211"/>
      <c r="F31" s="211"/>
      <c r="G31" s="211">
        <f>D31+E31-F31</f>
        <v>0</v>
      </c>
    </row>
    <row r="32" spans="1:9" ht="13.5" thickBot="1">
      <c r="A32" s="100">
        <v>4</v>
      </c>
      <c r="B32" s="214"/>
      <c r="C32" s="100"/>
      <c r="D32" s="215"/>
      <c r="E32" s="215"/>
      <c r="F32" s="215"/>
      <c r="G32" s="215">
        <f>D32+E32-F32</f>
        <v>0</v>
      </c>
    </row>
    <row r="33" spans="1:14" ht="13.5" thickBot="1">
      <c r="A33" s="216"/>
      <c r="B33" s="217" t="s">
        <v>1213</v>
      </c>
      <c r="C33" s="218"/>
      <c r="D33" s="219">
        <f>SUM(D24:D32)</f>
        <v>132152943.03999999</v>
      </c>
      <c r="E33" s="219">
        <f>SUM(E24:E32)</f>
        <v>47508761</v>
      </c>
      <c r="F33" s="219">
        <f>SUM(F24:F32)</f>
        <v>0</v>
      </c>
      <c r="G33" s="220">
        <f>SUM(G24:G32)</f>
        <v>179661704.03999999</v>
      </c>
      <c r="H33" s="221"/>
      <c r="I33" s="127"/>
      <c r="J33" s="127"/>
    </row>
    <row r="34" spans="1:14">
      <c r="G34" s="221"/>
    </row>
    <row r="36" spans="1:14" ht="15.75">
      <c r="B36" s="825" t="s">
        <v>986</v>
      </c>
      <c r="C36" s="825"/>
      <c r="D36" s="825"/>
      <c r="E36" s="825"/>
      <c r="F36" s="825"/>
      <c r="G36" s="825"/>
    </row>
    <row r="38" spans="1:14">
      <c r="A38" s="820" t="s">
        <v>998</v>
      </c>
      <c r="B38" s="822" t="s">
        <v>1064</v>
      </c>
      <c r="C38" s="820" t="s">
        <v>1206</v>
      </c>
      <c r="D38" s="399" t="s">
        <v>1119</v>
      </c>
      <c r="E38" s="820" t="s">
        <v>1207</v>
      </c>
      <c r="F38" s="820" t="s">
        <v>1208</v>
      </c>
      <c r="G38" s="399" t="s">
        <v>1119</v>
      </c>
    </row>
    <row r="39" spans="1:14">
      <c r="A39" s="821"/>
      <c r="B39" s="823"/>
      <c r="C39" s="821"/>
      <c r="D39" s="400">
        <v>40909</v>
      </c>
      <c r="E39" s="821"/>
      <c r="F39" s="821"/>
      <c r="G39" s="400">
        <v>41274</v>
      </c>
      <c r="I39" s="83"/>
    </row>
    <row r="40" spans="1:14">
      <c r="A40" s="210">
        <v>1</v>
      </c>
      <c r="B40" s="87" t="s">
        <v>348</v>
      </c>
      <c r="C40" s="210"/>
      <c r="D40" s="401">
        <f>D8-D24</f>
        <v>13448000</v>
      </c>
      <c r="E40" s="401">
        <f>E8-E24</f>
        <v>1977800</v>
      </c>
      <c r="F40" s="401">
        <f>F8-F24</f>
        <v>0</v>
      </c>
      <c r="G40" s="401">
        <f>G8-G24</f>
        <v>15425800</v>
      </c>
      <c r="I40" s="88"/>
    </row>
    <row r="41" spans="1:14">
      <c r="A41" s="210">
        <v>2</v>
      </c>
      <c r="B41" s="213" t="s">
        <v>1209</v>
      </c>
      <c r="C41" s="210"/>
      <c r="D41" s="401">
        <f t="shared" ref="D41:G46" si="1">D9-D25</f>
        <v>6955540</v>
      </c>
      <c r="E41" s="401">
        <f t="shared" si="1"/>
        <v>-660977</v>
      </c>
      <c r="F41" s="401">
        <f t="shared" si="1"/>
        <v>0</v>
      </c>
      <c r="G41" s="401">
        <f t="shared" si="1"/>
        <v>6294563</v>
      </c>
      <c r="I41" s="88"/>
      <c r="M41" s="83"/>
      <c r="N41" s="83"/>
    </row>
    <row r="42" spans="1:14">
      <c r="A42" s="210">
        <v>3</v>
      </c>
      <c r="B42" s="213" t="s">
        <v>1214</v>
      </c>
      <c r="C42" s="210"/>
      <c r="D42" s="401">
        <f t="shared" si="1"/>
        <v>185081889.85999998</v>
      </c>
      <c r="E42" s="401">
        <f>E10-E26</f>
        <v>3862313</v>
      </c>
      <c r="F42" s="401">
        <f t="shared" si="1"/>
        <v>0</v>
      </c>
      <c r="G42" s="401">
        <f t="shared" si="1"/>
        <v>188944202.85999998</v>
      </c>
      <c r="I42" s="88"/>
      <c r="M42" s="83"/>
      <c r="N42" s="83"/>
    </row>
    <row r="43" spans="1:14">
      <c r="A43" s="210">
        <v>4</v>
      </c>
      <c r="B43" s="213" t="s">
        <v>1210</v>
      </c>
      <c r="C43" s="210"/>
      <c r="D43" s="401">
        <f t="shared" si="1"/>
        <v>43871304.590000004</v>
      </c>
      <c r="E43" s="401">
        <f t="shared" si="1"/>
        <v>-7910668</v>
      </c>
      <c r="F43" s="401">
        <f t="shared" si="1"/>
        <v>4000000</v>
      </c>
      <c r="G43" s="401">
        <f t="shared" si="1"/>
        <v>31960636.590000004</v>
      </c>
      <c r="I43" s="88"/>
      <c r="M43" s="83"/>
      <c r="N43" s="83"/>
    </row>
    <row r="44" spans="1:14">
      <c r="A44" s="210">
        <v>5</v>
      </c>
      <c r="B44" s="213" t="s">
        <v>1211</v>
      </c>
      <c r="C44" s="210"/>
      <c r="D44" s="401">
        <f t="shared" si="1"/>
        <v>6570751.9499999993</v>
      </c>
      <c r="E44" s="401">
        <f t="shared" si="1"/>
        <v>2748676</v>
      </c>
      <c r="F44" s="401">
        <f t="shared" si="1"/>
        <v>0</v>
      </c>
      <c r="G44" s="401">
        <f t="shared" si="1"/>
        <v>9319427.9499999993</v>
      </c>
      <c r="I44" s="83"/>
      <c r="M44" s="83"/>
      <c r="N44" s="83"/>
    </row>
    <row r="45" spans="1:14">
      <c r="A45" s="210">
        <v>1</v>
      </c>
      <c r="B45" s="213" t="s">
        <v>1212</v>
      </c>
      <c r="C45" s="210"/>
      <c r="D45" s="401">
        <f t="shared" si="1"/>
        <v>0</v>
      </c>
      <c r="E45" s="401">
        <f t="shared" si="1"/>
        <v>0</v>
      </c>
      <c r="F45" s="401">
        <f t="shared" si="1"/>
        <v>0</v>
      </c>
      <c r="G45" s="401">
        <f t="shared" si="1"/>
        <v>0</v>
      </c>
      <c r="I45" s="83"/>
      <c r="M45" s="83"/>
      <c r="N45" s="83"/>
    </row>
    <row r="46" spans="1:14">
      <c r="A46" s="210">
        <v>2</v>
      </c>
      <c r="B46" s="222" t="s">
        <v>441</v>
      </c>
      <c r="C46" s="210"/>
      <c r="D46" s="401">
        <f t="shared" si="1"/>
        <v>504619196</v>
      </c>
      <c r="E46" s="401">
        <f t="shared" si="1"/>
        <v>0</v>
      </c>
      <c r="F46" s="401">
        <f t="shared" si="1"/>
        <v>0</v>
      </c>
      <c r="G46" s="401">
        <f t="shared" si="1"/>
        <v>504619196</v>
      </c>
      <c r="I46" s="83"/>
      <c r="M46" s="83"/>
      <c r="N46" s="83"/>
    </row>
    <row r="47" spans="1:14">
      <c r="A47" s="210">
        <v>3</v>
      </c>
      <c r="B47" s="69"/>
      <c r="C47" s="210"/>
      <c r="D47" s="211"/>
      <c r="E47" s="211"/>
      <c r="F47" s="211"/>
      <c r="G47" s="211">
        <f>D47+E47-F47</f>
        <v>0</v>
      </c>
      <c r="I47" s="83"/>
      <c r="M47" s="83"/>
      <c r="N47" s="83"/>
    </row>
    <row r="48" spans="1:14" ht="13.5" thickBot="1">
      <c r="A48" s="100">
        <v>4</v>
      </c>
      <c r="B48" s="214"/>
      <c r="C48" s="100"/>
      <c r="D48" s="215"/>
      <c r="E48" s="215"/>
      <c r="F48" s="215"/>
      <c r="G48" s="215">
        <f>D48+E48-F48</f>
        <v>0</v>
      </c>
      <c r="I48" s="224"/>
      <c r="M48" s="83"/>
      <c r="N48" s="83"/>
    </row>
    <row r="49" spans="1:14" ht="13.5" thickBot="1">
      <c r="A49" s="216"/>
      <c r="B49" s="217" t="s">
        <v>1213</v>
      </c>
      <c r="C49" s="218"/>
      <c r="D49" s="219">
        <f>SUM(D40:D48)</f>
        <v>760546682.39999998</v>
      </c>
      <c r="E49" s="219">
        <f>SUM(E40:E48)</f>
        <v>17144</v>
      </c>
      <c r="F49" s="219">
        <f>SUM(F40:F48)</f>
        <v>4000000</v>
      </c>
      <c r="G49" s="220">
        <f>SUM(G40:G48)</f>
        <v>756563826.39999998</v>
      </c>
      <c r="I49" s="395"/>
      <c r="J49" s="127"/>
      <c r="M49" s="122"/>
      <c r="N49" s="83"/>
    </row>
    <row r="50" spans="1:14" s="83" customFormat="1">
      <c r="F50" s="89"/>
      <c r="G50" s="223"/>
      <c r="I50" s="224"/>
      <c r="J50" s="89"/>
    </row>
    <row r="51" spans="1:14">
      <c r="D51" s="127"/>
      <c r="G51" s="127"/>
      <c r="I51" s="221"/>
      <c r="M51" s="83"/>
      <c r="N51" s="83"/>
    </row>
    <row r="52" spans="1:14">
      <c r="D52" s="127"/>
      <c r="G52" s="127"/>
      <c r="I52" s="127"/>
      <c r="M52" s="83"/>
      <c r="N52" s="83"/>
    </row>
    <row r="53" spans="1:14" ht="15.75">
      <c r="E53" s="296"/>
      <c r="F53" s="255" t="s">
        <v>1247</v>
      </c>
      <c r="G53" s="255"/>
      <c r="M53" s="83"/>
      <c r="N53" s="83"/>
    </row>
    <row r="54" spans="1:14">
      <c r="E54" s="297"/>
      <c r="F54" s="824" t="s">
        <v>966</v>
      </c>
      <c r="G54" s="824"/>
    </row>
    <row r="55" spans="1:14">
      <c r="F55" s="824" t="s">
        <v>967</v>
      </c>
      <c r="G55" s="824"/>
    </row>
    <row r="56" spans="1:14">
      <c r="F56" s="402"/>
      <c r="G56" s="402"/>
    </row>
  </sheetData>
  <mergeCells count="20">
    <mergeCell ref="F54:G54"/>
    <mergeCell ref="F55:G55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honeticPr fontId="5" type="noConversion"/>
  <pageMargins left="0.71" right="0.17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11</vt:i4>
      </vt:variant>
    </vt:vector>
  </HeadingPairs>
  <TitlesOfParts>
    <vt:vector size="28" baseType="lpstr">
      <vt:lpstr>kapaku</vt:lpstr>
      <vt:lpstr>Aktiv-Pasiv</vt:lpstr>
      <vt:lpstr>te ardhura e shpenzime</vt:lpstr>
      <vt:lpstr>Fluksi Monetar</vt:lpstr>
      <vt:lpstr>Kapitali</vt:lpstr>
      <vt:lpstr>Shenim-2</vt:lpstr>
      <vt:lpstr>Aktive Qendrushme</vt:lpstr>
      <vt:lpstr>Amortizimi</vt:lpstr>
      <vt:lpstr>AAM</vt:lpstr>
      <vt:lpstr>Aneks Statistikor</vt:lpstr>
      <vt:lpstr>rezultati tatimor</vt:lpstr>
      <vt:lpstr>Aktivitet per BM</vt:lpstr>
      <vt:lpstr>Fondi_Pagave</vt:lpstr>
      <vt:lpstr>Mjete_Transporti</vt:lpstr>
      <vt:lpstr>Magazina_Tabela</vt:lpstr>
      <vt:lpstr>Magazina_Analitike</vt:lpstr>
      <vt:lpstr>Shenime</vt:lpstr>
      <vt:lpstr>AAM!Print_Area</vt:lpstr>
      <vt:lpstr>'Aktive Qendrushme'!Print_Area</vt:lpstr>
      <vt:lpstr>'Aktivitet per BM'!Print_Area</vt:lpstr>
      <vt:lpstr>'Aktiv-Pasiv'!Print_Area</vt:lpstr>
      <vt:lpstr>Amortizimi!Print_Area</vt:lpstr>
      <vt:lpstr>'Aneks Statistikor'!Print_Area</vt:lpstr>
      <vt:lpstr>'Fluksi Monetar'!Print_Area</vt:lpstr>
      <vt:lpstr>Mjete_Transporti!Print_Area</vt:lpstr>
      <vt:lpstr>'Shenim-2'!Print_Area</vt:lpstr>
      <vt:lpstr>'te ardhura e shpenzime'!Print_Area</vt:lpstr>
      <vt:lpstr>Mjete_Transporti!Print_Titles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2013-03-28T16:39:20Z</cp:lastPrinted>
  <dcterms:created xsi:type="dcterms:W3CDTF">1996-11-05T10:16:36Z</dcterms:created>
  <dcterms:modified xsi:type="dcterms:W3CDTF">2019-02-10T11:54:31Z</dcterms:modified>
</cp:coreProperties>
</file>