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7470" windowWidth="15195" windowHeight="11640" tabRatio="900" firstSheet="1" activeTab="27"/>
  </bookViews>
  <sheets>
    <sheet name="Kopertina " sheetId="1" r:id="rId1"/>
    <sheet name="AKTIVI " sheetId="2" r:id="rId2"/>
    <sheet name="PASIVI " sheetId="3" r:id="rId3"/>
    <sheet name="Ardh e shp - natyres" sheetId="4" r:id="rId4"/>
    <sheet name=" Fluksit mon - direkte" sheetId="5" r:id="rId5"/>
    <sheet name="Pasq e ndrysh te kap 2" sheetId="6" r:id="rId6"/>
    <sheet name="Shenit Shpjeguse" sheetId="7" r:id="rId7"/>
    <sheet name="Shenimet Shpjeg" sheetId="8" r:id="rId8"/>
    <sheet name="A1" sheetId="9" r:id="rId9"/>
    <sheet name="A2" sheetId="10" r:id="rId10"/>
    <sheet name="C1" sheetId="11" r:id="rId11"/>
    <sheet name="C2" sheetId="12" r:id="rId12"/>
    <sheet name="C3" sheetId="13" r:id="rId13"/>
    <sheet name="D1" sheetId="14" r:id="rId14"/>
    <sheet name="D2" sheetId="15" r:id="rId15"/>
    <sheet name="D3" sheetId="16" r:id="rId16"/>
    <sheet name="D4" sheetId="17" r:id="rId17"/>
    <sheet name="D5-" sheetId="18" r:id="rId18"/>
    <sheet name="D 6" sheetId="19" r:id="rId19"/>
    <sheet name="L  1" sheetId="20" r:id="rId20"/>
    <sheet name="L  2" sheetId="21" r:id="rId21"/>
    <sheet name="E2" sheetId="22" r:id="rId22"/>
    <sheet name="M1" sheetId="23" r:id="rId23"/>
    <sheet name="Liber Shit- Blerje " sheetId="24" r:id="rId24"/>
    <sheet name="P -Ardh Analiz " sheetId="25" r:id="rId25"/>
    <sheet name="S" sheetId="26" r:id="rId26"/>
    <sheet name="T" sheetId="27" r:id="rId27"/>
    <sheet name="U" sheetId="28" r:id="rId28"/>
    <sheet name="V" sheetId="29" r:id="rId29"/>
    <sheet name="Sheet1" sheetId="30" r:id="rId30"/>
    <sheet name="Bilanci mater" sheetId="31" r:id="rId31"/>
    <sheet name="Pasq e SHITJES  Ndertimit" sheetId="32" r:id="rId32"/>
    <sheet name="U - statist" sheetId="33" r:id="rId33"/>
    <sheet name="Stat - te ardhur" sheetId="34" r:id="rId34"/>
    <sheet name="Stat - Kostot " sheetId="35" r:id="rId35"/>
    <sheet name="Stat - te ardh  anal" sheetId="36" r:id="rId36"/>
    <sheet name="Foglio1" sheetId="37" r:id="rId37"/>
  </sheets>
  <externalReferences>
    <externalReference r:id="rId40"/>
    <externalReference r:id="rId41"/>
  </externalReferences>
  <definedNames>
    <definedName name="_xlnm.Print_Area" localSheetId="23">'Liber Shit- Blerje '!$A$1:$AR$660</definedName>
  </definedNames>
  <calcPr fullCalcOnLoad="1"/>
</workbook>
</file>

<file path=xl/sharedStrings.xml><?xml version="1.0" encoding="utf-8"?>
<sst xmlns="http://schemas.openxmlformats.org/spreadsheetml/2006/main" count="7144" uniqueCount="1782">
  <si>
    <t xml:space="preserve">Pasqyra Financiare  te Vitit  </t>
  </si>
  <si>
    <t>Nr</t>
  </si>
  <si>
    <t xml:space="preserve">A K T I V E T </t>
  </si>
  <si>
    <t>Shenime</t>
  </si>
  <si>
    <t>I</t>
  </si>
  <si>
    <t xml:space="preserve">AKTIVET AFATSHKURTERA </t>
  </si>
  <si>
    <t xml:space="preserve">&gt;  Banka </t>
  </si>
  <si>
    <t xml:space="preserve">&gt;  Arka </t>
  </si>
  <si>
    <t xml:space="preserve">1. - Aktivet monetare </t>
  </si>
  <si>
    <t>2 -  Derivatet e Aktivet te mbajtura per tregetim</t>
  </si>
  <si>
    <t>&gt;  Te drejta e detyrime ndaj ortakeve</t>
  </si>
  <si>
    <t>&gt;  Tatim mbi fitimin</t>
  </si>
  <si>
    <t xml:space="preserve">3 -  Aktivet te tjera financiare  afatshkurtera </t>
  </si>
  <si>
    <t xml:space="preserve">4 - Inventari </t>
  </si>
  <si>
    <t xml:space="preserve">&gt;  Lendet e para </t>
  </si>
  <si>
    <t xml:space="preserve">&gt;  Produkte te gateshme </t>
  </si>
  <si>
    <t>&gt;  Mallra per rrishitje</t>
  </si>
  <si>
    <t xml:space="preserve">6 - Aktivet afatshkurtera te mbajtura per rishitje </t>
  </si>
  <si>
    <t xml:space="preserve">7 - Parapagime  dhe shpenzime  te shtyra </t>
  </si>
  <si>
    <t>II</t>
  </si>
  <si>
    <t xml:space="preserve"> AKTIVET  AFATGJATA </t>
  </si>
  <si>
    <t>2 - Aktivet Afatgjata  materiale</t>
  </si>
  <si>
    <t>&gt; Toka</t>
  </si>
  <si>
    <t>&gt; Ndertesa</t>
  </si>
  <si>
    <t xml:space="preserve"> &gt; makineri e paisje </t>
  </si>
  <si>
    <t xml:space="preserve">3 - Aktivet Biologjike afatgjata </t>
  </si>
  <si>
    <t>4 - Aktivet afatgjata jo materiale</t>
  </si>
  <si>
    <t>5 - Kapitali aksioner I  pa paguar</t>
  </si>
  <si>
    <t>6 - Aktivet e tjera afat gjata .</t>
  </si>
  <si>
    <t xml:space="preserve">2 - Huamarjet </t>
  </si>
  <si>
    <t xml:space="preserve">3 - Huate e parapagimet </t>
  </si>
  <si>
    <t xml:space="preserve">&gt; Te pagushme ndaj furnitoreve </t>
  </si>
  <si>
    <t xml:space="preserve"> &gt;  Te pagushme ndaj punonjesve </t>
  </si>
  <si>
    <t xml:space="preserve"> &gt;  Detyrime  per Sigurimet shoqerore</t>
  </si>
  <si>
    <t xml:space="preserve">&gt; Detyrime Tatimore per  TAP - in  </t>
  </si>
  <si>
    <t xml:space="preserve">&gt; Detyrime Tatimore per  Tatimin mbi fitimin </t>
  </si>
  <si>
    <t xml:space="preserve">&gt; Detyrime tatimore per T V SH </t>
  </si>
  <si>
    <t>&gt; Detyrime tatimore per tatimin ne burim</t>
  </si>
  <si>
    <t xml:space="preserve">&gt; Dividente per tu paguar </t>
  </si>
  <si>
    <t xml:space="preserve">4 - Grantet  dhe te ardhura te shtyra </t>
  </si>
  <si>
    <t xml:space="preserve"> 1 - Huate afatgjata </t>
  </si>
  <si>
    <t>&gt; Hua , bono , dhe detyrime qeraje financiare</t>
  </si>
  <si>
    <t xml:space="preserve">&gt;  Bono te kovertushme </t>
  </si>
  <si>
    <t xml:space="preserve">2 - Huamarjet  te tjera afatgjata </t>
  </si>
  <si>
    <t>III</t>
  </si>
  <si>
    <t>KAPITALI</t>
  </si>
  <si>
    <t>1 - Aksione te pakices</t>
  </si>
  <si>
    <t>2 - Kapitali I aksionereve te Shoq meme(P F te kons)</t>
  </si>
  <si>
    <t>3- Kapitali aksioner</t>
  </si>
  <si>
    <t>4 - Primi I Aksionit</t>
  </si>
  <si>
    <t>5 - Njesite ose Aksione te thesarit ( Negative )</t>
  </si>
  <si>
    <t>7 - Rezervat Ligjore</t>
  </si>
  <si>
    <t xml:space="preserve">9 - Fitime te pashperndara </t>
  </si>
  <si>
    <t>10 - Fitime ( Humbja ) e vitit financiar</t>
  </si>
  <si>
    <t xml:space="preserve"> ( Bazuar ne klasifikimin e shpenzimeve sipas natyres )</t>
  </si>
  <si>
    <t xml:space="preserve">Pershkrimi I elementeve </t>
  </si>
  <si>
    <t xml:space="preserve">Materiale te konsumuara </t>
  </si>
  <si>
    <t>Kostot e punes</t>
  </si>
  <si>
    <t xml:space="preserve">Pagat e personelit </t>
  </si>
  <si>
    <t>Shpenzime  per Sigurimet shoqerore e shendetesore</t>
  </si>
  <si>
    <t xml:space="preserve">Amortizimet e cvleresimet </t>
  </si>
  <si>
    <t xml:space="preserve">Fitimi ( humbja )  nga veprimtaria kryesore </t>
  </si>
  <si>
    <t>Te ardhura e shpenzimet financiare nga pjesmarjet</t>
  </si>
  <si>
    <t xml:space="preserve">Te ardhura e shpenz financ nga  njesite e kontrolluara </t>
  </si>
  <si>
    <t xml:space="preserve">Te ardhura e shpenzimet financiare  </t>
  </si>
  <si>
    <t>Totali I te ardhurave e shpenzimeve financiare</t>
  </si>
  <si>
    <t>Fitimi ( humbja ) para tatimit  ( 9 + / -  13 )</t>
  </si>
  <si>
    <t>Shpenzimet e tatimit  mbi fitimin</t>
  </si>
  <si>
    <t>Fitimi  ( humbja  ) neto e vitit finanaciar ( 14 - 15 )</t>
  </si>
  <si>
    <t xml:space="preserve">Elementet e pasqyrave te konsoliduara </t>
  </si>
  <si>
    <t xml:space="preserve">PASQYRA  E  TE  ARDHURAVE  DHE   SHPENZIMEVE </t>
  </si>
  <si>
    <t xml:space="preserve">Pasqyra e Fluksit monetar - Metoda Direkte </t>
  </si>
  <si>
    <t>A</t>
  </si>
  <si>
    <t>Fluksi monetar nga veprimtarite e shfrytezimit</t>
  </si>
  <si>
    <t>Mjetet monetare ( M M ) te arketuara nga klientet</t>
  </si>
  <si>
    <t>M M te paguara ndaj furnitoreve e punonjesve</t>
  </si>
  <si>
    <t>M M te ardhura nga veprimtarite e tjera</t>
  </si>
  <si>
    <t xml:space="preserve">M M Neto nga veprimtarite e shfrytezimit </t>
  </si>
  <si>
    <t>B</t>
  </si>
  <si>
    <t xml:space="preserve">Blerja e njesise te kontrolluar X  minus parate e Arketuara </t>
  </si>
  <si>
    <t>Blerja e Aktiveve afat gjata  materiale</t>
  </si>
  <si>
    <t>Interes I arketuar</t>
  </si>
  <si>
    <t>Divident I arketuar</t>
  </si>
  <si>
    <t>C</t>
  </si>
  <si>
    <t xml:space="preserve"> Fluksi monetar nga aktivitett financiare</t>
  </si>
  <si>
    <t>Te ardhura nga emetimi I kapitalit aksioner</t>
  </si>
  <si>
    <t>Te ardhura nga huamarjet afatgjata</t>
  </si>
  <si>
    <t>pagesat e detyrimeve te qerase financiare</t>
  </si>
  <si>
    <t>Dividente te paguar</t>
  </si>
  <si>
    <t>M M Neto e perdorur ne veprimtarite financiare</t>
  </si>
  <si>
    <t>Mjete monetare ne fund te periudhes kontabel</t>
  </si>
  <si>
    <t>Mjete monetare ne fillim te periudhes  kontabel</t>
  </si>
  <si>
    <t xml:space="preserve">PASQYRA E NDRYSHIMEVE NE KAPITAL </t>
  </si>
  <si>
    <t xml:space="preserve">Emertimi </t>
  </si>
  <si>
    <t xml:space="preserve">T O T A L I </t>
  </si>
  <si>
    <t>Pozicioni I rregulluar</t>
  </si>
  <si>
    <t>Emertimi</t>
  </si>
  <si>
    <t>Kapitali aksioner</t>
  </si>
  <si>
    <t>Primi I Aksionit</t>
  </si>
  <si>
    <t>Fitimi I pashpernd</t>
  </si>
  <si>
    <t xml:space="preserve">Efekti I ndryshimit ne polit kontabel </t>
  </si>
  <si>
    <t>Fitimi Neto per periudhen Kontabel</t>
  </si>
  <si>
    <t>Dividentet e paguar</t>
  </si>
  <si>
    <t>Emetimi I kapitalit Aksioner</t>
  </si>
  <si>
    <t>Aksione te thesarit te riblera</t>
  </si>
  <si>
    <t>Rezerva Stat e ligj</t>
  </si>
  <si>
    <t>sqarim ;</t>
  </si>
  <si>
    <t>Plotesimi I te dhenave ne kete pjese duhet te behet sipas kerkesave e struktures standarte</t>
  </si>
  <si>
    <t>Informacion i pergjitheshm dhe politikat kontabel</t>
  </si>
  <si>
    <t>a-</t>
  </si>
  <si>
    <t xml:space="preserve">b - </t>
  </si>
  <si>
    <t xml:space="preserve">c - </t>
  </si>
  <si>
    <t>Shenime qe shpjegojne zerat e ndryshem te pasq financiare</t>
  </si>
  <si>
    <t>NJE PASQYRE E PAKONSOLIDUAR</t>
  </si>
  <si>
    <t>D</t>
  </si>
  <si>
    <t>A1</t>
  </si>
  <si>
    <t>A2</t>
  </si>
  <si>
    <t>C1</t>
  </si>
  <si>
    <t>C2</t>
  </si>
  <si>
    <t>C3</t>
  </si>
  <si>
    <t>D1</t>
  </si>
  <si>
    <t>D2</t>
  </si>
  <si>
    <t>D3</t>
  </si>
  <si>
    <t>E1</t>
  </si>
  <si>
    <t>E2</t>
  </si>
  <si>
    <t xml:space="preserve">5 - Provizionet Afatshkurtera </t>
  </si>
  <si>
    <t>D4</t>
  </si>
  <si>
    <t>D5</t>
  </si>
  <si>
    <t>M1</t>
  </si>
  <si>
    <t>P</t>
  </si>
  <si>
    <t>Shoqeria</t>
  </si>
  <si>
    <t xml:space="preserve">VITI </t>
  </si>
  <si>
    <t xml:space="preserve">A  R  K  A </t>
  </si>
  <si>
    <t xml:space="preserve"> </t>
  </si>
  <si>
    <t xml:space="preserve">B A N K A </t>
  </si>
  <si>
    <t>Kliente per mallra , produkte   e  sherbime   .</t>
  </si>
  <si>
    <t xml:space="preserve">D  1 </t>
  </si>
  <si>
    <t>E  2</t>
  </si>
  <si>
    <t>M 1</t>
  </si>
  <si>
    <t xml:space="preserve">M M Neto te perdorura  ne veprimtarite investuese </t>
  </si>
  <si>
    <t xml:space="preserve">Fluksi monetar nga veprimtarite investuese </t>
  </si>
  <si>
    <t xml:space="preserve">Rritja / renia Neto e mjeteve monetare </t>
  </si>
  <si>
    <t>Rritja e rezerves te kapitalit</t>
  </si>
  <si>
    <t xml:space="preserve">SHENIMET SHPJEGUSE </t>
  </si>
  <si>
    <t>Shenime te tjera shpjeguese .</t>
  </si>
  <si>
    <t>Dhenia e shenimeve shpjeguese ne kete pjese eshte pjese e detyrueshme sipas S K K 2 .</t>
  </si>
  <si>
    <t>te percaktuara ne S K K 2  e konkretisht paragrafeve 49 - 55. radha e dhenies te shpjegimeve duhet te jete:</t>
  </si>
  <si>
    <t xml:space="preserve">Debitore e  Kreditore te tjere </t>
  </si>
  <si>
    <t>Tatimin mbi Fitimin</t>
  </si>
  <si>
    <t xml:space="preserve">Lendet e Para </t>
  </si>
  <si>
    <t>Produkte te Gatshme</t>
  </si>
  <si>
    <t>Prodhimi ne Proces</t>
  </si>
  <si>
    <t>Parapagesa per  furnizime</t>
  </si>
  <si>
    <t>Parapagime e  Shpenzime te shtyra</t>
  </si>
  <si>
    <t>Ndertesa</t>
  </si>
  <si>
    <t>Te pagueshme ndaj Furnitoreve</t>
  </si>
  <si>
    <t xml:space="preserve">S </t>
  </si>
  <si>
    <t>T</t>
  </si>
  <si>
    <t>U</t>
  </si>
  <si>
    <t>V</t>
  </si>
  <si>
    <t>P  1</t>
  </si>
  <si>
    <t xml:space="preserve">RAKORDIMI I TE ARDHURAVE E BLERJEVE ME T V SH </t>
  </si>
  <si>
    <t>S</t>
  </si>
  <si>
    <t xml:space="preserve">Vlera e </t>
  </si>
  <si>
    <t xml:space="preserve">S H U M A </t>
  </si>
  <si>
    <t xml:space="preserve">KOSTO  TE TJERA </t>
  </si>
  <si>
    <t>Muaji</t>
  </si>
  <si>
    <t xml:space="preserve">                       S H I T J E</t>
  </si>
  <si>
    <t xml:space="preserve">                                       B L E R J E </t>
  </si>
  <si>
    <t>T V SH e zbrit nga muaj I kaluar</t>
  </si>
  <si>
    <t>T V SH e paguar per muajin</t>
  </si>
  <si>
    <t>Shitje te perjasht</t>
  </si>
  <si>
    <t>Eksporte</t>
  </si>
  <si>
    <t xml:space="preserve">           Shitje e tatushme</t>
  </si>
  <si>
    <t>Blerje te perjasht</t>
  </si>
  <si>
    <t xml:space="preserve">                                    Blerje me T V SH</t>
  </si>
  <si>
    <t>Vlere e tatushme</t>
  </si>
  <si>
    <t>T V SH e llogaritur</t>
  </si>
  <si>
    <t>Importe</t>
  </si>
  <si>
    <t>Brenda vendit</t>
  </si>
  <si>
    <t>Shuma e T V SH</t>
  </si>
  <si>
    <t>Vlera e tatu</t>
  </si>
  <si>
    <t>T V SH</t>
  </si>
  <si>
    <t xml:space="preserve">Janar 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</si>
  <si>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</si>
  <si>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</si>
  <si>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</si>
  <si>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</si>
  <si>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</si>
  <si>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</si>
  <si>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</si>
  <si>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</si>
  <si>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</si>
  <si>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</si>
  <si>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</si>
  <si>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Nj vlersim</t>
  </si>
  <si>
    <t>SHUMA</t>
  </si>
  <si>
    <t>Gjendje malli ne daten 31,12,2008</t>
  </si>
  <si>
    <t xml:space="preserve">VLERA E SHTUAR E TVSH </t>
  </si>
  <si>
    <t>NR</t>
  </si>
  <si>
    <t>Kontribute per sig Shoqeror ne lek</t>
  </si>
  <si>
    <t>16)Kontr</t>
  </si>
  <si>
    <t xml:space="preserve">17)Paga </t>
  </si>
  <si>
    <t>18)tatimi</t>
  </si>
  <si>
    <t>MUAJI</t>
  </si>
  <si>
    <t>10)Gjithesej</t>
  </si>
  <si>
    <t xml:space="preserve">          Nga keto :</t>
  </si>
  <si>
    <t>bruto</t>
  </si>
  <si>
    <t xml:space="preserve">mbi te </t>
  </si>
  <si>
    <t>JANAR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</si>
  <si>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</si>
  <si>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</si>
  <si>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</si>
  <si>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</si>
  <si>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</si>
  <si>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</si>
  <si>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</si>
  <si>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</si>
  <si>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</si>
  <si>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</si>
  <si>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 xml:space="preserve">SHUMA </t>
  </si>
  <si>
    <t>Tjera</t>
  </si>
  <si>
    <t>NETO</t>
  </si>
  <si>
    <t xml:space="preserve">                 PASQYRA ANALITIKE E VLERESIMIT TE MALLRAVE, MATERIALEVE ,  </t>
  </si>
  <si>
    <t xml:space="preserve">       Fatura</t>
  </si>
  <si>
    <t xml:space="preserve">Vler e tatush </t>
  </si>
  <si>
    <t>Taxa</t>
  </si>
  <si>
    <t>Akcize</t>
  </si>
  <si>
    <t>Sherbime</t>
  </si>
  <si>
    <t>TVSH</t>
  </si>
  <si>
    <t>Emertimi I</t>
  </si>
  <si>
    <t>Referenca</t>
  </si>
  <si>
    <t>Date</t>
  </si>
  <si>
    <t>ne  fatures</t>
  </si>
  <si>
    <t>inventarit</t>
  </si>
  <si>
    <t>Dogano</t>
  </si>
  <si>
    <t>ne fature</t>
  </si>
  <si>
    <t>Inventarit</t>
  </si>
  <si>
    <t>A  2</t>
  </si>
  <si>
    <t xml:space="preserve">Emertimi I kostove </t>
  </si>
  <si>
    <t>Kostot e prodhimit e te sherbimit</t>
  </si>
  <si>
    <t xml:space="preserve">PASQYRA PERMBLEDHESE  E VLERESIMIT TE MALLRAVE, MATERIALEVE ,  </t>
  </si>
  <si>
    <t>FDP</t>
  </si>
  <si>
    <t>DIF</t>
  </si>
  <si>
    <t>SHKURT</t>
  </si>
  <si>
    <t xml:space="preserve">  Fatura </t>
  </si>
  <si>
    <t>Vleresimi</t>
  </si>
  <si>
    <t>Te tjera</t>
  </si>
  <si>
    <t xml:space="preserve">Emertimi I </t>
  </si>
  <si>
    <t>kontabel</t>
  </si>
  <si>
    <t>Doganore</t>
  </si>
  <si>
    <t xml:space="preserve">Kosto neto </t>
  </si>
  <si>
    <t xml:space="preserve"> Derdhur ne fakt </t>
  </si>
  <si>
    <t xml:space="preserve">Planifikuar </t>
  </si>
  <si>
    <t xml:space="preserve">Progresive </t>
  </si>
  <si>
    <t>KORRRIK</t>
  </si>
  <si>
    <t xml:space="preserve">Detyrimi sipas pasqyres te ardhurave </t>
  </si>
  <si>
    <t xml:space="preserve">Per te pagura apo mbi pagesa </t>
  </si>
  <si>
    <t>Emertiimi I bankes</t>
  </si>
  <si>
    <t xml:space="preserve">Gjendje </t>
  </si>
  <si>
    <t xml:space="preserve">Hyrjet </t>
  </si>
  <si>
    <t xml:space="preserve">Daljet </t>
  </si>
  <si>
    <t xml:space="preserve">T O T A L I  EURO + LEKE </t>
  </si>
  <si>
    <t>Shpen te tjera ………... , shpenz te per te shku …………</t>
  </si>
  <si>
    <t>Emetimi I Aksioneve, fitime te mbartura</t>
  </si>
  <si>
    <t xml:space="preserve">SHUMA  E GJENDJES TE MALLRAVE ME V R N </t>
  </si>
  <si>
    <t xml:space="preserve">Emertimi I mallrave </t>
  </si>
  <si>
    <t>Nj mat</t>
  </si>
  <si>
    <t>sasia</t>
  </si>
  <si>
    <t>Kostua</t>
  </si>
  <si>
    <t xml:space="preserve">V R N </t>
  </si>
  <si>
    <t xml:space="preserve">&gt;  Llogaria / Kerkesa te arketushme </t>
  </si>
  <si>
    <t xml:space="preserve">&gt;  Llogari /  Kerkesa te tjer ate arketushme </t>
  </si>
  <si>
    <t>&gt; Instumenta te tjera  borxhi</t>
  </si>
  <si>
    <t xml:space="preserve">&gt; Investime te tjera  financiare </t>
  </si>
  <si>
    <t>D  3</t>
  </si>
  <si>
    <t>D  4</t>
  </si>
  <si>
    <t xml:space="preserve">5  -  Aktivet  biliogjike afatshkurtera </t>
  </si>
  <si>
    <t xml:space="preserve">1  - Investime  financiare afatgjata </t>
  </si>
  <si>
    <t>&gt; Pjesmarja te tjera te nj te kontr ( vetem P F )</t>
  </si>
  <si>
    <t>&gt;  Aksione e invest te tjera te pjesmarjes</t>
  </si>
  <si>
    <t>&gt; Kerkesa te arketushme afatgjata</t>
  </si>
  <si>
    <t>&gt; Emri  I mire</t>
  </si>
  <si>
    <t>&gt; Shpenzimet e zhvillimit</t>
  </si>
  <si>
    <t xml:space="preserve">&gt; Aktive te tjera jo materiale </t>
  </si>
  <si>
    <t xml:space="preserve">DERIVATET DHE KAPITALI </t>
  </si>
  <si>
    <t xml:space="preserve">Detyrimet Afatshkurtera </t>
  </si>
  <si>
    <t xml:space="preserve">1. - Derivatet </t>
  </si>
  <si>
    <t xml:space="preserve"> &gt; Huate dhe  obligacionet afatshkurtera</t>
  </si>
  <si>
    <t xml:space="preserve"> &gt;Kthimet/ Ripagesat e huave afatgjata</t>
  </si>
  <si>
    <t xml:space="preserve">&gt; Bono te kovertushme </t>
  </si>
  <si>
    <t xml:space="preserve"> &gt;  Huara te tjera </t>
  </si>
  <si>
    <t xml:space="preserve">&gt;   Parapagimet  e arketimeve </t>
  </si>
  <si>
    <t xml:space="preserve">DETYRIMET   AFATGJATA </t>
  </si>
  <si>
    <t xml:space="preserve">3  - Provizionet   Afatgjata </t>
  </si>
  <si>
    <t>TOTALI I  DETYRIMEVE  ( I +  II )</t>
  </si>
  <si>
    <t>TOTALI I DETYRIMEVE  DHE KAPITALIT( I + II + III)</t>
  </si>
  <si>
    <t xml:space="preserve">Te ARDHURTA  GJITHESEJ </t>
  </si>
  <si>
    <t xml:space="preserve">11.- Te ardhura te regjistr avance </t>
  </si>
  <si>
    <t>&gt;  Parapagesa per furnizime , shpenzime per tu shperndare</t>
  </si>
  <si>
    <t xml:space="preserve">Tatime e taksa , dogane , tatime  e taxa, arketime te tjera ,TVSH </t>
  </si>
  <si>
    <t>R</t>
  </si>
  <si>
    <t xml:space="preserve">&gt;  Prodhimi ne proces,  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</si>
  <si>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</si>
  <si>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</si>
  <si>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</si>
  <si>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Standartet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</si>
  <si>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</si>
  <si>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</si>
  <si>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</si>
  <si>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</si>
  <si>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</si>
  <si>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</si>
  <si>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</si>
  <si>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</si>
  <si>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</si>
  <si>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</si>
  <si>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</si>
  <si>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</si>
  <si>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</si>
  <si>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</si>
  <si>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</si>
  <si>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</si>
  <si>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</si>
  <si>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</si>
  <si>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</si>
  <si>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</si>
  <si>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</si>
  <si>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</si>
  <si>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</si>
  <si>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</si>
  <si>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</si>
  <si>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</si>
  <si>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</si>
  <si>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</si>
  <si>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</si>
  <si>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</si>
  <si>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</si>
  <si>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</si>
  <si>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</si>
  <si>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</si>
  <si>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</si>
  <si>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</si>
  <si>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</si>
  <si>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</si>
  <si>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</si>
  <si>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</si>
  <si>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</si>
  <si>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</si>
  <si>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r>
      <t xml:space="preserve">Ne  analize  </t>
    </r>
    <r>
      <rPr>
        <b/>
        <sz val="10"/>
        <rFont val="Arial"/>
        <family val="2"/>
      </rPr>
      <t>SHIF PASQYRAT ANALITIKE TE LLOGARIVE  QE U PERGJIGJEN NGJARJEVE</t>
    </r>
    <r>
      <rPr>
        <sz val="10"/>
        <rFont val="Arial"/>
        <family val="2"/>
      </rPr>
      <t xml:space="preserve"> </t>
    </r>
  </si>
  <si>
    <r>
      <t>E VEPRIMEVE KONTABEL  . ANALITIKISHT SIPAS  SHENIMEVE NE PASQYRAT FINANCIARE</t>
    </r>
    <r>
      <rPr>
        <sz val="10"/>
        <rFont val="Arial"/>
        <family val="2"/>
      </rPr>
      <t xml:space="preserve"> .</t>
    </r>
  </si>
  <si>
    <t xml:space="preserve">Te tjera tvsh e nd  , rrjedh neto  …….. e interesa neto </t>
  </si>
  <si>
    <t xml:space="preserve">PROVIGJIONET </t>
  </si>
  <si>
    <t xml:space="preserve">  6  - Provizionet </t>
  </si>
  <si>
    <t>SHUMA 1</t>
  </si>
  <si>
    <t>SHUMA 2</t>
  </si>
  <si>
    <t xml:space="preserve">S  H  U  M  A  </t>
  </si>
  <si>
    <t>SUBJEKTI</t>
  </si>
  <si>
    <t xml:space="preserve">                       Fatura</t>
  </si>
  <si>
    <t>Shuma ne</t>
  </si>
  <si>
    <t>All</t>
  </si>
  <si>
    <t>Eur</t>
  </si>
  <si>
    <t xml:space="preserve">Kursi </t>
  </si>
  <si>
    <t>I kembit</t>
  </si>
  <si>
    <t>Monedha</t>
  </si>
  <si>
    <t>Leke</t>
  </si>
  <si>
    <t>Euro</t>
  </si>
  <si>
    <t xml:space="preserve">PASQYRAT  FINANCIARE </t>
  </si>
  <si>
    <t xml:space="preserve">Mbeshtetur  ne Ligjin  Nr 9228 date 29.04.2004 " Per kontabilitetin e Pasqyrat financiare " , </t>
  </si>
  <si>
    <t>te ndryshuar dhe ne Standartet Kombetare te Kontabilitetit - S K K 2 )</t>
  </si>
  <si>
    <t xml:space="preserve">Te dhenat identifikuse </t>
  </si>
  <si>
    <t xml:space="preserve">Te dhena  te tjera </t>
  </si>
  <si>
    <t xml:space="preserve">Emri </t>
  </si>
  <si>
    <t>x</t>
  </si>
  <si>
    <t>Individ</t>
  </si>
  <si>
    <t>Pasqyrat financ</t>
  </si>
  <si>
    <t xml:space="preserve">NIPT </t>
  </si>
  <si>
    <t>Te konsol</t>
  </si>
  <si>
    <t>ADRESA</t>
  </si>
  <si>
    <t xml:space="preserve">Monedha </t>
  </si>
  <si>
    <t>Lek</t>
  </si>
  <si>
    <t>Data e krijimit</t>
  </si>
  <si>
    <t>Nr I regjistrit Treg</t>
  </si>
  <si>
    <t xml:space="preserve">Rrumbullakimi </t>
  </si>
  <si>
    <t xml:space="preserve">Periudha  kontabel </t>
  </si>
  <si>
    <t xml:space="preserve">Fusha e veprimtarise </t>
  </si>
  <si>
    <t xml:space="preserve">Data e plot te P F </t>
  </si>
  <si>
    <t>Te ardhura nga shitja e paisjeve , parapagim</t>
  </si>
  <si>
    <t>FURNITORET</t>
  </si>
  <si>
    <t>TOTALI</t>
  </si>
  <si>
    <t>KLIENTET</t>
  </si>
  <si>
    <t xml:space="preserve">V I T I </t>
  </si>
  <si>
    <t>Gjendje malli ne daten 31,12,2009</t>
  </si>
  <si>
    <t>Emertimi I mallrave</t>
  </si>
  <si>
    <t>Nj.mat</t>
  </si>
  <si>
    <t>Sasia</t>
  </si>
  <si>
    <t>VLERA pa TVSH</t>
  </si>
  <si>
    <t>Situata financiare</t>
  </si>
  <si>
    <t>Shuma</t>
  </si>
  <si>
    <t>Furnizime</t>
  </si>
  <si>
    <t>Likujdime</t>
  </si>
  <si>
    <t>Detyrim i mbetur</t>
  </si>
  <si>
    <t>Faturim</t>
  </si>
  <si>
    <t>Detyrime</t>
  </si>
  <si>
    <t xml:space="preserve">I N V E N T A R I </t>
  </si>
  <si>
    <t>Kursi</t>
  </si>
  <si>
    <t>NIPT</t>
  </si>
  <si>
    <t>Shenimet Spjeguse</t>
  </si>
  <si>
    <t>Per pasqyrtat financiare te Shoqerise (Njeseise)</t>
  </si>
  <si>
    <t>Statusi i Shoqerise</t>
  </si>
  <si>
    <t>Selia</t>
  </si>
  <si>
    <t>Administratori</t>
  </si>
  <si>
    <t>Veprimtaria qe kryen</t>
  </si>
  <si>
    <t>Nipti</t>
  </si>
  <si>
    <t>Numri i te punesuarve</t>
  </si>
  <si>
    <t>I - Informacion i pergjithshem dhe politikat kontabel</t>
  </si>
  <si>
    <t xml:space="preserve"> A - Informacion i pergjirhshem</t>
  </si>
  <si>
    <t xml:space="preserve"> te standarteve kombetare te kontabilitetit dhe ligjit  9228 Date 29,04,2004 ''per Kontabilitetin </t>
  </si>
  <si>
    <t>e pasqyrat Financiare ''</t>
  </si>
  <si>
    <t>B-Politikat Kontabel</t>
  </si>
  <si>
    <t xml:space="preserve">Jane ato te percaktuara nestandatret kombetare te kontabilitetit Dhe ligjin  ''Per Kontabilitetin  e   </t>
  </si>
  <si>
    <t>Pasqyrat Financiate'' Nr   92280  Date 29,04,2004</t>
  </si>
  <si>
    <t xml:space="preserve">     Keto Pasqyra financiare jane pregatitur ne baze te parimit  te te drejta e detyrimene te konstatuara</t>
  </si>
  <si>
    <t>(SKK  1  -  35  )</t>
  </si>
  <si>
    <t xml:space="preserve"> Informacioni  i dhene eshte perpiluar ne baze te parimit te njesise ekonomike.</t>
  </si>
  <si>
    <t>Monedha ne te cilen shprehen te gjitha pasqyrat financiare eshte leku shqiptare ,pa bere rrumbullakime</t>
  </si>
  <si>
    <t xml:space="preserve"> - Ne Aktiv</t>
  </si>
  <si>
    <t xml:space="preserve">  2-   Arka ne leke      </t>
  </si>
  <si>
    <t xml:space="preserve">3- Aktive te tjera afat Shkutrta Gjitesej </t>
  </si>
  <si>
    <t xml:space="preserve"> I - Kerkesa te arketushme  </t>
  </si>
  <si>
    <t xml:space="preserve"> -  Kliente </t>
  </si>
  <si>
    <t xml:space="preserve">Kerkes te tjra te arketushme jane </t>
  </si>
  <si>
    <t>a)</t>
  </si>
  <si>
    <t>b)</t>
  </si>
  <si>
    <t xml:space="preserve"> 4- Inventarei i mallrave </t>
  </si>
  <si>
    <t>Gjate vitit ushtrimor eshte perdorur metoda FIFO Dhe ne fund mallrat jene vleresuar me cmimet e hyrjes si</t>
  </si>
  <si>
    <t>dhe shpenzimet e tjera  te blerjes te blerjes  si taksa .</t>
  </si>
  <si>
    <t xml:space="preserve"> - Ne Pasiv</t>
  </si>
  <si>
    <t>2- Paga e punetoreve</t>
  </si>
  <si>
    <t>3- Detyrime  per Sigurimet shoqerore</t>
  </si>
  <si>
    <t xml:space="preserve">4- Detyrime Tatimore per  TAP - in  </t>
  </si>
  <si>
    <t xml:space="preserve">5- Detyrime Tatimore per  Tatimin mbi fitimin </t>
  </si>
  <si>
    <t xml:space="preserve">6- Detyrime tatimore per T V SH </t>
  </si>
  <si>
    <t>7- Detyrime tatimore per tatimin ne burim</t>
  </si>
  <si>
    <t xml:space="preserve">8-  Huara te tjera </t>
  </si>
  <si>
    <t xml:space="preserve">  -  Overdrafte</t>
  </si>
  <si>
    <t xml:space="preserve">  -  Huara bankare</t>
  </si>
  <si>
    <t xml:space="preserve">9-   Parapagimet  e arketimeve </t>
  </si>
  <si>
    <t xml:space="preserve"> - Te ardhurat e  Shpenzimet</t>
  </si>
  <si>
    <t xml:space="preserve">   Jane njohur me vleren e drejte te shumes se arketushme ose te pagushme ne momentim e kryerjes se </t>
  </si>
  <si>
    <t xml:space="preserve">transaksioneve te blerjes , sherbimeve apo  shitjes . Ato jane klasifikuar ne pasqyren  e te ardhurave </t>
  </si>
  <si>
    <t>e shpenzimeve sipas narytes se tyre ekonomike</t>
  </si>
  <si>
    <t xml:space="preserve"> Te ardhura te tjera nga veprimtaria e shfrytezimit </t>
  </si>
  <si>
    <t xml:space="preserve">Te ardhura te tjera </t>
  </si>
  <si>
    <t>Ndryshimi ne inventarin prod I gateshm e prodh proces</t>
  </si>
  <si>
    <t>Shpenzime te panjohura</t>
  </si>
  <si>
    <t xml:space="preserve"> - Pasqyra e fluksit te parase  (Cash Flow)</t>
  </si>
  <si>
    <t>Pasqyra e Fkuksit te parase eshte pregaritiur sipas metodes direkte</t>
  </si>
  <si>
    <t>II - Informacionper zerat e pasqyrave fimanciare</t>
  </si>
  <si>
    <t xml:space="preserve">  I -Aktivet Afat gjata</t>
  </si>
  <si>
    <t>Gjendja e ativeve</t>
  </si>
  <si>
    <t>Shtesa</t>
  </si>
  <si>
    <t>Pakesime</t>
  </si>
  <si>
    <t>Makineri e pajisje</t>
  </si>
  <si>
    <t>Mjete Transporti</t>
  </si>
  <si>
    <t>Paisje zyre e informatike</t>
  </si>
  <si>
    <t>II- Pasqyra e ndryshimit te kapitalit</t>
  </si>
  <si>
    <t xml:space="preserve">II - Shenimet Spjeguese </t>
  </si>
  <si>
    <t xml:space="preserve">     Ngjarje te ndodhura pas dates se bilancit per te cilat behen rregullime Apo ngjarje te ndodhura pas </t>
  </si>
  <si>
    <t>dates se bilancit qe nuk behen rregullime nuk ka</t>
  </si>
  <si>
    <t>Gabime materiale te ndodhura ne periudhat kontabel te meparshme te konstatuara gjate periudhes</t>
  </si>
  <si>
    <t xml:space="preserve"> rraportuesse  dhe qe behen korrigjime nuk ka</t>
  </si>
  <si>
    <t>Hartusi</t>
  </si>
  <si>
    <t xml:space="preserve">Administratori </t>
  </si>
  <si>
    <t>SHPK</t>
  </si>
  <si>
    <t>TE TJERA TE ARKET</t>
  </si>
  <si>
    <t>Sh . Spjeg</t>
  </si>
  <si>
    <t>Ndryshimi i gjendjes te prodhimit te vet(  +  vlera  )</t>
  </si>
  <si>
    <t>Ndryshimi i gjendjes te prodhimit te vet ( -  vlera  = kujdes )</t>
  </si>
  <si>
    <t>Fitimi ( humbja ) para tatimit  (  C+ / -  D  )</t>
  </si>
  <si>
    <t>Pozicioni me 31 Dhjetor 2010</t>
  </si>
  <si>
    <t xml:space="preserve">Interesa </t>
  </si>
  <si>
    <t>Bankare etj</t>
  </si>
  <si>
    <t xml:space="preserve">                 Shuma totale</t>
  </si>
  <si>
    <t xml:space="preserve">Kovertimi  ne Lek </t>
  </si>
  <si>
    <t xml:space="preserve">SHPENZIME TE PANJOHURA </t>
  </si>
  <si>
    <t>.......................................</t>
  </si>
  <si>
    <t>....................................</t>
  </si>
  <si>
    <t>..........................................</t>
  </si>
  <si>
    <t>...................................................</t>
  </si>
  <si>
    <t>per mallra e mat, paisje</t>
  </si>
  <si>
    <t xml:space="preserve">Ne analize </t>
  </si>
  <si>
    <t xml:space="preserve">4 % i bashkise </t>
  </si>
  <si>
    <t xml:space="preserve">Te tjera </t>
  </si>
  <si>
    <t xml:space="preserve">T O T A L I  </t>
  </si>
  <si>
    <t>Projekti</t>
  </si>
  <si>
    <t xml:space="preserve">Emertimi  i Bankes </t>
  </si>
  <si>
    <t>Numeri   i Llogarise</t>
  </si>
  <si>
    <t xml:space="preserve">Lloi i monedhes </t>
  </si>
  <si>
    <t xml:space="preserve"> Shuma  ne  lek </t>
  </si>
  <si>
    <r>
      <t>Tatimpaguesi</t>
    </r>
    <r>
      <rPr>
        <b/>
        <sz val="12"/>
        <rFont val="Arial"/>
        <family val="2"/>
      </rPr>
      <t xml:space="preserve">        </t>
    </r>
  </si>
  <si>
    <r>
      <t xml:space="preserve">Nipt          </t>
    </r>
  </si>
  <si>
    <r>
      <t>Aktiviteti</t>
    </r>
    <r>
      <rPr>
        <b/>
        <sz val="12"/>
        <rFont val="Arial"/>
        <family val="2"/>
      </rPr>
      <t xml:space="preserve">   </t>
    </r>
    <r>
      <rPr>
        <b/>
        <u val="single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</t>
    </r>
  </si>
  <si>
    <t>Emertimi i aktivit</t>
  </si>
  <si>
    <t>Viti i hyrjes se aktivit</t>
  </si>
  <si>
    <t xml:space="preserve">Celje  me vl fillestare </t>
  </si>
  <si>
    <t>Ndryshimet gjate vitit</t>
  </si>
  <si>
    <t>Koeficenti i amortizimit ne %</t>
  </si>
  <si>
    <t>Hyrje aktivesh</t>
  </si>
  <si>
    <t>Dalje aktivesh</t>
  </si>
  <si>
    <t>a</t>
  </si>
  <si>
    <t>b</t>
  </si>
  <si>
    <t>4(1+2-3)</t>
  </si>
  <si>
    <t>7 ( 1-6)</t>
  </si>
  <si>
    <t>8[(7x5)+(2x5/12x..)}</t>
  </si>
  <si>
    <t>10(6+8-9)</t>
  </si>
  <si>
    <t>11 ( 4-10 )</t>
  </si>
  <si>
    <t>S H U M A   NDERTESA</t>
  </si>
  <si>
    <t xml:space="preserve">MAKINERI E PAISJE </t>
  </si>
  <si>
    <t xml:space="preserve">INSTALIME  , LINJA </t>
  </si>
  <si>
    <t>SHUMA MAKINERI E PAISJE</t>
  </si>
  <si>
    <t>MJETE  TRASPORTI</t>
  </si>
  <si>
    <t>SHUMA MJETE TRASP</t>
  </si>
  <si>
    <t>Paisje Zyre e informatike</t>
  </si>
  <si>
    <t>SHUMA Paisje zyere e inf</t>
  </si>
  <si>
    <t xml:space="preserve">G J I T H E S E J </t>
  </si>
  <si>
    <t xml:space="preserve"> ADI  -  M </t>
  </si>
  <si>
    <t xml:space="preserve">V L O R E </t>
  </si>
  <si>
    <t>LEJA  E NDERTIMIT  NR  NR  1 / 168  DATE  24.02.2009</t>
  </si>
  <si>
    <t xml:space="preserve">TREGUESIT  E SHITJES SE APARTAMENTIT NE LAGJEN "   Deshmoret   " VLORE </t>
  </si>
  <si>
    <t xml:space="preserve">Siperfaqja totale </t>
  </si>
  <si>
    <t xml:space="preserve">Pronari i tokes </t>
  </si>
  <si>
    <t>Mbetet bruto</t>
  </si>
  <si>
    <t>Zbritet sip e perbashket</t>
  </si>
  <si>
    <t>Mbetet sip per shitje</t>
  </si>
  <si>
    <t xml:space="preserve">Nga e cila </t>
  </si>
  <si>
    <t>Gjithes</t>
  </si>
  <si>
    <t>Pronari</t>
  </si>
  <si>
    <t>Mbet shoq</t>
  </si>
  <si>
    <t>Apartamente banimi</t>
  </si>
  <si>
    <t>Dyqane K  I</t>
  </si>
  <si>
    <t>Garazhe</t>
  </si>
  <si>
    <t>ballkone</t>
  </si>
  <si>
    <t xml:space="preserve">TE DHENA LIDHUR ME KOSTON NDERTIMORE </t>
  </si>
  <si>
    <t>EMERTIMI</t>
  </si>
  <si>
    <t>Vlere totale-patvsh</t>
  </si>
  <si>
    <t>7% kos nder</t>
  </si>
  <si>
    <t>Kost nd</t>
  </si>
  <si>
    <t>Sip Ndert</t>
  </si>
  <si>
    <t xml:space="preserve">Kostu  Totale  planif </t>
  </si>
  <si>
    <t xml:space="preserve">SH U M A </t>
  </si>
  <si>
    <t>SITUATA FINANCIARE E VITIT 2008</t>
  </si>
  <si>
    <t xml:space="preserve">KOSTO NDERTIMI  E SHPENZIME TJERA </t>
  </si>
  <si>
    <t xml:space="preserve">leke </t>
  </si>
  <si>
    <t xml:space="preserve">VLERE E TATUSHME </t>
  </si>
  <si>
    <t xml:space="preserve">Sip ndertimore e deklaruar gjithesej </t>
  </si>
  <si>
    <t>m2</t>
  </si>
  <si>
    <t>TVSH E LLOGARITUR</t>
  </si>
  <si>
    <t>KOSTO NDERTIMI GJITHESEJ</t>
  </si>
  <si>
    <t xml:space="preserve">3 % I BASHKISE </t>
  </si>
  <si>
    <t>PROJEKTI ETJ , TOKA</t>
  </si>
  <si>
    <t xml:space="preserve">Kontrate  O S SH </t>
  </si>
  <si>
    <t>Kontrate  SH A  Ujesjelelsi</t>
  </si>
  <si>
    <t xml:space="preserve">Konrata </t>
  </si>
  <si>
    <t>Noteri</t>
  </si>
  <si>
    <t xml:space="preserve">TOTALI I SHPENZIMEVE </t>
  </si>
  <si>
    <t xml:space="preserve">Ne kushtet e ndryshimit te vazhdueshem te kostos ndertimore e cmimit minimal fiskal , u propozoj qe sip </t>
  </si>
  <si>
    <t>e deklaruar se ndertuari te shitet 100 % , e mbi kete propozim rezultojne :</t>
  </si>
  <si>
    <t>TE ARDHURAT ME CMIMET MINIMALE FISKALE V 2009</t>
  </si>
  <si>
    <t>REZULTATI</t>
  </si>
  <si>
    <t>SIPERFAQE</t>
  </si>
  <si>
    <t>Cmimi Euro</t>
  </si>
  <si>
    <t xml:space="preserve">LEKE </t>
  </si>
  <si>
    <t>TE ARDHURA</t>
  </si>
  <si>
    <t>KOSTO TOTALE</t>
  </si>
  <si>
    <t>FITIMI PARA TATIMIT</t>
  </si>
  <si>
    <t>10 % TATIM FITIMIT</t>
  </si>
  <si>
    <t>7 % i kostos ndert</t>
  </si>
  <si>
    <t>Shuma e tatim fitimi</t>
  </si>
  <si>
    <t xml:space="preserve">Mbetet per likuidim </t>
  </si>
  <si>
    <t xml:space="preserve">TE ARDHURA TE PERJASHTUARA </t>
  </si>
  <si>
    <t>SHOQERIA</t>
  </si>
  <si>
    <t>Shtese</t>
  </si>
  <si>
    <t>Paksime</t>
  </si>
  <si>
    <t>Toka</t>
  </si>
  <si>
    <t>Kompjutra</t>
  </si>
  <si>
    <t>Zyre</t>
  </si>
  <si>
    <t>ADMINISTRATORI</t>
  </si>
  <si>
    <t>Pasqyra nr.1</t>
  </si>
  <si>
    <t>Ne 000/Leke</t>
  </si>
  <si>
    <t>ANEKS FTATISTIKOR</t>
  </si>
  <si>
    <t>T Ë   A R D H U RA T</t>
  </si>
  <si>
    <t>Numeri i llogarise</t>
  </si>
  <si>
    <t>Kodi Statistikor</t>
  </si>
  <si>
    <t>USHTRIMI</t>
  </si>
  <si>
    <t xml:space="preserve">  TË ARDHURA GJITHSEJ (a+b+c)</t>
  </si>
  <si>
    <t>Te ardhura nga shitja e produktit të  vet</t>
  </si>
  <si>
    <t>Te ardhura nga shitja e sherbimeve</t>
  </si>
  <si>
    <t>c</t>
  </si>
  <si>
    <t>Te ardhura nga shitja e mallrave</t>
  </si>
  <si>
    <t xml:space="preserve">  TË ARDHURA NGA SHITJE TE TJERA (a+b+c)</t>
  </si>
  <si>
    <t>Qera</t>
  </si>
  <si>
    <t>Komisione</t>
  </si>
  <si>
    <t>Transaksione per te tjeret</t>
  </si>
  <si>
    <t>NDRYSHIMET NE INVENTARIN E PRODUKTEVE TE GATSHME E PRODHIMEVE NE PROCES</t>
  </si>
  <si>
    <t>Shtesa(+)</t>
  </si>
  <si>
    <t>Paksime(-)</t>
  </si>
  <si>
    <t>PRODHIMI PER QELLIMET E VET NDERMARRJES DHE PER KAPITAL:</t>
  </si>
  <si>
    <t>Nga te cilat: Prodhim I aktiveve afatgjate</t>
  </si>
  <si>
    <t>TE ARDHURA NGA GRANTET (Subvencionet)</t>
  </si>
  <si>
    <t>TE TJERA</t>
  </si>
  <si>
    <t>TE ARDHURA NGA SHITJA E AKTIVEVE AFATGJATE</t>
  </si>
  <si>
    <t>TOTALI (1+2+3+4+5+6+7)</t>
  </si>
  <si>
    <t>Pasqyra nr.2</t>
  </si>
  <si>
    <t>S H P E N Z I M E T</t>
  </si>
  <si>
    <t>Blerje, shpenzime (a+b+c+d+e)</t>
  </si>
  <si>
    <t>Blerje/shpenzime materiale dhe materiale te tjera</t>
  </si>
  <si>
    <t>Ndryshimi i gjendjeve te Materialeve (+ -)</t>
  </si>
  <si>
    <t>Mallra te blera</t>
  </si>
  <si>
    <t>605/1</t>
  </si>
  <si>
    <t>d</t>
  </si>
  <si>
    <t>Ndryshimi i gjendjeve te Mallrave (+ -)</t>
  </si>
  <si>
    <t>e</t>
  </si>
  <si>
    <t>Shpenzime per sherbime</t>
  </si>
  <si>
    <t>605/2</t>
  </si>
  <si>
    <t>Shpenzime për personelin(a+b)</t>
  </si>
  <si>
    <t>Pagat</t>
  </si>
  <si>
    <t>Trajtime dhe shpërblime të tjera</t>
  </si>
  <si>
    <t>Amortizime dhe zhvlersime</t>
  </si>
  <si>
    <t>Sherbime nga te trete(a+b+c+d+e+f+g+h+i+j+k+l+m)</t>
  </si>
  <si>
    <t>Sherbime nga nen-kontraktoret</t>
  </si>
  <si>
    <t>Trajtime te pergjitheshme</t>
  </si>
  <si>
    <t>Mirmbajtje dhe riparime</t>
  </si>
  <si>
    <t>Shpenzime per siguracione</t>
  </si>
  <si>
    <t>f</t>
  </si>
  <si>
    <t>Kerkim studime</t>
  </si>
  <si>
    <t>g</t>
  </si>
  <si>
    <t>Sherbime te tjera</t>
  </si>
  <si>
    <t>h</t>
  </si>
  <si>
    <t>Shpenzime per koncensione,patenta dhe licenca</t>
  </si>
  <si>
    <t>i</t>
  </si>
  <si>
    <t>Shpenzime per reklame e publicitet</t>
  </si>
  <si>
    <t>j</t>
  </si>
  <si>
    <t>Transferime,udhetime,dieta.</t>
  </si>
  <si>
    <t>k</t>
  </si>
  <si>
    <t>Shpenzime postare e telekominikacion</t>
  </si>
  <si>
    <t>l</t>
  </si>
  <si>
    <t>Shpenzime transporti</t>
  </si>
  <si>
    <t>per Blerje</t>
  </si>
  <si>
    <t>per Shitje</t>
  </si>
  <si>
    <t>m</t>
  </si>
  <si>
    <t>Shpenzime per sherbime bankare</t>
  </si>
  <si>
    <t>Tatime dhe Taksa  (a+b+c+d)</t>
  </si>
  <si>
    <t>Taksa e tarifa doganore</t>
  </si>
  <si>
    <t>Akciza</t>
  </si>
  <si>
    <t>Taksa e Tarifa vendore</t>
  </si>
  <si>
    <t>Taksa e regjistrimit dhe tatime te tjera</t>
  </si>
  <si>
    <t>TOTALI I SHPENZIMEVE (1+2+3+4+5)</t>
  </si>
  <si>
    <t>Informate:</t>
  </si>
  <si>
    <t>Numeri mesatar I te punesuarve</t>
  </si>
  <si>
    <t>Investimet</t>
  </si>
  <si>
    <t>Shtim I aseteve fikse</t>
  </si>
  <si>
    <t>nga te cilet; Asete te reja</t>
  </si>
  <si>
    <t>Pakesimi i aseteve fikse</t>
  </si>
  <si>
    <t>nga te cilet; Shitje e aseteve ekzistuese</t>
  </si>
  <si>
    <t>Pasqyra nr  3</t>
  </si>
  <si>
    <t>Aktiviteti</t>
  </si>
  <si>
    <t>Te ardhura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</si>
  <si>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</si>
  <si>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</si>
  <si>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</si>
  <si>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</si>
  <si>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</si>
  <si>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</si>
  <si>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</si>
  <si>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</si>
  <si>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</si>
  <si>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tregtia</t>
  </si>
  <si>
    <t>Ndertim</t>
  </si>
  <si>
    <t>Ndertim banese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</si>
  <si>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</si>
  <si>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</si>
  <si>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</si>
  <si>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</si>
  <si>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</si>
  <si>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</si>
  <si>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</si>
  <si>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>Prodhim ushqimore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</si>
  <si>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</si>
  <si>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</si>
  <si>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</si>
  <si>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</si>
  <si>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</si>
  <si>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</si>
  <si>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</si>
  <si>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</si>
  <si>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</si>
  <si>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</si>
  <si>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</si>
  <si>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</si>
  <si>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>Sherbimi</t>
  </si>
  <si>
    <t>Sherbime financiare</t>
  </si>
  <si>
    <t>Siguracione</t>
  </si>
  <si>
    <t>Sherbime mjekesore</t>
  </si>
  <si>
    <t>Bar restorante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</si>
  <si>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</si>
  <si>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</si>
  <si>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</si>
  <si>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</si>
  <si>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</si>
  <si>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</si>
  <si>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Totali i te ardhurave nga sherbimet</t>
  </si>
  <si>
    <t>Numeri i te punesuarve</t>
  </si>
  <si>
    <t>Me page deri ne 19.000 leke</t>
  </si>
  <si>
    <t>Me page nga 19.001 deri ne 30.000 leke</t>
  </si>
  <si>
    <t>Me page nga 30.001 deri ne 66.500 leke</t>
  </si>
  <si>
    <t>Me page nga 66.501 deri ne 84.100 leke</t>
  </si>
  <si>
    <t>Me page me te larte se 84.100 leke</t>
  </si>
  <si>
    <r>
      <t xml:space="preserve">             </t>
    </r>
    <r>
      <rPr>
        <sz val="8.5"/>
        <color indexed="8"/>
        <rFont val="Arial BoldMT"/>
        <family val="0"/>
      </rPr>
      <t>Totali</t>
    </r>
  </si>
  <si>
    <t>L2</t>
  </si>
  <si>
    <t xml:space="preserve">TOTALI  I HUASE  </t>
  </si>
  <si>
    <t>1)NIPT  K36823207C</t>
  </si>
  <si>
    <t xml:space="preserve">2)Emri i tatimpag AMETI </t>
  </si>
  <si>
    <t>rrethi VLORE</t>
  </si>
  <si>
    <t>Formulari numer E-SIG 027/a    Pasqyra e te punesuarve rishtazi dhe te larguarve nga puna Nr……date ……..</t>
  </si>
  <si>
    <t>2) Statuti I tatim Pagusit  SHPK</t>
  </si>
  <si>
    <t>Veprimta kryesore  Ndertim</t>
  </si>
  <si>
    <t>Vemprimtaria e deges/njesia</t>
  </si>
  <si>
    <t>3)Periudha tat Viti2011 Muaj  JANAR</t>
  </si>
  <si>
    <t xml:space="preserve">Numeri i </t>
  </si>
  <si>
    <t>Sigurimit</t>
  </si>
  <si>
    <t>15)kontr</t>
  </si>
  <si>
    <t>per sigurime</t>
  </si>
  <si>
    <t>Personat qe do te fillojne pune per here te pare te subjekti,apo  do te fillojne pune rishtazi.</t>
  </si>
  <si>
    <t>Personat e larguar nga puna</t>
  </si>
  <si>
    <t>Shoqeror</t>
  </si>
  <si>
    <t>13)Punedhene</t>
  </si>
  <si>
    <t>14)Punem</t>
  </si>
  <si>
    <t>shtese</t>
  </si>
  <si>
    <t>shend gjith</t>
  </si>
  <si>
    <t>qe llog tat</t>
  </si>
  <si>
    <t>Emri e Mbiemri</t>
  </si>
  <si>
    <t>Nr i kategorise te te punesuarve per kontribute</t>
  </si>
  <si>
    <t>Veprimtaria dhe rrethi ku do te punoje</t>
  </si>
  <si>
    <t>Detyra,funksioni, apo profesioni qe do kryeje</t>
  </si>
  <si>
    <t>Data e fillimit te punes</t>
  </si>
  <si>
    <t>Data e largimit nga puna</t>
  </si>
  <si>
    <t>6) Lidhur me sa me siper,DEKLAROJ qe :</t>
  </si>
  <si>
    <t>a)Pasqyra eshte nisur per ne DRT, me poste rekomande ne daten________</t>
  </si>
  <si>
    <t>Duke filluar nga data________numri total i punonjesve qe</t>
  </si>
  <si>
    <t>b)Pasqyra me __faqe ne Protokollin e Drejtorise Rajonale Tatimore me Nr__,date___</t>
  </si>
  <si>
    <t xml:space="preserve">punojne ne kete subjekt dhe paguajne kontribute ,perfshire dhe </t>
  </si>
  <si>
    <t xml:space="preserve">Punonjesi i Protokollit I Drejtorise Rajonale Tatimore </t>
  </si>
  <si>
    <t>Shuma e FAQES</t>
  </si>
  <si>
    <t>te dhenat e kesaj pasqyre eshte______persona.</t>
  </si>
  <si>
    <t>(_______________________) Emer,mbiemer,firme ne cdo faqe</t>
  </si>
  <si>
    <t>SHUMA E MBARTUR</t>
  </si>
  <si>
    <t>Perfaqsuesi i Personit Juridik/Personi Fizik</t>
  </si>
  <si>
    <t>VERTETOJ SE:</t>
  </si>
  <si>
    <t>TOTALI I LISTEPAGESES</t>
  </si>
  <si>
    <t>(______________________) emer ,mbiemer, firme</t>
  </si>
  <si>
    <t>c) Pasqyra me __faqe,ka ____ te punesuar gjate muajit dhe ___ larguar nga puna Gjate muajit.</t>
  </si>
  <si>
    <t>personi juridik edhe vule ne cdo faqe</t>
  </si>
  <si>
    <t xml:space="preserve">INSPEKTORI I DREJTORISE RAJONALE TATIMORE marres ne dorezim </t>
  </si>
  <si>
    <t xml:space="preserve">                  DEKLAROJ SE :</t>
  </si>
  <si>
    <t>a) Listepagesa me gjithsej__faqe u dorezua me Protokollin e ZSHT. Me Nr______.dt____.</t>
  </si>
  <si>
    <t>Punonjesi i Protokollit i Zyres Sherbimit Tatimpagusve te Rrethit__________</t>
  </si>
  <si>
    <t xml:space="preserve">                        (  ____________________________ ) Emri,mbiemri firma ne faqen e pare</t>
  </si>
  <si>
    <t>b)Listpagesa me gjithesej_______faqe, u dorezua ne Protokollin e DRT. Me Nr.___.date____</t>
  </si>
  <si>
    <t xml:space="preserve"> Punonjesi i Protokollit Drejtorise Rajonale Tatimore</t>
  </si>
  <si>
    <t>Perfaqesuesi i Personit Juridik/Fizik</t>
  </si>
  <si>
    <t xml:space="preserve">                     (  ____________________________ ) Emri,mbiemri firma ne faqen e pare</t>
  </si>
  <si>
    <t>Vertetoj se:</t>
  </si>
  <si>
    <t>personi juridik edhe vule.</t>
  </si>
  <si>
    <t>c)Listpagesa mbyllen ne fund me nr.rendor____dhe ka gjithsej____faqe</t>
  </si>
  <si>
    <t>Inspektori i perpunimit i Drejtoris Rajonale Tatimore</t>
  </si>
  <si>
    <t xml:space="preserve">     (  ____________________________ ) Emri,mbiemri firma ne cdo faqe</t>
  </si>
  <si>
    <t>3)Periudha tat Viti2011 Muaj  SHKURT</t>
  </si>
  <si>
    <t>(Ferjat Mehillaj______________________) emer ,mbiemer, firme</t>
  </si>
  <si>
    <t>TABELA E RAKORDIMIT TE PAGAVE E SIGURIMEVE SHOQERORE</t>
  </si>
  <si>
    <t xml:space="preserve">        Paga bruto</t>
  </si>
  <si>
    <t xml:space="preserve">Nr  i te punesuarve </t>
  </si>
  <si>
    <t xml:space="preserve">11)Mbi te </t>
  </si>
  <si>
    <t>per</t>
  </si>
  <si>
    <t>Paga</t>
  </si>
  <si>
    <t xml:space="preserve">cilen llog  </t>
  </si>
  <si>
    <t>Gjithesej</t>
  </si>
  <si>
    <t>Punedhen</t>
  </si>
  <si>
    <t>Punemar</t>
  </si>
  <si>
    <t>sigurim</t>
  </si>
  <si>
    <t>ardhurat</t>
  </si>
  <si>
    <t>kontrib</t>
  </si>
  <si>
    <t>shendetesor</t>
  </si>
  <si>
    <t>SHKURTI</t>
  </si>
  <si>
    <t>Libri i Shitjeve</t>
  </si>
  <si>
    <t>Libri i Blerjeve</t>
  </si>
  <si>
    <t xml:space="preserve">Shoqeria </t>
  </si>
  <si>
    <t>Viti</t>
  </si>
  <si>
    <t>2011</t>
  </si>
  <si>
    <t xml:space="preserve">Pa veprimtari </t>
  </si>
  <si>
    <t>Fatura</t>
  </si>
  <si>
    <t>Bleresi</t>
  </si>
  <si>
    <t xml:space="preserve">Totali Shitjeve </t>
  </si>
  <si>
    <t>Shitjet e perjashtuara</t>
  </si>
  <si>
    <t>Eksporte /Furnizime me 0%</t>
  </si>
  <si>
    <t xml:space="preserve">Shitesi </t>
  </si>
  <si>
    <t>Totali Blerjeve (perfshire TVSH)</t>
  </si>
  <si>
    <t>Blerje</t>
  </si>
  <si>
    <t xml:space="preserve">Nr Fatures </t>
  </si>
  <si>
    <t>Numri Serial</t>
  </si>
  <si>
    <t>Data (dd/mm/yyyy)</t>
  </si>
  <si>
    <t>Emri tregtar / personi</t>
  </si>
  <si>
    <t xml:space="preserve">Rrethi </t>
  </si>
  <si>
    <t>NIPT       /Kodi Fermerit</t>
  </si>
  <si>
    <t>Te perjashtuara,me Tvsh jo te zbritshme dhe pa TVSH</t>
  </si>
  <si>
    <t>Nga Fermeret vendas</t>
  </si>
  <si>
    <t>Emri tregtar /personi</t>
  </si>
  <si>
    <t xml:space="preserve">Vlera e Tatueshme </t>
  </si>
  <si>
    <t xml:space="preserve">Tvsh </t>
  </si>
  <si>
    <t>Vlera e Tatueshme</t>
  </si>
  <si>
    <t>Tvsh</t>
  </si>
  <si>
    <t>n</t>
  </si>
  <si>
    <t>Shuma totale</t>
  </si>
  <si>
    <t>Kutia sipas Formularit te Deklarimit dhe Pageses se TVSH-se</t>
  </si>
  <si>
    <t>kutia (9)</t>
  </si>
  <si>
    <t>kutia (10)</t>
  </si>
  <si>
    <t>kutia (11)</t>
  </si>
  <si>
    <t>kutia (12)</t>
  </si>
  <si>
    <t>kutia (13)</t>
  </si>
  <si>
    <t>kutia (14)</t>
  </si>
  <si>
    <t>kutia (15)</t>
  </si>
  <si>
    <t>kutia (16)</t>
  </si>
  <si>
    <t>kutia (17)</t>
  </si>
  <si>
    <t>kutia (18)</t>
  </si>
  <si>
    <t>kutia (19)</t>
  </si>
  <si>
    <r>
      <t xml:space="preserve">Ploteso </t>
    </r>
    <r>
      <rPr>
        <b/>
        <sz val="12"/>
        <color indexed="8"/>
        <rFont val="Agency FB"/>
        <family val="2"/>
      </rPr>
      <t xml:space="preserve">PO </t>
    </r>
    <r>
      <rPr>
        <sz val="12"/>
        <color indexed="8"/>
        <rFont val="Agency FB"/>
        <family val="2"/>
      </rPr>
      <t xml:space="preserve">nese gjate muajit nuk eshte bere asnje transaksion. </t>
    </r>
  </si>
  <si>
    <t xml:space="preserve">Shitje me shkalle 20%              </t>
  </si>
  <si>
    <t xml:space="preserve">Shitje me shkalle 10%               </t>
  </si>
  <si>
    <t>Importe me shkalle 20%</t>
  </si>
  <si>
    <t>Importe me shkalle 10%</t>
  </si>
  <si>
    <t>Nga Furnitore Vendas me shkalle 20%</t>
  </si>
  <si>
    <t>Nga Furnitore Vendas me shkalle 10%</t>
  </si>
  <si>
    <t>g= (h+i+j+k+l+m)</t>
  </si>
  <si>
    <t>g=(h+i+j+k+l+m+n+o+p+q+r)</t>
  </si>
  <si>
    <t>o</t>
  </si>
  <si>
    <t>p</t>
  </si>
  <si>
    <t>q</t>
  </si>
  <si>
    <t>r</t>
  </si>
  <si>
    <t xml:space="preserve">Ne rastin kur ky liber do te printohet, per qellime te ruajtjes/ mbajtjes se dokumentacionit, cdo faqe e printuar duhet te kete ne krye permbajtjen / rreshtat nga 1 ne 12. </t>
  </si>
  <si>
    <t>kutia (20)</t>
  </si>
  <si>
    <t>kutia (21)</t>
  </si>
  <si>
    <t>kutia (22)</t>
  </si>
  <si>
    <t>kutia (23)</t>
  </si>
  <si>
    <t>kutia (24)</t>
  </si>
  <si>
    <t>kutia (25)</t>
  </si>
  <si>
    <t>Nr i rreshtave mund te shtohet ne perputhje me nr e transaksioneve</t>
  </si>
  <si>
    <t>Shpjegim:</t>
  </si>
  <si>
    <t xml:space="preserve">Pasqyra e llogaritjes se amortizimit te aktiveve per Vitin      </t>
  </si>
  <si>
    <t xml:space="preserve">TOKA  -   </t>
  </si>
  <si>
    <t xml:space="preserve">SHUMA  TOKE </t>
  </si>
  <si>
    <t>Vlere e mbetur per 01.01.2011</t>
  </si>
  <si>
    <t>L1</t>
  </si>
  <si>
    <t xml:space="preserve">OVERDRAFTE  AFATSHKURTERA </t>
  </si>
  <si>
    <t>CELJA   01.01.2011</t>
  </si>
  <si>
    <t xml:space="preserve">HYRJE  GJITHESEJ </t>
  </si>
  <si>
    <t xml:space="preserve">LIKUIDIME TE PRINCIPALIT </t>
  </si>
  <si>
    <t>MBETJE  31.12.2011</t>
  </si>
  <si>
    <t>C  3</t>
  </si>
  <si>
    <t xml:space="preserve">KAPITALI AKSIONER </t>
  </si>
  <si>
    <t>Pozicioni me 31 Dhjetor 2011</t>
  </si>
  <si>
    <t>8 - Rezerva te tjera</t>
  </si>
  <si>
    <t>GJENDJE ME 31.12.10</t>
  </si>
  <si>
    <t>HYRJE GJTHESEJ V 11</t>
  </si>
  <si>
    <t>DALJE GJITH V 11</t>
  </si>
  <si>
    <t>GJENDJE ME 31.12.11</t>
  </si>
  <si>
    <t>Detyrime 2010</t>
  </si>
  <si>
    <t>N D E R T E S A  3</t>
  </si>
  <si>
    <t xml:space="preserve">           D   A   L  J   E   T   </t>
  </si>
  <si>
    <t xml:space="preserve">  Mbetje ne fund te periudhes </t>
  </si>
  <si>
    <t xml:space="preserve"> Sasia </t>
  </si>
  <si>
    <t xml:space="preserve"> Cmimi </t>
  </si>
  <si>
    <t xml:space="preserve"> Vlera </t>
  </si>
  <si>
    <t xml:space="preserve"> Sasi </t>
  </si>
  <si>
    <t>date</t>
  </si>
  <si>
    <t xml:space="preserve"> Nr </t>
  </si>
  <si>
    <t xml:space="preserve"> Date </t>
  </si>
  <si>
    <t xml:space="preserve"> -   </t>
  </si>
  <si>
    <t xml:space="preserve">B L E R J E T </t>
  </si>
  <si>
    <t xml:space="preserve">Emertimi   i mallit </t>
  </si>
  <si>
    <t xml:space="preserve">Njesia e matjes </t>
  </si>
  <si>
    <t xml:space="preserve">Shoqeria  </t>
  </si>
  <si>
    <t xml:space="preserve">NIPTI    </t>
  </si>
  <si>
    <t xml:space="preserve">                         BILANCI MATERIAL PER PERIUDHEN 01 JANAR DERI 31 DHJETOR 2011</t>
  </si>
  <si>
    <t>FATURA</t>
  </si>
  <si>
    <t xml:space="preserve"> FATURA</t>
  </si>
  <si>
    <t>Referenca - Nr llogar</t>
  </si>
  <si>
    <t>Periudha Raportuse</t>
  </si>
  <si>
    <t xml:space="preserve">Periudha  paraardhese </t>
  </si>
  <si>
    <t>Shenime tab koresp</t>
  </si>
  <si>
    <t xml:space="preserve">KREDI AFATGJATA  ETJ </t>
  </si>
  <si>
    <t xml:space="preserve">    Standartet Kombetare te kontabilitetit zbatohen per vitin e  katert  ne  Shqiperi</t>
  </si>
  <si>
    <t xml:space="preserve">Administrator </t>
  </si>
  <si>
    <t xml:space="preserve"> Relatuar ne pozicionet e gjendjeve te 31,12,2010</t>
  </si>
  <si>
    <t xml:space="preserve">Te TJERA </t>
  </si>
  <si>
    <t xml:space="preserve">12.1  Te ardhura e shpenz financ nga invest te tjera e financ afat gjata </t>
  </si>
  <si>
    <t xml:space="preserve">12.2  Te ardhura e shpenzimet nga interesat </t>
  </si>
  <si>
    <t xml:space="preserve">12.3 Fitime  ( humbje ) nga kurset e e kembimit </t>
  </si>
  <si>
    <t>12.4  Te ardhura e shpenzime te tjera financiare</t>
  </si>
  <si>
    <t>Toke</t>
  </si>
  <si>
    <t>Dalje  Amort ( koresp daljeve Akt)</t>
  </si>
  <si>
    <t xml:space="preserve">Periudha  Raportuse </t>
  </si>
  <si>
    <t xml:space="preserve">Periudha Paraardhese </t>
  </si>
  <si>
    <t xml:space="preserve">Dalje  A A GJ materiale me V K M </t>
  </si>
  <si>
    <t xml:space="preserve">17.1  Te ardhura e shpenz financ nga invest te tjera e financ afat gjata </t>
  </si>
  <si>
    <t xml:space="preserve">17.2  Te ardhura e shpenzimet nga interesat </t>
  </si>
  <si>
    <t xml:space="preserve">17.3 Fitime  ( humbje ) nga kurset e e kembimit </t>
  </si>
  <si>
    <t>17.4  Te ardhura e shpenzime te tjera financiare</t>
  </si>
  <si>
    <t>Likujduar bIlanc11</t>
  </si>
  <si>
    <t xml:space="preserve">         Shuma e parapaguar per  blerje e sherbime </t>
  </si>
  <si>
    <t>Te tjera  shpenzime te panjohura  ( specifikuar   ne tab V  )</t>
  </si>
  <si>
    <t xml:space="preserve">Shpenzime te panjohura ( sipas  B - 14 ) + tjera - format </t>
  </si>
  <si>
    <t xml:space="preserve">pagesat e detyrimeve te qerase financiare - interesa </t>
  </si>
  <si>
    <t xml:space="preserve">Periudha   Paraardhese </t>
  </si>
  <si>
    <t xml:space="preserve">EURO </t>
  </si>
  <si>
    <t xml:space="preserve">U S D </t>
  </si>
  <si>
    <t>TJERA</t>
  </si>
  <si>
    <t xml:space="preserve">SINTETIKE  - Ne analize  shif  INVENTARET </t>
  </si>
  <si>
    <t xml:space="preserve">&gt;  Tvsh  e ndertimit </t>
  </si>
  <si>
    <t xml:space="preserve">MUAJI </t>
  </si>
  <si>
    <t xml:space="preserve"> NGA  KETO </t>
  </si>
  <si>
    <t xml:space="preserve">Ardhurat   Gjithesej ( sipas P ) </t>
  </si>
  <si>
    <t>Gjendje fillest</t>
  </si>
  <si>
    <t>Likuid paradh V 11</t>
  </si>
  <si>
    <t>Zhavor  bituminoz</t>
  </si>
  <si>
    <t>Bitum</t>
  </si>
  <si>
    <t>Inerte</t>
  </si>
  <si>
    <t xml:space="preserve">Mobilje </t>
  </si>
  <si>
    <t xml:space="preserve">Cati </t>
  </si>
  <si>
    <t xml:space="preserve"> ETJ  Etj</t>
  </si>
  <si>
    <t xml:space="preserve">SHUMA  </t>
  </si>
  <si>
    <t>Nga 01.01.2012</t>
  </si>
  <si>
    <t>Deri 31.12.2012</t>
  </si>
  <si>
    <t>10.03.2013</t>
  </si>
  <si>
    <t>tep e V 11</t>
  </si>
  <si>
    <t>Banesa Nr 1</t>
  </si>
  <si>
    <t>Banesa Nr 2</t>
  </si>
  <si>
    <t xml:space="preserve">&gt;  Inventare  e te  etj ,   te tjera </t>
  </si>
  <si>
    <t xml:space="preserve">&gt;  Te  tjera  e ne  proces </t>
  </si>
  <si>
    <t>Totali 31/12/2012</t>
  </si>
  <si>
    <t>Amortizim i akumuluar deri ne 31.12. 11</t>
  </si>
  <si>
    <t>Amortizim i llogaritur ne 31.12.2012</t>
  </si>
  <si>
    <t>Dalje amortizimi 31/12/2012</t>
  </si>
  <si>
    <t>Gjithsej amortizim  + dalje ne 31.12.2012</t>
  </si>
  <si>
    <t>Vlera e mbetur 31.12.2012</t>
  </si>
  <si>
    <t xml:space="preserve">Te Tjera e ne PROCES </t>
  </si>
  <si>
    <t>Te tjera  zyre</t>
  </si>
  <si>
    <t>L  2</t>
  </si>
  <si>
    <t>CELJA   01.01.2012</t>
  </si>
  <si>
    <t>Pozicioni me 31 Dhjetor 2012</t>
  </si>
  <si>
    <t>Pasq e # kap</t>
  </si>
  <si>
    <t>Ardh e shpenz</t>
  </si>
  <si>
    <t xml:space="preserve">P  </t>
  </si>
  <si>
    <t>Shitje   mallra e   materialesh</t>
  </si>
  <si>
    <t xml:space="preserve">Te  ardhura  te tjera </t>
  </si>
  <si>
    <t>NDERTIM  BANESE  Nr  1</t>
  </si>
  <si>
    <t>NDERTIM  BANESE  Nr 2</t>
  </si>
  <si>
    <t xml:space="preserve">Punime e sherbime per te trete </t>
  </si>
  <si>
    <t>Deklaruar V 11</t>
  </si>
  <si>
    <t>Deklaruar V 2012</t>
  </si>
  <si>
    <t>Deklaruar V 2013</t>
  </si>
  <si>
    <t>Deklaruar V 2014</t>
  </si>
  <si>
    <t>Deklaruar ndertim ne V 2012</t>
  </si>
  <si>
    <t>Shit V 11</t>
  </si>
  <si>
    <t>Mbet V 11</t>
  </si>
  <si>
    <t>Shit V2012</t>
  </si>
  <si>
    <t>Mb 2012</t>
  </si>
  <si>
    <t>Shit V 2013</t>
  </si>
  <si>
    <t>Siperf e perb=8%</t>
  </si>
  <si>
    <t>Siperf e perb&gt;8%</t>
  </si>
  <si>
    <t xml:space="preserve">Ballk  tipit  Llozhe </t>
  </si>
  <si>
    <t>Ambj sherb K II</t>
  </si>
  <si>
    <t>Shuma  AAGJM</t>
  </si>
  <si>
    <t xml:space="preserve">          Pasqyra e vleresimit te A A GJ M   per vitin 2012</t>
  </si>
  <si>
    <t>Ardhur nga V 2011</t>
  </si>
  <si>
    <t>VITI  2012</t>
  </si>
  <si>
    <t>KALUAR NE KOSTO PER VITIN 2012</t>
  </si>
  <si>
    <t>SHUMA E KALIMIT TE V 2012</t>
  </si>
  <si>
    <t>SHPENZIME PER TU SHPERNDARE NE V 2013</t>
  </si>
  <si>
    <t>Te  tjera</t>
  </si>
  <si>
    <t xml:space="preserve">Ardhur nga   S  -  V   apo bankat  etj </t>
  </si>
  <si>
    <t xml:space="preserve">                                                                          PASQYRA E RAKORDIMIT PER T V SH  PER  VITIN  2012</t>
  </si>
  <si>
    <t>TE  ARDHURAT NE ANALIZE   PER  VITIN  2012</t>
  </si>
  <si>
    <t xml:space="preserve">                           ETJ , PER VITIN USHTRIMOR 2012</t>
  </si>
  <si>
    <t>Aktivet Afatgjate Materiale me vlere fillestare  2012</t>
  </si>
  <si>
    <t>Gjendje 31/12/2012</t>
  </si>
  <si>
    <t>Amortizimi A.A.Materiale 2012</t>
  </si>
  <si>
    <t>Vlera Kontabl Neto  A.A.Materiale 2012</t>
  </si>
  <si>
    <t>Gjendje 1/1/2012</t>
  </si>
  <si>
    <t>Te punesuar mesatarisht per vitin 2012</t>
  </si>
  <si>
    <t xml:space="preserve">SHUMA  E GJENDJES TE INVENTARIT  ME V R N </t>
  </si>
  <si>
    <t>D 6</t>
  </si>
  <si>
    <t>D 1</t>
  </si>
  <si>
    <t>D 2</t>
  </si>
  <si>
    <t>D 3</t>
  </si>
  <si>
    <t>D 4</t>
  </si>
  <si>
    <t>D 5</t>
  </si>
  <si>
    <t>Kujdes . Nuk eshte mbledh det I V 11</t>
  </si>
  <si>
    <t xml:space="preserve">Humbje  te  mbartura </t>
  </si>
  <si>
    <t xml:space="preserve">Parapagimi  I arketimeve  te  ndertimit  etj  </t>
  </si>
  <si>
    <t>&gt; Mjete  trasporti</t>
  </si>
  <si>
    <t xml:space="preserve">&gt;  Paisje  zyre  etj  etj </t>
  </si>
  <si>
    <t xml:space="preserve">VERIFIKUESI  I  A A GJ M </t>
  </si>
  <si>
    <t xml:space="preserve">Te  tjera  e ne proces </t>
  </si>
  <si>
    <t>Makineri  -  paisje</t>
  </si>
  <si>
    <t>ARDHUR  NGA  BANKAT  ETJ</t>
  </si>
  <si>
    <t xml:space="preserve">ARDHUR  NGA  S </t>
  </si>
  <si>
    <t>KALUAR TE  E 2</t>
  </si>
  <si>
    <t xml:space="preserve">ARDHUR  NGA  PASQ E SHITJES TE NDERTIMIT </t>
  </si>
  <si>
    <t>TVSH  E NDERTIMIT</t>
  </si>
  <si>
    <t>4 %  I BASHKISE</t>
  </si>
  <si>
    <t>TOKA E PRONAREVE</t>
  </si>
  <si>
    <t xml:space="preserve">E U R O   -  LEKE </t>
  </si>
  <si>
    <t>Kursi I dates 31.12.2012</t>
  </si>
  <si>
    <t xml:space="preserve">     Pasqyrat financiare te vitit ushtrimor 01 Janar deri ne 31 Dhjetor 2012  jane detajuar ne baze</t>
  </si>
  <si>
    <t>Politikat kontabel te perdorura per vleresimin e te gjithe elementeve te pasqyrave per vitin 2012</t>
  </si>
  <si>
    <t>1- Mjetet Monetare  jane pasqyra me vleren e drejte . Llogarit bankare gjendje ne 31,12,2012  Gjithsej</t>
  </si>
  <si>
    <t>01.01.2012</t>
  </si>
  <si>
    <t>V 2012</t>
  </si>
  <si>
    <t>e V 12</t>
  </si>
  <si>
    <t>me 31.12.12</t>
  </si>
  <si>
    <t>Leke  gjendje 31.12.2012</t>
  </si>
  <si>
    <t>Mbetje 31.12.2012</t>
  </si>
  <si>
    <t xml:space="preserve"> 1- Lista e furnitoreve te vitit 31,12,2012</t>
  </si>
  <si>
    <t xml:space="preserve"> D 6</t>
  </si>
  <si>
    <t>Detyrime 2011</t>
  </si>
  <si>
    <t xml:space="preserve">TE  ARDHURA  TE NDERTIMIT </t>
  </si>
  <si>
    <t xml:space="preserve">P  A SH </t>
  </si>
  <si>
    <t>Viti ushtrimor 01,01,2012 deri me 31,12,2012</t>
  </si>
  <si>
    <t>Gjendja ne 31.12,2011</t>
  </si>
  <si>
    <t>Gjendje ne 31,12,2012</t>
  </si>
  <si>
    <t>Amorizimi  i mbartur  deri 01,01,2011</t>
  </si>
  <si>
    <t>Amortizimi  31,12,2012</t>
  </si>
  <si>
    <t xml:space="preserve">FJORTES </t>
  </si>
  <si>
    <t>J97426201K</t>
  </si>
  <si>
    <t>KUSHTRIMI  , VLORE</t>
  </si>
  <si>
    <t xml:space="preserve">TREGETI KARBURANTI </t>
  </si>
  <si>
    <t xml:space="preserve">SILVANA SADIRAJ </t>
  </si>
  <si>
    <t>SITUACION PUNIMESH</t>
  </si>
  <si>
    <t>NDERESA SHPENIZME TE TJERA</t>
  </si>
  <si>
    <t>2000</t>
  </si>
  <si>
    <t>PAISJE ZYRE</t>
  </si>
  <si>
    <t>KASA</t>
  </si>
  <si>
    <t>POMPA BETONI</t>
  </si>
  <si>
    <t>DEPOZITA KAR</t>
  </si>
  <si>
    <t>GJENERATOR</t>
  </si>
  <si>
    <t>RIKONSTR</t>
  </si>
  <si>
    <t>2006</t>
  </si>
  <si>
    <t>2010</t>
  </si>
  <si>
    <t xml:space="preserve">Te  ardhura  sherbim karburanti </t>
  </si>
  <si>
    <t xml:space="preserve">fatura sherbimi </t>
  </si>
  <si>
    <t>EMPORIKI</t>
  </si>
  <si>
    <t>AL24210260300000000000544577</t>
  </si>
  <si>
    <t>EURO</t>
  </si>
  <si>
    <t>BKT</t>
  </si>
  <si>
    <t>al7220526087165430clprclalla</t>
  </si>
  <si>
    <t>lek</t>
  </si>
  <si>
    <t>alfa</t>
  </si>
  <si>
    <t>al42902262580251230004303821</t>
  </si>
  <si>
    <t>Popullore</t>
  </si>
  <si>
    <t>al95213260170000000000024711</t>
  </si>
  <si>
    <t>Tirana</t>
  </si>
  <si>
    <t>raiffsaen</t>
  </si>
  <si>
    <t>al8220226000000000600000854</t>
  </si>
  <si>
    <t>veneto bank</t>
  </si>
  <si>
    <t>AL6820426035000000002327</t>
  </si>
  <si>
    <t>nbg</t>
  </si>
  <si>
    <t>intesa san paolo</t>
  </si>
  <si>
    <t>al9620826129000035981935301</t>
  </si>
  <si>
    <t>Celje e 31.12.2011</t>
  </si>
  <si>
    <t xml:space="preserve">Kase   etj </t>
  </si>
  <si>
    <t>Gazoil</t>
  </si>
  <si>
    <t>BENZIN</t>
  </si>
  <si>
    <t>LITRA</t>
  </si>
  <si>
    <t xml:space="preserve">SOLAR </t>
  </si>
  <si>
    <t>Europetrol</t>
  </si>
  <si>
    <t>bolv-oil</t>
  </si>
  <si>
    <t>Kast petrol</t>
  </si>
  <si>
    <t>COBEIN</t>
  </si>
  <si>
    <t>ARLINDO</t>
  </si>
  <si>
    <t>AES</t>
  </si>
  <si>
    <t xml:space="preserve">Detyrime 2011 - Celje </t>
  </si>
  <si>
    <t>Furnizime  v 2012</t>
  </si>
  <si>
    <t>Likujdime  V  2012</t>
  </si>
  <si>
    <t>Detyrim i mbetur 31.12.12</t>
  </si>
  <si>
    <t>FJORTES SHPK</t>
  </si>
  <si>
    <t>PARTNER BALLKANIK</t>
  </si>
  <si>
    <t>VLORE</t>
  </si>
  <si>
    <t>K43128613A</t>
  </si>
  <si>
    <t>VODAFONE</t>
  </si>
  <si>
    <t>TIRANE</t>
  </si>
  <si>
    <t>K11715005L</t>
  </si>
  <si>
    <t>MEVLAN TOZAJ</t>
  </si>
  <si>
    <t>K96404202A</t>
  </si>
  <si>
    <t>BOLV-OIL SHA</t>
  </si>
  <si>
    <t>PATOS</t>
  </si>
  <si>
    <t>K32528408H</t>
  </si>
  <si>
    <t>UNION BANK</t>
  </si>
  <si>
    <t>K51807801R</t>
  </si>
  <si>
    <t>SPITALI RAJONAL</t>
  </si>
  <si>
    <t>K56703226W</t>
  </si>
  <si>
    <t>18/01/2012</t>
  </si>
  <si>
    <t>KLIENTE TE TJERE</t>
  </si>
  <si>
    <t>22/01/2012</t>
  </si>
  <si>
    <t>24/01/2012</t>
  </si>
  <si>
    <t>EDEN SHPK</t>
  </si>
  <si>
    <t>BERAT</t>
  </si>
  <si>
    <t>K72721001R</t>
  </si>
  <si>
    <t>13/01/2012</t>
  </si>
  <si>
    <t>LICO SHPK</t>
  </si>
  <si>
    <t>J77207240T</t>
  </si>
  <si>
    <t xml:space="preserve">Emri Mbiemri </t>
  </si>
  <si>
    <t>16/01/2012</t>
  </si>
  <si>
    <t>SilvanaSadiraj</t>
  </si>
  <si>
    <t>PROKURORIA E RRETHIT GJYQESOR</t>
  </si>
  <si>
    <t>K56703238W</t>
  </si>
  <si>
    <t>17/01/2012</t>
  </si>
  <si>
    <t>HEKTOR SINAJ</t>
  </si>
  <si>
    <t>K66814201E</t>
  </si>
  <si>
    <t>BANKA POPULLORE</t>
  </si>
  <si>
    <t>K41424801U</t>
  </si>
  <si>
    <t>19/01/2012</t>
  </si>
  <si>
    <t>NBG</t>
  </si>
  <si>
    <t>J61911008C</t>
  </si>
  <si>
    <t>19/01/2011</t>
  </si>
  <si>
    <t>ARMEER KONSTRUKSION</t>
  </si>
  <si>
    <t>K96608205D</t>
  </si>
  <si>
    <t>20/01/2012</t>
  </si>
  <si>
    <t>ENY SHPK</t>
  </si>
  <si>
    <t>K66702207M</t>
  </si>
  <si>
    <t>BULLA SHPK</t>
  </si>
  <si>
    <t>L06401204P</t>
  </si>
  <si>
    <t>21/01/2012</t>
  </si>
  <si>
    <t>22/01/2011</t>
  </si>
  <si>
    <t>23/01/2012</t>
  </si>
  <si>
    <t>EUROPROFIL SHA</t>
  </si>
  <si>
    <t>K76308203E</t>
  </si>
  <si>
    <t>FAED SHPK</t>
  </si>
  <si>
    <t>K16523201M</t>
  </si>
  <si>
    <t>26/01/2012</t>
  </si>
  <si>
    <t>27/01/2012</t>
  </si>
  <si>
    <t>J62001011Q</t>
  </si>
  <si>
    <t>29/01/2012</t>
  </si>
  <si>
    <t>AZA ELEKTROSHTEPIAKE</t>
  </si>
  <si>
    <t>K17217201V</t>
  </si>
  <si>
    <t>31/01/2012</t>
  </si>
  <si>
    <t>ABCOM</t>
  </si>
  <si>
    <t>K11308001B</t>
  </si>
  <si>
    <t>JON-ALB-FLORA</t>
  </si>
  <si>
    <t>J67209280K</t>
  </si>
  <si>
    <t>ACREM SHPK</t>
  </si>
  <si>
    <t>K72208014O</t>
  </si>
  <si>
    <t>KESHILLI I QARKUT</t>
  </si>
  <si>
    <t>K56703216P</t>
  </si>
  <si>
    <t>MIRA SHEHU</t>
  </si>
  <si>
    <t>K77007201R</t>
  </si>
  <si>
    <t>SILVANA SADIRAJ</t>
  </si>
  <si>
    <t>FJORTES</t>
  </si>
  <si>
    <t>J96608205D</t>
  </si>
  <si>
    <t>30/01/2012</t>
  </si>
  <si>
    <t>CEZ SHPERNDARRJE</t>
  </si>
  <si>
    <t>K72410014H</t>
  </si>
  <si>
    <t>FIRMA KN</t>
  </si>
  <si>
    <t>J77207215P</t>
  </si>
  <si>
    <t>AMANTIA ANTIKA</t>
  </si>
  <si>
    <t>K77421201H</t>
  </si>
  <si>
    <t>GJKATA E RRETHIT GJYQESOR</t>
  </si>
  <si>
    <t>K56703266E</t>
  </si>
  <si>
    <t>13/02/2012</t>
  </si>
  <si>
    <t>20/02/2012</t>
  </si>
  <si>
    <t>29/02/2012</t>
  </si>
  <si>
    <t>HANXHARI SHPK</t>
  </si>
  <si>
    <t>J66915252J</t>
  </si>
  <si>
    <t>J77207240</t>
  </si>
  <si>
    <t xml:space="preserve">GJYKATA E APELIT </t>
  </si>
  <si>
    <t>K56703269F</t>
  </si>
  <si>
    <t>QENDRA RINORE</t>
  </si>
  <si>
    <t>K56711206C</t>
  </si>
  <si>
    <t>14/02/2012</t>
  </si>
  <si>
    <t>PIERILIA SHPK</t>
  </si>
  <si>
    <t>J66703248G</t>
  </si>
  <si>
    <t>15/02/2012</t>
  </si>
  <si>
    <t>16/02/2012</t>
  </si>
  <si>
    <t>17/02/2012</t>
  </si>
  <si>
    <t>NDERRMARRJA E RRUGEVE RURALE</t>
  </si>
  <si>
    <t>K56703244U</t>
  </si>
  <si>
    <t>21/02/2012</t>
  </si>
  <si>
    <t>PROKURORIA E APELIT</t>
  </si>
  <si>
    <t>K56703230E</t>
  </si>
  <si>
    <t>22/02/2012</t>
  </si>
  <si>
    <t>GALE SHPK</t>
  </si>
  <si>
    <t>K97302209V</t>
  </si>
  <si>
    <t>23/02/2012</t>
  </si>
  <si>
    <t>24/02/2012</t>
  </si>
  <si>
    <t>MIRELA GJONCA</t>
  </si>
  <si>
    <t>K57008201U</t>
  </si>
  <si>
    <t>25/02/2012</t>
  </si>
  <si>
    <t>26/02/2012</t>
  </si>
  <si>
    <t>27/02/2012</t>
  </si>
  <si>
    <t>DEGA E THESARIT</t>
  </si>
  <si>
    <t>K56703257F</t>
  </si>
  <si>
    <t>28/02/2012</t>
  </si>
  <si>
    <t>JON-ALB-FLORA GJELBERIMI</t>
  </si>
  <si>
    <t>SHKOLLA JOPUBLIKE HORIZONTI</t>
  </si>
  <si>
    <t>K36531307Q</t>
  </si>
  <si>
    <t>BOLVOIL SHA</t>
  </si>
  <si>
    <t>AED DISTRIBUTION</t>
  </si>
  <si>
    <t>K21915002R</t>
  </si>
  <si>
    <t>19/03/2012</t>
  </si>
  <si>
    <t>20/03/2012</t>
  </si>
  <si>
    <t>23/03/2012</t>
  </si>
  <si>
    <t>DHOMA E TREGETISE DHE INDUSTRISE</t>
  </si>
  <si>
    <t>K76730201N</t>
  </si>
  <si>
    <t>13/03/2012</t>
  </si>
  <si>
    <t>14/03/2012</t>
  </si>
  <si>
    <t>K56703220E</t>
  </si>
  <si>
    <t>15/03/2012</t>
  </si>
  <si>
    <t>16/03/2012</t>
  </si>
  <si>
    <t>AZA ELEKRTOSHTEPIAKE SHPK</t>
  </si>
  <si>
    <t>17/03/2012</t>
  </si>
  <si>
    <t>18/03/2012</t>
  </si>
  <si>
    <t>FLAMURTARI FOOTBALL CLUB SHA</t>
  </si>
  <si>
    <t>L17130203I</t>
  </si>
  <si>
    <t>21/03/2012</t>
  </si>
  <si>
    <t>22/03/2012</t>
  </si>
  <si>
    <t>24/03/2012</t>
  </si>
  <si>
    <t>QENDRA AULONA</t>
  </si>
  <si>
    <t>K66802206H</t>
  </si>
  <si>
    <t>ANY SHPK</t>
  </si>
  <si>
    <t>25/03/2012</t>
  </si>
  <si>
    <t>YLLI HYSAJ</t>
  </si>
  <si>
    <t>K96402203U</t>
  </si>
  <si>
    <t>26/03/2012</t>
  </si>
  <si>
    <t>ALBSIGURACION</t>
  </si>
  <si>
    <t>K42108801C</t>
  </si>
  <si>
    <t>27/03/2012</t>
  </si>
  <si>
    <t>28/03/2012</t>
  </si>
  <si>
    <t>29/03/2012</t>
  </si>
  <si>
    <t>30/03/2012</t>
  </si>
  <si>
    <t>31/03/2012</t>
  </si>
  <si>
    <t xml:space="preserve">Emri           Mbiemri </t>
  </si>
  <si>
    <t>PORTI DETAR</t>
  </si>
  <si>
    <t>J66703258N</t>
  </si>
  <si>
    <t>BYLYBASH ZYBERAJ</t>
  </si>
  <si>
    <t>K66510202G</t>
  </si>
  <si>
    <t xml:space="preserve">CEZSHPERNDARJE </t>
  </si>
  <si>
    <t>A&amp;E AUDITING</t>
  </si>
  <si>
    <t>L16509203F</t>
  </si>
  <si>
    <t>13/04/2012</t>
  </si>
  <si>
    <t>17/04/2012</t>
  </si>
  <si>
    <t xml:space="preserve">KESHILLI I QARKUT </t>
  </si>
  <si>
    <t>23/04/2012</t>
  </si>
  <si>
    <t>DURRES</t>
  </si>
  <si>
    <t>24/04/2012</t>
  </si>
  <si>
    <t>J7727240T</t>
  </si>
  <si>
    <t>CEKA SHPK</t>
  </si>
  <si>
    <t>K76616202R</t>
  </si>
  <si>
    <t>K56603244U</t>
  </si>
  <si>
    <t>15/04/2012</t>
  </si>
  <si>
    <t>MATIA SHPK</t>
  </si>
  <si>
    <t>K66601202K</t>
  </si>
  <si>
    <t>Silvana Sadiraj</t>
  </si>
  <si>
    <t>16/04/2012</t>
  </si>
  <si>
    <t>18/04/2012</t>
  </si>
  <si>
    <t>19/04/2012</t>
  </si>
  <si>
    <t>20/04/2012</t>
  </si>
  <si>
    <t>ANULLUAR</t>
  </si>
  <si>
    <t>21/04/2012</t>
  </si>
  <si>
    <t>UNION BANK SHA</t>
  </si>
  <si>
    <t>22/04/2012</t>
  </si>
  <si>
    <t>25/04/2012</t>
  </si>
  <si>
    <t>26/04/2012</t>
  </si>
  <si>
    <t>KOLONAT</t>
  </si>
  <si>
    <t>L17302202E</t>
  </si>
  <si>
    <t xml:space="preserve">MIRELA GJONCA </t>
  </si>
  <si>
    <t>27/04/2012</t>
  </si>
  <si>
    <t>28/04/2012</t>
  </si>
  <si>
    <t>29/04/2012</t>
  </si>
  <si>
    <t xml:space="preserve">BKT </t>
  </si>
  <si>
    <t>30/04/2012</t>
  </si>
  <si>
    <t>TIRENE</t>
  </si>
  <si>
    <t>FATURA SHERBIMI</t>
  </si>
  <si>
    <t xml:space="preserve">SHKURT </t>
  </si>
  <si>
    <t xml:space="preserve">PRILL </t>
  </si>
  <si>
    <t>1)NIPT- J 97426201 K</t>
  </si>
  <si>
    <t>2)Emri i tatimpag…  FJORTES</t>
  </si>
  <si>
    <t xml:space="preserve">3)Periudha tat Viti2012 Muaji  JANAR </t>
  </si>
  <si>
    <t>Vemprimta kryesore  Tregeti</t>
  </si>
  <si>
    <t>Dety , Fuksio, Profe apo Puna qe ka kryer</t>
  </si>
  <si>
    <t>7)nr kat</t>
  </si>
  <si>
    <t>8)Dite kal</t>
  </si>
  <si>
    <t>9)Dite kal</t>
  </si>
  <si>
    <t>6)Emeri e mbiemri</t>
  </si>
  <si>
    <t>te punem</t>
  </si>
  <si>
    <t>pa punuar</t>
  </si>
  <si>
    <t>punuar te</t>
  </si>
  <si>
    <t>per sig shoq</t>
  </si>
  <si>
    <t>gjate muaj</t>
  </si>
  <si>
    <t>subj muaj</t>
  </si>
  <si>
    <t>cil llog kontrb</t>
  </si>
  <si>
    <t>12)Gjithesej</t>
  </si>
  <si>
    <t>ardhura</t>
  </si>
  <si>
    <t>G86217067W</t>
  </si>
  <si>
    <t>Administra</t>
  </si>
  <si>
    <t>F80315223J</t>
  </si>
  <si>
    <t>Dulo Sadiraj</t>
  </si>
  <si>
    <t>pun.kual</t>
  </si>
  <si>
    <t>Kristaq Spiro Gjoni</t>
  </si>
  <si>
    <t>Punetor</t>
  </si>
  <si>
    <t>Sokol Sadiraj</t>
  </si>
  <si>
    <t>Alfred Veiz  BLETA</t>
  </si>
  <si>
    <t>ETEM MUCAJ</t>
  </si>
  <si>
    <t>LIKO LLANAJ</t>
  </si>
  <si>
    <t>SHKELQIM MINGAJ</t>
  </si>
  <si>
    <t>19) Listepagesa ka gjithesej ____5_____ Punonjes qe paguajne kontribute;</t>
  </si>
  <si>
    <t>nga keta__3____ punonjes , qe paguajne kontribute ne nivelin e pages minimale</t>
  </si>
  <si>
    <t>dhe __5__punonjes, qe paguajne tatim mbi te ardhurat nga punesimi ( TAP)</t>
  </si>
  <si>
    <t>(SILVANA  SADIRAJ) emer,mbiemer firme ne cdo faqe,</t>
  </si>
  <si>
    <t>3)Periudha tat Viti2012 Muaji  SHKURT</t>
  </si>
  <si>
    <t>3)Periudha tat Viti2012 Muaji  MARS</t>
  </si>
  <si>
    <t>3)Periudha tat Viti2012 Muaji PRILL</t>
  </si>
  <si>
    <t xml:space="preserve">AEDISTRUBUTOR </t>
  </si>
  <si>
    <t>CEZ SHPENDARJE</t>
  </si>
  <si>
    <t>AMANTIA ANTICA</t>
  </si>
  <si>
    <t>AZA ELEKTRONIK</t>
  </si>
  <si>
    <t>ACREM</t>
  </si>
  <si>
    <t>DHOMA E TREGETSIE</t>
  </si>
  <si>
    <t>BOLV-OIL</t>
  </si>
  <si>
    <t>BULLA</t>
  </si>
  <si>
    <t>CEKA</t>
  </si>
  <si>
    <t>ENY</t>
  </si>
  <si>
    <t>EURO-PRFIL</t>
  </si>
  <si>
    <t>FAED</t>
  </si>
  <si>
    <t>HANXHARI</t>
  </si>
  <si>
    <t>K&amp;N</t>
  </si>
  <si>
    <t>EDEN</t>
  </si>
  <si>
    <t>FUTBOLL CLUB FLAMURTARI</t>
  </si>
  <si>
    <t>GJYKATA E APELIT</t>
  </si>
  <si>
    <t>GALE</t>
  </si>
  <si>
    <t>GJYKATA E RRETHIT</t>
  </si>
  <si>
    <t>JON ALBA FLORES</t>
  </si>
  <si>
    <t>LICO</t>
  </si>
  <si>
    <t>MATIA</t>
  </si>
  <si>
    <t>MIRELA GJONCE</t>
  </si>
  <si>
    <t>NDERMARJA E RRUGA URA</t>
  </si>
  <si>
    <t>PARTNER BALLKAN</t>
  </si>
  <si>
    <t>SHA PORTI DETAR</t>
  </si>
  <si>
    <t>PIERILIA</t>
  </si>
  <si>
    <t>PROKURORIA E RRETHIT</t>
  </si>
  <si>
    <t>YLLI NUSHAJ</t>
  </si>
  <si>
    <t>ARMEER KONSTR</t>
  </si>
  <si>
    <t>ENERGJIA</t>
  </si>
  <si>
    <t>TELEFONI</t>
  </si>
  <si>
    <t>BENZINE</t>
  </si>
  <si>
    <t>REZUARV METALIK</t>
  </si>
  <si>
    <t>REZERVUAR</t>
  </si>
  <si>
    <t>NAFTE</t>
  </si>
  <si>
    <t>MATERIALE</t>
  </si>
  <si>
    <t>SITUACION</t>
  </si>
  <si>
    <t>NDERTESA</t>
  </si>
  <si>
    <t>IMPIANT GAZI</t>
  </si>
  <si>
    <t>751/S</t>
  </si>
  <si>
    <t>TULLLA</t>
  </si>
  <si>
    <t xml:space="preserve">GUSHT </t>
  </si>
  <si>
    <t>BLERJE NAFTE</t>
  </si>
  <si>
    <t xml:space="preserve">FIRMA KN </t>
  </si>
  <si>
    <t>01323073</t>
  </si>
  <si>
    <t>01323074</t>
  </si>
  <si>
    <t xml:space="preserve">BANKA POPULLORE </t>
  </si>
  <si>
    <t>01323075</t>
  </si>
  <si>
    <t>01323076</t>
  </si>
  <si>
    <t>KLIENTE TE NDRYSHEM</t>
  </si>
  <si>
    <t>SKA</t>
  </si>
  <si>
    <t>01323077</t>
  </si>
  <si>
    <t>01323078</t>
  </si>
  <si>
    <t>01323079</t>
  </si>
  <si>
    <t>01323080</t>
  </si>
  <si>
    <t>01323081</t>
  </si>
  <si>
    <t>01323082</t>
  </si>
  <si>
    <t>Ndermarrja e rrugeve rurale</t>
  </si>
  <si>
    <t>01323083</t>
  </si>
  <si>
    <t>01323084</t>
  </si>
  <si>
    <t>01323085</t>
  </si>
  <si>
    <t>01323086</t>
  </si>
  <si>
    <t>01323087</t>
  </si>
  <si>
    <t>01323088</t>
  </si>
  <si>
    <t>Sigal Uniqa Group Austria</t>
  </si>
  <si>
    <t>J91809007H</t>
  </si>
  <si>
    <t xml:space="preserve">Prokuroria e Rrethit Gjyqesor </t>
  </si>
  <si>
    <t xml:space="preserve">QENDRA RINORE </t>
  </si>
  <si>
    <t>01323089</t>
  </si>
  <si>
    <t>01323090</t>
  </si>
  <si>
    <t>01323091</t>
  </si>
  <si>
    <t>01323092</t>
  </si>
  <si>
    <t>01323093</t>
  </si>
  <si>
    <t>01323094</t>
  </si>
  <si>
    <t>01323095</t>
  </si>
  <si>
    <t>01323096</t>
  </si>
  <si>
    <t>01323097</t>
  </si>
  <si>
    <t>01323098</t>
  </si>
  <si>
    <t>01323099</t>
  </si>
  <si>
    <t>01323100</t>
  </si>
  <si>
    <t xml:space="preserve">Prokuroria e Apelit  </t>
  </si>
  <si>
    <t xml:space="preserve">AZA ELEKTROSHTEPIAKE </t>
  </si>
  <si>
    <t>02100501</t>
  </si>
  <si>
    <t>02100502</t>
  </si>
  <si>
    <t>02100503</t>
  </si>
  <si>
    <t>02100504</t>
  </si>
  <si>
    <t>02100505</t>
  </si>
  <si>
    <t>02100506</t>
  </si>
  <si>
    <t>02100507</t>
  </si>
  <si>
    <t>02100508</t>
  </si>
  <si>
    <t>02100509</t>
  </si>
  <si>
    <t>02100510</t>
  </si>
  <si>
    <t>02100511</t>
  </si>
  <si>
    <t>02100512</t>
  </si>
  <si>
    <t>02100513</t>
  </si>
  <si>
    <t>02100514</t>
  </si>
  <si>
    <t>02100515</t>
  </si>
  <si>
    <t xml:space="preserve">DHOMA E TREGETISE </t>
  </si>
  <si>
    <t>TOD TRADING SHA</t>
  </si>
  <si>
    <t>K82005016K</t>
  </si>
  <si>
    <t>Gjykata e rrethit gjyqesor</t>
  </si>
  <si>
    <t>02100516</t>
  </si>
  <si>
    <t>02100517</t>
  </si>
  <si>
    <t xml:space="preserve">CEZ SHPERNDARJE SHA </t>
  </si>
  <si>
    <t>00455285</t>
  </si>
  <si>
    <t>42543637</t>
  </si>
  <si>
    <t>PEK OIL</t>
  </si>
  <si>
    <t>K91329010V</t>
  </si>
  <si>
    <t>02792002</t>
  </si>
  <si>
    <t>00455297</t>
  </si>
  <si>
    <t>02792012</t>
  </si>
  <si>
    <t>02792936</t>
  </si>
  <si>
    <t>L16306201O</t>
  </si>
  <si>
    <t>ALBSIG</t>
  </si>
  <si>
    <t>FLAMURTARI FOOTBALL CLUB</t>
  </si>
  <si>
    <t>K42128613A</t>
  </si>
  <si>
    <t>NDERRMARJA E RRUGEVE RURALE</t>
  </si>
  <si>
    <t>QENDRA ALULONA</t>
  </si>
  <si>
    <t>COBEIN KONSTRUKSION</t>
  </si>
  <si>
    <t>FIER</t>
  </si>
  <si>
    <t>13/06/2012</t>
  </si>
  <si>
    <t>TOT TRADING SHA</t>
  </si>
  <si>
    <t>14/06/2012</t>
  </si>
  <si>
    <t>15/06/2012</t>
  </si>
  <si>
    <t>ZYRA E PUNES</t>
  </si>
  <si>
    <t>K56703243M</t>
  </si>
  <si>
    <t>16/06/2012</t>
  </si>
  <si>
    <t>18/06/2012</t>
  </si>
  <si>
    <t>J66915252I</t>
  </si>
  <si>
    <t>19/06/2012</t>
  </si>
  <si>
    <t>20/06/2012</t>
  </si>
  <si>
    <t>21/06/2012</t>
  </si>
  <si>
    <t>22/06/2012</t>
  </si>
  <si>
    <t>24/06/2012</t>
  </si>
  <si>
    <t>25/06/2012</t>
  </si>
  <si>
    <t>J66703258M</t>
  </si>
  <si>
    <t>26/06/2012</t>
  </si>
  <si>
    <t>GJYKATA E RRETHIT GJYQESOR</t>
  </si>
  <si>
    <t>27/06/2012</t>
  </si>
  <si>
    <t>28/06/2012</t>
  </si>
  <si>
    <t>ELIT SHPK</t>
  </si>
  <si>
    <t>K7707201R</t>
  </si>
  <si>
    <t>29/06/2012</t>
  </si>
  <si>
    <t>30/06/2012</t>
  </si>
  <si>
    <t>30/05/2012</t>
  </si>
  <si>
    <t xml:space="preserve">BOLV OIL SHA </t>
  </si>
  <si>
    <t>SALI ELEKTRIK SHPK</t>
  </si>
  <si>
    <t>K72217008P</t>
  </si>
  <si>
    <t>28/05/2012</t>
  </si>
  <si>
    <t>COBEIN CONTRUKSION</t>
  </si>
  <si>
    <t>TOT TRADING SHA PETROLIFERA</t>
  </si>
  <si>
    <t>LEATHER INDUSTRI</t>
  </si>
  <si>
    <t>L16611204D</t>
  </si>
  <si>
    <t>J6615252I</t>
  </si>
  <si>
    <t xml:space="preserve">BANKA KOMBETARE E GREQISE </t>
  </si>
  <si>
    <t>NDERRMARJA  E RUGEVE RURALE</t>
  </si>
  <si>
    <t>BOLV OIL SHA</t>
  </si>
  <si>
    <t>ALIAJ SHPK</t>
  </si>
  <si>
    <t>K76722201T</t>
  </si>
  <si>
    <t xml:space="preserve">LALO SHPK </t>
  </si>
  <si>
    <t>Q77411233J</t>
  </si>
  <si>
    <t>SEJDIRAJ SHP</t>
  </si>
  <si>
    <t>K56709210U</t>
  </si>
  <si>
    <t>HORIZONTI</t>
  </si>
  <si>
    <t>LONIDHA SHKURTI</t>
  </si>
  <si>
    <t>K86331208R</t>
  </si>
  <si>
    <t>KN SHPK</t>
  </si>
  <si>
    <t>LEATHER INDUSTI</t>
  </si>
  <si>
    <t>13/07/2012</t>
  </si>
  <si>
    <t>15/07/2012</t>
  </si>
  <si>
    <t>16/07/2012</t>
  </si>
  <si>
    <t>17/07/2012</t>
  </si>
  <si>
    <t>18/07/2012</t>
  </si>
  <si>
    <t>19/07/2012</t>
  </si>
  <si>
    <t>20/07/2012</t>
  </si>
  <si>
    <t>21/07/2012</t>
  </si>
  <si>
    <t>22/07/2012</t>
  </si>
  <si>
    <t>23/07/2012</t>
  </si>
  <si>
    <t>24/07/2012</t>
  </si>
  <si>
    <t>25/07/2012</t>
  </si>
  <si>
    <t>A-E-S SHPK</t>
  </si>
  <si>
    <t>K66520203S</t>
  </si>
  <si>
    <t>26/07/2012</t>
  </si>
  <si>
    <t xml:space="preserve">DHOMA E TREGTISE </t>
  </si>
  <si>
    <t>28/07/2012</t>
  </si>
  <si>
    <t>KEJ SHPK</t>
  </si>
  <si>
    <t>L06511202G</t>
  </si>
  <si>
    <t>31/07/2012</t>
  </si>
  <si>
    <t>JON ALB FLORA GJELBERIMI</t>
  </si>
  <si>
    <t>J672092801K</t>
  </si>
  <si>
    <t>CEZ.SHPERNDARJE</t>
  </si>
  <si>
    <t>VODAFONE.AL</t>
  </si>
  <si>
    <t>PEK OIL SHPK</t>
  </si>
  <si>
    <t>GABILI</t>
  </si>
  <si>
    <t>KRUJE</t>
  </si>
  <si>
    <t>K63931202C</t>
  </si>
  <si>
    <t>30/07/2012</t>
  </si>
  <si>
    <t>J97201218L</t>
  </si>
  <si>
    <t xml:space="preserve">FAED </t>
  </si>
  <si>
    <t>DREJTRIA RAJONALE E REZERVAVE MATERIALE TE SHTETIT</t>
  </si>
  <si>
    <t>J97426203D</t>
  </si>
  <si>
    <t>TOT TRADING PETROLIFERA</t>
  </si>
  <si>
    <t xml:space="preserve">ZYRA E PUNES </t>
  </si>
  <si>
    <t>13/08/2012</t>
  </si>
  <si>
    <t>14/08/2012</t>
  </si>
  <si>
    <t>15/08/2012</t>
  </si>
  <si>
    <t>FOOTBALL CLUB FLAMURTARI</t>
  </si>
  <si>
    <t>16/08/2012</t>
  </si>
  <si>
    <t>17/08/2012</t>
  </si>
  <si>
    <t>DEKA SHPK</t>
  </si>
  <si>
    <t>J61904032J</t>
  </si>
  <si>
    <t>18/08/2012</t>
  </si>
  <si>
    <t>19/08/2012</t>
  </si>
  <si>
    <t>20/08/2012</t>
  </si>
  <si>
    <t>21/08/2012</t>
  </si>
  <si>
    <t>22/08/2012</t>
  </si>
  <si>
    <t>23/08/2012</t>
  </si>
  <si>
    <t>24/08/2012</t>
  </si>
  <si>
    <t>25/08/2012</t>
  </si>
  <si>
    <t>TACI OIL SHA</t>
  </si>
  <si>
    <t>K31902009J</t>
  </si>
  <si>
    <t>26/08/2012</t>
  </si>
  <si>
    <t>27/08/2012</t>
  </si>
  <si>
    <t xml:space="preserve">SIGAL UNIQA GROUP </t>
  </si>
  <si>
    <t>28/08/2012</t>
  </si>
  <si>
    <t>29/08/2012</t>
  </si>
  <si>
    <t>30/08/2012</t>
  </si>
  <si>
    <t>31/08/2012</t>
  </si>
  <si>
    <t>14/07/2012</t>
  </si>
  <si>
    <t xml:space="preserve">         31/07/2012</t>
  </si>
  <si>
    <t xml:space="preserve">         20/08/2012</t>
  </si>
  <si>
    <t xml:space="preserve">            751/5</t>
  </si>
  <si>
    <t xml:space="preserve">        23/08/2012</t>
  </si>
  <si>
    <t xml:space="preserve">        25/08/2012</t>
  </si>
  <si>
    <t xml:space="preserve">        30/08/2012</t>
  </si>
  <si>
    <t>CANAJ KONSTRUKSION</t>
  </si>
  <si>
    <t>L07315202A</t>
  </si>
  <si>
    <t>GJIROKASTER</t>
  </si>
  <si>
    <t>NDERMARRJA E RRUGEVE RURALE</t>
  </si>
  <si>
    <t>AMNTIA ANTICA</t>
  </si>
  <si>
    <t>13/09/2012</t>
  </si>
  <si>
    <t>14/09/2012</t>
  </si>
  <si>
    <t>16/09/2012</t>
  </si>
  <si>
    <t>17/09/2012</t>
  </si>
  <si>
    <t>18/09/2012</t>
  </si>
  <si>
    <t>ALB-SALE VLORA</t>
  </si>
  <si>
    <t>K96914205T</t>
  </si>
  <si>
    <t>19/09/2012</t>
  </si>
  <si>
    <t>20/09/2012</t>
  </si>
  <si>
    <t>NGUCAJ SHPK</t>
  </si>
  <si>
    <t>K36410202A</t>
  </si>
  <si>
    <t>21/09/2012</t>
  </si>
  <si>
    <t>22/09/2012</t>
  </si>
  <si>
    <t>PARNER PALLKANIK</t>
  </si>
  <si>
    <t>24/09/2012</t>
  </si>
  <si>
    <t>AMANTI ANICA</t>
  </si>
  <si>
    <t>25/09/2012</t>
  </si>
  <si>
    <t>26/09/2012</t>
  </si>
  <si>
    <t>27/09/2012</t>
  </si>
  <si>
    <t>28/09/2012</t>
  </si>
  <si>
    <t xml:space="preserve">COBEIN KONSTRUKSION </t>
  </si>
  <si>
    <t>29/09/2012</t>
  </si>
  <si>
    <t>30/09/2012</t>
  </si>
  <si>
    <t>PA MBLEDHUR NE SISTEM NE MAJ 2012</t>
  </si>
  <si>
    <t>CO.BE.IN</t>
  </si>
  <si>
    <t>Vleresim Analitik i Shitjeve 2012</t>
  </si>
  <si>
    <t xml:space="preserve">Numer </t>
  </si>
  <si>
    <t>Klienti</t>
  </si>
  <si>
    <t>Malli</t>
  </si>
  <si>
    <t>Sasi</t>
  </si>
  <si>
    <t>Cmim</t>
  </si>
  <si>
    <t xml:space="preserve">Vlera pa </t>
  </si>
  <si>
    <t>Vlera</t>
  </si>
  <si>
    <t>Serial</t>
  </si>
  <si>
    <t xml:space="preserve"> tvsh</t>
  </si>
  <si>
    <t>Torale</t>
  </si>
  <si>
    <t>Janar</t>
  </si>
  <si>
    <t xml:space="preserve"> Permbledhesja e Vleresimit Analitik te Shitjeve 2011</t>
  </si>
  <si>
    <t>Diferenca</t>
  </si>
  <si>
    <t xml:space="preserve"> tvsh  FDP</t>
  </si>
  <si>
    <t>Totale</t>
  </si>
  <si>
    <t>NAFTE+BENZINE</t>
  </si>
  <si>
    <t>ASISTENCE</t>
  </si>
  <si>
    <t>PROF.CELIKU</t>
  </si>
  <si>
    <t>KONTROLL PERIODIK</t>
  </si>
  <si>
    <t>FURNIZIM LYERJE+PATINIM</t>
  </si>
  <si>
    <t>VERIFIK.DISTRUB</t>
  </si>
  <si>
    <t>038</t>
  </si>
  <si>
    <t>anulluar</t>
  </si>
  <si>
    <t>BASHA SHPK</t>
  </si>
  <si>
    <t>J62903453G</t>
  </si>
  <si>
    <t xml:space="preserve">KN </t>
  </si>
  <si>
    <t>TOT TRADING</t>
  </si>
  <si>
    <t>PROKURORIA E RRETHIT GJYQESOR VLORE</t>
  </si>
  <si>
    <t xml:space="preserve">GJYKATA E RRETHIT GJYQESOR </t>
  </si>
  <si>
    <t>K722080140</t>
  </si>
  <si>
    <t>NDERRMARJA ERRUGEVE RURALE</t>
  </si>
  <si>
    <t>FOOTBALL CLUB</t>
  </si>
  <si>
    <t>BANKA KOMBETARE E GREQISE</t>
  </si>
  <si>
    <t>14/10/2012</t>
  </si>
  <si>
    <t>15/10/2012</t>
  </si>
  <si>
    <t>16/10/2012</t>
  </si>
  <si>
    <t>18/10/2012</t>
  </si>
  <si>
    <t>19/10/2012</t>
  </si>
  <si>
    <t>21/10/2012</t>
  </si>
  <si>
    <t>DUKA SHPK</t>
  </si>
  <si>
    <t>J77411203S</t>
  </si>
  <si>
    <t>22/10/2012</t>
  </si>
  <si>
    <t>23/10/2012</t>
  </si>
  <si>
    <t>24/10/2012</t>
  </si>
  <si>
    <t>NEVADA SHPK</t>
  </si>
  <si>
    <t>L16408205N</t>
  </si>
  <si>
    <t>25/10/2012</t>
  </si>
  <si>
    <t>26/10/2012</t>
  </si>
  <si>
    <t>28/10/2012</t>
  </si>
  <si>
    <t>29/10/2012</t>
  </si>
  <si>
    <t>30/10/2012</t>
  </si>
  <si>
    <t>31/10/2012</t>
  </si>
  <si>
    <t>15/09/2012</t>
  </si>
  <si>
    <t>CEZ SHPERNDARJE SHA</t>
  </si>
  <si>
    <t>ALTIN SIMONI</t>
  </si>
  <si>
    <t>K86420207D</t>
  </si>
  <si>
    <t>17/10/2012</t>
  </si>
  <si>
    <t>A.E DISTRIBUTION</t>
  </si>
  <si>
    <t>20/10/2012</t>
  </si>
  <si>
    <t>COLOR * DESIGN</t>
  </si>
  <si>
    <t>L16402201U</t>
  </si>
  <si>
    <t>TROCI KONSTRUKSION</t>
  </si>
  <si>
    <t>K37011201K</t>
  </si>
  <si>
    <t xml:space="preserve">BANKA KOMBETARE E GREQISE NBG </t>
  </si>
  <si>
    <t xml:space="preserve">PROKURORIA E RRETHIT GJYQESOR </t>
  </si>
  <si>
    <t>KOLONAT SHPK</t>
  </si>
  <si>
    <t>PARTNER BALLKANIK SHPK</t>
  </si>
  <si>
    <t xml:space="preserve">DHOMA E TREGTISE DHE INDUSTRISE </t>
  </si>
  <si>
    <t>13/11/2012</t>
  </si>
  <si>
    <t>14/11/2012</t>
  </si>
  <si>
    <t>15/11/2012</t>
  </si>
  <si>
    <t>16/11/2012</t>
  </si>
  <si>
    <t>17/11/2012</t>
  </si>
  <si>
    <t>SHQIPERIA 2A SHPK</t>
  </si>
  <si>
    <t>K66516202N</t>
  </si>
  <si>
    <t>19/11/2012</t>
  </si>
  <si>
    <t>ORIK PESHK SHPK</t>
  </si>
  <si>
    <t>K06605212T</t>
  </si>
  <si>
    <t>20/11/2012</t>
  </si>
  <si>
    <t>IDNER 2008 SHPK</t>
  </si>
  <si>
    <t>J92227004L</t>
  </si>
  <si>
    <t>21/11/2012</t>
  </si>
  <si>
    <t>22/11/2012</t>
  </si>
  <si>
    <t>BKT PAVARESIA</t>
  </si>
  <si>
    <t>23/11/2012</t>
  </si>
  <si>
    <t>24/11/2012</t>
  </si>
  <si>
    <t>25/11/2012</t>
  </si>
  <si>
    <t>26/11/2012</t>
  </si>
  <si>
    <t>29/11/2012</t>
  </si>
  <si>
    <t>30/11/2012</t>
  </si>
  <si>
    <t xml:space="preserve">DPM </t>
  </si>
  <si>
    <t>K21406001S</t>
  </si>
  <si>
    <t>COBAJ-90 SHPK</t>
  </si>
  <si>
    <t>K86726207T</t>
  </si>
  <si>
    <t>FIRMA KN SHPK</t>
  </si>
  <si>
    <t>ANDI SHPK</t>
  </si>
  <si>
    <t>J66903237M</t>
  </si>
  <si>
    <t>DIS SHPK</t>
  </si>
  <si>
    <t>K16606201W</t>
  </si>
  <si>
    <t>13/12/2012</t>
  </si>
  <si>
    <t>14/12/2012</t>
  </si>
  <si>
    <t>15/12/2012</t>
  </si>
  <si>
    <t>16/12/2012</t>
  </si>
  <si>
    <t>17/12/2012</t>
  </si>
  <si>
    <t>18/12/2012</t>
  </si>
  <si>
    <t>19/12/2012</t>
  </si>
  <si>
    <t>20/12/2012</t>
  </si>
  <si>
    <t>PREFEKTURA E QARKUT VLORE</t>
  </si>
  <si>
    <t>K56703217A</t>
  </si>
  <si>
    <t>21/12/2012</t>
  </si>
  <si>
    <t>REZI COMMERCE 2007</t>
  </si>
  <si>
    <t>K77308204J</t>
  </si>
  <si>
    <t>22/12/2012</t>
  </si>
  <si>
    <t>23/12/2012</t>
  </si>
  <si>
    <t>K06605212I</t>
  </si>
  <si>
    <t>24/12/2012</t>
  </si>
  <si>
    <t>26/12/2012</t>
  </si>
  <si>
    <t>27/12/2012</t>
  </si>
  <si>
    <t>28/12/2012</t>
  </si>
  <si>
    <t>31/12/2012</t>
  </si>
  <si>
    <t>TROCI KONSTR</t>
  </si>
  <si>
    <t>30/12/2012</t>
  </si>
  <si>
    <t>COBEIN SHPK</t>
  </si>
  <si>
    <t xml:space="preserve">3)Periudha tat Viti2012 Muaji MAJ </t>
  </si>
  <si>
    <t>3)Periudha tat Viti2012 Muaji QERSHOR</t>
  </si>
  <si>
    <t xml:space="preserve">3)Periudha tat Viti2012 Muaji KORRIK </t>
  </si>
  <si>
    <t xml:space="preserve">3)Periudha tat Viti2012 Muaji GUSHT  </t>
  </si>
  <si>
    <t xml:space="preserve">3)Periudha tat Viti2012 Muaji SHTATOR   </t>
  </si>
  <si>
    <t xml:space="preserve">3)Periudha tat Viti2012 Muaji TETOR    </t>
  </si>
  <si>
    <t>OLTJANA PASHO</t>
  </si>
  <si>
    <t>JURISTE</t>
  </si>
  <si>
    <t xml:space="preserve">3)Periudha tat Viti2012 Muaji NENTOR    </t>
  </si>
  <si>
    <t xml:space="preserve">3)Periudha tat Viti2012 Muaji DHJETOR   </t>
  </si>
  <si>
    <t>ALIRAJ</t>
  </si>
  <si>
    <t>ANDI</t>
  </si>
  <si>
    <t>ALB-SALE-VLORA</t>
  </si>
  <si>
    <t>COBAJ 90</t>
  </si>
  <si>
    <t>CANAJ</t>
  </si>
  <si>
    <t>DEKA COMANY</t>
  </si>
  <si>
    <t>DIS</t>
  </si>
  <si>
    <t>REZERVAT E SHTETIT</t>
  </si>
  <si>
    <t>DUKA</t>
  </si>
  <si>
    <t>ELIT</t>
  </si>
  <si>
    <t>IDNER</t>
  </si>
  <si>
    <t>K,E.J</t>
  </si>
  <si>
    <t>KUID</t>
  </si>
  <si>
    <t>LALO</t>
  </si>
  <si>
    <t>LEARHER INSUSTR</t>
  </si>
  <si>
    <t xml:space="preserve">LEONIDHA SHKURTI </t>
  </si>
  <si>
    <t>NEVADA</t>
  </si>
  <si>
    <t>NGUACAJ</t>
  </si>
  <si>
    <t>ORIK PESHK</t>
  </si>
  <si>
    <t>PREFEKTURA QARKUT</t>
  </si>
  <si>
    <t>REZI COMERCE</t>
  </si>
  <si>
    <t>RDA</t>
  </si>
  <si>
    <t>SHQIPERIA 2A</t>
  </si>
  <si>
    <t>SEJDIRAJ</t>
  </si>
  <si>
    <t>SHEHU</t>
  </si>
  <si>
    <t xml:space="preserve">SIGAL UNIQA </t>
  </si>
  <si>
    <t>TACI OIL</t>
  </si>
  <si>
    <t>TRAJNIMI I STUDENTEVE</t>
  </si>
  <si>
    <t>VODAFON</t>
  </si>
  <si>
    <t>ANILA HASANI</t>
  </si>
  <si>
    <t>ALB IMPEX</t>
  </si>
  <si>
    <t>ALTIN SINANI</t>
  </si>
  <si>
    <t>COLOR &amp; DISAGN</t>
  </si>
  <si>
    <t xml:space="preserve">CANAJ </t>
  </si>
  <si>
    <t>DPM</t>
  </si>
  <si>
    <t>SALI ELEKTRIK</t>
  </si>
  <si>
    <t>BASHA</t>
  </si>
  <si>
    <t>TAKSA BASHKIE</t>
  </si>
  <si>
    <t>SH-KONTABEL</t>
  </si>
  <si>
    <t xml:space="preserve">NAFTE </t>
  </si>
  <si>
    <t>GAZOIL</t>
  </si>
  <si>
    <t>&gt; Shitje  NETO,NGA SHITJA  E MALLRAVE</t>
  </si>
  <si>
    <t>&gt; Te ardhura    QERAT</t>
  </si>
  <si>
    <t>&gt; Te  ardhura SHERBME NAFTE</t>
  </si>
  <si>
    <t>&gt; Te  ardhura SHERBME BENZINE</t>
  </si>
  <si>
    <t>Te  ardhura  nga INTERESI</t>
  </si>
  <si>
    <t xml:space="preserve"> '</t>
  </si>
  <si>
    <t>ndertesa</t>
  </si>
  <si>
    <t>&gt;  T v sh   -  5.712.092</t>
  </si>
  <si>
    <t>Deklaruar fakt FDP</t>
  </si>
  <si>
    <t>Per Periudhen 01 Janar Deri ne 31 Dhjetor 2012</t>
  </si>
  <si>
    <t xml:space="preserve">     Kjo Shoqeri eshte themeluar ne vitin   .2000.....              .Ka riklasifikim te gjendjeve te vitit 2007 e te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</si>
</sst>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(* #,##0_);_(* \(#,##0\);_(* &quot;-&quot;??_);_(@_)"/>
    <numFmt numFmtId="179" formatCode="_(* #,##0.0_);_(* \(#,##0.0\);_(* &quot;-&quot;??_);_(@_)"/>
    <numFmt numFmtId="180" formatCode="_(* #,##0.000_);_(* \(#,##0.0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_-;\-* #,##0_-;_-* &quot;-&quot;??_-;_-@_-"/>
    <numFmt numFmtId="186" formatCode="#,##0.0"/>
    <numFmt numFmtId="187" formatCode="0.0"/>
    <numFmt numFmtId="188" formatCode="0_);\(0\)"/>
    <numFmt numFmtId="189" formatCode="_(* #,##0.0_);_(* \(#,##0.0\);_(* &quot;-&quot;?_);_(@_)"/>
    <numFmt numFmtId="190" formatCode="mmm\-yyyy"/>
    <numFmt numFmtId="191" formatCode="[$-409]dddd\,\ mmmm\ dd\,\ yyyy"/>
    <numFmt numFmtId="192" formatCode="dd/mm/yyyy;@"/>
    <numFmt numFmtId="193" formatCode="[$-409]h:mm:ss\ AM/PM"/>
    <numFmt numFmtId="194" formatCode="00000"/>
    <numFmt numFmtId="195" formatCode="0.000"/>
  </numFmts>
  <fonts count="11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26"/>
      <name val="Algerian"/>
      <family val="5"/>
    </font>
    <font>
      <b/>
      <sz val="10"/>
      <name val="Algerian"/>
      <family val="5"/>
    </font>
    <font>
      <sz val="9"/>
      <name val="Arial Black"/>
      <family val="2"/>
    </font>
    <font>
      <b/>
      <sz val="7"/>
      <name val="Arial"/>
      <family val="2"/>
    </font>
    <font>
      <b/>
      <sz val="10"/>
      <name val="Cooper Black"/>
      <family val="1"/>
    </font>
    <font>
      <b/>
      <sz val="14"/>
      <name val="Cooper Black"/>
      <family val="1"/>
    </font>
    <font>
      <b/>
      <sz val="12"/>
      <name val="Castellar"/>
      <family val="1"/>
    </font>
    <font>
      <sz val="9"/>
      <name val="Times New Roman"/>
      <family val="1"/>
    </font>
    <font>
      <sz val="10"/>
      <name val="Castellar"/>
      <family val="1"/>
    </font>
    <font>
      <b/>
      <sz val="16"/>
      <name val="Bell MT"/>
      <family val="1"/>
    </font>
    <font>
      <b/>
      <sz val="10"/>
      <name val="Times New Roman"/>
      <family val="1"/>
    </font>
    <font>
      <b/>
      <sz val="12"/>
      <name val="Arial Rounded MT Bold"/>
      <family val="2"/>
    </font>
    <font>
      <b/>
      <sz val="10"/>
      <name val="Tw Cen MT Condensed"/>
      <family val="2"/>
    </font>
    <font>
      <i/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7"/>
      <name val="Arial"/>
      <family val="2"/>
    </font>
    <font>
      <b/>
      <sz val="7"/>
      <color indexed="10"/>
      <name val="Arial"/>
      <family val="2"/>
    </font>
    <font>
      <sz val="6"/>
      <name val="Arial"/>
      <family val="2"/>
    </font>
    <font>
      <b/>
      <sz val="12"/>
      <name val="Agency FB"/>
      <family val="2"/>
    </font>
    <font>
      <b/>
      <i/>
      <sz val="12"/>
      <name val="Agency FB"/>
      <family val="2"/>
    </font>
    <font>
      <b/>
      <u val="single"/>
      <sz val="12"/>
      <name val="Agency FB"/>
      <family val="2"/>
    </font>
    <font>
      <b/>
      <sz val="10"/>
      <name val="Agency FB"/>
      <family val="2"/>
    </font>
    <font>
      <sz val="10"/>
      <name val="Agency FB"/>
      <family val="2"/>
    </font>
    <font>
      <sz val="8.5"/>
      <color indexed="8"/>
      <name val="Arial BoldMT"/>
      <family val="0"/>
    </font>
    <font>
      <b/>
      <u val="single"/>
      <sz val="9"/>
      <name val="Arial"/>
      <family val="2"/>
    </font>
    <font>
      <sz val="10"/>
      <color indexed="8"/>
      <name val="Agency FB"/>
      <family val="2"/>
    </font>
    <font>
      <b/>
      <sz val="16"/>
      <color indexed="8"/>
      <name val="Agency FB"/>
      <family val="2"/>
    </font>
    <font>
      <sz val="12"/>
      <color indexed="8"/>
      <name val="Agency FB"/>
      <family val="2"/>
    </font>
    <font>
      <b/>
      <sz val="14"/>
      <name val="Baskerville Old Face"/>
      <family val="1"/>
    </font>
    <font>
      <b/>
      <sz val="12"/>
      <color indexed="8"/>
      <name val="Agency FB"/>
      <family val="2"/>
    </font>
    <font>
      <i/>
      <sz val="10"/>
      <name val="Arial"/>
      <family val="2"/>
    </font>
    <font>
      <b/>
      <sz val="9"/>
      <name val="Arial Unicode MS"/>
      <family val="2"/>
    </font>
    <font>
      <b/>
      <i/>
      <sz val="6"/>
      <name val="Arial"/>
      <family val="2"/>
    </font>
    <font>
      <b/>
      <i/>
      <sz val="8"/>
      <name val="Arial"/>
      <family val="2"/>
    </font>
    <font>
      <sz val="12"/>
      <name val="Agency FB"/>
      <family val="2"/>
    </font>
    <font>
      <sz val="11"/>
      <color indexed="8"/>
      <name val="Agency FB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20"/>
      <name val="Arial Black"/>
      <family val="2"/>
    </font>
    <font>
      <b/>
      <sz val="18"/>
      <name val="Bernard MT Condensed"/>
      <family val="1"/>
    </font>
    <font>
      <sz val="8"/>
      <name val="Agency FB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gency FB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0"/>
      <color indexed="8"/>
      <name val="Agency FB"/>
      <family val="2"/>
    </font>
    <font>
      <b/>
      <sz val="11"/>
      <name val="Calibri"/>
      <family val="2"/>
    </font>
    <font>
      <sz val="9"/>
      <name val="Calibri"/>
      <family val="2"/>
    </font>
    <font>
      <sz val="8"/>
      <color indexed="10"/>
      <name val="Arial Narrow"/>
      <family val="2"/>
    </font>
    <font>
      <b/>
      <sz val="18"/>
      <color indexed="8"/>
      <name val="Agency FB"/>
      <family val="2"/>
    </font>
    <font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11"/>
      <color theme="1"/>
      <name val="Agency FB"/>
      <family val="2"/>
    </font>
    <font>
      <sz val="9"/>
      <color theme="1"/>
      <name val="Calibri"/>
      <family val="2"/>
    </font>
    <font>
      <sz val="10"/>
      <color theme="1"/>
      <name val="Agency FB"/>
      <family val="2"/>
    </font>
    <font>
      <b/>
      <sz val="10"/>
      <color theme="1"/>
      <name val="Agency FB"/>
      <family val="2"/>
    </font>
    <font>
      <sz val="8"/>
      <color rgb="FFFF0000"/>
      <name val="Arial"/>
      <family val="2"/>
    </font>
    <font>
      <sz val="8"/>
      <color rgb="FFFF0000"/>
      <name val="Arial Narrow"/>
      <family val="2"/>
    </font>
    <font>
      <sz val="12"/>
      <color theme="1"/>
      <name val="Agency FB"/>
      <family val="2"/>
    </font>
    <font>
      <b/>
      <sz val="18"/>
      <color theme="1"/>
      <name val="Agency FB"/>
      <family val="2"/>
    </font>
    <font>
      <sz val="8.5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>
        <color indexed="63"/>
      </right>
      <top style="medium"/>
      <bottom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0" fillId="32" borderId="7" applyNumberFormat="0" applyFont="0" applyAlignment="0" applyProtection="0"/>
    <xf numFmtId="0" fontId="101" fillId="27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160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35" xfId="0" applyBorder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36" xfId="0" applyFill="1" applyBorder="1" applyAlignment="1">
      <alignment/>
    </xf>
    <xf numFmtId="0" fontId="2" fillId="0" borderId="28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9" fontId="13" fillId="0" borderId="15" xfId="0" applyNumberFormat="1" applyFont="1" applyFill="1" applyBorder="1" applyAlignment="1">
      <alignment horizontal="right"/>
    </xf>
    <xf numFmtId="0" fontId="0" fillId="0" borderId="37" xfId="0" applyBorder="1" applyAlignment="1">
      <alignment/>
    </xf>
    <xf numFmtId="43" fontId="0" fillId="0" borderId="28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2" fillId="33" borderId="18" xfId="0" applyNumberFormat="1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40" xfId="0" applyBorder="1" applyAlignment="1">
      <alignment/>
    </xf>
    <xf numFmtId="0" fontId="2" fillId="0" borderId="32" xfId="0" applyFont="1" applyBorder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41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2" fillId="34" borderId="42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8" fillId="35" borderId="15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Alignment="1">
      <alignment/>
    </xf>
    <xf numFmtId="178" fontId="13" fillId="0" borderId="15" xfId="42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22" xfId="0" applyFont="1" applyBorder="1" applyAlignment="1">
      <alignment/>
    </xf>
    <xf numFmtId="0" fontId="10" fillId="0" borderId="16" xfId="0" applyFont="1" applyBorder="1" applyAlignment="1">
      <alignment/>
    </xf>
    <xf numFmtId="178" fontId="13" fillId="0" borderId="40" xfId="42" applyNumberFormat="1" applyFont="1" applyBorder="1" applyAlignment="1">
      <alignment/>
    </xf>
    <xf numFmtId="0" fontId="10" fillId="0" borderId="17" xfId="0" applyFont="1" applyBorder="1" applyAlignment="1">
      <alignment/>
    </xf>
    <xf numFmtId="0" fontId="9" fillId="0" borderId="0" xfId="0" applyFont="1" applyAlignment="1">
      <alignment/>
    </xf>
    <xf numFmtId="169" fontId="13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8" fontId="9" fillId="0" borderId="0" xfId="42" applyNumberFormat="1" applyFont="1" applyAlignment="1">
      <alignment/>
    </xf>
    <xf numFmtId="0" fontId="13" fillId="0" borderId="2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169" fontId="13" fillId="0" borderId="28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169" fontId="1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8" fontId="4" fillId="0" borderId="28" xfId="42" applyNumberFormat="1" applyFont="1" applyBorder="1" applyAlignment="1">
      <alignment/>
    </xf>
    <xf numFmtId="178" fontId="4" fillId="0" borderId="15" xfId="42" applyNumberFormat="1" applyFont="1" applyBorder="1" applyAlignment="1">
      <alignment/>
    </xf>
    <xf numFmtId="178" fontId="4" fillId="0" borderId="0" xfId="42" applyNumberFormat="1" applyFont="1" applyAlignment="1">
      <alignment/>
    </xf>
    <xf numFmtId="178" fontId="4" fillId="0" borderId="0" xfId="42" applyNumberFormat="1" applyFont="1" applyBorder="1" applyAlignment="1">
      <alignment/>
    </xf>
    <xf numFmtId="178" fontId="4" fillId="0" borderId="35" xfId="42" applyNumberFormat="1" applyFont="1" applyBorder="1" applyAlignment="1">
      <alignment/>
    </xf>
    <xf numFmtId="178" fontId="4" fillId="0" borderId="16" xfId="42" applyNumberFormat="1" applyFont="1" applyBorder="1" applyAlignment="1">
      <alignment/>
    </xf>
    <xf numFmtId="178" fontId="4" fillId="34" borderId="0" xfId="42" applyNumberFormat="1" applyFont="1" applyFill="1" applyAlignment="1">
      <alignment/>
    </xf>
    <xf numFmtId="178" fontId="0" fillId="0" borderId="0" xfId="42" applyNumberFormat="1" applyFont="1" applyBorder="1" applyAlignment="1">
      <alignment/>
    </xf>
    <xf numFmtId="178" fontId="4" fillId="0" borderId="15" xfId="42" applyNumberFormat="1" applyFont="1" applyBorder="1" applyAlignment="1">
      <alignment/>
    </xf>
    <xf numFmtId="178" fontId="4" fillId="0" borderId="0" xfId="42" applyNumberFormat="1" applyFont="1" applyBorder="1" applyAlignment="1">
      <alignment/>
    </xf>
    <xf numFmtId="178" fontId="4" fillId="0" borderId="15" xfId="42" applyNumberFormat="1" applyFont="1" applyFill="1" applyBorder="1" applyAlignment="1">
      <alignment/>
    </xf>
    <xf numFmtId="178" fontId="4" fillId="0" borderId="16" xfId="42" applyNumberFormat="1" applyFont="1" applyBorder="1" applyAlignment="1">
      <alignment/>
    </xf>
    <xf numFmtId="178" fontId="4" fillId="0" borderId="43" xfId="42" applyNumberFormat="1" applyFont="1" applyBorder="1" applyAlignment="1">
      <alignment/>
    </xf>
    <xf numFmtId="178" fontId="4" fillId="0" borderId="44" xfId="42" applyNumberFormat="1" applyFont="1" applyBorder="1" applyAlignment="1">
      <alignment/>
    </xf>
    <xf numFmtId="178" fontId="4" fillId="0" borderId="40" xfId="42" applyNumberFormat="1" applyFont="1" applyFill="1" applyBorder="1" applyAlignment="1">
      <alignment/>
    </xf>
    <xf numFmtId="178" fontId="4" fillId="0" borderId="40" xfId="42" applyNumberFormat="1" applyFont="1" applyBorder="1" applyAlignment="1">
      <alignment/>
    </xf>
    <xf numFmtId="0" fontId="13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13" fillId="0" borderId="35" xfId="0" applyFont="1" applyBorder="1" applyAlignment="1">
      <alignment/>
    </xf>
    <xf numFmtId="43" fontId="0" fillId="0" borderId="45" xfId="0" applyNumberFormat="1" applyFont="1" applyBorder="1" applyAlignment="1">
      <alignment/>
    </xf>
    <xf numFmtId="178" fontId="13" fillId="0" borderId="15" xfId="42" applyNumberFormat="1" applyFont="1" applyFill="1" applyBorder="1" applyAlignment="1">
      <alignment/>
    </xf>
    <xf numFmtId="169" fontId="4" fillId="0" borderId="15" xfId="0" applyNumberFormat="1" applyFont="1" applyFill="1" applyBorder="1" applyAlignment="1">
      <alignment/>
    </xf>
    <xf numFmtId="169" fontId="4" fillId="0" borderId="4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169" fontId="6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0" fontId="13" fillId="0" borderId="3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169" fontId="13" fillId="0" borderId="43" xfId="0" applyNumberFormat="1" applyFont="1" applyFill="1" applyBorder="1" applyAlignment="1">
      <alignment/>
    </xf>
    <xf numFmtId="178" fontId="10" fillId="34" borderId="32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69" fontId="11" fillId="0" borderId="43" xfId="0" applyNumberFormat="1" applyFont="1" applyFill="1" applyBorder="1" applyAlignment="1">
      <alignment/>
    </xf>
    <xf numFmtId="169" fontId="12" fillId="0" borderId="43" xfId="0" applyNumberFormat="1" applyFont="1" applyFill="1" applyBorder="1" applyAlignment="1">
      <alignment/>
    </xf>
    <xf numFmtId="0" fontId="9" fillId="0" borderId="31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right"/>
    </xf>
    <xf numFmtId="0" fontId="9" fillId="0" borderId="43" xfId="0" applyFont="1" applyFill="1" applyBorder="1" applyAlignment="1">
      <alignment/>
    </xf>
    <xf numFmtId="169" fontId="18" fillId="0" borderId="15" xfId="0" applyNumberFormat="1" applyFont="1" applyFill="1" applyBorder="1" applyAlignment="1">
      <alignment horizontal="right"/>
    </xf>
    <xf numFmtId="169" fontId="9" fillId="0" borderId="15" xfId="0" applyNumberFormat="1" applyFont="1" applyFill="1" applyBorder="1" applyAlignment="1">
      <alignment horizontal="right"/>
    </xf>
    <xf numFmtId="0" fontId="17" fillId="0" borderId="15" xfId="0" applyFont="1" applyFill="1" applyBorder="1" applyAlignment="1">
      <alignment/>
    </xf>
    <xf numFmtId="21" fontId="17" fillId="0" borderId="15" xfId="0" applyNumberFormat="1" applyFont="1" applyFill="1" applyBorder="1" applyAlignment="1">
      <alignment/>
    </xf>
    <xf numFmtId="0" fontId="17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9" fillId="0" borderId="25" xfId="0" applyFont="1" applyFill="1" applyBorder="1" applyAlignment="1">
      <alignment horizontal="right"/>
    </xf>
    <xf numFmtId="0" fontId="13" fillId="0" borderId="40" xfId="0" applyFont="1" applyFill="1" applyBorder="1" applyAlignment="1">
      <alignment horizontal="right"/>
    </xf>
    <xf numFmtId="169" fontId="13" fillId="0" borderId="4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21" fontId="15" fillId="0" borderId="0" xfId="0" applyNumberFormat="1" applyFont="1" applyFill="1" applyBorder="1" applyAlignment="1">
      <alignment/>
    </xf>
    <xf numFmtId="169" fontId="15" fillId="0" borderId="0" xfId="0" applyNumberFormat="1" applyFont="1" applyFill="1" applyBorder="1" applyAlignment="1">
      <alignment/>
    </xf>
    <xf numFmtId="169" fontId="4" fillId="0" borderId="0" xfId="0" applyNumberFormat="1" applyFont="1" applyFill="1" applyAlignment="1">
      <alignment/>
    </xf>
    <xf numFmtId="178" fontId="4" fillId="36" borderId="0" xfId="42" applyNumberFormat="1" applyFont="1" applyFill="1" applyAlignment="1">
      <alignment/>
    </xf>
    <xf numFmtId="178" fontId="0" fillId="0" borderId="0" xfId="42" applyNumberFormat="1" applyFont="1" applyAlignment="1">
      <alignment/>
    </xf>
    <xf numFmtId="178" fontId="10" fillId="36" borderId="32" xfId="42" applyNumberFormat="1" applyFont="1" applyFill="1" applyBorder="1" applyAlignment="1">
      <alignment/>
    </xf>
    <xf numFmtId="178" fontId="2" fillId="0" borderId="0" xfId="42" applyNumberFormat="1" applyFont="1" applyBorder="1" applyAlignment="1">
      <alignment/>
    </xf>
    <xf numFmtId="178" fontId="2" fillId="0" borderId="0" xfId="42" applyNumberFormat="1" applyFont="1" applyBorder="1" applyAlignment="1">
      <alignment horizontal="center"/>
    </xf>
    <xf numFmtId="178" fontId="0" fillId="0" borderId="20" xfId="42" applyNumberFormat="1" applyFont="1" applyBorder="1" applyAlignment="1">
      <alignment/>
    </xf>
    <xf numFmtId="178" fontId="0" fillId="0" borderId="28" xfId="42" applyNumberFormat="1" applyFont="1" applyBorder="1" applyAlignment="1">
      <alignment/>
    </xf>
    <xf numFmtId="178" fontId="0" fillId="0" borderId="15" xfId="42" applyNumberFormat="1" applyFont="1" applyBorder="1" applyAlignment="1">
      <alignment/>
    </xf>
    <xf numFmtId="178" fontId="0" fillId="0" borderId="15" xfId="42" applyNumberFormat="1" applyFont="1" applyFill="1" applyBorder="1" applyAlignment="1">
      <alignment/>
    </xf>
    <xf numFmtId="178" fontId="0" fillId="0" borderId="13" xfId="42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19" xfId="0" applyFill="1" applyBorder="1" applyAlignment="1">
      <alignment/>
    </xf>
    <xf numFmtId="0" fontId="4" fillId="0" borderId="22" xfId="0" applyFont="1" applyFill="1" applyBorder="1" applyAlignment="1">
      <alignment/>
    </xf>
    <xf numFmtId="178" fontId="4" fillId="0" borderId="50" xfId="42" applyNumberFormat="1" applyFont="1" applyBorder="1" applyAlignment="1">
      <alignment/>
    </xf>
    <xf numFmtId="0" fontId="4" fillId="0" borderId="16" xfId="0" applyFont="1" applyFill="1" applyBorder="1" applyAlignment="1">
      <alignment/>
    </xf>
    <xf numFmtId="178" fontId="4" fillId="0" borderId="40" xfId="42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41" fontId="10" fillId="0" borderId="32" xfId="0" applyNumberFormat="1" applyFont="1" applyFill="1" applyBorder="1" applyAlignment="1">
      <alignment/>
    </xf>
    <xf numFmtId="178" fontId="16" fillId="0" borderId="28" xfId="42" applyNumberFormat="1" applyFont="1" applyBorder="1" applyAlignment="1">
      <alignment/>
    </xf>
    <xf numFmtId="0" fontId="0" fillId="0" borderId="43" xfId="0" applyBorder="1" applyAlignment="1">
      <alignment/>
    </xf>
    <xf numFmtId="178" fontId="2" fillId="0" borderId="32" xfId="0" applyNumberFormat="1" applyFont="1" applyBorder="1" applyAlignment="1">
      <alignment/>
    </xf>
    <xf numFmtId="178" fontId="4" fillId="0" borderId="0" xfId="42" applyNumberFormat="1" applyFont="1" applyFill="1" applyBorder="1" applyAlignment="1">
      <alignment/>
    </xf>
    <xf numFmtId="178" fontId="4" fillId="0" borderId="30" xfId="42" applyNumberFormat="1" applyFont="1" applyFill="1" applyBorder="1" applyAlignment="1">
      <alignment/>
    </xf>
    <xf numFmtId="41" fontId="4" fillId="0" borderId="5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50" xfId="0" applyBorder="1" applyAlignment="1">
      <alignment/>
    </xf>
    <xf numFmtId="0" fontId="32" fillId="0" borderId="0" xfId="0" applyFont="1" applyFill="1" applyAlignment="1">
      <alignment/>
    </xf>
    <xf numFmtId="0" fontId="0" fillId="36" borderId="52" xfId="0" applyFill="1" applyBorder="1" applyAlignment="1">
      <alignment/>
    </xf>
    <xf numFmtId="0" fontId="0" fillId="36" borderId="53" xfId="0" applyFill="1" applyBorder="1" applyAlignment="1">
      <alignment/>
    </xf>
    <xf numFmtId="0" fontId="0" fillId="36" borderId="54" xfId="0" applyFill="1" applyBorder="1" applyAlignment="1">
      <alignment/>
    </xf>
    <xf numFmtId="185" fontId="0" fillId="0" borderId="43" xfId="42" applyNumberFormat="1" applyFont="1" applyBorder="1" applyAlignment="1">
      <alignment/>
    </xf>
    <xf numFmtId="185" fontId="2" fillId="33" borderId="55" xfId="42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34" borderId="56" xfId="0" applyFill="1" applyBorder="1" applyAlignment="1">
      <alignment/>
    </xf>
    <xf numFmtId="0" fontId="0" fillId="34" borderId="57" xfId="0" applyFill="1" applyBorder="1" applyAlignment="1">
      <alignment/>
    </xf>
    <xf numFmtId="0" fontId="2" fillId="0" borderId="50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58" xfId="0" applyBorder="1" applyAlignment="1">
      <alignment/>
    </xf>
    <xf numFmtId="0" fontId="0" fillId="0" borderId="58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5" xfId="0" applyFont="1" applyBorder="1" applyAlignment="1">
      <alignment/>
    </xf>
    <xf numFmtId="0" fontId="0" fillId="0" borderId="28" xfId="0" applyBorder="1" applyAlignment="1">
      <alignment horizontal="left"/>
    </xf>
    <xf numFmtId="0" fontId="0" fillId="34" borderId="35" xfId="0" applyFont="1" applyFill="1" applyBorder="1" applyAlignment="1">
      <alignment/>
    </xf>
    <xf numFmtId="0" fontId="0" fillId="0" borderId="46" xfId="0" applyFont="1" applyBorder="1" applyAlignment="1">
      <alignment/>
    </xf>
    <xf numFmtId="0" fontId="2" fillId="34" borderId="15" xfId="0" applyFont="1" applyFill="1" applyBorder="1" applyAlignment="1">
      <alignment horizontal="left"/>
    </xf>
    <xf numFmtId="0" fontId="0" fillId="34" borderId="58" xfId="0" applyFill="1" applyBorder="1" applyAlignment="1">
      <alignment/>
    </xf>
    <xf numFmtId="0" fontId="0" fillId="34" borderId="31" xfId="0" applyFill="1" applyBorder="1" applyAlignment="1">
      <alignment/>
    </xf>
    <xf numFmtId="0" fontId="2" fillId="0" borderId="28" xfId="0" applyFont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59" xfId="0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32" fillId="0" borderId="0" xfId="0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right"/>
    </xf>
    <xf numFmtId="178" fontId="0" fillId="0" borderId="0" xfId="42" applyNumberFormat="1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6" fillId="35" borderId="50" xfId="0" applyFont="1" applyFill="1" applyBorder="1" applyAlignment="1">
      <alignment/>
    </xf>
    <xf numFmtId="0" fontId="0" fillId="35" borderId="61" xfId="0" applyFill="1" applyBorder="1" applyAlignment="1">
      <alignment/>
    </xf>
    <xf numFmtId="0" fontId="0" fillId="35" borderId="62" xfId="0" applyFill="1" applyBorder="1" applyAlignment="1">
      <alignment/>
    </xf>
    <xf numFmtId="3" fontId="0" fillId="35" borderId="51" xfId="0" applyNumberFormat="1" applyFill="1" applyBorder="1" applyAlignment="1">
      <alignment/>
    </xf>
    <xf numFmtId="0" fontId="7" fillId="0" borderId="35" xfId="0" applyFont="1" applyBorder="1" applyAlignment="1">
      <alignment/>
    </xf>
    <xf numFmtId="0" fontId="7" fillId="0" borderId="16" xfId="0" applyFont="1" applyBorder="1" applyAlignment="1">
      <alignment/>
    </xf>
    <xf numFmtId="0" fontId="7" fillId="35" borderId="35" xfId="0" applyFont="1" applyFill="1" applyBorder="1" applyAlignment="1">
      <alignment/>
    </xf>
    <xf numFmtId="0" fontId="6" fillId="35" borderId="28" xfId="0" applyFont="1" applyFill="1" applyBorder="1" applyAlignment="1">
      <alignment/>
    </xf>
    <xf numFmtId="0" fontId="0" fillId="35" borderId="0" xfId="0" applyFill="1" applyBorder="1" applyAlignment="1">
      <alignment/>
    </xf>
    <xf numFmtId="0" fontId="7" fillId="0" borderId="46" xfId="0" applyFont="1" applyBorder="1" applyAlignment="1">
      <alignment/>
    </xf>
    <xf numFmtId="0" fontId="8" fillId="0" borderId="28" xfId="0" applyFont="1" applyBorder="1" applyAlignment="1">
      <alignment/>
    </xf>
    <xf numFmtId="0" fontId="7" fillId="35" borderId="16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0" fillId="35" borderId="58" xfId="0" applyFill="1" applyBorder="1" applyAlignment="1">
      <alignment/>
    </xf>
    <xf numFmtId="0" fontId="2" fillId="0" borderId="35" xfId="0" applyFont="1" applyBorder="1" applyAlignment="1">
      <alignment/>
    </xf>
    <xf numFmtId="0" fontId="0" fillId="35" borderId="16" xfId="0" applyFill="1" applyBorder="1" applyAlignment="1">
      <alignment/>
    </xf>
    <xf numFmtId="0" fontId="2" fillId="0" borderId="28" xfId="0" applyFont="1" applyFill="1" applyBorder="1" applyAlignment="1">
      <alignment/>
    </xf>
    <xf numFmtId="0" fontId="0" fillId="35" borderId="17" xfId="0" applyFill="1" applyBorder="1" applyAlignment="1">
      <alignment/>
    </xf>
    <xf numFmtId="0" fontId="2" fillId="35" borderId="18" xfId="0" applyFont="1" applyFill="1" applyBorder="1" applyAlignment="1">
      <alignment/>
    </xf>
    <xf numFmtId="0" fontId="0" fillId="35" borderId="59" xfId="0" applyFill="1" applyBorder="1" applyAlignment="1">
      <alignment/>
    </xf>
    <xf numFmtId="0" fontId="28" fillId="0" borderId="0" xfId="0" applyFont="1" applyAlignment="1">
      <alignment/>
    </xf>
    <xf numFmtId="0" fontId="33" fillId="34" borderId="52" xfId="0" applyFont="1" applyFill="1" applyBorder="1" applyAlignment="1">
      <alignment vertical="justify"/>
    </xf>
    <xf numFmtId="0" fontId="4" fillId="0" borderId="22" xfId="0" applyFont="1" applyFill="1" applyBorder="1" applyAlignment="1">
      <alignment vertical="justify"/>
    </xf>
    <xf numFmtId="0" fontId="4" fillId="0" borderId="16" xfId="0" applyFont="1" applyFill="1" applyBorder="1" applyAlignment="1">
      <alignment vertical="justify"/>
    </xf>
    <xf numFmtId="0" fontId="4" fillId="0" borderId="17" xfId="0" applyFont="1" applyFill="1" applyBorder="1" applyAlignment="1">
      <alignment vertical="justify"/>
    </xf>
    <xf numFmtId="0" fontId="36" fillId="0" borderId="0" xfId="0" applyFont="1" applyFill="1" applyBorder="1" applyAlignment="1">
      <alignment/>
    </xf>
    <xf numFmtId="0" fontId="10" fillId="36" borderId="36" xfId="0" applyFont="1" applyFill="1" applyBorder="1" applyAlignment="1">
      <alignment horizontal="center"/>
    </xf>
    <xf numFmtId="0" fontId="10" fillId="36" borderId="30" xfId="0" applyFont="1" applyFill="1" applyBorder="1" applyAlignment="1">
      <alignment horizontal="center"/>
    </xf>
    <xf numFmtId="3" fontId="10" fillId="36" borderId="55" xfId="0" applyNumberFormat="1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178" fontId="4" fillId="36" borderId="63" xfId="42" applyNumberFormat="1" applyFont="1" applyFill="1" applyBorder="1" applyAlignment="1">
      <alignment/>
    </xf>
    <xf numFmtId="178" fontId="4" fillId="36" borderId="63" xfId="42" applyNumberFormat="1" applyFont="1" applyFill="1" applyBorder="1" applyAlignment="1">
      <alignment horizontal="center"/>
    </xf>
    <xf numFmtId="178" fontId="4" fillId="36" borderId="21" xfId="42" applyNumberFormat="1" applyFont="1" applyFill="1" applyBorder="1" applyAlignment="1">
      <alignment horizontal="center"/>
    </xf>
    <xf numFmtId="178" fontId="4" fillId="36" borderId="64" xfId="42" applyNumberFormat="1" applyFont="1" applyFill="1" applyBorder="1" applyAlignment="1">
      <alignment/>
    </xf>
    <xf numFmtId="178" fontId="4" fillId="33" borderId="65" xfId="42" applyNumberFormat="1" applyFont="1" applyFill="1" applyBorder="1" applyAlignment="1">
      <alignment/>
    </xf>
    <xf numFmtId="178" fontId="4" fillId="33" borderId="66" xfId="42" applyNumberFormat="1" applyFont="1" applyFill="1" applyBorder="1" applyAlignment="1">
      <alignment/>
    </xf>
    <xf numFmtId="178" fontId="4" fillId="0" borderId="32" xfId="42" applyNumberFormat="1" applyFont="1" applyBorder="1" applyAlignment="1">
      <alignment/>
    </xf>
    <xf numFmtId="178" fontId="4" fillId="33" borderId="32" xfId="42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0" fontId="37" fillId="0" borderId="22" xfId="0" applyFont="1" applyFill="1" applyBorder="1" applyAlignment="1">
      <alignment/>
    </xf>
    <xf numFmtId="178" fontId="37" fillId="0" borderId="50" xfId="42" applyNumberFormat="1" applyFont="1" applyBorder="1" applyAlignment="1">
      <alignment/>
    </xf>
    <xf numFmtId="0" fontId="37" fillId="0" borderId="16" xfId="0" applyFont="1" applyFill="1" applyBorder="1" applyAlignment="1">
      <alignment/>
    </xf>
    <xf numFmtId="41" fontId="38" fillId="0" borderId="66" xfId="0" applyNumberFormat="1" applyFont="1" applyFill="1" applyBorder="1" applyAlignment="1">
      <alignment/>
    </xf>
    <xf numFmtId="178" fontId="4" fillId="36" borderId="64" xfId="42" applyNumberFormat="1" applyFont="1" applyFill="1" applyBorder="1" applyAlignment="1">
      <alignment horizontal="center"/>
    </xf>
    <xf numFmtId="178" fontId="4" fillId="36" borderId="14" xfId="42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50" xfId="0" applyNumberForma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178" fontId="0" fillId="0" borderId="40" xfId="42" applyNumberFormat="1" applyFont="1" applyBorder="1" applyAlignment="1">
      <alignment/>
    </xf>
    <xf numFmtId="178" fontId="10" fillId="0" borderId="45" xfId="42" applyNumberFormat="1" applyFont="1" applyFill="1" applyBorder="1" applyAlignment="1">
      <alignment/>
    </xf>
    <xf numFmtId="178" fontId="10" fillId="0" borderId="28" xfId="42" applyNumberFormat="1" applyFont="1" applyBorder="1" applyAlignment="1">
      <alignment/>
    </xf>
    <xf numFmtId="178" fontId="10" fillId="0" borderId="15" xfId="42" applyNumberFormat="1" applyFont="1" applyBorder="1" applyAlignment="1">
      <alignment/>
    </xf>
    <xf numFmtId="3" fontId="0" fillId="0" borderId="15" xfId="0" applyNumberFormat="1" applyFill="1" applyBorder="1" applyAlignment="1">
      <alignment vertical="center"/>
    </xf>
    <xf numFmtId="3" fontId="32" fillId="0" borderId="18" xfId="0" applyNumberFormat="1" applyFont="1" applyFill="1" applyBorder="1" applyAlignment="1">
      <alignment vertical="center"/>
    </xf>
    <xf numFmtId="178" fontId="10" fillId="0" borderId="51" xfId="42" applyNumberFormat="1" applyFont="1" applyFill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0" fillId="0" borderId="45" xfId="0" applyBorder="1" applyAlignment="1">
      <alignment/>
    </xf>
    <xf numFmtId="178" fontId="4" fillId="0" borderId="15" xfId="42" applyNumberFormat="1" applyFont="1" applyFill="1" applyBorder="1" applyAlignment="1">
      <alignment/>
    </xf>
    <xf numFmtId="0" fontId="0" fillId="0" borderId="41" xfId="0" applyBorder="1" applyAlignment="1">
      <alignment/>
    </xf>
    <xf numFmtId="0" fontId="13" fillId="0" borderId="0" xfId="0" applyFont="1" applyFill="1" applyBorder="1" applyAlignment="1">
      <alignment/>
    </xf>
    <xf numFmtId="169" fontId="13" fillId="0" borderId="0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178" fontId="13" fillId="0" borderId="0" xfId="42" applyNumberFormat="1" applyFont="1" applyFill="1" applyBorder="1" applyAlignment="1">
      <alignment/>
    </xf>
    <xf numFmtId="178" fontId="9" fillId="0" borderId="0" xfId="42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8" fontId="10" fillId="0" borderId="20" xfId="42" applyNumberFormat="1" applyFont="1" applyBorder="1" applyAlignment="1">
      <alignment/>
    </xf>
    <xf numFmtId="178" fontId="105" fillId="37" borderId="0" xfId="0" applyNumberFormat="1" applyFont="1" applyFill="1" applyAlignment="1">
      <alignment/>
    </xf>
    <xf numFmtId="0" fontId="2" fillId="37" borderId="32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6" fillId="38" borderId="22" xfId="0" applyFont="1" applyFill="1" applyBorder="1" applyAlignment="1">
      <alignment horizontal="center"/>
    </xf>
    <xf numFmtId="0" fontId="6" fillId="38" borderId="50" xfId="0" applyFont="1" applyFill="1" applyBorder="1" applyAlignment="1">
      <alignment horizontal="center"/>
    </xf>
    <xf numFmtId="0" fontId="6" fillId="38" borderId="16" xfId="0" applyFont="1" applyFill="1" applyBorder="1" applyAlignment="1">
      <alignment horizontal="center"/>
    </xf>
    <xf numFmtId="0" fontId="6" fillId="38" borderId="15" xfId="0" applyFont="1" applyFill="1" applyBorder="1" applyAlignment="1">
      <alignment horizontal="center"/>
    </xf>
    <xf numFmtId="0" fontId="5" fillId="38" borderId="16" xfId="0" applyFont="1" applyFill="1" applyBorder="1" applyAlignment="1">
      <alignment/>
    </xf>
    <xf numFmtId="0" fontId="5" fillId="38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38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8" borderId="5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178" fontId="6" fillId="38" borderId="50" xfId="42" applyNumberFormat="1" applyFont="1" applyFill="1" applyBorder="1" applyAlignment="1">
      <alignment/>
    </xf>
    <xf numFmtId="178" fontId="5" fillId="0" borderId="15" xfId="42" applyNumberFormat="1" applyFont="1" applyBorder="1" applyAlignment="1">
      <alignment/>
    </xf>
    <xf numFmtId="178" fontId="5" fillId="0" borderId="43" xfId="42" applyNumberFormat="1" applyFont="1" applyBorder="1" applyAlignment="1">
      <alignment/>
    </xf>
    <xf numFmtId="178" fontId="6" fillId="38" borderId="15" xfId="42" applyNumberFormat="1" applyFont="1" applyFill="1" applyBorder="1" applyAlignment="1">
      <alignment/>
    </xf>
    <xf numFmtId="178" fontId="6" fillId="38" borderId="43" xfId="42" applyNumberFormat="1" applyFont="1" applyFill="1" applyBorder="1" applyAlignment="1">
      <alignment/>
    </xf>
    <xf numFmtId="178" fontId="5" fillId="0" borderId="18" xfId="42" applyNumberFormat="1" applyFont="1" applyBorder="1" applyAlignment="1">
      <alignment/>
    </xf>
    <xf numFmtId="178" fontId="5" fillId="0" borderId="41" xfId="42" applyNumberFormat="1" applyFont="1" applyBorder="1" applyAlignment="1">
      <alignment/>
    </xf>
    <xf numFmtId="178" fontId="6" fillId="38" borderId="22" xfId="42" applyNumberFormat="1" applyFont="1" applyFill="1" applyBorder="1" applyAlignment="1">
      <alignment horizontal="center"/>
    </xf>
    <xf numFmtId="178" fontId="6" fillId="38" borderId="50" xfId="42" applyNumberFormat="1" applyFont="1" applyFill="1" applyBorder="1" applyAlignment="1">
      <alignment horizontal="center"/>
    </xf>
    <xf numFmtId="178" fontId="6" fillId="38" borderId="50" xfId="42" applyNumberFormat="1" applyFont="1" applyFill="1" applyBorder="1" applyAlignment="1">
      <alignment horizontal="center"/>
    </xf>
    <xf numFmtId="178" fontId="5" fillId="0" borderId="16" xfId="42" applyNumberFormat="1" applyFont="1" applyBorder="1" applyAlignment="1">
      <alignment/>
    </xf>
    <xf numFmtId="178" fontId="4" fillId="0" borderId="15" xfId="42" applyNumberFormat="1" applyFont="1" applyBorder="1" applyAlignment="1">
      <alignment horizontal="center"/>
    </xf>
    <xf numFmtId="178" fontId="0" fillId="0" borderId="15" xfId="42" applyNumberFormat="1" applyFont="1" applyBorder="1" applyAlignment="1">
      <alignment/>
    </xf>
    <xf numFmtId="178" fontId="6" fillId="0" borderId="15" xfId="42" applyNumberFormat="1" applyFont="1" applyBorder="1" applyAlignment="1">
      <alignment horizontal="center"/>
    </xf>
    <xf numFmtId="178" fontId="6" fillId="0" borderId="15" xfId="42" applyNumberFormat="1" applyFont="1" applyBorder="1" applyAlignment="1">
      <alignment horizontal="center"/>
    </xf>
    <xf numFmtId="178" fontId="5" fillId="0" borderId="15" xfId="42" applyNumberFormat="1" applyFont="1" applyFill="1" applyBorder="1" applyAlignment="1">
      <alignment/>
    </xf>
    <xf numFmtId="178" fontId="5" fillId="0" borderId="15" xfId="42" applyNumberFormat="1" applyFont="1" applyBorder="1" applyAlignment="1">
      <alignment/>
    </xf>
    <xf numFmtId="178" fontId="6" fillId="38" borderId="16" xfId="42" applyNumberFormat="1" applyFont="1" applyFill="1" applyBorder="1" applyAlignment="1">
      <alignment/>
    </xf>
    <xf numFmtId="178" fontId="6" fillId="38" borderId="15" xfId="42" applyNumberFormat="1" applyFont="1" applyFill="1" applyBorder="1" applyAlignment="1">
      <alignment horizontal="center"/>
    </xf>
    <xf numFmtId="178" fontId="6" fillId="0" borderId="16" xfId="42" applyNumberFormat="1" applyFont="1" applyBorder="1" applyAlignment="1">
      <alignment/>
    </xf>
    <xf numFmtId="178" fontId="6" fillId="38" borderId="16" xfId="42" applyNumberFormat="1" applyFont="1" applyFill="1" applyBorder="1" applyAlignment="1">
      <alignment horizontal="center"/>
    </xf>
    <xf numFmtId="178" fontId="6" fillId="38" borderId="15" xfId="42" applyNumberFormat="1" applyFont="1" applyFill="1" applyBorder="1" applyAlignment="1">
      <alignment horizontal="center"/>
    </xf>
    <xf numFmtId="178" fontId="6" fillId="0" borderId="15" xfId="42" applyNumberFormat="1" applyFont="1" applyFill="1" applyBorder="1" applyAlignment="1">
      <alignment/>
    </xf>
    <xf numFmtId="178" fontId="6" fillId="0" borderId="15" xfId="42" applyNumberFormat="1" applyFont="1" applyFill="1" applyBorder="1" applyAlignment="1">
      <alignment horizontal="center"/>
    </xf>
    <xf numFmtId="178" fontId="5" fillId="0" borderId="43" xfId="42" applyNumberFormat="1" applyFont="1" applyFill="1" applyBorder="1" applyAlignment="1">
      <alignment/>
    </xf>
    <xf numFmtId="178" fontId="6" fillId="38" borderId="15" xfId="42" applyNumberFormat="1" applyFont="1" applyFill="1" applyBorder="1" applyAlignment="1">
      <alignment/>
    </xf>
    <xf numFmtId="178" fontId="5" fillId="38" borderId="16" xfId="42" applyNumberFormat="1" applyFont="1" applyFill="1" applyBorder="1" applyAlignment="1">
      <alignment/>
    </xf>
    <xf numFmtId="178" fontId="5" fillId="0" borderId="17" xfId="42" applyNumberFormat="1" applyFont="1" applyBorder="1" applyAlignment="1">
      <alignment/>
    </xf>
    <xf numFmtId="178" fontId="6" fillId="0" borderId="18" xfId="42" applyNumberFormat="1" applyFont="1" applyBorder="1" applyAlignment="1">
      <alignment horizontal="center"/>
    </xf>
    <xf numFmtId="0" fontId="2" fillId="39" borderId="42" xfId="0" applyFont="1" applyFill="1" applyBorder="1" applyAlignment="1">
      <alignment horizontal="center"/>
    </xf>
    <xf numFmtId="0" fontId="2" fillId="39" borderId="36" xfId="0" applyFont="1" applyFill="1" applyBorder="1" applyAlignment="1">
      <alignment horizontal="center"/>
    </xf>
    <xf numFmtId="0" fontId="2" fillId="39" borderId="30" xfId="0" applyFont="1" applyFill="1" applyBorder="1" applyAlignment="1">
      <alignment horizontal="center"/>
    </xf>
    <xf numFmtId="0" fontId="0" fillId="38" borderId="16" xfId="0" applyFont="1" applyFill="1" applyBorder="1" applyAlignment="1">
      <alignment/>
    </xf>
    <xf numFmtId="0" fontId="2" fillId="38" borderId="15" xfId="0" applyFont="1" applyFill="1" applyBorder="1" applyAlignment="1">
      <alignment/>
    </xf>
    <xf numFmtId="0" fontId="2" fillId="38" borderId="15" xfId="0" applyFont="1" applyFill="1" applyBorder="1" applyAlignment="1">
      <alignment horizontal="center"/>
    </xf>
    <xf numFmtId="0" fontId="2" fillId="38" borderId="42" xfId="0" applyFont="1" applyFill="1" applyBorder="1" applyAlignment="1">
      <alignment horizontal="center"/>
    </xf>
    <xf numFmtId="0" fontId="2" fillId="38" borderId="36" xfId="0" applyFont="1" applyFill="1" applyBorder="1" applyAlignment="1">
      <alignment horizontal="center"/>
    </xf>
    <xf numFmtId="0" fontId="2" fillId="38" borderId="30" xfId="0" applyFont="1" applyFill="1" applyBorder="1" applyAlignment="1">
      <alignment horizontal="center"/>
    </xf>
    <xf numFmtId="178" fontId="2" fillId="38" borderId="30" xfId="42" applyNumberFormat="1" applyFont="1" applyFill="1" applyBorder="1" applyAlignment="1">
      <alignment horizontal="right"/>
    </xf>
    <xf numFmtId="178" fontId="2" fillId="0" borderId="28" xfId="42" applyNumberFormat="1" applyFont="1" applyBorder="1" applyAlignment="1">
      <alignment horizontal="right"/>
    </xf>
    <xf numFmtId="178" fontId="2" fillId="0" borderId="45" xfId="42" applyNumberFormat="1" applyFont="1" applyBorder="1" applyAlignment="1">
      <alignment horizontal="right"/>
    </xf>
    <xf numFmtId="178" fontId="0" fillId="0" borderId="15" xfId="42" applyNumberFormat="1" applyFont="1" applyBorder="1" applyAlignment="1">
      <alignment horizontal="right"/>
    </xf>
    <xf numFmtId="178" fontId="0" fillId="0" borderId="43" xfId="42" applyNumberFormat="1" applyFont="1" applyBorder="1" applyAlignment="1">
      <alignment horizontal="right"/>
    </xf>
    <xf numFmtId="178" fontId="2" fillId="38" borderId="15" xfId="42" applyNumberFormat="1" applyFont="1" applyFill="1" applyBorder="1" applyAlignment="1">
      <alignment horizontal="right"/>
    </xf>
    <xf numFmtId="178" fontId="2" fillId="0" borderId="15" xfId="42" applyNumberFormat="1" applyFont="1" applyFill="1" applyBorder="1" applyAlignment="1">
      <alignment horizontal="right"/>
    </xf>
    <xf numFmtId="178" fontId="2" fillId="0" borderId="43" xfId="42" applyNumberFormat="1" applyFont="1" applyFill="1" applyBorder="1" applyAlignment="1">
      <alignment horizontal="right"/>
    </xf>
    <xf numFmtId="178" fontId="2" fillId="38" borderId="43" xfId="42" applyNumberFormat="1" applyFont="1" applyFill="1" applyBorder="1" applyAlignment="1">
      <alignment horizontal="right"/>
    </xf>
    <xf numFmtId="178" fontId="0" fillId="38" borderId="15" xfId="42" applyNumberFormat="1" applyFont="1" applyFill="1" applyBorder="1" applyAlignment="1">
      <alignment horizontal="right"/>
    </xf>
    <xf numFmtId="178" fontId="0" fillId="38" borderId="43" xfId="42" applyNumberFormat="1" applyFont="1" applyFill="1" applyBorder="1" applyAlignment="1">
      <alignment horizontal="right"/>
    </xf>
    <xf numFmtId="178" fontId="0" fillId="0" borderId="18" xfId="42" applyNumberFormat="1" applyFont="1" applyBorder="1" applyAlignment="1">
      <alignment horizontal="right"/>
    </xf>
    <xf numFmtId="178" fontId="0" fillId="0" borderId="41" xfId="42" applyNumberFormat="1" applyFont="1" applyBorder="1" applyAlignment="1">
      <alignment horizontal="right"/>
    </xf>
    <xf numFmtId="178" fontId="7" fillId="0" borderId="16" xfId="42" applyNumberFormat="1" applyFont="1" applyBorder="1" applyAlignment="1">
      <alignment/>
    </xf>
    <xf numFmtId="178" fontId="0" fillId="0" borderId="43" xfId="42" applyNumberFormat="1" applyFont="1" applyBorder="1" applyAlignment="1">
      <alignment/>
    </xf>
    <xf numFmtId="178" fontId="8" fillId="0" borderId="15" xfId="42" applyNumberFormat="1" applyFont="1" applyBorder="1" applyAlignment="1">
      <alignment/>
    </xf>
    <xf numFmtId="178" fontId="8" fillId="0" borderId="43" xfId="42" applyNumberFormat="1" applyFont="1" applyBorder="1" applyAlignment="1">
      <alignment/>
    </xf>
    <xf numFmtId="178" fontId="2" fillId="0" borderId="15" xfId="42" applyNumberFormat="1" applyFont="1" applyBorder="1" applyAlignment="1">
      <alignment/>
    </xf>
    <xf numFmtId="178" fontId="2" fillId="0" borderId="43" xfId="42" applyNumberFormat="1" applyFont="1" applyBorder="1" applyAlignment="1">
      <alignment/>
    </xf>
    <xf numFmtId="178" fontId="2" fillId="0" borderId="16" xfId="42" applyNumberFormat="1" applyFont="1" applyBorder="1" applyAlignment="1">
      <alignment/>
    </xf>
    <xf numFmtId="178" fontId="0" fillId="0" borderId="16" xfId="42" applyNumberFormat="1" applyFont="1" applyBorder="1" applyAlignment="1">
      <alignment/>
    </xf>
    <xf numFmtId="178" fontId="0" fillId="0" borderId="17" xfId="42" applyNumberFormat="1" applyFont="1" applyBorder="1" applyAlignment="1">
      <alignment/>
    </xf>
    <xf numFmtId="178" fontId="0" fillId="0" borderId="22" xfId="42" applyNumberFormat="1" applyFont="1" applyBorder="1" applyAlignment="1">
      <alignment/>
    </xf>
    <xf numFmtId="178" fontId="8" fillId="0" borderId="50" xfId="42" applyNumberFormat="1" applyFont="1" applyBorder="1" applyAlignment="1">
      <alignment/>
    </xf>
    <xf numFmtId="178" fontId="0" fillId="0" borderId="50" xfId="42" applyNumberFormat="1" applyFont="1" applyBorder="1" applyAlignment="1">
      <alignment/>
    </xf>
    <xf numFmtId="178" fontId="0" fillId="0" borderId="51" xfId="42" applyNumberFormat="1" applyFont="1" applyBorder="1" applyAlignment="1">
      <alignment/>
    </xf>
    <xf numFmtId="178" fontId="0" fillId="0" borderId="18" xfId="42" applyNumberFormat="1" applyFont="1" applyBorder="1" applyAlignment="1">
      <alignment/>
    </xf>
    <xf numFmtId="178" fontId="0" fillId="0" borderId="41" xfId="42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67" xfId="0" applyNumberForma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3" fontId="2" fillId="38" borderId="32" xfId="0" applyNumberFormat="1" applyFont="1" applyFill="1" applyBorder="1" applyAlignment="1">
      <alignment/>
    </xf>
    <xf numFmtId="0" fontId="2" fillId="38" borderId="52" xfId="0" applyFont="1" applyFill="1" applyBorder="1" applyAlignment="1">
      <alignment horizontal="center"/>
    </xf>
    <xf numFmtId="0" fontId="2" fillId="38" borderId="53" xfId="0" applyFont="1" applyFill="1" applyBorder="1" applyAlignment="1">
      <alignment horizontal="center"/>
    </xf>
    <xf numFmtId="0" fontId="2" fillId="38" borderId="54" xfId="0" applyFont="1" applyFill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41" xfId="0" applyFont="1" applyBorder="1" applyAlignment="1">
      <alignment/>
    </xf>
    <xf numFmtId="0" fontId="2" fillId="37" borderId="65" xfId="0" applyFont="1" applyFill="1" applyBorder="1" applyAlignment="1">
      <alignment/>
    </xf>
    <xf numFmtId="0" fontId="2" fillId="37" borderId="66" xfId="0" applyFont="1" applyFill="1" applyBorder="1" applyAlignment="1">
      <alignment horizontal="center"/>
    </xf>
    <xf numFmtId="0" fontId="2" fillId="37" borderId="66" xfId="0" applyFont="1" applyFill="1" applyBorder="1" applyAlignment="1">
      <alignment/>
    </xf>
    <xf numFmtId="41" fontId="17" fillId="37" borderId="66" xfId="0" applyNumberFormat="1" applyFont="1" applyFill="1" applyBorder="1" applyAlignment="1">
      <alignment/>
    </xf>
    <xf numFmtId="41" fontId="4" fillId="0" borderId="43" xfId="0" applyNumberFormat="1" applyFont="1" applyFill="1" applyBorder="1" applyAlignment="1">
      <alignment/>
    </xf>
    <xf numFmtId="178" fontId="10" fillId="0" borderId="22" xfId="42" applyNumberFormat="1" applyFont="1" applyFill="1" applyBorder="1" applyAlignment="1">
      <alignment/>
    </xf>
    <xf numFmtId="178" fontId="10" fillId="0" borderId="50" xfId="42" applyNumberFormat="1" applyFont="1" applyFill="1" applyBorder="1" applyAlignment="1">
      <alignment/>
    </xf>
    <xf numFmtId="178" fontId="10" fillId="0" borderId="16" xfId="42" applyNumberFormat="1" applyFont="1" applyFill="1" applyBorder="1" applyAlignment="1">
      <alignment/>
    </xf>
    <xf numFmtId="178" fontId="10" fillId="0" borderId="15" xfId="42" applyNumberFormat="1" applyFont="1" applyFill="1" applyBorder="1" applyAlignment="1">
      <alignment/>
    </xf>
    <xf numFmtId="0" fontId="2" fillId="37" borderId="65" xfId="0" applyFont="1" applyFill="1" applyBorder="1" applyAlignment="1">
      <alignment horizontal="center"/>
    </xf>
    <xf numFmtId="0" fontId="0" fillId="37" borderId="66" xfId="0" applyFill="1" applyBorder="1" applyAlignment="1">
      <alignment horizontal="center"/>
    </xf>
    <xf numFmtId="178" fontId="9" fillId="37" borderId="70" xfId="42" applyNumberFormat="1" applyFont="1" applyFill="1" applyBorder="1" applyAlignment="1">
      <alignment horizontal="center"/>
    </xf>
    <xf numFmtId="178" fontId="10" fillId="0" borderId="43" xfId="42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78" fontId="9" fillId="0" borderId="41" xfId="42" applyNumberFormat="1" applyFont="1" applyFill="1" applyBorder="1" applyAlignment="1">
      <alignment/>
    </xf>
    <xf numFmtId="178" fontId="4" fillId="0" borderId="35" xfId="42" applyNumberFormat="1" applyFont="1" applyBorder="1" applyAlignment="1">
      <alignment/>
    </xf>
    <xf numFmtId="178" fontId="4" fillId="0" borderId="28" xfId="42" applyNumberFormat="1" applyFont="1" applyBorder="1" applyAlignment="1">
      <alignment/>
    </xf>
    <xf numFmtId="178" fontId="4" fillId="0" borderId="28" xfId="42" applyNumberFormat="1" applyFont="1" applyFill="1" applyBorder="1" applyAlignment="1">
      <alignment/>
    </xf>
    <xf numFmtId="178" fontId="4" fillId="0" borderId="45" xfId="42" applyNumberFormat="1" applyFont="1" applyBorder="1" applyAlignment="1">
      <alignment/>
    </xf>
    <xf numFmtId="178" fontId="10" fillId="39" borderId="36" xfId="42" applyNumberFormat="1" applyFont="1" applyFill="1" applyBorder="1" applyAlignment="1">
      <alignment/>
    </xf>
    <xf numFmtId="178" fontId="10" fillId="39" borderId="30" xfId="42" applyNumberFormat="1" applyFont="1" applyFill="1" applyBorder="1" applyAlignment="1">
      <alignment/>
    </xf>
    <xf numFmtId="178" fontId="10" fillId="39" borderId="55" xfId="42" applyNumberFormat="1" applyFont="1" applyFill="1" applyBorder="1" applyAlignment="1">
      <alignment/>
    </xf>
    <xf numFmtId="178" fontId="4" fillId="0" borderId="71" xfId="42" applyNumberFormat="1" applyFont="1" applyBorder="1" applyAlignment="1">
      <alignment/>
    </xf>
    <xf numFmtId="178" fontId="10" fillId="33" borderId="36" xfId="42" applyNumberFormat="1" applyFont="1" applyFill="1" applyBorder="1" applyAlignment="1">
      <alignment/>
    </xf>
    <xf numFmtId="178" fontId="10" fillId="33" borderId="30" xfId="42" applyNumberFormat="1" applyFont="1" applyFill="1" applyBorder="1" applyAlignment="1">
      <alignment/>
    </xf>
    <xf numFmtId="0" fontId="2" fillId="39" borderId="55" xfId="0" applyFont="1" applyFill="1" applyBorder="1" applyAlignment="1">
      <alignment horizontal="center"/>
    </xf>
    <xf numFmtId="178" fontId="0" fillId="0" borderId="16" xfId="42" applyNumberFormat="1" applyFont="1" applyFill="1" applyBorder="1" applyAlignment="1">
      <alignment/>
    </xf>
    <xf numFmtId="178" fontId="0" fillId="0" borderId="17" xfId="42" applyNumberFormat="1" applyFont="1" applyFill="1" applyBorder="1" applyAlignment="1">
      <alignment/>
    </xf>
    <xf numFmtId="0" fontId="0" fillId="37" borderId="55" xfId="0" applyFill="1" applyBorder="1" applyAlignment="1">
      <alignment/>
    </xf>
    <xf numFmtId="0" fontId="0" fillId="39" borderId="52" xfId="0" applyFill="1" applyBorder="1" applyAlignment="1">
      <alignment/>
    </xf>
    <xf numFmtId="0" fontId="0" fillId="39" borderId="53" xfId="0" applyFill="1" applyBorder="1" applyAlignment="1">
      <alignment/>
    </xf>
    <xf numFmtId="0" fontId="0" fillId="39" borderId="54" xfId="0" applyFill="1" applyBorder="1" applyAlignment="1">
      <alignment/>
    </xf>
    <xf numFmtId="0" fontId="2" fillId="37" borderId="36" xfId="0" applyFont="1" applyFill="1" applyBorder="1" applyAlignment="1">
      <alignment/>
    </xf>
    <xf numFmtId="0" fontId="2" fillId="37" borderId="30" xfId="0" applyFont="1" applyFill="1" applyBorder="1" applyAlignment="1">
      <alignment/>
    </xf>
    <xf numFmtId="0" fontId="0" fillId="37" borderId="72" xfId="0" applyFill="1" applyBorder="1" applyAlignment="1">
      <alignment/>
    </xf>
    <xf numFmtId="178" fontId="2" fillId="37" borderId="36" xfId="0" applyNumberFormat="1" applyFont="1" applyFill="1" applyBorder="1" applyAlignment="1">
      <alignment/>
    </xf>
    <xf numFmtId="1" fontId="9" fillId="39" borderId="73" xfId="0" applyNumberFormat="1" applyFont="1" applyFill="1" applyBorder="1" applyAlignment="1">
      <alignment horizontal="center" vertical="justify"/>
    </xf>
    <xf numFmtId="1" fontId="9" fillId="39" borderId="34" xfId="0" applyNumberFormat="1" applyFont="1" applyFill="1" applyBorder="1" applyAlignment="1">
      <alignment horizontal="center"/>
    </xf>
    <xf numFmtId="1" fontId="9" fillId="39" borderId="27" xfId="0" applyNumberFormat="1" applyFont="1" applyFill="1" applyBorder="1" applyAlignment="1">
      <alignment horizontal="center"/>
    </xf>
    <xf numFmtId="1" fontId="9" fillId="39" borderId="74" xfId="0" applyNumberFormat="1" applyFont="1" applyFill="1" applyBorder="1" applyAlignment="1">
      <alignment horizontal="center"/>
    </xf>
    <xf numFmtId="1" fontId="9" fillId="39" borderId="58" xfId="0" applyNumberFormat="1" applyFont="1" applyFill="1" applyBorder="1" applyAlignment="1">
      <alignment horizontal="center"/>
    </xf>
    <xf numFmtId="1" fontId="9" fillId="39" borderId="31" xfId="0" applyNumberFormat="1" applyFont="1" applyFill="1" applyBorder="1" applyAlignment="1">
      <alignment horizontal="center"/>
    </xf>
    <xf numFmtId="1" fontId="9" fillId="39" borderId="18" xfId="0" applyNumberFormat="1" applyFont="1" applyFill="1" applyBorder="1" applyAlignment="1">
      <alignment/>
    </xf>
    <xf numFmtId="0" fontId="10" fillId="37" borderId="36" xfId="0" applyFont="1" applyFill="1" applyBorder="1" applyAlignment="1">
      <alignment/>
    </xf>
    <xf numFmtId="178" fontId="9" fillId="37" borderId="30" xfId="42" applyNumberFormat="1" applyFont="1" applyFill="1" applyBorder="1" applyAlignment="1">
      <alignment/>
    </xf>
    <xf numFmtId="178" fontId="9" fillId="37" borderId="75" xfId="0" applyNumberFormat="1" applyFont="1" applyFill="1" applyBorder="1" applyAlignment="1">
      <alignment/>
    </xf>
    <xf numFmtId="178" fontId="9" fillId="37" borderId="32" xfId="42" applyNumberFormat="1" applyFont="1" applyFill="1" applyBorder="1" applyAlignment="1">
      <alignment/>
    </xf>
    <xf numFmtId="0" fontId="9" fillId="38" borderId="42" xfId="0" applyFont="1" applyFill="1" applyBorder="1" applyAlignment="1">
      <alignment horizontal="center"/>
    </xf>
    <xf numFmtId="0" fontId="9" fillId="38" borderId="75" xfId="0" applyFont="1" applyFill="1" applyBorder="1" applyAlignment="1">
      <alignment horizontal="center"/>
    </xf>
    <xf numFmtId="169" fontId="9" fillId="38" borderId="63" xfId="0" applyNumberFormat="1" applyFont="1" applyFill="1" applyBorder="1" applyAlignment="1">
      <alignment horizontal="center"/>
    </xf>
    <xf numFmtId="169" fontId="9" fillId="38" borderId="21" xfId="0" applyNumberFormat="1" applyFont="1" applyFill="1" applyBorder="1" applyAlignment="1">
      <alignment horizontal="center"/>
    </xf>
    <xf numFmtId="0" fontId="9" fillId="38" borderId="63" xfId="0" applyFont="1" applyFill="1" applyBorder="1" applyAlignment="1">
      <alignment horizontal="center"/>
    </xf>
    <xf numFmtId="0" fontId="9" fillId="38" borderId="32" xfId="0" applyFont="1" applyFill="1" applyBorder="1" applyAlignment="1">
      <alignment horizontal="center"/>
    </xf>
    <xf numFmtId="169" fontId="9" fillId="38" borderId="64" xfId="0" applyNumberFormat="1" applyFont="1" applyFill="1" applyBorder="1" applyAlignment="1">
      <alignment horizontal="center"/>
    </xf>
    <xf numFmtId="169" fontId="9" fillId="38" borderId="14" xfId="0" applyNumberFormat="1" applyFont="1" applyFill="1" applyBorder="1" applyAlignment="1">
      <alignment horizontal="center"/>
    </xf>
    <xf numFmtId="0" fontId="9" fillId="38" borderId="64" xfId="0" applyFont="1" applyFill="1" applyBorder="1" applyAlignment="1">
      <alignment horizontal="center"/>
    </xf>
    <xf numFmtId="0" fontId="10" fillId="38" borderId="63" xfId="0" applyFont="1" applyFill="1" applyBorder="1" applyAlignment="1">
      <alignment horizontal="center"/>
    </xf>
    <xf numFmtId="0" fontId="10" fillId="38" borderId="21" xfId="0" applyFont="1" applyFill="1" applyBorder="1" applyAlignment="1">
      <alignment horizontal="center"/>
    </xf>
    <xf numFmtId="0" fontId="10" fillId="38" borderId="64" xfId="0" applyFont="1" applyFill="1" applyBorder="1" applyAlignment="1">
      <alignment horizontal="center"/>
    </xf>
    <xf numFmtId="169" fontId="9" fillId="38" borderId="19" xfId="0" applyNumberFormat="1" applyFont="1" applyFill="1" applyBorder="1" applyAlignment="1">
      <alignment horizontal="center"/>
    </xf>
    <xf numFmtId="169" fontId="13" fillId="38" borderId="12" xfId="0" applyNumberFormat="1" applyFont="1" applyFill="1" applyBorder="1" applyAlignment="1">
      <alignment/>
    </xf>
    <xf numFmtId="169" fontId="13" fillId="0" borderId="34" xfId="0" applyNumberFormat="1" applyFont="1" applyFill="1" applyBorder="1" applyAlignment="1">
      <alignment/>
    </xf>
    <xf numFmtId="169" fontId="13" fillId="0" borderId="74" xfId="0" applyNumberFormat="1" applyFont="1" applyFill="1" applyBorder="1" applyAlignment="1">
      <alignment/>
    </xf>
    <xf numFmtId="0" fontId="10" fillId="38" borderId="76" xfId="0" applyFont="1" applyFill="1" applyBorder="1" applyAlignment="1">
      <alignment horizontal="center"/>
    </xf>
    <xf numFmtId="0" fontId="10" fillId="38" borderId="11" xfId="0" applyFont="1" applyFill="1" applyBorder="1" applyAlignment="1">
      <alignment horizontal="center"/>
    </xf>
    <xf numFmtId="169" fontId="10" fillId="0" borderId="15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169" fontId="4" fillId="0" borderId="50" xfId="0" applyNumberFormat="1" applyFont="1" applyFill="1" applyBorder="1" applyAlignment="1">
      <alignment/>
    </xf>
    <xf numFmtId="169" fontId="11" fillId="0" borderId="51" xfId="0" applyNumberFormat="1" applyFont="1" applyFill="1" applyBorder="1" applyAlignment="1">
      <alignment/>
    </xf>
    <xf numFmtId="169" fontId="10" fillId="0" borderId="43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69" fontId="10" fillId="0" borderId="18" xfId="0" applyNumberFormat="1" applyFont="1" applyFill="1" applyBorder="1" applyAlignment="1">
      <alignment/>
    </xf>
    <xf numFmtId="169" fontId="10" fillId="0" borderId="41" xfId="0" applyNumberFormat="1" applyFont="1" applyFill="1" applyBorder="1" applyAlignment="1">
      <alignment/>
    </xf>
    <xf numFmtId="169" fontId="10" fillId="39" borderId="15" xfId="0" applyNumberFormat="1" applyFont="1" applyFill="1" applyBorder="1" applyAlignment="1">
      <alignment/>
    </xf>
    <xf numFmtId="169" fontId="10" fillId="39" borderId="43" xfId="0" applyNumberFormat="1" applyFont="1" applyFill="1" applyBorder="1" applyAlignment="1">
      <alignment/>
    </xf>
    <xf numFmtId="0" fontId="9" fillId="0" borderId="27" xfId="0" applyFont="1" applyFill="1" applyBorder="1" applyAlignment="1">
      <alignment horizontal="right"/>
    </xf>
    <xf numFmtId="169" fontId="0" fillId="0" borderId="28" xfId="0" applyNumberFormat="1" applyFont="1" applyFill="1" applyBorder="1" applyAlignment="1">
      <alignment/>
    </xf>
    <xf numFmtId="169" fontId="13" fillId="0" borderId="28" xfId="0" applyNumberFormat="1" applyFont="1" applyFill="1" applyBorder="1" applyAlignment="1">
      <alignment horizontal="right"/>
    </xf>
    <xf numFmtId="169" fontId="13" fillId="0" borderId="34" xfId="0" applyNumberFormat="1" applyFont="1" applyFill="1" applyBorder="1" applyAlignment="1">
      <alignment horizontal="right"/>
    </xf>
    <xf numFmtId="0" fontId="9" fillId="0" borderId="76" xfId="0" applyFont="1" applyFill="1" applyBorder="1" applyAlignment="1">
      <alignment/>
    </xf>
    <xf numFmtId="0" fontId="10" fillId="38" borderId="56" xfId="0" applyFont="1" applyFill="1" applyBorder="1" applyAlignment="1">
      <alignment horizontal="center"/>
    </xf>
    <xf numFmtId="0" fontId="10" fillId="38" borderId="75" xfId="0" applyFont="1" applyFill="1" applyBorder="1" applyAlignment="1">
      <alignment horizontal="center"/>
    </xf>
    <xf numFmtId="0" fontId="10" fillId="38" borderId="32" xfId="0" applyFont="1" applyFill="1" applyBorder="1" applyAlignment="1">
      <alignment horizontal="center"/>
    </xf>
    <xf numFmtId="0" fontId="0" fillId="0" borderId="71" xfId="0" applyFill="1" applyBorder="1" applyAlignment="1">
      <alignment/>
    </xf>
    <xf numFmtId="169" fontId="9" fillId="37" borderId="30" xfId="0" applyNumberFormat="1" applyFont="1" applyFill="1" applyBorder="1" applyAlignment="1">
      <alignment horizontal="right"/>
    </xf>
    <xf numFmtId="0" fontId="2" fillId="39" borderId="53" xfId="0" applyFont="1" applyFill="1" applyBorder="1" applyAlignment="1">
      <alignment/>
    </xf>
    <xf numFmtId="0" fontId="2" fillId="39" borderId="66" xfId="0" applyFont="1" applyFill="1" applyBorder="1" applyAlignment="1">
      <alignment/>
    </xf>
    <xf numFmtId="0" fontId="2" fillId="39" borderId="77" xfId="0" applyFont="1" applyFill="1" applyBorder="1" applyAlignment="1">
      <alignment/>
    </xf>
    <xf numFmtId="178" fontId="2" fillId="39" borderId="72" xfId="42" applyNumberFormat="1" applyFont="1" applyFill="1" applyBorder="1" applyAlignment="1">
      <alignment horizontal="center"/>
    </xf>
    <xf numFmtId="0" fontId="10" fillId="37" borderId="36" xfId="0" applyFont="1" applyFill="1" applyBorder="1" applyAlignment="1">
      <alignment/>
    </xf>
    <xf numFmtId="0" fontId="10" fillId="37" borderId="30" xfId="0" applyFont="1" applyFill="1" applyBorder="1" applyAlignment="1">
      <alignment/>
    </xf>
    <xf numFmtId="178" fontId="9" fillId="37" borderId="30" xfId="42" applyNumberFormat="1" applyFont="1" applyFill="1" applyBorder="1" applyAlignment="1">
      <alignment/>
    </xf>
    <xf numFmtId="178" fontId="4" fillId="37" borderId="30" xfId="42" applyNumberFormat="1" applyFont="1" applyFill="1" applyBorder="1" applyAlignment="1">
      <alignment/>
    </xf>
    <xf numFmtId="178" fontId="6" fillId="37" borderId="55" xfId="42" applyNumberFormat="1" applyFont="1" applyFill="1" applyBorder="1" applyAlignment="1">
      <alignment/>
    </xf>
    <xf numFmtId="178" fontId="0" fillId="37" borderId="32" xfId="42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2" fillId="39" borderId="63" xfId="0" applyFont="1" applyFill="1" applyBorder="1" applyAlignment="1">
      <alignment horizontal="center"/>
    </xf>
    <xf numFmtId="0" fontId="2" fillId="39" borderId="75" xfId="0" applyFont="1" applyFill="1" applyBorder="1" applyAlignment="1">
      <alignment horizontal="center"/>
    </xf>
    <xf numFmtId="169" fontId="10" fillId="39" borderId="63" xfId="0" applyNumberFormat="1" applyFont="1" applyFill="1" applyBorder="1" applyAlignment="1">
      <alignment horizontal="center"/>
    </xf>
    <xf numFmtId="169" fontId="2" fillId="39" borderId="63" xfId="0" applyNumberFormat="1" applyFont="1" applyFill="1" applyBorder="1" applyAlignment="1">
      <alignment horizontal="center"/>
    </xf>
    <xf numFmtId="0" fontId="2" fillId="39" borderId="64" xfId="0" applyFont="1" applyFill="1" applyBorder="1" applyAlignment="1">
      <alignment horizontal="center"/>
    </xf>
    <xf numFmtId="0" fontId="2" fillId="39" borderId="32" xfId="0" applyFont="1" applyFill="1" applyBorder="1" applyAlignment="1">
      <alignment horizontal="center"/>
    </xf>
    <xf numFmtId="169" fontId="10" fillId="39" borderId="64" xfId="0" applyNumberFormat="1" applyFont="1" applyFill="1" applyBorder="1" applyAlignment="1">
      <alignment horizontal="center"/>
    </xf>
    <xf numFmtId="169" fontId="2" fillId="39" borderId="64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4" fillId="39" borderId="18" xfId="0" applyNumberFormat="1" applyFont="1" applyFill="1" applyBorder="1" applyAlignment="1">
      <alignment vertical="justify"/>
    </xf>
    <xf numFmtId="0" fontId="4" fillId="0" borderId="36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center"/>
    </xf>
    <xf numFmtId="3" fontId="39" fillId="0" borderId="30" xfId="0" applyNumberFormat="1" applyFont="1" applyFill="1" applyBorder="1" applyAlignment="1">
      <alignment horizontal="center"/>
    </xf>
    <xf numFmtId="3" fontId="4" fillId="0" borderId="72" xfId="0" applyNumberFormat="1" applyFont="1" applyFill="1" applyBorder="1" applyAlignment="1">
      <alignment horizontal="center"/>
    </xf>
    <xf numFmtId="3" fontId="0" fillId="0" borderId="55" xfId="0" applyNumberFormat="1" applyFill="1" applyBorder="1" applyAlignment="1">
      <alignment/>
    </xf>
    <xf numFmtId="0" fontId="4" fillId="0" borderId="35" xfId="0" applyFont="1" applyBorder="1" applyAlignment="1">
      <alignment/>
    </xf>
    <xf numFmtId="0" fontId="10" fillId="0" borderId="28" xfId="0" applyFont="1" applyBorder="1" applyAlignment="1">
      <alignment/>
    </xf>
    <xf numFmtId="49" fontId="10" fillId="0" borderId="28" xfId="0" applyNumberFormat="1" applyFont="1" applyBorder="1" applyAlignment="1">
      <alignment horizontal="right"/>
    </xf>
    <xf numFmtId="178" fontId="4" fillId="0" borderId="27" xfId="42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178" fontId="4" fillId="0" borderId="34" xfId="42" applyNumberFormat="1" applyFont="1" applyBorder="1" applyAlignment="1">
      <alignment/>
    </xf>
    <xf numFmtId="178" fontId="10" fillId="0" borderId="34" xfId="42" applyNumberFormat="1" applyFont="1" applyBorder="1" applyAlignment="1">
      <alignment/>
    </xf>
    <xf numFmtId="178" fontId="0" fillId="0" borderId="45" xfId="42" applyNumberFormat="1" applyFont="1" applyBorder="1" applyAlignment="1">
      <alignment/>
    </xf>
    <xf numFmtId="49" fontId="4" fillId="0" borderId="15" xfId="0" applyNumberFormat="1" applyFont="1" applyBorder="1" applyAlignment="1">
      <alignment horizontal="right"/>
    </xf>
    <xf numFmtId="178" fontId="4" fillId="0" borderId="31" xfId="42" applyNumberFormat="1" applyFont="1" applyBorder="1" applyAlignment="1">
      <alignment/>
    </xf>
    <xf numFmtId="178" fontId="4" fillId="0" borderId="74" xfId="42" applyNumberFormat="1" applyFont="1" applyBorder="1" applyAlignment="1">
      <alignment/>
    </xf>
    <xf numFmtId="0" fontId="10" fillId="16" borderId="40" xfId="0" applyFont="1" applyFill="1" applyBorder="1" applyAlignment="1">
      <alignment/>
    </xf>
    <xf numFmtId="49" fontId="4" fillId="16" borderId="23" xfId="0" applyNumberFormat="1" applyFont="1" applyFill="1" applyBorder="1" applyAlignment="1">
      <alignment horizontal="right"/>
    </xf>
    <xf numFmtId="178" fontId="4" fillId="16" borderId="42" xfId="42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49" fontId="10" fillId="0" borderId="15" xfId="0" applyNumberFormat="1" applyFont="1" applyBorder="1" applyAlignment="1">
      <alignment horizontal="right"/>
    </xf>
    <xf numFmtId="0" fontId="4" fillId="0" borderId="44" xfId="0" applyFont="1" applyBorder="1" applyAlignment="1">
      <alignment/>
    </xf>
    <xf numFmtId="0" fontId="4" fillId="37" borderId="40" xfId="0" applyFont="1" applyFill="1" applyBorder="1" applyAlignment="1">
      <alignment/>
    </xf>
    <xf numFmtId="49" fontId="4" fillId="0" borderId="40" xfId="0" applyNumberFormat="1" applyFont="1" applyBorder="1" applyAlignment="1">
      <alignment horizontal="right"/>
    </xf>
    <xf numFmtId="0" fontId="13" fillId="0" borderId="28" xfId="0" applyFont="1" applyFill="1" applyBorder="1" applyAlignment="1">
      <alignment horizontal="left"/>
    </xf>
    <xf numFmtId="49" fontId="13" fillId="0" borderId="28" xfId="0" applyNumberFormat="1" applyFont="1" applyFill="1" applyBorder="1" applyAlignment="1">
      <alignment horizontal="right"/>
    </xf>
    <xf numFmtId="1" fontId="13" fillId="0" borderId="15" xfId="0" applyNumberFormat="1" applyFont="1" applyFill="1" applyBorder="1" applyAlignment="1">
      <alignment horizontal="left"/>
    </xf>
    <xf numFmtId="49" fontId="13" fillId="0" borderId="15" xfId="0" applyNumberFormat="1" applyFont="1" applyFill="1" applyBorder="1" applyAlignment="1">
      <alignment horizontal="right"/>
    </xf>
    <xf numFmtId="1" fontId="13" fillId="0" borderId="15" xfId="0" applyNumberFormat="1" applyFont="1" applyFill="1" applyBorder="1" applyAlignment="1">
      <alignment/>
    </xf>
    <xf numFmtId="0" fontId="4" fillId="37" borderId="15" xfId="0" applyFont="1" applyFill="1" applyBorder="1" applyAlignment="1">
      <alignment/>
    </xf>
    <xf numFmtId="178" fontId="4" fillId="0" borderId="25" xfId="42" applyNumberFormat="1" applyFont="1" applyBorder="1" applyAlignment="1">
      <alignment/>
    </xf>
    <xf numFmtId="0" fontId="10" fillId="16" borderId="15" xfId="0" applyFont="1" applyFill="1" applyBorder="1" applyAlignment="1">
      <alignment/>
    </xf>
    <xf numFmtId="49" fontId="13" fillId="16" borderId="15" xfId="0" applyNumberFormat="1" applyFont="1" applyFill="1" applyBorder="1" applyAlignment="1">
      <alignment horizontal="right"/>
    </xf>
    <xf numFmtId="178" fontId="10" fillId="16" borderId="57" xfId="42" applyNumberFormat="1" applyFont="1" applyFill="1" applyBorder="1" applyAlignment="1">
      <alignment/>
    </xf>
    <xf numFmtId="0" fontId="10" fillId="16" borderId="57" xfId="0" applyFont="1" applyFill="1" applyBorder="1" applyAlignment="1">
      <alignment/>
    </xf>
    <xf numFmtId="178" fontId="10" fillId="16" borderId="75" xfId="42" applyNumberFormat="1" applyFont="1" applyFill="1" applyBorder="1" applyAlignment="1">
      <alignment/>
    </xf>
    <xf numFmtId="1" fontId="10" fillId="0" borderId="15" xfId="0" applyNumberFormat="1" applyFont="1" applyFill="1" applyBorder="1" applyAlignment="1">
      <alignment horizontal="left" vertical="justify"/>
    </xf>
    <xf numFmtId="49" fontId="10" fillId="0" borderId="15" xfId="0" applyNumberFormat="1" applyFont="1" applyFill="1" applyBorder="1" applyAlignment="1">
      <alignment horizontal="right"/>
    </xf>
    <xf numFmtId="178" fontId="4" fillId="0" borderId="73" xfId="42" applyNumberFormat="1" applyFont="1" applyBorder="1" applyAlignment="1">
      <alignment/>
    </xf>
    <xf numFmtId="178" fontId="4" fillId="0" borderId="78" xfId="42" applyNumberFormat="1" applyFont="1" applyBorder="1" applyAlignment="1">
      <alignment/>
    </xf>
    <xf numFmtId="1" fontId="4" fillId="0" borderId="15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left"/>
    </xf>
    <xf numFmtId="178" fontId="4" fillId="0" borderId="15" xfId="42" applyNumberFormat="1" applyFont="1" applyFill="1" applyBorder="1" applyAlignment="1">
      <alignment horizontal="left"/>
    </xf>
    <xf numFmtId="49" fontId="4" fillId="0" borderId="15" xfId="42" applyNumberFormat="1" applyFont="1" applyFill="1" applyBorder="1" applyAlignment="1">
      <alignment horizontal="right"/>
    </xf>
    <xf numFmtId="178" fontId="10" fillId="16" borderId="15" xfId="42" applyNumberFormat="1" applyFont="1" applyFill="1" applyBorder="1" applyAlignment="1">
      <alignment horizontal="left"/>
    </xf>
    <xf numFmtId="49" fontId="4" fillId="16" borderId="74" xfId="42" applyNumberFormat="1" applyFont="1" applyFill="1" applyBorder="1" applyAlignment="1">
      <alignment horizontal="right"/>
    </xf>
    <xf numFmtId="178" fontId="10" fillId="0" borderId="15" xfId="42" applyNumberFormat="1" applyFont="1" applyFill="1" applyBorder="1" applyAlignment="1">
      <alignment horizontal="left"/>
    </xf>
    <xf numFmtId="178" fontId="4" fillId="37" borderId="40" xfId="42" applyNumberFormat="1" applyFont="1" applyFill="1" applyBorder="1" applyAlignment="1">
      <alignment/>
    </xf>
    <xf numFmtId="178" fontId="10" fillId="16" borderId="56" xfId="42" applyNumberFormat="1" applyFont="1" applyFill="1" applyBorder="1" applyAlignment="1">
      <alignment/>
    </xf>
    <xf numFmtId="0" fontId="4" fillId="0" borderId="65" xfId="0" applyFont="1" applyBorder="1" applyAlignment="1">
      <alignment/>
    </xf>
    <xf numFmtId="0" fontId="4" fillId="0" borderId="79" xfId="0" applyFont="1" applyBorder="1" applyAlignment="1">
      <alignment/>
    </xf>
    <xf numFmtId="178" fontId="4" fillId="0" borderId="79" xfId="42" applyNumberFormat="1" applyFont="1" applyBorder="1" applyAlignment="1">
      <alignment/>
    </xf>
    <xf numFmtId="178" fontId="4" fillId="0" borderId="66" xfId="42" applyNumberFormat="1" applyFont="1" applyBorder="1" applyAlignment="1">
      <alignment/>
    </xf>
    <xf numFmtId="178" fontId="4" fillId="0" borderId="77" xfId="42" applyNumberFormat="1" applyFont="1" applyBorder="1" applyAlignment="1">
      <alignment/>
    </xf>
    <xf numFmtId="3" fontId="4" fillId="0" borderId="66" xfId="0" applyNumberFormat="1" applyFont="1" applyBorder="1" applyAlignment="1">
      <alignment/>
    </xf>
    <xf numFmtId="178" fontId="4" fillId="40" borderId="32" xfId="42" applyNumberFormat="1" applyFont="1" applyFill="1" applyBorder="1" applyAlignment="1">
      <alignment/>
    </xf>
    <xf numFmtId="0" fontId="4" fillId="39" borderId="52" xfId="0" applyFont="1" applyFill="1" applyBorder="1" applyAlignment="1">
      <alignment horizontal="center" vertical="justify"/>
    </xf>
    <xf numFmtId="0" fontId="4" fillId="39" borderId="53" xfId="0" applyFont="1" applyFill="1" applyBorder="1" applyAlignment="1">
      <alignment horizontal="center" vertical="justify"/>
    </xf>
    <xf numFmtId="0" fontId="4" fillId="39" borderId="65" xfId="0" applyFont="1" applyFill="1" applyBorder="1" applyAlignment="1">
      <alignment horizontal="center" vertical="justify"/>
    </xf>
    <xf numFmtId="0" fontId="4" fillId="39" borderId="66" xfId="0" applyFont="1" applyFill="1" applyBorder="1" applyAlignment="1">
      <alignment horizontal="center" vertical="justify"/>
    </xf>
    <xf numFmtId="178" fontId="0" fillId="0" borderId="43" xfId="42" applyNumberFormat="1" applyFont="1" applyFill="1" applyBorder="1" applyAlignment="1">
      <alignment/>
    </xf>
    <xf numFmtId="9" fontId="0" fillId="0" borderId="0" xfId="0" applyNumberFormat="1" applyAlignment="1">
      <alignment/>
    </xf>
    <xf numFmtId="186" fontId="0" fillId="0" borderId="15" xfId="0" applyNumberFormat="1" applyBorder="1" applyAlignment="1">
      <alignment/>
    </xf>
    <xf numFmtId="0" fontId="0" fillId="33" borderId="15" xfId="0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73" xfId="0" applyFont="1" applyFill="1" applyBorder="1" applyAlignment="1">
      <alignment/>
    </xf>
    <xf numFmtId="3" fontId="2" fillId="37" borderId="0" xfId="0" applyNumberFormat="1" applyFont="1" applyFill="1" applyAlignment="1">
      <alignment/>
    </xf>
    <xf numFmtId="0" fontId="106" fillId="0" borderId="0" xfId="0" applyFont="1" applyAlignment="1">
      <alignment/>
    </xf>
    <xf numFmtId="0" fontId="106" fillId="0" borderId="15" xfId="0" applyFont="1" applyBorder="1" applyAlignment="1">
      <alignment/>
    </xf>
    <xf numFmtId="0" fontId="80" fillId="0" borderId="0" xfId="0" applyFont="1" applyAlignment="1">
      <alignment/>
    </xf>
    <xf numFmtId="0" fontId="107" fillId="0" borderId="0" xfId="0" applyFont="1" applyAlignment="1">
      <alignment/>
    </xf>
    <xf numFmtId="0" fontId="40" fillId="0" borderId="15" xfId="0" applyFont="1" applyFill="1" applyBorder="1" applyAlignment="1">
      <alignment horizontal="center"/>
    </xf>
    <xf numFmtId="0" fontId="40" fillId="0" borderId="15" xfId="0" applyFont="1" applyBorder="1" applyAlignment="1">
      <alignment/>
    </xf>
    <xf numFmtId="0" fontId="40" fillId="0" borderId="15" xfId="0" applyFont="1" applyBorder="1" applyAlignment="1">
      <alignment horizontal="center"/>
    </xf>
    <xf numFmtId="0" fontId="40" fillId="0" borderId="15" xfId="0" applyFont="1" applyBorder="1" applyAlignment="1">
      <alignment horizontal="left" indent="1"/>
    </xf>
    <xf numFmtId="3" fontId="40" fillId="0" borderId="15" xfId="0" applyNumberFormat="1" applyFont="1" applyBorder="1" applyAlignment="1">
      <alignment/>
    </xf>
    <xf numFmtId="0" fontId="40" fillId="0" borderId="15" xfId="0" applyFont="1" applyBorder="1" applyAlignment="1">
      <alignment vertical="center"/>
    </xf>
    <xf numFmtId="0" fontId="40" fillId="0" borderId="15" xfId="0" applyFont="1" applyBorder="1" applyAlignment="1">
      <alignment vertical="center" wrapText="1"/>
    </xf>
    <xf numFmtId="0" fontId="40" fillId="0" borderId="15" xfId="0" applyFont="1" applyBorder="1" applyAlignment="1">
      <alignment horizontal="center" wrapText="1"/>
    </xf>
    <xf numFmtId="0" fontId="40" fillId="0" borderId="15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center" wrapText="1"/>
    </xf>
    <xf numFmtId="0" fontId="40" fillId="0" borderId="15" xfId="0" applyFont="1" applyBorder="1" applyAlignment="1">
      <alignment wrapText="1"/>
    </xf>
    <xf numFmtId="0" fontId="42" fillId="0" borderId="15" xfId="0" applyFont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15" xfId="0" applyFont="1" applyFill="1" applyBorder="1" applyAlignment="1">
      <alignment/>
    </xf>
    <xf numFmtId="3" fontId="43" fillId="0" borderId="15" xfId="0" applyNumberFormat="1" applyFont="1" applyFill="1" applyBorder="1" applyAlignment="1">
      <alignment/>
    </xf>
    <xf numFmtId="0" fontId="43" fillId="0" borderId="15" xfId="0" applyFont="1" applyBorder="1" applyAlignment="1">
      <alignment/>
    </xf>
    <xf numFmtId="0" fontId="43" fillId="0" borderId="15" xfId="0" applyFont="1" applyFill="1" applyBorder="1" applyAlignment="1">
      <alignment horizontal="right"/>
    </xf>
    <xf numFmtId="3" fontId="43" fillId="0" borderId="15" xfId="0" applyNumberFormat="1" applyFont="1" applyBorder="1" applyAlignment="1">
      <alignment/>
    </xf>
    <xf numFmtId="0" fontId="43" fillId="0" borderId="15" xfId="0" applyFont="1" applyBorder="1" applyAlignment="1">
      <alignment horizontal="left" indent="2"/>
    </xf>
    <xf numFmtId="0" fontId="44" fillId="0" borderId="15" xfId="0" applyFont="1" applyBorder="1" applyAlignment="1">
      <alignment/>
    </xf>
    <xf numFmtId="0" fontId="44" fillId="0" borderId="0" xfId="0" applyFont="1" applyBorder="1" applyAlignment="1">
      <alignment/>
    </xf>
    <xf numFmtId="0" fontId="108" fillId="0" borderId="15" xfId="0" applyFont="1" applyBorder="1" applyAlignment="1">
      <alignment/>
    </xf>
    <xf numFmtId="0" fontId="109" fillId="0" borderId="15" xfId="0" applyFont="1" applyBorder="1" applyAlignment="1">
      <alignment/>
    </xf>
    <xf numFmtId="0" fontId="109" fillId="0" borderId="15" xfId="0" applyFont="1" applyBorder="1" applyAlignment="1">
      <alignment horizontal="left" indent="2"/>
    </xf>
    <xf numFmtId="0" fontId="44" fillId="0" borderId="15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83" fillId="0" borderId="0" xfId="0" applyFont="1" applyAlignment="1">
      <alignment/>
    </xf>
    <xf numFmtId="0" fontId="83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178" fontId="13" fillId="0" borderId="74" xfId="42" applyNumberFormat="1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0" fillId="0" borderId="28" xfId="0" applyFill="1" applyBorder="1" applyAlignment="1">
      <alignment/>
    </xf>
    <xf numFmtId="14" fontId="0" fillId="0" borderId="28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14" fontId="0" fillId="0" borderId="45" xfId="0" applyNumberForma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13" fillId="0" borderId="73" xfId="0" applyFont="1" applyFill="1" applyBorder="1" applyAlignment="1">
      <alignment/>
    </xf>
    <xf numFmtId="0" fontId="0" fillId="0" borderId="74" xfId="0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1" xfId="0" applyFill="1" applyBorder="1" applyAlignment="1">
      <alignment/>
    </xf>
    <xf numFmtId="0" fontId="10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13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8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" fontId="10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" fontId="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79" xfId="0" applyFont="1" applyBorder="1" applyAlignment="1">
      <alignment/>
    </xf>
    <xf numFmtId="0" fontId="4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0" xfId="0" applyFont="1" applyAlignment="1">
      <alignment horizontal="center"/>
    </xf>
    <xf numFmtId="178" fontId="4" fillId="0" borderId="0" xfId="42" applyNumberFormat="1" applyFont="1" applyAlignment="1">
      <alignment/>
    </xf>
    <xf numFmtId="178" fontId="10" fillId="0" borderId="0" xfId="42" applyNumberFormat="1" applyFont="1" applyBorder="1" applyAlignment="1">
      <alignment/>
    </xf>
    <xf numFmtId="178" fontId="10" fillId="0" borderId="0" xfId="42" applyNumberFormat="1" applyFont="1" applyBorder="1" applyAlignment="1">
      <alignment/>
    </xf>
    <xf numFmtId="178" fontId="10" fillId="0" borderId="0" xfId="42" applyNumberFormat="1" applyFont="1" applyAlignment="1">
      <alignment/>
    </xf>
    <xf numFmtId="178" fontId="10" fillId="39" borderId="52" xfId="42" applyNumberFormat="1" applyFont="1" applyFill="1" applyBorder="1" applyAlignment="1">
      <alignment horizontal="center"/>
    </xf>
    <xf numFmtId="178" fontId="10" fillId="39" borderId="53" xfId="42" applyNumberFormat="1" applyFont="1" applyFill="1" applyBorder="1" applyAlignment="1">
      <alignment horizontal="center"/>
    </xf>
    <xf numFmtId="178" fontId="10" fillId="39" borderId="80" xfId="42" applyNumberFormat="1" applyFont="1" applyFill="1" applyBorder="1" applyAlignment="1">
      <alignment horizontal="center"/>
    </xf>
    <xf numFmtId="178" fontId="10" fillId="39" borderId="81" xfId="42" applyNumberFormat="1" applyFont="1" applyFill="1" applyBorder="1" applyAlignment="1">
      <alignment horizontal="center"/>
    </xf>
    <xf numFmtId="178" fontId="10" fillId="39" borderId="73" xfId="42" applyNumberFormat="1" applyFont="1" applyFill="1" applyBorder="1" applyAlignment="1">
      <alignment horizontal="center"/>
    </xf>
    <xf numFmtId="178" fontId="10" fillId="39" borderId="40" xfId="42" applyNumberFormat="1" applyFont="1" applyFill="1" applyBorder="1" applyAlignment="1">
      <alignment horizontal="center"/>
    </xf>
    <xf numFmtId="178" fontId="10" fillId="39" borderId="33" xfId="42" applyNumberFormat="1" applyFont="1" applyFill="1" applyBorder="1" applyAlignment="1">
      <alignment horizontal="center"/>
    </xf>
    <xf numFmtId="178" fontId="10" fillId="39" borderId="65" xfId="42" applyNumberFormat="1" applyFont="1" applyFill="1" applyBorder="1" applyAlignment="1">
      <alignment horizontal="center"/>
    </xf>
    <xf numFmtId="178" fontId="10" fillId="39" borderId="66" xfId="42" applyNumberFormat="1" applyFont="1" applyFill="1" applyBorder="1" applyAlignment="1">
      <alignment horizontal="center"/>
    </xf>
    <xf numFmtId="178" fontId="10" fillId="39" borderId="79" xfId="42" applyNumberFormat="1" applyFont="1" applyFill="1" applyBorder="1" applyAlignment="1">
      <alignment horizontal="center"/>
    </xf>
    <xf numFmtId="178" fontId="4" fillId="0" borderId="22" xfId="42" applyNumberFormat="1" applyFont="1" applyBorder="1" applyAlignment="1">
      <alignment/>
    </xf>
    <xf numFmtId="178" fontId="4" fillId="0" borderId="50" xfId="42" applyNumberFormat="1" applyFont="1" applyBorder="1" applyAlignment="1">
      <alignment/>
    </xf>
    <xf numFmtId="178" fontId="4" fillId="0" borderId="23" xfId="42" applyNumberFormat="1" applyFont="1" applyBorder="1" applyAlignment="1">
      <alignment/>
    </xf>
    <xf numFmtId="178" fontId="4" fillId="37" borderId="36" xfId="42" applyNumberFormat="1" applyFont="1" applyFill="1" applyBorder="1" applyAlignment="1">
      <alignment/>
    </xf>
    <xf numFmtId="178" fontId="10" fillId="37" borderId="30" xfId="42" applyNumberFormat="1" applyFont="1" applyFill="1" applyBorder="1" applyAlignment="1">
      <alignment/>
    </xf>
    <xf numFmtId="178" fontId="10" fillId="37" borderId="72" xfId="42" applyNumberFormat="1" applyFont="1" applyFill="1" applyBorder="1" applyAlignment="1">
      <alignment/>
    </xf>
    <xf numFmtId="178" fontId="110" fillId="37" borderId="0" xfId="42" applyNumberFormat="1" applyFont="1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1" fontId="2" fillId="0" borderId="42" xfId="0" applyNumberFormat="1" applyFont="1" applyBorder="1" applyAlignment="1">
      <alignment horizontal="center"/>
    </xf>
    <xf numFmtId="1" fontId="2" fillId="0" borderId="56" xfId="0" applyNumberFormat="1" applyFont="1" applyBorder="1" applyAlignment="1">
      <alignment horizontal="center"/>
    </xf>
    <xf numFmtId="1" fontId="2" fillId="0" borderId="75" xfId="0" applyNumberFormat="1" applyFont="1" applyBorder="1" applyAlignment="1">
      <alignment horizontal="center"/>
    </xf>
    <xf numFmtId="1" fontId="2" fillId="0" borderId="61" xfId="0" applyNumberFormat="1" applyFont="1" applyBorder="1" applyAlignment="1">
      <alignment horizontal="center"/>
    </xf>
    <xf numFmtId="1" fontId="2" fillId="0" borderId="62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0" fontId="51" fillId="0" borderId="56" xfId="0" applyFont="1" applyBorder="1" applyAlignment="1">
      <alignment horizontal="center" vertical="center" wrapText="1"/>
    </xf>
    <xf numFmtId="0" fontId="51" fillId="0" borderId="75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/>
    </xf>
    <xf numFmtId="0" fontId="51" fillId="0" borderId="65" xfId="0" applyFont="1" applyBorder="1" applyAlignment="1">
      <alignment horizontal="center" vertical="center" wrapText="1"/>
    </xf>
    <xf numFmtId="0" fontId="51" fillId="0" borderId="66" xfId="0" applyFont="1" applyBorder="1" applyAlignment="1">
      <alignment horizontal="center" vertical="center" wrapText="1"/>
    </xf>
    <xf numFmtId="0" fontId="51" fillId="0" borderId="70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64" xfId="0" applyFont="1" applyBorder="1" applyAlignment="1">
      <alignment horizontal="center" vertical="center" wrapText="1"/>
    </xf>
    <xf numFmtId="178" fontId="0" fillId="0" borderId="45" xfId="42" applyNumberFormat="1" applyFont="1" applyFill="1" applyBorder="1" applyAlignment="1">
      <alignment/>
    </xf>
    <xf numFmtId="0" fontId="49" fillId="0" borderId="36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72" xfId="0" applyFont="1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  <xf numFmtId="0" fontId="49" fillId="0" borderId="35" xfId="0" applyFont="1" applyBorder="1" applyAlignment="1">
      <alignment/>
    </xf>
    <xf numFmtId="0" fontId="49" fillId="0" borderId="28" xfId="0" applyFont="1" applyBorder="1" applyAlignment="1">
      <alignment/>
    </xf>
    <xf numFmtId="14" fontId="49" fillId="0" borderId="28" xfId="0" applyNumberFormat="1" applyFont="1" applyBorder="1" applyAlignment="1">
      <alignment/>
    </xf>
    <xf numFmtId="178" fontId="52" fillId="0" borderId="28" xfId="42" applyNumberFormat="1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5" xfId="0" applyFont="1" applyBorder="1" applyAlignment="1">
      <alignment/>
    </xf>
    <xf numFmtId="14" fontId="49" fillId="0" borderId="15" xfId="0" applyNumberFormat="1" applyFont="1" applyBorder="1" applyAlignment="1">
      <alignment/>
    </xf>
    <xf numFmtId="0" fontId="49" fillId="0" borderId="56" xfId="0" applyFont="1" applyBorder="1" applyAlignment="1">
      <alignment horizontal="center"/>
    </xf>
    <xf numFmtId="0" fontId="49" fillId="0" borderId="75" xfId="0" applyFont="1" applyBorder="1" applyAlignment="1">
      <alignment horizontal="center"/>
    </xf>
    <xf numFmtId="178" fontId="0" fillId="0" borderId="28" xfId="42" applyNumberFormat="1" applyFont="1" applyBorder="1" applyAlignment="1">
      <alignment/>
    </xf>
    <xf numFmtId="178" fontId="0" fillId="0" borderId="45" xfId="42" applyNumberFormat="1" applyFont="1" applyBorder="1" applyAlignment="1">
      <alignment/>
    </xf>
    <xf numFmtId="0" fontId="7" fillId="0" borderId="44" xfId="0" applyFont="1" applyBorder="1" applyAlignment="1">
      <alignment/>
    </xf>
    <xf numFmtId="178" fontId="0" fillId="0" borderId="71" xfId="42" applyNumberFormat="1" applyFont="1" applyBorder="1" applyAlignment="1">
      <alignment/>
    </xf>
    <xf numFmtId="0" fontId="7" fillId="0" borderId="36" xfId="0" applyFont="1" applyBorder="1" applyAlignment="1">
      <alignment/>
    </xf>
    <xf numFmtId="178" fontId="2" fillId="0" borderId="30" xfId="42" applyNumberFormat="1" applyFont="1" applyBorder="1" applyAlignment="1">
      <alignment/>
    </xf>
    <xf numFmtId="178" fontId="10" fillId="0" borderId="30" xfId="42" applyNumberFormat="1" applyFont="1" applyBorder="1" applyAlignment="1">
      <alignment/>
    </xf>
    <xf numFmtId="187" fontId="0" fillId="0" borderId="0" xfId="0" applyNumberFormat="1" applyAlignment="1">
      <alignment/>
    </xf>
    <xf numFmtId="43" fontId="0" fillId="0" borderId="0" xfId="0" applyNumberFormat="1" applyAlignment="1">
      <alignment/>
    </xf>
    <xf numFmtId="179" fontId="53" fillId="0" borderId="0" xfId="42" applyNumberFormat="1" applyFont="1" applyAlignment="1">
      <alignment/>
    </xf>
    <xf numFmtId="0" fontId="47" fillId="0" borderId="36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 wrapText="1"/>
    </xf>
    <xf numFmtId="0" fontId="47" fillId="0" borderId="55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/>
    </xf>
    <xf numFmtId="0" fontId="49" fillId="0" borderId="45" xfId="0" applyFont="1" applyBorder="1" applyAlignment="1">
      <alignment/>
    </xf>
    <xf numFmtId="0" fontId="49" fillId="0" borderId="43" xfId="0" applyFont="1" applyBorder="1" applyAlignment="1">
      <alignment/>
    </xf>
    <xf numFmtId="0" fontId="49" fillId="0" borderId="44" xfId="0" applyFont="1" applyBorder="1" applyAlignment="1">
      <alignment/>
    </xf>
    <xf numFmtId="0" fontId="49" fillId="0" borderId="40" xfId="0" applyFont="1" applyBorder="1" applyAlignment="1">
      <alignment/>
    </xf>
    <xf numFmtId="0" fontId="49" fillId="0" borderId="71" xfId="0" applyFont="1" applyBorder="1" applyAlignment="1">
      <alignment/>
    </xf>
    <xf numFmtId="49" fontId="51" fillId="0" borderId="0" xfId="0" applyNumberFormat="1" applyFont="1" applyAlignment="1">
      <alignment horizontal="center"/>
    </xf>
    <xf numFmtId="3" fontId="0" fillId="0" borderId="15" xfId="0" applyNumberFormat="1" applyFont="1" applyBorder="1" applyAlignment="1">
      <alignment/>
    </xf>
    <xf numFmtId="178" fontId="0" fillId="0" borderId="15" xfId="42" applyNumberFormat="1" applyFont="1" applyBorder="1" applyAlignment="1">
      <alignment/>
    </xf>
    <xf numFmtId="0" fontId="2" fillId="37" borderId="0" xfId="0" applyFont="1" applyFill="1" applyAlignment="1">
      <alignment/>
    </xf>
    <xf numFmtId="3" fontId="109" fillId="0" borderId="15" xfId="0" applyNumberFormat="1" applyFont="1" applyBorder="1" applyAlignment="1">
      <alignment horizontal="center"/>
    </xf>
    <xf numFmtId="37" fontId="43" fillId="0" borderId="15" xfId="0" applyNumberFormat="1" applyFont="1" applyFill="1" applyBorder="1" applyAlignment="1">
      <alignment horizontal="center"/>
    </xf>
    <xf numFmtId="4" fontId="0" fillId="0" borderId="15" xfId="0" applyNumberFormat="1" applyBorder="1" applyAlignment="1">
      <alignment/>
    </xf>
    <xf numFmtId="0" fontId="2" fillId="0" borderId="15" xfId="0" applyFont="1" applyBorder="1" applyAlignment="1">
      <alignment/>
    </xf>
    <xf numFmtId="4" fontId="0" fillId="0" borderId="50" xfId="0" applyNumberFormat="1" applyBorder="1" applyAlignment="1">
      <alignment/>
    </xf>
    <xf numFmtId="0" fontId="2" fillId="6" borderId="19" xfId="0" applyFont="1" applyFill="1" applyBorder="1" applyAlignment="1">
      <alignment/>
    </xf>
    <xf numFmtId="0" fontId="2" fillId="6" borderId="20" xfId="0" applyFont="1" applyFill="1" applyBorder="1" applyAlignment="1">
      <alignment/>
    </xf>
    <xf numFmtId="0" fontId="2" fillId="6" borderId="21" xfId="0" applyFont="1" applyFill="1" applyBorder="1" applyAlignment="1">
      <alignment/>
    </xf>
    <xf numFmtId="0" fontId="2" fillId="6" borderId="10" xfId="0" applyFont="1" applyFill="1" applyBorder="1" applyAlignment="1">
      <alignment/>
    </xf>
    <xf numFmtId="0" fontId="2" fillId="6" borderId="0" xfId="0" applyFont="1" applyFill="1" applyBorder="1" applyAlignment="1">
      <alignment/>
    </xf>
    <xf numFmtId="0" fontId="2" fillId="6" borderId="11" xfId="0" applyFont="1" applyFill="1" applyBorder="1" applyAlignment="1">
      <alignment/>
    </xf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/>
    </xf>
    <xf numFmtId="0" fontId="19" fillId="6" borderId="0" xfId="0" applyFont="1" applyFill="1" applyBorder="1" applyAlignment="1">
      <alignment/>
    </xf>
    <xf numFmtId="0" fontId="20" fillId="6" borderId="0" xfId="0" applyFont="1" applyFill="1" applyBorder="1" applyAlignment="1">
      <alignment/>
    </xf>
    <xf numFmtId="0" fontId="20" fillId="6" borderId="0" xfId="0" applyFont="1" applyFill="1" applyBorder="1" applyAlignment="1">
      <alignment/>
    </xf>
    <xf numFmtId="0" fontId="3" fillId="6" borderId="0" xfId="0" applyFont="1" applyFill="1" applyBorder="1" applyAlignment="1">
      <alignment horizontal="center"/>
    </xf>
    <xf numFmtId="0" fontId="0" fillId="6" borderId="10" xfId="0" applyFill="1" applyBorder="1" applyAlignment="1">
      <alignment/>
    </xf>
    <xf numFmtId="0" fontId="0" fillId="6" borderId="0" xfId="0" applyFill="1" applyBorder="1" applyAlignment="1">
      <alignment/>
    </xf>
    <xf numFmtId="0" fontId="2" fillId="6" borderId="10" xfId="0" applyFont="1" applyFill="1" applyBorder="1" applyAlignment="1">
      <alignment/>
    </xf>
    <xf numFmtId="0" fontId="2" fillId="6" borderId="11" xfId="0" applyFont="1" applyFill="1" applyBorder="1" applyAlignment="1">
      <alignment/>
    </xf>
    <xf numFmtId="0" fontId="2" fillId="6" borderId="32" xfId="0" applyFont="1" applyFill="1" applyBorder="1" applyAlignment="1">
      <alignment horizontal="center"/>
    </xf>
    <xf numFmtId="0" fontId="2" fillId="6" borderId="32" xfId="0" applyFont="1" applyFill="1" applyBorder="1" applyAlignment="1">
      <alignment/>
    </xf>
    <xf numFmtId="0" fontId="2" fillId="6" borderId="11" xfId="0" applyFont="1" applyFill="1" applyBorder="1" applyAlignment="1">
      <alignment horizontal="right"/>
    </xf>
    <xf numFmtId="0" fontId="0" fillId="6" borderId="11" xfId="0" applyFill="1" applyBorder="1" applyAlignment="1">
      <alignment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/>
    </xf>
    <xf numFmtId="0" fontId="2" fillId="6" borderId="13" xfId="0" applyFont="1" applyFill="1" applyBorder="1" applyAlignment="1">
      <alignment/>
    </xf>
    <xf numFmtId="0" fontId="2" fillId="6" borderId="14" xfId="0" applyFont="1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0" xfId="0" applyFont="1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2" fillId="37" borderId="0" xfId="0" applyFont="1" applyFill="1" applyAlignment="1">
      <alignment/>
    </xf>
    <xf numFmtId="178" fontId="4" fillId="0" borderId="73" xfId="42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33" fillId="0" borderId="52" xfId="0" applyFont="1" applyFill="1" applyBorder="1" applyAlignment="1">
      <alignment vertical="justify"/>
    </xf>
    <xf numFmtId="0" fontId="34" fillId="0" borderId="53" xfId="0" applyFont="1" applyFill="1" applyBorder="1" applyAlignment="1">
      <alignment vertical="justify"/>
    </xf>
    <xf numFmtId="0" fontId="35" fillId="0" borderId="0" xfId="0" applyFont="1" applyFill="1" applyBorder="1" applyAlignment="1">
      <alignment vertical="justify"/>
    </xf>
    <xf numFmtId="3" fontId="0" fillId="0" borderId="0" xfId="0" applyNumberFormat="1" applyFill="1" applyBorder="1" applyAlignment="1">
      <alignment vertical="center"/>
    </xf>
    <xf numFmtId="3" fontId="32" fillId="0" borderId="0" xfId="0" applyNumberFormat="1" applyFont="1" applyFill="1" applyBorder="1" applyAlignment="1">
      <alignment vertical="center"/>
    </xf>
    <xf numFmtId="0" fontId="6" fillId="41" borderId="15" xfId="0" applyFont="1" applyFill="1" applyBorder="1" applyAlignment="1">
      <alignment/>
    </xf>
    <xf numFmtId="0" fontId="6" fillId="41" borderId="15" xfId="0" applyFont="1" applyFill="1" applyBorder="1" applyAlignment="1">
      <alignment horizontal="center"/>
    </xf>
    <xf numFmtId="178" fontId="5" fillId="41" borderId="15" xfId="42" applyNumberFormat="1" applyFont="1" applyFill="1" applyBorder="1" applyAlignment="1">
      <alignment/>
    </xf>
    <xf numFmtId="0" fontId="2" fillId="41" borderId="15" xfId="0" applyFont="1" applyFill="1" applyBorder="1" applyAlignment="1">
      <alignment horizontal="center"/>
    </xf>
    <xf numFmtId="178" fontId="0" fillId="0" borderId="55" xfId="42" applyNumberFormat="1" applyFont="1" applyFill="1" applyBorder="1" applyAlignment="1">
      <alignment/>
    </xf>
    <xf numFmtId="0" fontId="0" fillId="41" borderId="50" xfId="0" applyFont="1" applyFill="1" applyBorder="1" applyAlignment="1">
      <alignment/>
    </xf>
    <xf numFmtId="0" fontId="0" fillId="41" borderId="15" xfId="0" applyFont="1" applyFill="1" applyBorder="1" applyAlignment="1">
      <alignment/>
    </xf>
    <xf numFmtId="0" fontId="2" fillId="41" borderId="43" xfId="0" applyFont="1" applyFill="1" applyBorder="1" applyAlignment="1">
      <alignment/>
    </xf>
    <xf numFmtId="0" fontId="0" fillId="0" borderId="44" xfId="0" applyBorder="1" applyAlignment="1">
      <alignment/>
    </xf>
    <xf numFmtId="0" fontId="0" fillId="41" borderId="22" xfId="0" applyFont="1" applyFill="1" applyBorder="1" applyAlignment="1">
      <alignment/>
    </xf>
    <xf numFmtId="0" fontId="0" fillId="41" borderId="50" xfId="0" applyFill="1" applyBorder="1" applyAlignment="1">
      <alignment/>
    </xf>
    <xf numFmtId="0" fontId="0" fillId="41" borderId="16" xfId="0" applyFont="1" applyFill="1" applyBorder="1" applyAlignment="1">
      <alignment/>
    </xf>
    <xf numFmtId="0" fontId="0" fillId="41" borderId="15" xfId="0" applyFill="1" applyBorder="1" applyAlignment="1">
      <alignment/>
    </xf>
    <xf numFmtId="185" fontId="0" fillId="41" borderId="43" xfId="42" applyNumberFormat="1" applyFont="1" applyFill="1" applyBorder="1" applyAlignment="1">
      <alignment/>
    </xf>
    <xf numFmtId="0" fontId="0" fillId="0" borderId="82" xfId="0" applyFont="1" applyBorder="1" applyAlignment="1">
      <alignment/>
    </xf>
    <xf numFmtId="0" fontId="2" fillId="34" borderId="52" xfId="0" applyFont="1" applyFill="1" applyBorder="1" applyAlignment="1">
      <alignment horizontal="left"/>
    </xf>
    <xf numFmtId="0" fontId="0" fillId="34" borderId="20" xfId="0" applyFill="1" applyBorder="1" applyAlignment="1">
      <alignment/>
    </xf>
    <xf numFmtId="0" fontId="0" fillId="0" borderId="26" xfId="0" applyBorder="1" applyAlignment="1">
      <alignment horizontal="left"/>
    </xf>
    <xf numFmtId="0" fontId="4" fillId="41" borderId="52" xfId="0" applyFont="1" applyFill="1" applyBorder="1" applyAlignment="1">
      <alignment/>
    </xf>
    <xf numFmtId="0" fontId="54" fillId="41" borderId="53" xfId="0" applyFont="1" applyFill="1" applyBorder="1" applyAlignment="1">
      <alignment/>
    </xf>
    <xf numFmtId="0" fontId="4" fillId="41" borderId="22" xfId="0" applyFont="1" applyFill="1" applyBorder="1" applyAlignment="1">
      <alignment/>
    </xf>
    <xf numFmtId="0" fontId="4" fillId="41" borderId="16" xfId="0" applyFont="1" applyFill="1" applyBorder="1" applyAlignment="1">
      <alignment/>
    </xf>
    <xf numFmtId="0" fontId="4" fillId="41" borderId="81" xfId="0" applyFont="1" applyFill="1" applyBorder="1" applyAlignment="1">
      <alignment/>
    </xf>
    <xf numFmtId="0" fontId="2" fillId="0" borderId="13" xfId="0" applyFont="1" applyBorder="1" applyAlignment="1">
      <alignment/>
    </xf>
    <xf numFmtId="0" fontId="39" fillId="0" borderId="53" xfId="0" applyFont="1" applyFill="1" applyBorder="1" applyAlignment="1">
      <alignment/>
    </xf>
    <xf numFmtId="49" fontId="10" fillId="36" borderId="30" xfId="0" applyNumberFormat="1" applyFont="1" applyFill="1" applyBorder="1" applyAlignment="1">
      <alignment horizontal="center" wrapText="1"/>
    </xf>
    <xf numFmtId="3" fontId="10" fillId="36" borderId="30" xfId="0" applyNumberFormat="1" applyFont="1" applyFill="1" applyBorder="1" applyAlignment="1">
      <alignment horizontal="center" wrapText="1"/>
    </xf>
    <xf numFmtId="0" fontId="54" fillId="41" borderId="53" xfId="0" applyFont="1" applyFill="1" applyBorder="1" applyAlignment="1">
      <alignment wrapText="1"/>
    </xf>
    <xf numFmtId="0" fontId="29" fillId="34" borderId="53" xfId="0" applyFont="1" applyFill="1" applyBorder="1" applyAlignment="1">
      <alignment vertical="justify"/>
    </xf>
    <xf numFmtId="0" fontId="29" fillId="34" borderId="54" xfId="0" applyFont="1" applyFill="1" applyBorder="1" applyAlignment="1">
      <alignment vertical="justify"/>
    </xf>
    <xf numFmtId="3" fontId="6" fillId="0" borderId="0" xfId="0" applyNumberFormat="1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8" fontId="4" fillId="37" borderId="32" xfId="42" applyNumberFormat="1" applyFont="1" applyFill="1" applyBorder="1" applyAlignment="1">
      <alignment/>
    </xf>
    <xf numFmtId="178" fontId="4" fillId="37" borderId="55" xfId="42" applyNumberFormat="1" applyFont="1" applyFill="1" applyBorder="1" applyAlignment="1">
      <alignment/>
    </xf>
    <xf numFmtId="0" fontId="2" fillId="41" borderId="50" xfId="0" applyFont="1" applyFill="1" applyBorder="1" applyAlignment="1">
      <alignment horizontal="center"/>
    </xf>
    <xf numFmtId="3" fontId="10" fillId="34" borderId="55" xfId="0" applyNumberFormat="1" applyFont="1" applyFill="1" applyBorder="1" applyAlignment="1">
      <alignment horizontal="right"/>
    </xf>
    <xf numFmtId="3" fontId="10" fillId="0" borderId="51" xfId="0" applyNumberFormat="1" applyFont="1" applyBorder="1" applyAlignment="1">
      <alignment horizontal="right"/>
    </xf>
    <xf numFmtId="3" fontId="10" fillId="34" borderId="43" xfId="0" applyNumberFormat="1" applyFont="1" applyFill="1" applyBorder="1" applyAlignment="1">
      <alignment horizontal="right"/>
    </xf>
    <xf numFmtId="3" fontId="10" fillId="0" borderId="43" xfId="0" applyNumberFormat="1" applyFont="1" applyFill="1" applyBorder="1" applyAlignment="1">
      <alignment horizontal="right"/>
    </xf>
    <xf numFmtId="3" fontId="4" fillId="0" borderId="43" xfId="0" applyNumberFormat="1" applyFont="1" applyBorder="1" applyAlignment="1">
      <alignment horizontal="right"/>
    </xf>
    <xf numFmtId="3" fontId="4" fillId="34" borderId="43" xfId="0" applyNumberFormat="1" applyFont="1" applyFill="1" applyBorder="1" applyAlignment="1">
      <alignment horizontal="right"/>
    </xf>
    <xf numFmtId="3" fontId="4" fillId="0" borderId="43" xfId="0" applyNumberFormat="1" applyFont="1" applyFill="1" applyBorder="1" applyAlignment="1">
      <alignment horizontal="right"/>
    </xf>
    <xf numFmtId="3" fontId="4" fillId="0" borderId="43" xfId="0" applyNumberFormat="1" applyFont="1" applyBorder="1" applyAlignment="1">
      <alignment/>
    </xf>
    <xf numFmtId="3" fontId="55" fillId="0" borderId="43" xfId="0" applyNumberFormat="1" applyFont="1" applyBorder="1" applyAlignment="1">
      <alignment/>
    </xf>
    <xf numFmtId="3" fontId="4" fillId="35" borderId="43" xfId="0" applyNumberFormat="1" applyFont="1" applyFill="1" applyBorder="1" applyAlignment="1">
      <alignment/>
    </xf>
    <xf numFmtId="3" fontId="4" fillId="0" borderId="45" xfId="0" applyNumberFormat="1" applyFont="1" applyBorder="1" applyAlignment="1">
      <alignment/>
    </xf>
    <xf numFmtId="3" fontId="10" fillId="35" borderId="43" xfId="0" applyNumberFormat="1" applyFont="1" applyFill="1" applyBorder="1" applyAlignment="1">
      <alignment/>
    </xf>
    <xf numFmtId="0" fontId="13" fillId="0" borderId="15" xfId="0" applyFont="1" applyBorder="1" applyAlignment="1">
      <alignment/>
    </xf>
    <xf numFmtId="0" fontId="9" fillId="0" borderId="15" xfId="0" applyFont="1" applyBorder="1" applyAlignment="1">
      <alignment/>
    </xf>
    <xf numFmtId="178" fontId="13" fillId="0" borderId="15" xfId="0" applyNumberFormat="1" applyFont="1" applyBorder="1" applyAlignment="1">
      <alignment/>
    </xf>
    <xf numFmtId="178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3" fillId="0" borderId="0" xfId="0" applyFont="1" applyAlignment="1">
      <alignment horizontal="center"/>
    </xf>
    <xf numFmtId="14" fontId="2" fillId="6" borderId="0" xfId="0" applyNumberFormat="1" applyFont="1" applyFill="1" applyBorder="1" applyAlignment="1">
      <alignment/>
    </xf>
    <xf numFmtId="0" fontId="84" fillId="0" borderId="0" xfId="0" applyFont="1" applyAlignment="1">
      <alignment horizontal="center"/>
    </xf>
    <xf numFmtId="37" fontId="43" fillId="0" borderId="15" xfId="42" applyNumberFormat="1" applyFont="1" applyBorder="1" applyAlignment="1">
      <alignment horizontal="center"/>
    </xf>
    <xf numFmtId="37" fontId="43" fillId="0" borderId="15" xfId="0" applyNumberFormat="1" applyFont="1" applyBorder="1" applyAlignment="1">
      <alignment horizontal="center"/>
    </xf>
    <xf numFmtId="37" fontId="43" fillId="42" borderId="15" xfId="42" applyNumberFormat="1" applyFont="1" applyFill="1" applyBorder="1" applyAlignment="1">
      <alignment horizontal="center"/>
    </xf>
    <xf numFmtId="3" fontId="44" fillId="0" borderId="0" xfId="0" applyNumberFormat="1" applyFont="1" applyBorder="1" applyAlignment="1">
      <alignment horizontal="center"/>
    </xf>
    <xf numFmtId="3" fontId="44" fillId="0" borderId="0" xfId="42" applyNumberFormat="1" applyFont="1" applyBorder="1" applyAlignment="1">
      <alignment horizontal="center"/>
    </xf>
    <xf numFmtId="3" fontId="44" fillId="0" borderId="15" xfId="0" applyNumberFormat="1" applyFont="1" applyBorder="1" applyAlignment="1">
      <alignment horizontal="center"/>
    </xf>
    <xf numFmtId="3" fontId="44" fillId="0" borderId="15" xfId="42" applyNumberFormat="1" applyFont="1" applyBorder="1" applyAlignment="1">
      <alignment horizontal="center"/>
    </xf>
    <xf numFmtId="0" fontId="108" fillId="0" borderId="1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43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08" fillId="0" borderId="15" xfId="0" applyNumberFormat="1" applyFont="1" applyBorder="1" applyAlignment="1">
      <alignment horizontal="center"/>
    </xf>
    <xf numFmtId="3" fontId="8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80" fillId="0" borderId="0" xfId="0" applyFont="1" applyAlignment="1">
      <alignment horizontal="center"/>
    </xf>
    <xf numFmtId="3" fontId="40" fillId="0" borderId="15" xfId="42" applyNumberFormat="1" applyFont="1" applyBorder="1" applyAlignment="1">
      <alignment horizontal="center"/>
    </xf>
    <xf numFmtId="3" fontId="40" fillId="0" borderId="15" xfId="0" applyNumberFormat="1" applyFont="1" applyBorder="1" applyAlignment="1">
      <alignment horizontal="center"/>
    </xf>
    <xf numFmtId="3" fontId="40" fillId="0" borderId="15" xfId="0" applyNumberFormat="1" applyFont="1" applyBorder="1" applyAlignment="1">
      <alignment horizontal="center" vertical="center"/>
    </xf>
    <xf numFmtId="3" fontId="40" fillId="0" borderId="15" xfId="42" applyNumberFormat="1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10" fillId="38" borderId="63" xfId="0" applyFont="1" applyFill="1" applyBorder="1" applyAlignment="1">
      <alignment horizontal="center"/>
    </xf>
    <xf numFmtId="0" fontId="10" fillId="38" borderId="76" xfId="0" applyFont="1" applyFill="1" applyBorder="1" applyAlignment="1">
      <alignment horizontal="center"/>
    </xf>
    <xf numFmtId="0" fontId="10" fillId="0" borderId="66" xfId="0" applyFont="1" applyBorder="1" applyAlignment="1">
      <alignment/>
    </xf>
    <xf numFmtId="49" fontId="10" fillId="16" borderId="15" xfId="0" applyNumberFormat="1" applyFont="1" applyFill="1" applyBorder="1" applyAlignment="1">
      <alignment horizontal="right"/>
    </xf>
    <xf numFmtId="178" fontId="10" fillId="16" borderId="31" xfId="42" applyNumberFormat="1" applyFont="1" applyFill="1" applyBorder="1" applyAlignment="1">
      <alignment/>
    </xf>
    <xf numFmtId="0" fontId="0" fillId="43" borderId="0" xfId="0" applyFill="1" applyAlignment="1">
      <alignment/>
    </xf>
    <xf numFmtId="0" fontId="0" fillId="0" borderId="74" xfId="0" applyFont="1" applyBorder="1" applyAlignment="1">
      <alignment horizontal="center"/>
    </xf>
    <xf numFmtId="0" fontId="0" fillId="0" borderId="7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10" borderId="0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3" fontId="2" fillId="44" borderId="0" xfId="0" applyNumberFormat="1" applyFont="1" applyFill="1" applyAlignment="1">
      <alignment/>
    </xf>
    <xf numFmtId="3" fontId="2" fillId="44" borderId="0" xfId="0" applyNumberFormat="1" applyFont="1" applyFill="1" applyBorder="1" applyAlignment="1">
      <alignment/>
    </xf>
    <xf numFmtId="0" fontId="2" fillId="44" borderId="0" xfId="0" applyFont="1" applyFill="1" applyAlignment="1">
      <alignment/>
    </xf>
    <xf numFmtId="0" fontId="6" fillId="4" borderId="15" xfId="0" applyFont="1" applyFill="1" applyBorder="1" applyAlignment="1">
      <alignment/>
    </xf>
    <xf numFmtId="0" fontId="6" fillId="4" borderId="15" xfId="0" applyFont="1" applyFill="1" applyBorder="1" applyAlignment="1">
      <alignment horizontal="center"/>
    </xf>
    <xf numFmtId="178" fontId="5" fillId="4" borderId="15" xfId="42" applyNumberFormat="1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2" fillId="4" borderId="15" xfId="0" applyFont="1" applyFill="1" applyBorder="1" applyAlignment="1">
      <alignment horizontal="center"/>
    </xf>
    <xf numFmtId="178" fontId="5" fillId="4" borderId="43" xfId="42" applyNumberFormat="1" applyFont="1" applyFill="1" applyBorder="1" applyAlignment="1">
      <alignment/>
    </xf>
    <xf numFmtId="178" fontId="6" fillId="4" borderId="15" xfId="42" applyNumberFormat="1" applyFont="1" applyFill="1" applyBorder="1" applyAlignment="1">
      <alignment/>
    </xf>
    <xf numFmtId="178" fontId="6" fillId="4" borderId="43" xfId="42" applyNumberFormat="1" applyFont="1" applyFill="1" applyBorder="1" applyAlignment="1">
      <alignment/>
    </xf>
    <xf numFmtId="0" fontId="6" fillId="4" borderId="15" xfId="0" applyFont="1" applyFill="1" applyBorder="1" applyAlignment="1">
      <alignment/>
    </xf>
    <xf numFmtId="0" fontId="4" fillId="4" borderId="15" xfId="0" applyFont="1" applyFill="1" applyBorder="1" applyAlignment="1">
      <alignment horizontal="center"/>
    </xf>
    <xf numFmtId="178" fontId="6" fillId="4" borderId="15" xfId="42" applyNumberFormat="1" applyFont="1" applyFill="1" applyBorder="1" applyAlignment="1">
      <alignment/>
    </xf>
    <xf numFmtId="178" fontId="6" fillId="4" borderId="15" xfId="42" applyNumberFormat="1" applyFont="1" applyFill="1" applyBorder="1" applyAlignment="1">
      <alignment horizontal="center"/>
    </xf>
    <xf numFmtId="178" fontId="6" fillId="4" borderId="43" xfId="42" applyNumberFormat="1" applyFont="1" applyFill="1" applyBorder="1" applyAlignment="1">
      <alignment/>
    </xf>
    <xf numFmtId="178" fontId="10" fillId="4" borderId="15" xfId="42" applyNumberFormat="1" applyFont="1" applyFill="1" applyBorder="1" applyAlignment="1">
      <alignment horizontal="center"/>
    </xf>
    <xf numFmtId="178" fontId="4" fillId="4" borderId="15" xfId="42" applyNumberFormat="1" applyFont="1" applyFill="1" applyBorder="1" applyAlignment="1">
      <alignment horizontal="center"/>
    </xf>
    <xf numFmtId="178" fontId="6" fillId="4" borderId="15" xfId="42" applyNumberFormat="1" applyFont="1" applyFill="1" applyBorder="1" applyAlignment="1">
      <alignment horizontal="center"/>
    </xf>
    <xf numFmtId="178" fontId="2" fillId="4" borderId="36" xfId="42" applyNumberFormat="1" applyFont="1" applyFill="1" applyBorder="1" applyAlignment="1">
      <alignment horizontal="center"/>
    </xf>
    <xf numFmtId="178" fontId="2" fillId="4" borderId="30" xfId="42" applyNumberFormat="1" applyFont="1" applyFill="1" applyBorder="1" applyAlignment="1">
      <alignment horizontal="center"/>
    </xf>
    <xf numFmtId="49" fontId="2" fillId="4" borderId="30" xfId="42" applyNumberFormat="1" applyFont="1" applyFill="1" applyBorder="1" applyAlignment="1">
      <alignment horizontal="center" wrapText="1"/>
    </xf>
    <xf numFmtId="178" fontId="2" fillId="4" borderId="55" xfId="42" applyNumberFormat="1" applyFont="1" applyFill="1" applyBorder="1" applyAlignment="1">
      <alignment horizontal="center"/>
    </xf>
    <xf numFmtId="178" fontId="0" fillId="10" borderId="36" xfId="42" applyNumberFormat="1" applyFont="1" applyFill="1" applyBorder="1" applyAlignment="1">
      <alignment/>
    </xf>
    <xf numFmtId="178" fontId="8" fillId="10" borderId="30" xfId="42" applyNumberFormat="1" applyFont="1" applyFill="1" applyBorder="1" applyAlignment="1">
      <alignment/>
    </xf>
    <xf numFmtId="178" fontId="0" fillId="10" borderId="30" xfId="42" applyNumberFormat="1" applyFont="1" applyFill="1" applyBorder="1" applyAlignment="1">
      <alignment/>
    </xf>
    <xf numFmtId="178" fontId="0" fillId="10" borderId="55" xfId="42" applyNumberFormat="1" applyFont="1" applyFill="1" applyBorder="1" applyAlignment="1">
      <alignment/>
    </xf>
    <xf numFmtId="178" fontId="7" fillId="4" borderId="22" xfId="42" applyNumberFormat="1" applyFont="1" applyFill="1" applyBorder="1" applyAlignment="1">
      <alignment/>
    </xf>
    <xf numFmtId="178" fontId="6" fillId="4" borderId="50" xfId="42" applyNumberFormat="1" applyFont="1" applyFill="1" applyBorder="1" applyAlignment="1">
      <alignment/>
    </xf>
    <xf numFmtId="178" fontId="0" fillId="4" borderId="50" xfId="42" applyNumberFormat="1" applyFont="1" applyFill="1" applyBorder="1" applyAlignment="1">
      <alignment/>
    </xf>
    <xf numFmtId="178" fontId="0" fillId="4" borderId="51" xfId="42" applyNumberFormat="1" applyFont="1" applyFill="1" applyBorder="1" applyAlignment="1">
      <alignment/>
    </xf>
    <xf numFmtId="178" fontId="7" fillId="4" borderId="16" xfId="42" applyNumberFormat="1" applyFont="1" applyFill="1" applyBorder="1" applyAlignment="1">
      <alignment/>
    </xf>
    <xf numFmtId="178" fontId="0" fillId="4" borderId="15" xfId="42" applyNumberFormat="1" applyFont="1" applyFill="1" applyBorder="1" applyAlignment="1">
      <alignment/>
    </xf>
    <xf numFmtId="178" fontId="0" fillId="4" borderId="43" xfId="42" applyNumberFormat="1" applyFont="1" applyFill="1" applyBorder="1" applyAlignment="1">
      <alignment/>
    </xf>
    <xf numFmtId="178" fontId="0" fillId="4" borderId="16" xfId="42" applyNumberFormat="1" applyFont="1" applyFill="1" applyBorder="1" applyAlignment="1">
      <alignment/>
    </xf>
    <xf numFmtId="178" fontId="8" fillId="4" borderId="15" xfId="42" applyNumberFormat="1" applyFont="1" applyFill="1" applyBorder="1" applyAlignment="1">
      <alignment/>
    </xf>
    <xf numFmtId="178" fontId="2" fillId="4" borderId="15" xfId="42" applyNumberFormat="1" applyFont="1" applyFill="1" applyBorder="1" applyAlignment="1">
      <alignment/>
    </xf>
    <xf numFmtId="178" fontId="2" fillId="4" borderId="43" xfId="42" applyNumberFormat="1" applyFont="1" applyFill="1" applyBorder="1" applyAlignment="1">
      <alignment/>
    </xf>
    <xf numFmtId="178" fontId="0" fillId="4" borderId="17" xfId="42" applyNumberFormat="1" applyFont="1" applyFill="1" applyBorder="1" applyAlignment="1">
      <alignment/>
    </xf>
    <xf numFmtId="178" fontId="2" fillId="4" borderId="18" xfId="42" applyNumberFormat="1" applyFont="1" applyFill="1" applyBorder="1" applyAlignment="1">
      <alignment/>
    </xf>
    <xf numFmtId="178" fontId="0" fillId="4" borderId="18" xfId="42" applyNumberFormat="1" applyFont="1" applyFill="1" applyBorder="1" applyAlignment="1">
      <alignment/>
    </xf>
    <xf numFmtId="178" fontId="0" fillId="4" borderId="41" xfId="42" applyNumberFormat="1" applyFont="1" applyFill="1" applyBorder="1" applyAlignment="1">
      <alignment/>
    </xf>
    <xf numFmtId="169" fontId="9" fillId="37" borderId="66" xfId="0" applyNumberFormat="1" applyFont="1" applyFill="1" applyBorder="1" applyAlignment="1">
      <alignment horizontal="right"/>
    </xf>
    <xf numFmtId="0" fontId="0" fillId="37" borderId="70" xfId="0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78" fontId="0" fillId="43" borderId="0" xfId="0" applyNumberFormat="1" applyFill="1" applyAlignment="1">
      <alignment/>
    </xf>
    <xf numFmtId="178" fontId="0" fillId="43" borderId="0" xfId="0" applyNumberFormat="1" applyFont="1" applyFill="1" applyAlignment="1">
      <alignment/>
    </xf>
    <xf numFmtId="178" fontId="2" fillId="37" borderId="15" xfId="42" applyNumberFormat="1" applyFont="1" applyFill="1" applyBorder="1" applyAlignment="1">
      <alignment horizontal="right"/>
    </xf>
    <xf numFmtId="0" fontId="9" fillId="0" borderId="35" xfId="0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5" xfId="0" applyFont="1" applyFill="1" applyBorder="1" applyAlignment="1">
      <alignment/>
    </xf>
    <xf numFmtId="178" fontId="0" fillId="37" borderId="50" xfId="42" applyNumberFormat="1" applyFont="1" applyFill="1" applyBorder="1" applyAlignment="1">
      <alignment/>
    </xf>
    <xf numFmtId="178" fontId="0" fillId="37" borderId="15" xfId="42" applyNumberFormat="1" applyFont="1" applyFill="1" applyBorder="1" applyAlignment="1">
      <alignment/>
    </xf>
    <xf numFmtId="0" fontId="0" fillId="43" borderId="16" xfId="0" applyFont="1" applyFill="1" applyBorder="1" applyAlignment="1">
      <alignment/>
    </xf>
    <xf numFmtId="0" fontId="0" fillId="43" borderId="15" xfId="0" applyFill="1" applyBorder="1" applyAlignment="1">
      <alignment/>
    </xf>
    <xf numFmtId="185" fontId="0" fillId="43" borderId="43" xfId="42" applyNumberFormat="1" applyFont="1" applyFill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0" xfId="0" applyFont="1" applyFill="1" applyBorder="1" applyAlignment="1">
      <alignment/>
    </xf>
    <xf numFmtId="49" fontId="4" fillId="0" borderId="40" xfId="0" applyNumberFormat="1" applyFont="1" applyFill="1" applyBorder="1" applyAlignment="1">
      <alignment horizontal="right"/>
    </xf>
    <xf numFmtId="0" fontId="10" fillId="16" borderId="36" xfId="0" applyFont="1" applyFill="1" applyBorder="1" applyAlignment="1">
      <alignment/>
    </xf>
    <xf numFmtId="0" fontId="4" fillId="16" borderId="30" xfId="0" applyFont="1" applyFill="1" applyBorder="1" applyAlignment="1">
      <alignment/>
    </xf>
    <xf numFmtId="178" fontId="6" fillId="38" borderId="51" xfId="42" applyNumberFormat="1" applyFont="1" applyFill="1" applyBorder="1" applyAlignment="1">
      <alignment/>
    </xf>
    <xf numFmtId="178" fontId="10" fillId="0" borderId="13" xfId="42" applyNumberFormat="1" applyFont="1" applyFill="1" applyBorder="1" applyAlignment="1">
      <alignment/>
    </xf>
    <xf numFmtId="178" fontId="4" fillId="0" borderId="43" xfId="42" applyNumberFormat="1" applyFont="1" applyFill="1" applyBorder="1" applyAlignment="1">
      <alignment/>
    </xf>
    <xf numFmtId="178" fontId="4" fillId="0" borderId="27" xfId="42" applyNumberFormat="1" applyFont="1" applyFill="1" applyBorder="1" applyAlignment="1">
      <alignment/>
    </xf>
    <xf numFmtId="178" fontId="4" fillId="0" borderId="31" xfId="42" applyNumberFormat="1" applyFont="1" applyFill="1" applyBorder="1" applyAlignment="1">
      <alignment/>
    </xf>
    <xf numFmtId="0" fontId="4" fillId="0" borderId="31" xfId="0" applyFont="1" applyFill="1" applyBorder="1" applyAlignment="1">
      <alignment/>
    </xf>
    <xf numFmtId="178" fontId="4" fillId="0" borderId="37" xfId="42" applyNumberFormat="1" applyFont="1" applyFill="1" applyBorder="1" applyAlignment="1">
      <alignment/>
    </xf>
    <xf numFmtId="178" fontId="4" fillId="16" borderId="36" xfId="42" applyNumberFormat="1" applyFont="1" applyFill="1" applyBorder="1" applyAlignment="1">
      <alignment/>
    </xf>
    <xf numFmtId="3" fontId="4" fillId="16" borderId="36" xfId="0" applyNumberFormat="1" applyFont="1" applyFill="1" applyBorder="1" applyAlignment="1">
      <alignment/>
    </xf>
    <xf numFmtId="178" fontId="4" fillId="16" borderId="32" xfId="42" applyNumberFormat="1" applyFont="1" applyFill="1" applyBorder="1" applyAlignment="1">
      <alignment/>
    </xf>
    <xf numFmtId="178" fontId="4" fillId="0" borderId="25" xfId="42" applyNumberFormat="1" applyFont="1" applyFill="1" applyBorder="1" applyAlignment="1">
      <alignment/>
    </xf>
    <xf numFmtId="178" fontId="4" fillId="0" borderId="70" xfId="42" applyNumberFormat="1" applyFont="1" applyBorder="1" applyAlignment="1">
      <alignment/>
    </xf>
    <xf numFmtId="0" fontId="13" fillId="37" borderId="15" xfId="0" applyFont="1" applyFill="1" applyBorder="1" applyAlignment="1">
      <alignment/>
    </xf>
    <xf numFmtId="0" fontId="13" fillId="0" borderId="15" xfId="0" applyFont="1" applyBorder="1" applyAlignment="1">
      <alignment/>
    </xf>
    <xf numFmtId="14" fontId="49" fillId="0" borderId="28" xfId="0" applyNumberFormat="1" applyFont="1" applyBorder="1" applyAlignment="1">
      <alignment horizontal="right"/>
    </xf>
    <xf numFmtId="0" fontId="49" fillId="0" borderId="28" xfId="0" applyFont="1" applyBorder="1" applyAlignment="1">
      <alignment horizontal="right"/>
    </xf>
    <xf numFmtId="0" fontId="56" fillId="0" borderId="28" xfId="0" applyFont="1" applyBorder="1" applyAlignment="1">
      <alignment/>
    </xf>
    <xf numFmtId="0" fontId="49" fillId="0" borderId="15" xfId="0" applyFont="1" applyBorder="1" applyAlignment="1">
      <alignment horizontal="right"/>
    </xf>
    <xf numFmtId="3" fontId="49" fillId="0" borderId="45" xfId="0" applyNumberFormat="1" applyFont="1" applyBorder="1" applyAlignment="1">
      <alignment/>
    </xf>
    <xf numFmtId="0" fontId="51" fillId="0" borderId="63" xfId="0" applyFont="1" applyBorder="1" applyAlignment="1">
      <alignment/>
    </xf>
    <xf numFmtId="0" fontId="51" fillId="0" borderId="0" xfId="0" applyFont="1" applyAlignment="1">
      <alignment/>
    </xf>
    <xf numFmtId="0" fontId="49" fillId="0" borderId="40" xfId="0" applyFont="1" applyBorder="1" applyAlignment="1">
      <alignment horizontal="right"/>
    </xf>
    <xf numFmtId="14" fontId="49" fillId="0" borderId="40" xfId="0" applyNumberFormat="1" applyFont="1" applyBorder="1" applyAlignment="1">
      <alignment horizontal="right"/>
    </xf>
    <xf numFmtId="0" fontId="51" fillId="0" borderId="42" xfId="0" applyFont="1" applyBorder="1" applyAlignment="1">
      <alignment/>
    </xf>
    <xf numFmtId="0" fontId="51" fillId="0" borderId="32" xfId="0" applyFont="1" applyBorder="1" applyAlignment="1">
      <alignment/>
    </xf>
    <xf numFmtId="14" fontId="49" fillId="0" borderId="15" xfId="0" applyNumberFormat="1" applyFont="1" applyBorder="1" applyAlignment="1">
      <alignment horizontal="right"/>
    </xf>
    <xf numFmtId="14" fontId="49" fillId="0" borderId="40" xfId="0" applyNumberFormat="1" applyFont="1" applyBorder="1" applyAlignment="1">
      <alignment/>
    </xf>
    <xf numFmtId="178" fontId="13" fillId="37" borderId="15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4" fillId="0" borderId="52" xfId="0" applyNumberFormat="1" applyFont="1" applyBorder="1" applyAlignment="1">
      <alignment/>
    </xf>
    <xf numFmtId="1" fontId="4" fillId="0" borderId="53" xfId="0" applyNumberFormat="1" applyFont="1" applyBorder="1" applyAlignment="1">
      <alignment/>
    </xf>
    <xf numFmtId="1" fontId="4" fillId="0" borderId="80" xfId="0" applyNumberFormat="1" applyFont="1" applyBorder="1" applyAlignment="1">
      <alignment/>
    </xf>
    <xf numFmtId="1" fontId="4" fillId="0" borderId="83" xfId="0" applyNumberFormat="1" applyFont="1" applyBorder="1" applyAlignment="1">
      <alignment/>
    </xf>
    <xf numFmtId="1" fontId="4" fillId="0" borderId="84" xfId="0" applyNumberFormat="1" applyFont="1" applyBorder="1" applyAlignment="1">
      <alignment/>
    </xf>
    <xf numFmtId="1" fontId="4" fillId="0" borderId="62" xfId="0" applyNumberFormat="1" applyFont="1" applyBorder="1" applyAlignment="1">
      <alignment/>
    </xf>
    <xf numFmtId="1" fontId="4" fillId="0" borderId="61" xfId="0" applyNumberFormat="1" applyFont="1" applyBorder="1" applyAlignment="1">
      <alignment/>
    </xf>
    <xf numFmtId="1" fontId="0" fillId="0" borderId="54" xfId="0" applyNumberFormat="1" applyBorder="1" applyAlignment="1">
      <alignment/>
    </xf>
    <xf numFmtId="1" fontId="4" fillId="0" borderId="81" xfId="0" applyNumberFormat="1" applyFont="1" applyBorder="1" applyAlignment="1">
      <alignment/>
    </xf>
    <xf numFmtId="1" fontId="4" fillId="0" borderId="73" xfId="0" applyNumberFormat="1" applyFont="1" applyBorder="1" applyAlignment="1">
      <alignment/>
    </xf>
    <xf numFmtId="1" fontId="4" fillId="0" borderId="33" xfId="0" applyNumberFormat="1" applyFont="1" applyBorder="1" applyAlignment="1">
      <alignment/>
    </xf>
    <xf numFmtId="1" fontId="4" fillId="0" borderId="29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1" fontId="4" fillId="0" borderId="74" xfId="0" applyNumberFormat="1" applyFont="1" applyBorder="1" applyAlignment="1">
      <alignment/>
    </xf>
    <xf numFmtId="1" fontId="4" fillId="0" borderId="31" xfId="0" applyNumberFormat="1" applyFont="1" applyBorder="1" applyAlignment="1">
      <alignment/>
    </xf>
    <xf numFmtId="1" fontId="4" fillId="0" borderId="78" xfId="0" applyNumberFormat="1" applyFont="1" applyFill="1" applyBorder="1" applyAlignment="1">
      <alignment/>
    </xf>
    <xf numFmtId="1" fontId="4" fillId="0" borderId="65" xfId="0" applyNumberFormat="1" applyFont="1" applyBorder="1" applyAlignment="1">
      <alignment/>
    </xf>
    <xf numFmtId="1" fontId="4" fillId="0" borderId="66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" fontId="4" fillId="0" borderId="70" xfId="0" applyNumberFormat="1" applyFont="1" applyFill="1" applyBorder="1" applyAlignment="1">
      <alignment/>
    </xf>
    <xf numFmtId="178" fontId="4" fillId="0" borderId="35" xfId="42" applyNumberFormat="1" applyFont="1" applyBorder="1" applyAlignment="1">
      <alignment horizontal="center"/>
    </xf>
    <xf numFmtId="178" fontId="4" fillId="0" borderId="34" xfId="42" applyNumberFormat="1" applyFont="1" applyBorder="1" applyAlignment="1">
      <alignment/>
    </xf>
    <xf numFmtId="178" fontId="13" fillId="0" borderId="31" xfId="42" applyNumberFormat="1" applyFont="1" applyBorder="1" applyAlignment="1">
      <alignment horizontal="left"/>
    </xf>
    <xf numFmtId="178" fontId="13" fillId="0" borderId="27" xfId="42" applyNumberFormat="1" applyFont="1" applyBorder="1" applyAlignment="1">
      <alignment horizontal="left"/>
    </xf>
    <xf numFmtId="178" fontId="13" fillId="0" borderId="27" xfId="42" applyNumberFormat="1" applyFont="1" applyBorder="1" applyAlignment="1">
      <alignment/>
    </xf>
    <xf numFmtId="178" fontId="13" fillId="0" borderId="28" xfId="42" applyNumberFormat="1" applyFont="1" applyBorder="1" applyAlignment="1">
      <alignment/>
    </xf>
    <xf numFmtId="178" fontId="13" fillId="0" borderId="45" xfId="42" applyNumberFormat="1" applyFont="1" applyBorder="1" applyAlignment="1">
      <alignment/>
    </xf>
    <xf numFmtId="178" fontId="4" fillId="0" borderId="16" xfId="42" applyNumberFormat="1" applyFont="1" applyBorder="1" applyAlignment="1">
      <alignment horizontal="center"/>
    </xf>
    <xf numFmtId="178" fontId="4" fillId="0" borderId="15" xfId="42" applyNumberFormat="1" applyFont="1" applyBorder="1" applyAlignment="1">
      <alignment/>
    </xf>
    <xf numFmtId="178" fontId="13" fillId="0" borderId="15" xfId="42" applyNumberFormat="1" applyFont="1" applyBorder="1" applyAlignment="1">
      <alignment/>
    </xf>
    <xf numFmtId="178" fontId="13" fillId="0" borderId="74" xfId="42" applyNumberFormat="1" applyFont="1" applyBorder="1" applyAlignment="1">
      <alignment/>
    </xf>
    <xf numFmtId="178" fontId="13" fillId="0" borderId="31" xfId="42" applyNumberFormat="1" applyFont="1" applyBorder="1" applyAlignment="1">
      <alignment/>
    </xf>
    <xf numFmtId="178" fontId="13" fillId="0" borderId="43" xfId="42" applyNumberFormat="1" applyFont="1" applyBorder="1" applyAlignment="1">
      <alignment/>
    </xf>
    <xf numFmtId="178" fontId="13" fillId="0" borderId="40" xfId="42" applyNumberFormat="1" applyFont="1" applyBorder="1" applyAlignment="1">
      <alignment/>
    </xf>
    <xf numFmtId="178" fontId="13" fillId="0" borderId="23" xfId="42" applyNumberFormat="1" applyFont="1" applyBorder="1" applyAlignment="1">
      <alignment/>
    </xf>
    <xf numFmtId="178" fontId="13" fillId="0" borderId="25" xfId="42" applyNumberFormat="1" applyFont="1" applyBorder="1" applyAlignment="1">
      <alignment/>
    </xf>
    <xf numFmtId="178" fontId="13" fillId="0" borderId="71" xfId="42" applyNumberFormat="1" applyFont="1" applyBorder="1" applyAlignment="1">
      <alignment/>
    </xf>
    <xf numFmtId="178" fontId="9" fillId="0" borderId="36" xfId="42" applyNumberFormat="1" applyFont="1" applyBorder="1" applyAlignment="1">
      <alignment/>
    </xf>
    <xf numFmtId="178" fontId="13" fillId="0" borderId="29" xfId="42" applyNumberFormat="1" applyFont="1" applyBorder="1" applyAlignment="1">
      <alignment/>
    </xf>
    <xf numFmtId="178" fontId="13" fillId="0" borderId="73" xfId="42" applyNumberFormat="1" applyFont="1" applyBorder="1" applyAlignment="1">
      <alignment/>
    </xf>
    <xf numFmtId="178" fontId="13" fillId="0" borderId="78" xfId="42" applyNumberFormat="1" applyFont="1" applyBorder="1" applyAlignment="1">
      <alignment/>
    </xf>
    <xf numFmtId="0" fontId="13" fillId="0" borderId="83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77" xfId="0" applyFont="1" applyBorder="1" applyAlignment="1">
      <alignment/>
    </xf>
    <xf numFmtId="41" fontId="0" fillId="0" borderId="0" xfId="0" applyNumberFormat="1" applyFill="1" applyAlignment="1">
      <alignment/>
    </xf>
    <xf numFmtId="0" fontId="13" fillId="0" borderId="15" xfId="0" applyFont="1" applyFill="1" applyBorder="1" applyAlignment="1">
      <alignment/>
    </xf>
    <xf numFmtId="178" fontId="13" fillId="0" borderId="53" xfId="42" applyNumberFormat="1" applyFont="1" applyBorder="1" applyAlignment="1">
      <alignment/>
    </xf>
    <xf numFmtId="178" fontId="13" fillId="0" borderId="28" xfId="42" applyNumberFormat="1" applyFont="1" applyBorder="1" applyAlignment="1">
      <alignment/>
    </xf>
    <xf numFmtId="0" fontId="13" fillId="0" borderId="46" xfId="0" applyFont="1" applyFill="1" applyBorder="1" applyAlignment="1">
      <alignment/>
    </xf>
    <xf numFmtId="0" fontId="13" fillId="0" borderId="40" xfId="0" applyFont="1" applyFill="1" applyBorder="1" applyAlignment="1">
      <alignment/>
    </xf>
    <xf numFmtId="169" fontId="13" fillId="0" borderId="40" xfId="0" applyNumberFormat="1" applyFont="1" applyFill="1" applyBorder="1" applyAlignment="1">
      <alignment/>
    </xf>
    <xf numFmtId="169" fontId="13" fillId="0" borderId="71" xfId="0" applyNumberFormat="1" applyFont="1" applyFill="1" applyBorder="1" applyAlignment="1">
      <alignment/>
    </xf>
    <xf numFmtId="169" fontId="13" fillId="0" borderId="45" xfId="0" applyNumberFormat="1" applyFont="1" applyFill="1" applyBorder="1" applyAlignment="1">
      <alignment/>
    </xf>
    <xf numFmtId="169" fontId="9" fillId="0" borderId="30" xfId="0" applyNumberFormat="1" applyFont="1" applyFill="1" applyBorder="1" applyAlignment="1">
      <alignment/>
    </xf>
    <xf numFmtId="178" fontId="3" fillId="0" borderId="0" xfId="0" applyNumberFormat="1" applyFont="1" applyAlignment="1">
      <alignment/>
    </xf>
    <xf numFmtId="0" fontId="0" fillId="37" borderId="0" xfId="0" applyFill="1" applyAlignment="1">
      <alignment/>
    </xf>
    <xf numFmtId="0" fontId="49" fillId="37" borderId="0" xfId="0" applyFont="1" applyFill="1" applyAlignment="1">
      <alignment/>
    </xf>
    <xf numFmtId="0" fontId="49" fillId="0" borderId="27" xfId="0" applyFont="1" applyBorder="1" applyAlignment="1">
      <alignment/>
    </xf>
    <xf numFmtId="0" fontId="49" fillId="0" borderId="31" xfId="0" applyFont="1" applyBorder="1" applyAlignment="1">
      <alignment/>
    </xf>
    <xf numFmtId="0" fontId="49" fillId="0" borderId="25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0" fontId="0" fillId="37" borderId="0" xfId="0" applyFill="1" applyAlignment="1">
      <alignment horizontal="center"/>
    </xf>
    <xf numFmtId="0" fontId="49" fillId="37" borderId="0" xfId="0" applyFont="1" applyFill="1" applyAlignment="1">
      <alignment horizontal="center"/>
    </xf>
    <xf numFmtId="49" fontId="49" fillId="0" borderId="28" xfId="0" applyNumberFormat="1" applyFont="1" applyBorder="1" applyAlignment="1">
      <alignment horizontal="center"/>
    </xf>
    <xf numFmtId="49" fontId="49" fillId="0" borderId="15" xfId="0" applyNumberFormat="1" applyFont="1" applyBorder="1" applyAlignment="1">
      <alignment horizontal="center"/>
    </xf>
    <xf numFmtId="1" fontId="49" fillId="0" borderId="15" xfId="0" applyNumberFormat="1" applyFont="1" applyBorder="1" applyAlignment="1">
      <alignment/>
    </xf>
    <xf numFmtId="1" fontId="49" fillId="0" borderId="28" xfId="0" applyNumberFormat="1" applyFont="1" applyBorder="1" applyAlignment="1">
      <alignment/>
    </xf>
    <xf numFmtId="1" fontId="49" fillId="0" borderId="40" xfId="0" applyNumberFormat="1" applyFont="1" applyBorder="1" applyAlignment="1">
      <alignment/>
    </xf>
    <xf numFmtId="1" fontId="49" fillId="0" borderId="25" xfId="0" applyNumberFormat="1" applyFont="1" applyBorder="1" applyAlignment="1">
      <alignment/>
    </xf>
    <xf numFmtId="0" fontId="49" fillId="0" borderId="35" xfId="0" applyFont="1" applyBorder="1" applyAlignment="1">
      <alignment horizontal="center"/>
    </xf>
    <xf numFmtId="1" fontId="9" fillId="39" borderId="66" xfId="0" applyNumberFormat="1" applyFont="1" applyFill="1" applyBorder="1" applyAlignment="1">
      <alignment horizontal="center" vertical="justify"/>
    </xf>
    <xf numFmtId="1" fontId="9" fillId="39" borderId="73" xfId="0" applyNumberFormat="1" applyFont="1" applyFill="1" applyBorder="1" applyAlignment="1">
      <alignment horizontal="center" vertical="justify"/>
    </xf>
    <xf numFmtId="0" fontId="49" fillId="0" borderId="32" xfId="0" applyFont="1" applyBorder="1" applyAlignment="1">
      <alignment/>
    </xf>
    <xf numFmtId="0" fontId="49" fillId="0" borderId="73" xfId="0" applyFont="1" applyBorder="1" applyAlignment="1">
      <alignment/>
    </xf>
    <xf numFmtId="0" fontId="49" fillId="0" borderId="50" xfId="0" applyFont="1" applyBorder="1" applyAlignment="1">
      <alignment/>
    </xf>
    <xf numFmtId="0" fontId="49" fillId="0" borderId="51" xfId="0" applyFont="1" applyBorder="1" applyAlignment="1">
      <alignment/>
    </xf>
    <xf numFmtId="0" fontId="49" fillId="44" borderId="28" xfId="0" applyFont="1" applyFill="1" applyBorder="1" applyAlignment="1">
      <alignment/>
    </xf>
    <xf numFmtId="0" fontId="49" fillId="44" borderId="15" xfId="0" applyFont="1" applyFill="1" applyBorder="1" applyAlignment="1">
      <alignment/>
    </xf>
    <xf numFmtId="0" fontId="49" fillId="0" borderId="35" xfId="0" applyFont="1" applyFill="1" applyBorder="1" applyAlignment="1">
      <alignment/>
    </xf>
    <xf numFmtId="0" fontId="49" fillId="0" borderId="28" xfId="0" applyFont="1" applyFill="1" applyBorder="1" applyAlignment="1">
      <alignment horizontal="center"/>
    </xf>
    <xf numFmtId="14" fontId="49" fillId="0" borderId="28" xfId="0" applyNumberFormat="1" applyFont="1" applyFill="1" applyBorder="1" applyAlignment="1">
      <alignment/>
    </xf>
    <xf numFmtId="0" fontId="49" fillId="0" borderId="28" xfId="0" applyFont="1" applyFill="1" applyBorder="1" applyAlignment="1">
      <alignment/>
    </xf>
    <xf numFmtId="1" fontId="49" fillId="0" borderId="28" xfId="0" applyNumberFormat="1" applyFont="1" applyFill="1" applyBorder="1" applyAlignment="1">
      <alignment/>
    </xf>
    <xf numFmtId="49" fontId="49" fillId="0" borderId="28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/>
    </xf>
    <xf numFmtId="49" fontId="49" fillId="0" borderId="15" xfId="0" applyNumberFormat="1" applyFont="1" applyFill="1" applyBorder="1" applyAlignment="1">
      <alignment horizontal="center"/>
    </xf>
    <xf numFmtId="14" fontId="49" fillId="0" borderId="15" xfId="0" applyNumberFormat="1" applyFont="1" applyFill="1" applyBorder="1" applyAlignment="1">
      <alignment/>
    </xf>
    <xf numFmtId="0" fontId="49" fillId="0" borderId="15" xfId="0" applyFont="1" applyFill="1" applyBorder="1" applyAlignment="1">
      <alignment/>
    </xf>
    <xf numFmtId="1" fontId="51" fillId="0" borderId="63" xfId="0" applyNumberFormat="1" applyFont="1" applyFill="1" applyBorder="1" applyAlignment="1">
      <alignment/>
    </xf>
    <xf numFmtId="0" fontId="49" fillId="9" borderId="16" xfId="0" applyFont="1" applyFill="1" applyBorder="1" applyAlignment="1">
      <alignment/>
    </xf>
    <xf numFmtId="0" fontId="49" fillId="9" borderId="15" xfId="0" applyFont="1" applyFill="1" applyBorder="1" applyAlignment="1">
      <alignment/>
    </xf>
    <xf numFmtId="0" fontId="49" fillId="9" borderId="28" xfId="0" applyFont="1" applyFill="1" applyBorder="1" applyAlignment="1">
      <alignment/>
    </xf>
    <xf numFmtId="0" fontId="49" fillId="0" borderId="34" xfId="0" applyFont="1" applyBorder="1" applyAlignment="1">
      <alignment/>
    </xf>
    <xf numFmtId="0" fontId="56" fillId="0" borderId="40" xfId="0" applyFont="1" applyBorder="1" applyAlignment="1">
      <alignment/>
    </xf>
    <xf numFmtId="0" fontId="56" fillId="0" borderId="15" xfId="0" applyFont="1" applyBorder="1" applyAlignment="1">
      <alignment/>
    </xf>
    <xf numFmtId="14" fontId="49" fillId="0" borderId="28" xfId="0" applyNumberFormat="1" applyFont="1" applyBorder="1" applyAlignment="1">
      <alignment horizontal="center"/>
    </xf>
    <xf numFmtId="0" fontId="51" fillId="0" borderId="15" xfId="0" applyFont="1" applyBorder="1" applyAlignment="1">
      <alignment/>
    </xf>
    <xf numFmtId="43" fontId="51" fillId="0" borderId="0" xfId="42" applyFont="1" applyAlignment="1">
      <alignment/>
    </xf>
    <xf numFmtId="0" fontId="49" fillId="0" borderId="28" xfId="0" applyNumberFormat="1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15" xfId="0" applyFont="1" applyBorder="1" applyAlignment="1">
      <alignment/>
    </xf>
    <xf numFmtId="14" fontId="49" fillId="0" borderId="15" xfId="0" applyNumberFormat="1" applyFont="1" applyBorder="1" applyAlignment="1">
      <alignment horizontal="center"/>
    </xf>
    <xf numFmtId="0" fontId="49" fillId="44" borderId="40" xfId="0" applyFont="1" applyFill="1" applyBorder="1" applyAlignment="1">
      <alignment/>
    </xf>
    <xf numFmtId="0" fontId="49" fillId="0" borderId="36" xfId="0" applyFont="1" applyBorder="1" applyAlignment="1">
      <alignment/>
    </xf>
    <xf numFmtId="0" fontId="49" fillId="0" borderId="55" xfId="0" applyFont="1" applyBorder="1" applyAlignment="1">
      <alignment/>
    </xf>
    <xf numFmtId="1" fontId="49" fillId="44" borderId="40" xfId="0" applyNumberFormat="1" applyFont="1" applyFill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43" fontId="58" fillId="0" borderId="0" xfId="42" applyFont="1" applyAlignment="1">
      <alignment/>
    </xf>
    <xf numFmtId="178" fontId="58" fillId="0" borderId="0" xfId="42" applyNumberFormat="1" applyFont="1" applyAlignment="1">
      <alignment/>
    </xf>
    <xf numFmtId="49" fontId="58" fillId="0" borderId="0" xfId="42" applyNumberFormat="1" applyFont="1" applyAlignment="1">
      <alignment/>
    </xf>
    <xf numFmtId="43" fontId="58" fillId="0" borderId="0" xfId="42" applyNumberFormat="1" applyFont="1" applyAlignment="1">
      <alignment/>
    </xf>
    <xf numFmtId="178" fontId="59" fillId="0" borderId="0" xfId="42" applyNumberFormat="1" applyFont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43" fontId="59" fillId="0" borderId="0" xfId="42" applyFont="1" applyAlignment="1">
      <alignment/>
    </xf>
    <xf numFmtId="49" fontId="59" fillId="0" borderId="0" xfId="42" applyNumberFormat="1" applyFont="1" applyAlignment="1">
      <alignment/>
    </xf>
    <xf numFmtId="43" fontId="59" fillId="0" borderId="0" xfId="42" applyNumberFormat="1" applyFont="1" applyAlignment="1">
      <alignment/>
    </xf>
    <xf numFmtId="0" fontId="58" fillId="38" borderId="63" xfId="0" applyFont="1" applyFill="1" applyBorder="1" applyAlignment="1">
      <alignment horizontal="center"/>
    </xf>
    <xf numFmtId="178" fontId="58" fillId="38" borderId="63" xfId="42" applyNumberFormat="1" applyFont="1" applyFill="1" applyBorder="1" applyAlignment="1">
      <alignment horizontal="center"/>
    </xf>
    <xf numFmtId="43" fontId="58" fillId="38" borderId="63" xfId="42" applyNumberFormat="1" applyFont="1" applyFill="1" applyBorder="1" applyAlignment="1">
      <alignment horizontal="center"/>
    </xf>
    <xf numFmtId="178" fontId="58" fillId="38" borderId="21" xfId="42" applyNumberFormat="1" applyFont="1" applyFill="1" applyBorder="1" applyAlignment="1">
      <alignment horizontal="center"/>
    </xf>
    <xf numFmtId="178" fontId="58" fillId="38" borderId="19" xfId="42" applyNumberFormat="1" applyFont="1" applyFill="1" applyBorder="1" applyAlignment="1">
      <alignment horizontal="center"/>
    </xf>
    <xf numFmtId="0" fontId="58" fillId="38" borderId="76" xfId="0" applyFont="1" applyFill="1" applyBorder="1" applyAlignment="1">
      <alignment horizontal="center"/>
    </xf>
    <xf numFmtId="0" fontId="58" fillId="38" borderId="63" xfId="0" applyFont="1" applyFill="1" applyBorder="1" applyAlignment="1">
      <alignment horizontal="right"/>
    </xf>
    <xf numFmtId="43" fontId="58" fillId="38" borderId="63" xfId="42" applyFont="1" applyFill="1" applyBorder="1" applyAlignment="1">
      <alignment horizontal="center"/>
    </xf>
    <xf numFmtId="178" fontId="58" fillId="38" borderId="76" xfId="42" applyNumberFormat="1" applyFont="1" applyFill="1" applyBorder="1" applyAlignment="1">
      <alignment horizontal="center"/>
    </xf>
    <xf numFmtId="43" fontId="58" fillId="38" borderId="76" xfId="42" applyNumberFormat="1" applyFont="1" applyFill="1" applyBorder="1" applyAlignment="1">
      <alignment horizontal="center"/>
    </xf>
    <xf numFmtId="178" fontId="58" fillId="38" borderId="11" xfId="42" applyNumberFormat="1" applyFont="1" applyFill="1" applyBorder="1" applyAlignment="1">
      <alignment horizontal="center"/>
    </xf>
    <xf numFmtId="178" fontId="58" fillId="38" borderId="10" xfId="42" applyNumberFormat="1" applyFont="1" applyFill="1" applyBorder="1" applyAlignment="1">
      <alignment/>
    </xf>
    <xf numFmtId="0" fontId="59" fillId="0" borderId="22" xfId="0" applyFont="1" applyBorder="1" applyAlignment="1">
      <alignment/>
    </xf>
    <xf numFmtId="0" fontId="59" fillId="0" borderId="50" xfId="0" applyFont="1" applyFill="1" applyBorder="1" applyAlignment="1">
      <alignment horizontal="right"/>
    </xf>
    <xf numFmtId="43" fontId="59" fillId="0" borderId="50" xfId="42" applyFont="1" applyFill="1" applyBorder="1" applyAlignment="1">
      <alignment/>
    </xf>
    <xf numFmtId="188" fontId="59" fillId="0" borderId="53" xfId="42" applyNumberFormat="1" applyFont="1" applyFill="1" applyBorder="1" applyAlignment="1">
      <alignment/>
    </xf>
    <xf numFmtId="0" fontId="59" fillId="0" borderId="50" xfId="0" applyFont="1" applyFill="1" applyBorder="1" applyAlignment="1">
      <alignment/>
    </xf>
    <xf numFmtId="49" fontId="59" fillId="0" borderId="50" xfId="42" applyNumberFormat="1" applyFont="1" applyFill="1" applyBorder="1" applyAlignment="1">
      <alignment/>
    </xf>
    <xf numFmtId="43" fontId="59" fillId="0" borderId="50" xfId="42" applyNumberFormat="1" applyFont="1" applyFill="1" applyBorder="1" applyAlignment="1">
      <alignment/>
    </xf>
    <xf numFmtId="178" fontId="59" fillId="0" borderId="50" xfId="42" applyNumberFormat="1" applyFont="1" applyFill="1" applyBorder="1" applyAlignment="1">
      <alignment/>
    </xf>
    <xf numFmtId="178" fontId="59" fillId="0" borderId="51" xfId="42" applyNumberFormat="1" applyFont="1" applyFill="1" applyBorder="1" applyAlignment="1">
      <alignment/>
    </xf>
    <xf numFmtId="0" fontId="59" fillId="0" borderId="16" xfId="0" applyFont="1" applyBorder="1" applyAlignment="1">
      <alignment/>
    </xf>
    <xf numFmtId="0" fontId="59" fillId="0" borderId="15" xfId="0" applyFont="1" applyFill="1" applyBorder="1" applyAlignment="1">
      <alignment horizontal="right"/>
    </xf>
    <xf numFmtId="43" fontId="59" fillId="0" borderId="15" xfId="42" applyFont="1" applyFill="1" applyBorder="1" applyAlignment="1">
      <alignment/>
    </xf>
    <xf numFmtId="49" fontId="59" fillId="0" borderId="15" xfId="42" applyNumberFormat="1" applyFont="1" applyFill="1" applyBorder="1" applyAlignment="1">
      <alignment/>
    </xf>
    <xf numFmtId="0" fontId="59" fillId="0" borderId="15" xfId="0" applyFont="1" applyFill="1" applyBorder="1" applyAlignment="1">
      <alignment/>
    </xf>
    <xf numFmtId="43" fontId="59" fillId="0" borderId="15" xfId="42" applyNumberFormat="1" applyFont="1" applyFill="1" applyBorder="1" applyAlignment="1">
      <alignment/>
    </xf>
    <xf numFmtId="178" fontId="59" fillId="0" borderId="15" xfId="42" applyNumberFormat="1" applyFont="1" applyFill="1" applyBorder="1" applyAlignment="1">
      <alignment/>
    </xf>
    <xf numFmtId="178" fontId="59" fillId="0" borderId="43" xfId="42" applyNumberFormat="1" applyFont="1" applyFill="1" applyBorder="1" applyAlignment="1">
      <alignment/>
    </xf>
    <xf numFmtId="178" fontId="111" fillId="0" borderId="15" xfId="42" applyNumberFormat="1" applyFont="1" applyFill="1" applyBorder="1" applyAlignment="1">
      <alignment/>
    </xf>
    <xf numFmtId="178" fontId="111" fillId="0" borderId="43" xfId="42" applyNumberFormat="1" applyFont="1" applyFill="1" applyBorder="1" applyAlignment="1">
      <alignment/>
    </xf>
    <xf numFmtId="0" fontId="111" fillId="0" borderId="31" xfId="0" applyFont="1" applyFill="1" applyBorder="1" applyAlignment="1">
      <alignment/>
    </xf>
    <xf numFmtId="0" fontId="111" fillId="0" borderId="15" xfId="0" applyFont="1" applyFill="1" applyBorder="1" applyAlignment="1">
      <alignment horizontal="right"/>
    </xf>
    <xf numFmtId="43" fontId="111" fillId="0" borderId="15" xfId="42" applyFont="1" applyFill="1" applyBorder="1" applyAlignment="1">
      <alignment/>
    </xf>
    <xf numFmtId="49" fontId="111" fillId="0" borderId="15" xfId="42" applyNumberFormat="1" applyFont="1" applyFill="1" applyBorder="1" applyAlignment="1">
      <alignment/>
    </xf>
    <xf numFmtId="0" fontId="59" fillId="0" borderId="74" xfId="0" applyFont="1" applyFill="1" applyBorder="1" applyAlignment="1">
      <alignment horizontal="right"/>
    </xf>
    <xf numFmtId="49" fontId="59" fillId="0" borderId="31" xfId="42" applyNumberFormat="1" applyFont="1" applyFill="1" applyBorder="1" applyAlignment="1">
      <alignment/>
    </xf>
    <xf numFmtId="0" fontId="59" fillId="0" borderId="40" xfId="0" applyFont="1" applyFill="1" applyBorder="1" applyAlignment="1">
      <alignment horizontal="right"/>
    </xf>
    <xf numFmtId="43" fontId="59" fillId="0" borderId="40" xfId="42" applyFont="1" applyFill="1" applyBorder="1" applyAlignment="1">
      <alignment/>
    </xf>
    <xf numFmtId="49" fontId="59" fillId="0" borderId="40" xfId="42" applyNumberFormat="1" applyFont="1" applyFill="1" applyBorder="1" applyAlignment="1">
      <alignment/>
    </xf>
    <xf numFmtId="0" fontId="59" fillId="0" borderId="40" xfId="0" applyFont="1" applyFill="1" applyBorder="1" applyAlignment="1">
      <alignment/>
    </xf>
    <xf numFmtId="43" fontId="59" fillId="0" borderId="40" xfId="42" applyNumberFormat="1" applyFont="1" applyFill="1" applyBorder="1" applyAlignment="1">
      <alignment/>
    </xf>
    <xf numFmtId="178" fontId="59" fillId="0" borderId="40" xfId="42" applyNumberFormat="1" applyFont="1" applyFill="1" applyBorder="1" applyAlignment="1">
      <alignment/>
    </xf>
    <xf numFmtId="178" fontId="59" fillId="0" borderId="71" xfId="42" applyNumberFormat="1" applyFont="1" applyFill="1" applyBorder="1" applyAlignment="1">
      <alignment/>
    </xf>
    <xf numFmtId="43" fontId="58" fillId="32" borderId="30" xfId="42" applyNumberFormat="1" applyFont="1" applyFill="1" applyBorder="1" applyAlignment="1">
      <alignment/>
    </xf>
    <xf numFmtId="43" fontId="58" fillId="32" borderId="55" xfId="42" applyNumberFormat="1" applyFont="1" applyFill="1" applyBorder="1" applyAlignment="1">
      <alignment/>
    </xf>
    <xf numFmtId="0" fontId="59" fillId="0" borderId="28" xfId="0" applyFont="1" applyFill="1" applyBorder="1" applyAlignment="1">
      <alignment horizontal="right"/>
    </xf>
    <xf numFmtId="43" fontId="59" fillId="0" borderId="28" xfId="42" applyFont="1" applyFill="1" applyBorder="1" applyAlignment="1">
      <alignment/>
    </xf>
    <xf numFmtId="49" fontId="59" fillId="0" borderId="28" xfId="42" applyNumberFormat="1" applyFont="1" applyFill="1" applyBorder="1" applyAlignment="1">
      <alignment/>
    </xf>
    <xf numFmtId="0" fontId="59" fillId="0" borderId="28" xfId="0" applyFont="1" applyFill="1" applyBorder="1" applyAlignment="1">
      <alignment/>
    </xf>
    <xf numFmtId="43" fontId="59" fillId="0" borderId="28" xfId="42" applyNumberFormat="1" applyFont="1" applyFill="1" applyBorder="1" applyAlignment="1">
      <alignment/>
    </xf>
    <xf numFmtId="178" fontId="59" fillId="0" borderId="28" xfId="42" applyNumberFormat="1" applyFont="1" applyFill="1" applyBorder="1" applyAlignment="1">
      <alignment/>
    </xf>
    <xf numFmtId="178" fontId="59" fillId="0" borderId="45" xfId="42" applyNumberFormat="1" applyFont="1" applyFill="1" applyBorder="1" applyAlignment="1">
      <alignment/>
    </xf>
    <xf numFmtId="49" fontId="59" fillId="0" borderId="15" xfId="0" applyNumberFormat="1" applyFont="1" applyFill="1" applyBorder="1" applyAlignment="1">
      <alignment horizontal="right"/>
    </xf>
    <xf numFmtId="14" fontId="59" fillId="0" borderId="15" xfId="42" applyNumberFormat="1" applyFont="1" applyFill="1" applyBorder="1" applyAlignment="1">
      <alignment/>
    </xf>
    <xf numFmtId="49" fontId="111" fillId="0" borderId="15" xfId="0" applyNumberFormat="1" applyFont="1" applyFill="1" applyBorder="1" applyAlignment="1">
      <alignment horizontal="right"/>
    </xf>
    <xf numFmtId="49" fontId="59" fillId="0" borderId="40" xfId="0" applyNumberFormat="1" applyFont="1" applyFill="1" applyBorder="1" applyAlignment="1">
      <alignment horizontal="right"/>
    </xf>
    <xf numFmtId="49" fontId="59" fillId="0" borderId="28" xfId="0" applyNumberFormat="1" applyFont="1" applyFill="1" applyBorder="1" applyAlignment="1">
      <alignment horizontal="right"/>
    </xf>
    <xf numFmtId="180" fontId="59" fillId="0" borderId="15" xfId="42" applyNumberFormat="1" applyFont="1" applyFill="1" applyBorder="1" applyAlignment="1">
      <alignment/>
    </xf>
    <xf numFmtId="178" fontId="111" fillId="0" borderId="40" xfId="42" applyNumberFormat="1" applyFont="1" applyFill="1" applyBorder="1" applyAlignment="1">
      <alignment/>
    </xf>
    <xf numFmtId="178" fontId="58" fillId="32" borderId="30" xfId="42" applyNumberFormat="1" applyFont="1" applyFill="1" applyBorder="1" applyAlignment="1">
      <alignment/>
    </xf>
    <xf numFmtId="178" fontId="37" fillId="0" borderId="0" xfId="42" applyNumberFormat="1" applyFont="1" applyAlignment="1">
      <alignment/>
    </xf>
    <xf numFmtId="178" fontId="22" fillId="0" borderId="0" xfId="42" applyNumberFormat="1" applyFont="1" applyAlignment="1">
      <alignment/>
    </xf>
    <xf numFmtId="178" fontId="37" fillId="0" borderId="0" xfId="42" applyNumberFormat="1" applyFont="1" applyBorder="1" applyAlignment="1">
      <alignment/>
    </xf>
    <xf numFmtId="178" fontId="37" fillId="0" borderId="0" xfId="42" applyNumberFormat="1" applyFont="1" applyFill="1" applyBorder="1" applyAlignment="1">
      <alignment/>
    </xf>
    <xf numFmtId="178" fontId="62" fillId="0" borderId="0" xfId="42" applyNumberFormat="1" applyFont="1" applyBorder="1" applyAlignment="1">
      <alignment/>
    </xf>
    <xf numFmtId="178" fontId="10" fillId="38" borderId="63" xfId="42" applyNumberFormat="1" applyFont="1" applyFill="1" applyBorder="1" applyAlignment="1">
      <alignment/>
    </xf>
    <xf numFmtId="178" fontId="10" fillId="38" borderId="63" xfId="42" applyNumberFormat="1" applyFont="1" applyFill="1" applyBorder="1" applyAlignment="1">
      <alignment horizontal="center"/>
    </xf>
    <xf numFmtId="178" fontId="10" fillId="38" borderId="21" xfId="42" applyNumberFormat="1" applyFont="1" applyFill="1" applyBorder="1" applyAlignment="1">
      <alignment horizontal="center"/>
    </xf>
    <xf numFmtId="178" fontId="10" fillId="38" borderId="64" xfId="42" applyNumberFormat="1" applyFont="1" applyFill="1" applyBorder="1" applyAlignment="1">
      <alignment/>
    </xf>
    <xf numFmtId="178" fontId="10" fillId="38" borderId="64" xfId="42" applyNumberFormat="1" applyFont="1" applyFill="1" applyBorder="1" applyAlignment="1">
      <alignment horizontal="center"/>
    </xf>
    <xf numFmtId="178" fontId="10" fillId="38" borderId="14" xfId="42" applyNumberFormat="1" applyFont="1" applyFill="1" applyBorder="1" applyAlignment="1">
      <alignment horizontal="center"/>
    </xf>
    <xf numFmtId="178" fontId="4" fillId="0" borderId="16" xfId="42" applyNumberFormat="1" applyFont="1" applyFill="1" applyBorder="1" applyAlignment="1">
      <alignment/>
    </xf>
    <xf numFmtId="178" fontId="4" fillId="0" borderId="17" xfId="42" applyNumberFormat="1" applyFont="1" applyFill="1" applyBorder="1" applyAlignment="1">
      <alignment/>
    </xf>
    <xf numFmtId="178" fontId="4" fillId="0" borderId="18" xfId="42" applyNumberFormat="1" applyFont="1" applyBorder="1" applyAlignment="1">
      <alignment/>
    </xf>
    <xf numFmtId="178" fontId="4" fillId="0" borderId="41" xfId="42" applyNumberFormat="1" applyFont="1" applyBorder="1" applyAlignment="1">
      <alignment/>
    </xf>
    <xf numFmtId="0" fontId="111" fillId="0" borderId="74" xfId="0" applyFont="1" applyFill="1" applyBorder="1" applyAlignment="1">
      <alignment/>
    </xf>
    <xf numFmtId="0" fontId="58" fillId="32" borderId="42" xfId="0" applyFont="1" applyFill="1" applyBorder="1" applyAlignment="1">
      <alignment/>
    </xf>
    <xf numFmtId="0" fontId="58" fillId="32" borderId="56" xfId="0" applyFont="1" applyFill="1" applyBorder="1" applyAlignment="1">
      <alignment/>
    </xf>
    <xf numFmtId="0" fontId="58" fillId="32" borderId="57" xfId="0" applyFont="1" applyFill="1" applyBorder="1" applyAlignment="1">
      <alignment/>
    </xf>
    <xf numFmtId="1" fontId="9" fillId="39" borderId="73" xfId="0" applyNumberFormat="1" applyFont="1" applyFill="1" applyBorder="1" applyAlignment="1">
      <alignment horizontal="center" vertical="justify"/>
    </xf>
    <xf numFmtId="0" fontId="13" fillId="37" borderId="15" xfId="0" applyFont="1" applyFill="1" applyBorder="1" applyAlignment="1">
      <alignment/>
    </xf>
    <xf numFmtId="169" fontId="13" fillId="37" borderId="15" xfId="0" applyNumberFormat="1" applyFont="1" applyFill="1" applyBorder="1" applyAlignment="1">
      <alignment/>
    </xf>
    <xf numFmtId="0" fontId="13" fillId="37" borderId="40" xfId="0" applyFont="1" applyFill="1" applyBorder="1" applyAlignment="1">
      <alignment/>
    </xf>
    <xf numFmtId="169" fontId="13" fillId="37" borderId="40" xfId="0" applyNumberFormat="1" applyFont="1" applyFill="1" applyBorder="1" applyAlignment="1">
      <alignment/>
    </xf>
    <xf numFmtId="0" fontId="13" fillId="0" borderId="30" xfId="0" applyFont="1" applyFill="1" applyBorder="1" applyAlignment="1">
      <alignment/>
    </xf>
    <xf numFmtId="169" fontId="13" fillId="0" borderId="30" xfId="0" applyNumberFormat="1" applyFont="1" applyFill="1" applyBorder="1" applyAlignment="1">
      <alignment/>
    </xf>
    <xf numFmtId="0" fontId="13" fillId="0" borderId="73" xfId="0" applyFont="1" applyFill="1" applyBorder="1" applyAlignment="1">
      <alignment/>
    </xf>
    <xf numFmtId="169" fontId="13" fillId="0" borderId="73" xfId="0" applyNumberFormat="1" applyFont="1" applyFill="1" applyBorder="1" applyAlignment="1">
      <alignment/>
    </xf>
    <xf numFmtId="2" fontId="13" fillId="0" borderId="15" xfId="0" applyNumberFormat="1" applyFont="1" applyFill="1" applyBorder="1" applyAlignment="1">
      <alignment/>
    </xf>
    <xf numFmtId="2" fontId="13" fillId="0" borderId="40" xfId="0" applyNumberFormat="1" applyFont="1" applyFill="1" applyBorder="1" applyAlignment="1">
      <alignment/>
    </xf>
    <xf numFmtId="49" fontId="13" fillId="0" borderId="28" xfId="0" applyNumberFormat="1" applyFont="1" applyFill="1" applyBorder="1" applyAlignment="1">
      <alignment/>
    </xf>
    <xf numFmtId="0" fontId="112" fillId="0" borderId="0" xfId="0" applyFont="1" applyAlignment="1">
      <alignment/>
    </xf>
    <xf numFmtId="1" fontId="51" fillId="0" borderId="36" xfId="0" applyNumberFormat="1" applyFont="1" applyBorder="1" applyAlignment="1">
      <alignment horizontal="right"/>
    </xf>
    <xf numFmtId="1" fontId="49" fillId="0" borderId="0" xfId="0" applyNumberFormat="1" applyFont="1" applyAlignment="1">
      <alignment/>
    </xf>
    <xf numFmtId="1" fontId="51" fillId="0" borderId="36" xfId="0" applyNumberFormat="1" applyFont="1" applyFill="1" applyBorder="1" applyAlignment="1">
      <alignment horizontal="right"/>
    </xf>
    <xf numFmtId="0" fontId="51" fillId="0" borderId="42" xfId="0" applyFont="1" applyFill="1" applyBorder="1" applyAlignment="1">
      <alignment/>
    </xf>
    <xf numFmtId="1" fontId="9" fillId="39" borderId="40" xfId="0" applyNumberFormat="1" applyFont="1" applyFill="1" applyBorder="1" applyAlignment="1">
      <alignment/>
    </xf>
    <xf numFmtId="0" fontId="10" fillId="37" borderId="65" xfId="0" applyFont="1" applyFill="1" applyBorder="1" applyAlignment="1">
      <alignment/>
    </xf>
    <xf numFmtId="178" fontId="9" fillId="37" borderId="66" xfId="42" applyNumberFormat="1" applyFont="1" applyFill="1" applyBorder="1" applyAlignment="1">
      <alignment/>
    </xf>
    <xf numFmtId="178" fontId="9" fillId="37" borderId="14" xfId="0" applyNumberFormat="1" applyFont="1" applyFill="1" applyBorder="1" applyAlignment="1">
      <alignment/>
    </xf>
    <xf numFmtId="178" fontId="13" fillId="0" borderId="50" xfId="42" applyNumberFormat="1" applyFont="1" applyBorder="1" applyAlignment="1">
      <alignment/>
    </xf>
    <xf numFmtId="178" fontId="13" fillId="0" borderId="51" xfId="42" applyNumberFormat="1" applyFont="1" applyBorder="1" applyAlignment="1">
      <alignment/>
    </xf>
    <xf numFmtId="178" fontId="13" fillId="0" borderId="43" xfId="42" applyNumberFormat="1" applyFont="1" applyBorder="1" applyAlignment="1">
      <alignment/>
    </xf>
    <xf numFmtId="178" fontId="13" fillId="0" borderId="18" xfId="42" applyNumberFormat="1" applyFont="1" applyBorder="1" applyAlignment="1">
      <alignment/>
    </xf>
    <xf numFmtId="178" fontId="13" fillId="0" borderId="41" xfId="42" applyNumberFormat="1" applyFont="1" applyBorder="1" applyAlignment="1">
      <alignment/>
    </xf>
    <xf numFmtId="0" fontId="10" fillId="0" borderId="82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178" fontId="13" fillId="0" borderId="22" xfId="42" applyNumberFormat="1" applyFont="1" applyBorder="1" applyAlignment="1">
      <alignment/>
    </xf>
    <xf numFmtId="178" fontId="13" fillId="0" borderId="16" xfId="42" applyNumberFormat="1" applyFont="1" applyBorder="1" applyAlignment="1">
      <alignment/>
    </xf>
    <xf numFmtId="178" fontId="13" fillId="0" borderId="17" xfId="42" applyNumberFormat="1" applyFont="1" applyBorder="1" applyAlignment="1">
      <alignment/>
    </xf>
    <xf numFmtId="178" fontId="13" fillId="0" borderId="16" xfId="42" applyNumberFormat="1" applyFont="1" applyBorder="1" applyAlignment="1">
      <alignment/>
    </xf>
    <xf numFmtId="0" fontId="13" fillId="0" borderId="65" xfId="0" applyFont="1" applyFill="1" applyBorder="1" applyAlignment="1">
      <alignment/>
    </xf>
    <xf numFmtId="0" fontId="13" fillId="0" borderId="66" xfId="0" applyFont="1" applyFill="1" applyBorder="1" applyAlignment="1">
      <alignment/>
    </xf>
    <xf numFmtId="169" fontId="13" fillId="0" borderId="66" xfId="0" applyNumberFormat="1" applyFont="1" applyFill="1" applyBorder="1" applyAlignment="1">
      <alignment/>
    </xf>
    <xf numFmtId="169" fontId="13" fillId="0" borderId="70" xfId="0" applyNumberFormat="1" applyFont="1" applyFill="1" applyBorder="1" applyAlignment="1">
      <alignment/>
    </xf>
    <xf numFmtId="169" fontId="13" fillId="0" borderId="55" xfId="0" applyNumberFormat="1" applyFont="1" applyFill="1" applyBorder="1" applyAlignment="1">
      <alignment/>
    </xf>
    <xf numFmtId="178" fontId="4" fillId="0" borderId="50" xfId="42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178" fontId="10" fillId="0" borderId="28" xfId="42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169" fontId="13" fillId="0" borderId="23" xfId="0" applyNumberFormat="1" applyFont="1" applyFill="1" applyBorder="1" applyAlignment="1">
      <alignment/>
    </xf>
    <xf numFmtId="169" fontId="13" fillId="37" borderId="43" xfId="0" applyNumberFormat="1" applyFont="1" applyFill="1" applyBorder="1" applyAlignment="1">
      <alignment/>
    </xf>
    <xf numFmtId="1" fontId="0" fillId="0" borderId="15" xfId="0" applyNumberFormat="1" applyBorder="1" applyAlignment="1">
      <alignment/>
    </xf>
    <xf numFmtId="187" fontId="0" fillId="0" borderId="15" xfId="0" applyNumberFormat="1" applyBorder="1" applyAlignment="1">
      <alignment/>
    </xf>
    <xf numFmtId="2" fontId="13" fillId="37" borderId="40" xfId="0" applyNumberFormat="1" applyFont="1" applyFill="1" applyBorder="1" applyAlignment="1">
      <alignment/>
    </xf>
    <xf numFmtId="178" fontId="0" fillId="37" borderId="15" xfId="42" applyNumberFormat="1" applyFont="1" applyFill="1" applyBorder="1" applyAlignment="1">
      <alignment/>
    </xf>
    <xf numFmtId="178" fontId="0" fillId="0" borderId="0" xfId="0" applyNumberFormat="1" applyAlignment="1">
      <alignment/>
    </xf>
    <xf numFmtId="178" fontId="13" fillId="0" borderId="0" xfId="42" applyNumberFormat="1" applyFont="1" applyAlignment="1">
      <alignment/>
    </xf>
    <xf numFmtId="178" fontId="0" fillId="0" borderId="0" xfId="0" applyNumberFormat="1" applyFill="1" applyBorder="1" applyAlignment="1">
      <alignment/>
    </xf>
    <xf numFmtId="178" fontId="13" fillId="0" borderId="15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178" fontId="5" fillId="43" borderId="15" xfId="42" applyNumberFormat="1" applyFont="1" applyFill="1" applyBorder="1" applyAlignment="1">
      <alignment/>
    </xf>
    <xf numFmtId="169" fontId="10" fillId="39" borderId="33" xfId="0" applyNumberFormat="1" applyFont="1" applyFill="1" applyBorder="1" applyAlignment="1">
      <alignment/>
    </xf>
    <xf numFmtId="14" fontId="10" fillId="0" borderId="0" xfId="0" applyNumberFormat="1" applyFont="1" applyAlignment="1">
      <alignment/>
    </xf>
    <xf numFmtId="178" fontId="2" fillId="41" borderId="51" xfId="42" applyNumberFormat="1" applyFont="1" applyFill="1" applyBorder="1" applyAlignment="1">
      <alignment/>
    </xf>
    <xf numFmtId="178" fontId="0" fillId="0" borderId="43" xfId="42" applyNumberFormat="1" applyFont="1" applyBorder="1" applyAlignment="1">
      <alignment/>
    </xf>
    <xf numFmtId="178" fontId="2" fillId="41" borderId="43" xfId="42" applyNumberFormat="1" applyFont="1" applyFill="1" applyBorder="1" applyAlignment="1">
      <alignment/>
    </xf>
    <xf numFmtId="178" fontId="0" fillId="41" borderId="15" xfId="42" applyNumberFormat="1" applyFont="1" applyFill="1" applyBorder="1" applyAlignment="1">
      <alignment/>
    </xf>
    <xf numFmtId="178" fontId="2" fillId="37" borderId="70" xfId="42" applyNumberFormat="1" applyFont="1" applyFill="1" applyBorder="1" applyAlignment="1">
      <alignment/>
    </xf>
    <xf numFmtId="178" fontId="2" fillId="37" borderId="32" xfId="42" applyNumberFormat="1" applyFont="1" applyFill="1" applyBorder="1" applyAlignment="1">
      <alignment/>
    </xf>
    <xf numFmtId="178" fontId="4" fillId="0" borderId="48" xfId="42" applyNumberFormat="1" applyFont="1" applyFill="1" applyBorder="1" applyAlignment="1">
      <alignment/>
    </xf>
    <xf numFmtId="178" fontId="4" fillId="0" borderId="67" xfId="42" applyNumberFormat="1" applyFont="1" applyFill="1" applyBorder="1" applyAlignment="1">
      <alignment/>
    </xf>
    <xf numFmtId="178" fontId="4" fillId="0" borderId="85" xfId="42" applyNumberFormat="1" applyFont="1" applyFill="1" applyBorder="1" applyAlignment="1">
      <alignment/>
    </xf>
    <xf numFmtId="178" fontId="0" fillId="0" borderId="49" xfId="42" applyNumberFormat="1" applyFont="1" applyFill="1" applyBorder="1" applyAlignment="1">
      <alignment/>
    </xf>
    <xf numFmtId="178" fontId="2" fillId="0" borderId="36" xfId="42" applyNumberFormat="1" applyFont="1" applyFill="1" applyBorder="1" applyAlignment="1">
      <alignment/>
    </xf>
    <xf numFmtId="0" fontId="4" fillId="38" borderId="36" xfId="0" applyFont="1" applyFill="1" applyBorder="1" applyAlignment="1">
      <alignment/>
    </xf>
    <xf numFmtId="0" fontId="54" fillId="38" borderId="30" xfId="0" applyFont="1" applyFill="1" applyBorder="1" applyAlignment="1">
      <alignment wrapText="1"/>
    </xf>
    <xf numFmtId="178" fontId="39" fillId="41" borderId="53" xfId="42" applyNumberFormat="1" applyFont="1" applyFill="1" applyBorder="1" applyAlignment="1">
      <alignment/>
    </xf>
    <xf numFmtId="178" fontId="39" fillId="41" borderId="54" xfId="42" applyNumberFormat="1" applyFont="1" applyFill="1" applyBorder="1" applyAlignment="1">
      <alignment/>
    </xf>
    <xf numFmtId="178" fontId="39" fillId="0" borderId="53" xfId="42" applyNumberFormat="1" applyFont="1" applyFill="1" applyBorder="1" applyAlignment="1">
      <alignment/>
    </xf>
    <xf numFmtId="178" fontId="39" fillId="0" borderId="54" xfId="42" applyNumberFormat="1" applyFont="1" applyFill="1" applyBorder="1" applyAlignment="1">
      <alignment/>
    </xf>
    <xf numFmtId="178" fontId="39" fillId="38" borderId="30" xfId="42" applyNumberFormat="1" applyFont="1" applyFill="1" applyBorder="1" applyAlignment="1">
      <alignment/>
    </xf>
    <xf numFmtId="178" fontId="39" fillId="38" borderId="55" xfId="42" applyNumberFormat="1" applyFont="1" applyFill="1" applyBorder="1" applyAlignment="1">
      <alignment/>
    </xf>
    <xf numFmtId="0" fontId="3" fillId="6" borderId="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4" borderId="63" xfId="0" applyFont="1" applyFill="1" applyBorder="1" applyAlignment="1">
      <alignment horizontal="center" wrapText="1"/>
    </xf>
    <xf numFmtId="0" fontId="9" fillId="4" borderId="76" xfId="0" applyFont="1" applyFill="1" applyBorder="1" applyAlignment="1">
      <alignment horizontal="center" wrapText="1"/>
    </xf>
    <xf numFmtId="3" fontId="2" fillId="4" borderId="63" xfId="0" applyNumberFormat="1" applyFont="1" applyFill="1" applyBorder="1" applyAlignment="1">
      <alignment horizontal="center" wrapText="1"/>
    </xf>
    <xf numFmtId="3" fontId="2" fillId="4" borderId="76" xfId="0" applyNumberFormat="1" applyFont="1" applyFill="1" applyBorder="1" applyAlignment="1">
      <alignment horizontal="center" wrapText="1"/>
    </xf>
    <xf numFmtId="0" fontId="6" fillId="4" borderId="63" xfId="0" applyFont="1" applyFill="1" applyBorder="1" applyAlignment="1">
      <alignment horizontal="center"/>
    </xf>
    <xf numFmtId="0" fontId="6" fillId="4" borderId="76" xfId="0" applyFont="1" applyFill="1" applyBorder="1" applyAlignment="1">
      <alignment horizontal="center"/>
    </xf>
    <xf numFmtId="178" fontId="6" fillId="38" borderId="15" xfId="42" applyNumberFormat="1" applyFont="1" applyFill="1" applyBorder="1" applyAlignment="1">
      <alignment horizontal="center"/>
    </xf>
    <xf numFmtId="3" fontId="2" fillId="4" borderId="64" xfId="0" applyNumberFormat="1" applyFont="1" applyFill="1" applyBorder="1" applyAlignment="1">
      <alignment horizontal="center" wrapText="1"/>
    </xf>
    <xf numFmtId="0" fontId="6" fillId="4" borderId="6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4" borderId="63" xfId="0" applyFont="1" applyFill="1" applyBorder="1" applyAlignment="1">
      <alignment horizontal="center" wrapText="1"/>
    </xf>
    <xf numFmtId="0" fontId="10" fillId="4" borderId="64" xfId="0" applyFont="1" applyFill="1" applyBorder="1" applyAlignment="1">
      <alignment horizontal="center" wrapText="1"/>
    </xf>
    <xf numFmtId="0" fontId="2" fillId="4" borderId="63" xfId="0" applyFont="1" applyFill="1" applyBorder="1" applyAlignment="1">
      <alignment horizontal="center"/>
    </xf>
    <xf numFmtId="0" fontId="2" fillId="4" borderId="64" xfId="0" applyFont="1" applyFill="1" applyBorder="1" applyAlignment="1">
      <alignment horizontal="center"/>
    </xf>
    <xf numFmtId="0" fontId="0" fillId="10" borderId="63" xfId="0" applyFill="1" applyBorder="1" applyAlignment="1">
      <alignment horizontal="center"/>
    </xf>
    <xf numFmtId="0" fontId="0" fillId="10" borderId="64" xfId="0" applyFill="1" applyBorder="1" applyAlignment="1">
      <alignment horizontal="center"/>
    </xf>
    <xf numFmtId="0" fontId="2" fillId="10" borderId="63" xfId="0" applyFont="1" applyFill="1" applyBorder="1" applyAlignment="1">
      <alignment horizontal="center"/>
    </xf>
    <xf numFmtId="0" fontId="2" fillId="10" borderId="64" xfId="0" applyFont="1" applyFill="1" applyBorder="1" applyAlignment="1">
      <alignment horizontal="center"/>
    </xf>
    <xf numFmtId="3" fontId="0" fillId="10" borderId="63" xfId="0" applyNumberFormat="1" applyFont="1" applyFill="1" applyBorder="1" applyAlignment="1">
      <alignment horizontal="center" wrapText="1"/>
    </xf>
    <xf numFmtId="3" fontId="0" fillId="10" borderId="64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8" fontId="2" fillId="0" borderId="0" xfId="42" applyNumberFormat="1" applyFont="1" applyBorder="1" applyAlignment="1">
      <alignment horizontal="center"/>
    </xf>
    <xf numFmtId="0" fontId="22" fillId="0" borderId="22" xfId="0" applyFont="1" applyFill="1" applyBorder="1" applyAlignment="1">
      <alignment horizontal="center" vertical="justify"/>
    </xf>
    <xf numFmtId="0" fontId="22" fillId="0" borderId="17" xfId="0" applyFont="1" applyFill="1" applyBorder="1" applyAlignment="1">
      <alignment horizontal="center" vertical="justify"/>
    </xf>
    <xf numFmtId="0" fontId="22" fillId="0" borderId="50" xfId="0" applyFont="1" applyFill="1" applyBorder="1" applyAlignment="1">
      <alignment horizontal="center" vertical="justify"/>
    </xf>
    <xf numFmtId="0" fontId="22" fillId="0" borderId="18" xfId="0" applyFont="1" applyFill="1" applyBorder="1" applyAlignment="1">
      <alignment horizontal="center" vertical="justify"/>
    </xf>
    <xf numFmtId="0" fontId="10" fillId="0" borderId="21" xfId="0" applyFont="1" applyFill="1" applyBorder="1" applyAlignment="1">
      <alignment horizontal="center" vertical="justify"/>
    </xf>
    <xf numFmtId="0" fontId="10" fillId="0" borderId="14" xfId="0" applyFont="1" applyFill="1" applyBorder="1" applyAlignment="1">
      <alignment horizontal="center" vertical="justify"/>
    </xf>
    <xf numFmtId="0" fontId="22" fillId="0" borderId="51" xfId="0" applyFont="1" applyFill="1" applyBorder="1" applyAlignment="1">
      <alignment horizontal="center" vertical="justify"/>
    </xf>
    <xf numFmtId="0" fontId="22" fillId="0" borderId="41" xfId="0" applyFont="1" applyFill="1" applyBorder="1" applyAlignment="1">
      <alignment horizontal="center" vertical="justify"/>
    </xf>
    <xf numFmtId="0" fontId="38" fillId="0" borderId="65" xfId="0" applyFont="1" applyFill="1" applyBorder="1" applyAlignment="1">
      <alignment horizontal="center"/>
    </xf>
    <xf numFmtId="0" fontId="38" fillId="0" borderId="66" xfId="0" applyFont="1" applyFill="1" applyBorder="1" applyAlignment="1">
      <alignment horizontal="center"/>
    </xf>
    <xf numFmtId="0" fontId="10" fillId="33" borderId="42" xfId="0" applyFont="1" applyFill="1" applyBorder="1" applyAlignment="1">
      <alignment horizontal="center"/>
    </xf>
    <xf numFmtId="0" fontId="10" fillId="33" borderId="56" xfId="0" applyFont="1" applyFill="1" applyBorder="1" applyAlignment="1">
      <alignment horizontal="center"/>
    </xf>
    <xf numFmtId="0" fontId="10" fillId="33" borderId="57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 vertical="justify"/>
    </xf>
    <xf numFmtId="0" fontId="10" fillId="0" borderId="64" xfId="0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7" fillId="37" borderId="65" xfId="0" applyFont="1" applyFill="1" applyBorder="1" applyAlignment="1">
      <alignment horizontal="center"/>
    </xf>
    <xf numFmtId="0" fontId="17" fillId="37" borderId="66" xfId="0" applyFont="1" applyFill="1" applyBorder="1" applyAlignment="1">
      <alignment horizontal="center"/>
    </xf>
    <xf numFmtId="0" fontId="2" fillId="39" borderId="22" xfId="0" applyFont="1" applyFill="1" applyBorder="1" applyAlignment="1">
      <alignment horizontal="center" vertical="justify"/>
    </xf>
    <xf numFmtId="0" fontId="2" fillId="39" borderId="44" xfId="0" applyFont="1" applyFill="1" applyBorder="1" applyAlignment="1">
      <alignment horizontal="center" vertical="justify"/>
    </xf>
    <xf numFmtId="0" fontId="2" fillId="39" borderId="50" xfId="0" applyFont="1" applyFill="1" applyBorder="1" applyAlignment="1">
      <alignment horizontal="center" vertical="justify"/>
    </xf>
    <xf numFmtId="0" fontId="2" fillId="39" borderId="40" xfId="0" applyFont="1" applyFill="1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10" fillId="39" borderId="63" xfId="0" applyFont="1" applyFill="1" applyBorder="1" applyAlignment="1">
      <alignment horizontal="center" vertical="justify"/>
    </xf>
    <xf numFmtId="0" fontId="10" fillId="39" borderId="76" xfId="0" applyFont="1" applyFill="1" applyBorder="1" applyAlignment="1">
      <alignment horizontal="center" vertical="justify"/>
    </xf>
    <xf numFmtId="0" fontId="10" fillId="39" borderId="21" xfId="0" applyFont="1" applyFill="1" applyBorder="1" applyAlignment="1">
      <alignment horizontal="center" vertical="justify"/>
    </xf>
    <xf numFmtId="0" fontId="10" fillId="39" borderId="11" xfId="0" applyFont="1" applyFill="1" applyBorder="1" applyAlignment="1">
      <alignment horizontal="center" vertical="justify"/>
    </xf>
    <xf numFmtId="0" fontId="2" fillId="33" borderId="59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2" fillId="44" borderId="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10" fillId="39" borderId="64" xfId="0" applyFont="1" applyFill="1" applyBorder="1" applyAlignment="1">
      <alignment horizontal="center" vertical="justify"/>
    </xf>
    <xf numFmtId="0" fontId="10" fillId="39" borderId="14" xfId="0" applyFont="1" applyFill="1" applyBorder="1" applyAlignment="1">
      <alignment horizontal="center" vertical="justify"/>
    </xf>
    <xf numFmtId="1" fontId="2" fillId="0" borderId="40" xfId="0" applyNumberFormat="1" applyFont="1" applyBorder="1" applyAlignment="1">
      <alignment horizontal="center" vertical="justify"/>
    </xf>
    <xf numFmtId="1" fontId="2" fillId="0" borderId="66" xfId="0" applyNumberFormat="1" applyFont="1" applyBorder="1" applyAlignment="1">
      <alignment horizontal="center" vertical="justify"/>
    </xf>
    <xf numFmtId="1" fontId="2" fillId="0" borderId="53" xfId="0" applyNumberFormat="1" applyFont="1" applyBorder="1" applyAlignment="1">
      <alignment horizontal="center" vertical="justify"/>
    </xf>
    <xf numFmtId="1" fontId="2" fillId="0" borderId="73" xfId="0" applyNumberFormat="1" applyFont="1" applyBorder="1" applyAlignment="1">
      <alignment horizontal="center" vertical="justify"/>
    </xf>
    <xf numFmtId="1" fontId="2" fillId="0" borderId="54" xfId="0" applyNumberFormat="1" applyFont="1" applyBorder="1" applyAlignment="1">
      <alignment horizontal="center" vertical="justify"/>
    </xf>
    <xf numFmtId="1" fontId="2" fillId="0" borderId="78" xfId="0" applyNumberFormat="1" applyFont="1" applyBorder="1" applyAlignment="1">
      <alignment horizontal="center" vertical="justify"/>
    </xf>
    <xf numFmtId="1" fontId="2" fillId="0" borderId="70" xfId="0" applyNumberFormat="1" applyFont="1" applyBorder="1" applyAlignment="1">
      <alignment horizontal="center" vertical="justify"/>
    </xf>
    <xf numFmtId="1" fontId="2" fillId="0" borderId="74" xfId="0" applyNumberFormat="1" applyFont="1" applyBorder="1" applyAlignment="1">
      <alignment/>
    </xf>
    <xf numFmtId="1" fontId="2" fillId="0" borderId="58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1" fontId="2" fillId="0" borderId="74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0" fontId="51" fillId="0" borderId="42" xfId="0" applyFont="1" applyBorder="1" applyAlignment="1">
      <alignment horizontal="center" vertical="center" wrapText="1"/>
    </xf>
    <xf numFmtId="0" fontId="51" fillId="0" borderId="75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/>
    </xf>
    <xf numFmtId="0" fontId="51" fillId="0" borderId="56" xfId="0" applyFont="1" applyBorder="1" applyAlignment="1">
      <alignment horizontal="center"/>
    </xf>
    <xf numFmtId="0" fontId="51" fillId="0" borderId="75" xfId="0" applyFont="1" applyBorder="1" applyAlignment="1">
      <alignment horizontal="center"/>
    </xf>
    <xf numFmtId="0" fontId="49" fillId="0" borderId="42" xfId="0" applyFont="1" applyBorder="1" applyAlignment="1">
      <alignment horizontal="center"/>
    </xf>
    <xf numFmtId="0" fontId="49" fillId="0" borderId="5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56" xfId="0" applyFont="1" applyBorder="1" applyAlignment="1">
      <alignment horizontal="center" vertical="center" wrapText="1"/>
    </xf>
    <xf numFmtId="0" fontId="51" fillId="0" borderId="63" xfId="0" applyFont="1" applyBorder="1" applyAlignment="1">
      <alignment horizontal="center" vertical="center" wrapText="1"/>
    </xf>
    <xf numFmtId="0" fontId="51" fillId="0" borderId="64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86" xfId="0" applyFont="1" applyBorder="1" applyAlignment="1">
      <alignment horizontal="center" vertical="center" wrapText="1"/>
    </xf>
    <xf numFmtId="0" fontId="51" fillId="0" borderId="87" xfId="0" applyFont="1" applyBorder="1" applyAlignment="1">
      <alignment horizontal="center" vertical="center" wrapText="1"/>
    </xf>
    <xf numFmtId="0" fontId="51" fillId="0" borderId="88" xfId="0" applyFont="1" applyBorder="1" applyAlignment="1">
      <alignment horizontal="center" vertical="center" wrapText="1"/>
    </xf>
    <xf numFmtId="0" fontId="51" fillId="0" borderId="76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/>
    </xf>
    <xf numFmtId="0" fontId="51" fillId="0" borderId="56" xfId="0" applyFont="1" applyFill="1" applyBorder="1" applyAlignment="1">
      <alignment horizontal="center"/>
    </xf>
    <xf numFmtId="0" fontId="51" fillId="0" borderId="75" xfId="0" applyFont="1" applyFill="1" applyBorder="1" applyAlignment="1">
      <alignment horizontal="center"/>
    </xf>
    <xf numFmtId="49" fontId="51" fillId="0" borderId="42" xfId="0" applyNumberFormat="1" applyFont="1" applyBorder="1" applyAlignment="1">
      <alignment horizontal="center"/>
    </xf>
    <xf numFmtId="49" fontId="51" fillId="0" borderId="56" xfId="0" applyNumberFormat="1" applyFont="1" applyBorder="1" applyAlignment="1">
      <alignment horizontal="center"/>
    </xf>
    <xf numFmtId="49" fontId="51" fillId="0" borderId="75" xfId="0" applyNumberFormat="1" applyFont="1" applyBorder="1" applyAlignment="1">
      <alignment horizontal="center"/>
    </xf>
    <xf numFmtId="0" fontId="10" fillId="39" borderId="63" xfId="0" applyFont="1" applyFill="1" applyBorder="1" applyAlignment="1">
      <alignment horizontal="center"/>
    </xf>
    <xf numFmtId="0" fontId="10" fillId="39" borderId="76" xfId="0" applyFont="1" applyFill="1" applyBorder="1" applyAlignment="1">
      <alignment horizontal="center"/>
    </xf>
    <xf numFmtId="1" fontId="9" fillId="39" borderId="53" xfId="0" applyNumberFormat="1" applyFont="1" applyFill="1" applyBorder="1" applyAlignment="1">
      <alignment horizontal="center" vertical="justify"/>
    </xf>
    <xf numFmtId="1" fontId="9" fillId="39" borderId="73" xfId="0" applyNumberFormat="1" applyFont="1" applyFill="1" applyBorder="1" applyAlignment="1">
      <alignment horizontal="center" vertical="justify"/>
    </xf>
    <xf numFmtId="1" fontId="9" fillId="39" borderId="54" xfId="0" applyNumberFormat="1" applyFont="1" applyFill="1" applyBorder="1" applyAlignment="1">
      <alignment horizontal="center" vertical="justify"/>
    </xf>
    <xf numFmtId="1" fontId="9" fillId="39" borderId="78" xfId="0" applyNumberFormat="1" applyFont="1" applyFill="1" applyBorder="1" applyAlignment="1">
      <alignment horizontal="center" vertical="justify"/>
    </xf>
    <xf numFmtId="1" fontId="9" fillId="39" borderId="83" xfId="0" applyNumberFormat="1" applyFont="1" applyFill="1" applyBorder="1" applyAlignment="1">
      <alignment horizontal="center" vertical="justify"/>
    </xf>
    <xf numFmtId="1" fontId="9" fillId="39" borderId="29" xfId="0" applyNumberFormat="1" applyFont="1" applyFill="1" applyBorder="1" applyAlignment="1">
      <alignment horizontal="center" vertical="justify"/>
    </xf>
    <xf numFmtId="1" fontId="9" fillId="39" borderId="40" xfId="0" applyNumberFormat="1" applyFont="1" applyFill="1" applyBorder="1" applyAlignment="1">
      <alignment horizontal="center" vertical="justify"/>
    </xf>
    <xf numFmtId="0" fontId="9" fillId="0" borderId="15" xfId="0" applyFont="1" applyBorder="1" applyAlignment="1">
      <alignment wrapText="1"/>
    </xf>
    <xf numFmtId="1" fontId="9" fillId="39" borderId="42" xfId="0" applyNumberFormat="1" applyFont="1" applyFill="1" applyBorder="1" applyAlignment="1">
      <alignment horizontal="center"/>
    </xf>
    <xf numFmtId="1" fontId="9" fillId="39" borderId="56" xfId="0" applyNumberFormat="1" applyFont="1" applyFill="1" applyBorder="1" applyAlignment="1">
      <alignment horizontal="center"/>
    </xf>
    <xf numFmtId="1" fontId="9" fillId="39" borderId="75" xfId="0" applyNumberFormat="1" applyFont="1" applyFill="1" applyBorder="1" applyAlignment="1">
      <alignment horizontal="center"/>
    </xf>
    <xf numFmtId="1" fontId="9" fillId="39" borderId="82" xfId="0" applyNumberFormat="1" applyFont="1" applyFill="1" applyBorder="1" applyAlignment="1">
      <alignment horizontal="center"/>
    </xf>
    <xf numFmtId="1" fontId="9" fillId="39" borderId="61" xfId="0" applyNumberFormat="1" applyFont="1" applyFill="1" applyBorder="1" applyAlignment="1">
      <alignment horizontal="center"/>
    </xf>
    <xf numFmtId="1" fontId="9" fillId="39" borderId="6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15" xfId="0" applyFont="1" applyBorder="1" applyAlignment="1">
      <alignment/>
    </xf>
    <xf numFmtId="49" fontId="9" fillId="0" borderId="40" xfId="0" applyNumberFormat="1" applyFont="1" applyBorder="1" applyAlignment="1">
      <alignment wrapText="1"/>
    </xf>
    <xf numFmtId="49" fontId="9" fillId="0" borderId="73" xfId="0" applyNumberFormat="1" applyFont="1" applyBorder="1" applyAlignment="1">
      <alignment wrapText="1"/>
    </xf>
    <xf numFmtId="49" fontId="9" fillId="0" borderId="28" xfId="0" applyNumberFormat="1" applyFont="1" applyBorder="1" applyAlignment="1">
      <alignment wrapText="1"/>
    </xf>
    <xf numFmtId="0" fontId="10" fillId="39" borderId="64" xfId="0" applyFont="1" applyFill="1" applyBorder="1" applyAlignment="1">
      <alignment horizontal="center"/>
    </xf>
    <xf numFmtId="1" fontId="9" fillId="39" borderId="66" xfId="0" applyNumberFormat="1" applyFont="1" applyFill="1" applyBorder="1" applyAlignment="1">
      <alignment horizontal="center" vertical="justify"/>
    </xf>
    <xf numFmtId="1" fontId="9" fillId="39" borderId="70" xfId="0" applyNumberFormat="1" applyFont="1" applyFill="1" applyBorder="1" applyAlignment="1">
      <alignment horizontal="center" vertical="justify"/>
    </xf>
    <xf numFmtId="1" fontId="9" fillId="39" borderId="77" xfId="0" applyNumberFormat="1" applyFont="1" applyFill="1" applyBorder="1" applyAlignment="1">
      <alignment horizontal="center" vertical="justify"/>
    </xf>
    <xf numFmtId="0" fontId="9" fillId="0" borderId="42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13" fillId="0" borderId="57" xfId="0" applyFont="1" applyFill="1" applyBorder="1" applyAlignment="1">
      <alignment horizontal="center"/>
    </xf>
    <xf numFmtId="169" fontId="10" fillId="37" borderId="76" xfId="0" applyNumberFormat="1" applyFont="1" applyFill="1" applyBorder="1" applyAlignment="1">
      <alignment horizontal="center"/>
    </xf>
    <xf numFmtId="169" fontId="10" fillId="37" borderId="64" xfId="0" applyNumberFormat="1" applyFont="1" applyFill="1" applyBorder="1" applyAlignment="1">
      <alignment horizontal="center"/>
    </xf>
    <xf numFmtId="0" fontId="10" fillId="38" borderId="63" xfId="0" applyFont="1" applyFill="1" applyBorder="1" applyAlignment="1">
      <alignment horizontal="center"/>
    </xf>
    <xf numFmtId="0" fontId="10" fillId="38" borderId="7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39" borderId="16" xfId="0" applyFont="1" applyFill="1" applyBorder="1" applyAlignment="1">
      <alignment horizontal="center"/>
    </xf>
    <xf numFmtId="0" fontId="10" fillId="39" borderId="15" xfId="0" applyFont="1" applyFill="1" applyBorder="1" applyAlignment="1">
      <alignment horizontal="center"/>
    </xf>
    <xf numFmtId="0" fontId="9" fillId="38" borderId="63" xfId="0" applyFont="1" applyFill="1" applyBorder="1" applyAlignment="1">
      <alignment horizontal="center"/>
    </xf>
    <xf numFmtId="0" fontId="9" fillId="38" borderId="64" xfId="0" applyFont="1" applyFill="1" applyBorder="1" applyAlignment="1">
      <alignment horizontal="center"/>
    </xf>
    <xf numFmtId="0" fontId="9" fillId="37" borderId="42" xfId="0" applyFont="1" applyFill="1" applyBorder="1" applyAlignment="1">
      <alignment horizontal="right"/>
    </xf>
    <xf numFmtId="0" fontId="13" fillId="37" borderId="56" xfId="0" applyFont="1" applyFill="1" applyBorder="1" applyAlignment="1">
      <alignment horizontal="right"/>
    </xf>
    <xf numFmtId="0" fontId="13" fillId="37" borderId="57" xfId="0" applyFont="1" applyFill="1" applyBorder="1" applyAlignment="1">
      <alignment horizontal="right"/>
    </xf>
    <xf numFmtId="0" fontId="10" fillId="37" borderId="0" xfId="0" applyFont="1" applyFill="1" applyBorder="1" applyAlignment="1">
      <alignment horizontal="center"/>
    </xf>
    <xf numFmtId="0" fontId="10" fillId="37" borderId="11" xfId="0" applyFont="1" applyFill="1" applyBorder="1" applyAlignment="1">
      <alignment horizontal="center"/>
    </xf>
    <xf numFmtId="0" fontId="10" fillId="37" borderId="13" xfId="0" applyFont="1" applyFill="1" applyBorder="1" applyAlignment="1">
      <alignment horizontal="center"/>
    </xf>
    <xf numFmtId="0" fontId="10" fillId="37" borderId="14" xfId="0" applyFont="1" applyFill="1" applyBorder="1" applyAlignment="1">
      <alignment horizontal="center"/>
    </xf>
    <xf numFmtId="0" fontId="10" fillId="38" borderId="52" xfId="0" applyFont="1" applyFill="1" applyBorder="1" applyAlignment="1">
      <alignment horizontal="center"/>
    </xf>
    <xf numFmtId="0" fontId="10" fillId="38" borderId="65" xfId="0" applyFont="1" applyFill="1" applyBorder="1" applyAlignment="1">
      <alignment horizontal="center"/>
    </xf>
    <xf numFmtId="178" fontId="13" fillId="0" borderId="74" xfId="42" applyNumberFormat="1" applyFont="1" applyBorder="1" applyAlignment="1">
      <alignment/>
    </xf>
    <xf numFmtId="178" fontId="13" fillId="0" borderId="31" xfId="42" applyNumberFormat="1" applyFont="1" applyBorder="1" applyAlignment="1">
      <alignment/>
    </xf>
    <xf numFmtId="178" fontId="13" fillId="45" borderId="82" xfId="42" applyNumberFormat="1" applyFont="1" applyFill="1" applyBorder="1" applyAlignment="1">
      <alignment horizontal="center"/>
    </xf>
    <xf numFmtId="178" fontId="13" fillId="45" borderId="61" xfId="42" applyNumberFormat="1" applyFont="1" applyFill="1" applyBorder="1" applyAlignment="1">
      <alignment horizontal="center"/>
    </xf>
    <xf numFmtId="178" fontId="13" fillId="45" borderId="89" xfId="42" applyNumberFormat="1" applyFont="1" applyFill="1" applyBorder="1" applyAlignment="1">
      <alignment horizontal="center"/>
    </xf>
    <xf numFmtId="178" fontId="13" fillId="45" borderId="46" xfId="42" applyNumberFormat="1" applyFont="1" applyFill="1" applyBorder="1" applyAlignment="1">
      <alignment horizontal="center"/>
    </xf>
    <xf numFmtId="178" fontId="13" fillId="45" borderId="58" xfId="42" applyNumberFormat="1" applyFont="1" applyFill="1" applyBorder="1" applyAlignment="1">
      <alignment horizontal="center"/>
    </xf>
    <xf numFmtId="178" fontId="13" fillId="45" borderId="37" xfId="42" applyNumberFormat="1" applyFont="1" applyFill="1" applyBorder="1" applyAlignment="1">
      <alignment horizontal="center"/>
    </xf>
    <xf numFmtId="178" fontId="13" fillId="45" borderId="47" xfId="42" applyNumberFormat="1" applyFont="1" applyFill="1" applyBorder="1" applyAlignment="1">
      <alignment horizontal="center"/>
    </xf>
    <xf numFmtId="178" fontId="13" fillId="45" borderId="59" xfId="42" applyNumberFormat="1" applyFont="1" applyFill="1" applyBorder="1" applyAlignment="1">
      <alignment horizontal="center"/>
    </xf>
    <xf numFmtId="178" fontId="13" fillId="45" borderId="38" xfId="42" applyNumberFormat="1" applyFont="1" applyFill="1" applyBorder="1" applyAlignment="1">
      <alignment horizontal="center"/>
    </xf>
    <xf numFmtId="1" fontId="4" fillId="0" borderId="53" xfId="0" applyNumberFormat="1" applyFont="1" applyBorder="1" applyAlignment="1">
      <alignment horizontal="center" vertical="justify"/>
    </xf>
    <xf numFmtId="1" fontId="4" fillId="0" borderId="73" xfId="0" applyNumberFormat="1" applyFont="1" applyBorder="1" applyAlignment="1">
      <alignment horizontal="center" vertical="justify"/>
    </xf>
    <xf numFmtId="1" fontId="4" fillId="0" borderId="28" xfId="0" applyNumberFormat="1" applyFont="1" applyBorder="1" applyAlignment="1">
      <alignment horizontal="center" vertical="justify"/>
    </xf>
    <xf numFmtId="178" fontId="13" fillId="0" borderId="74" xfId="42" applyNumberFormat="1" applyFont="1" applyBorder="1" applyAlignment="1">
      <alignment horizontal="left"/>
    </xf>
    <xf numFmtId="178" fontId="13" fillId="0" borderId="31" xfId="42" applyNumberFormat="1" applyFont="1" applyBorder="1" applyAlignment="1">
      <alignment horizontal="left"/>
    </xf>
    <xf numFmtId="178" fontId="13" fillId="0" borderId="74" xfId="42" applyNumberFormat="1" applyFont="1" applyBorder="1" applyAlignment="1">
      <alignment horizontal="center"/>
    </xf>
    <xf numFmtId="178" fontId="13" fillId="0" borderId="31" xfId="42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42" xfId="0" applyFont="1" applyFill="1" applyBorder="1" applyAlignment="1">
      <alignment horizontal="center" vertical="justify"/>
    </xf>
    <xf numFmtId="0" fontId="10" fillId="0" borderId="56" xfId="0" applyFont="1" applyFill="1" applyBorder="1" applyAlignment="1">
      <alignment horizontal="center" vertical="justify"/>
    </xf>
    <xf numFmtId="0" fontId="10" fillId="0" borderId="75" xfId="0" applyFont="1" applyFill="1" applyBorder="1" applyAlignment="1">
      <alignment horizontal="center" vertical="justify"/>
    </xf>
    <xf numFmtId="0" fontId="10" fillId="0" borderId="42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75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justify" textRotation="90"/>
    </xf>
    <xf numFmtId="0" fontId="4" fillId="0" borderId="21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11" xfId="0" applyFont="1" applyFill="1" applyBorder="1" applyAlignment="1">
      <alignment horizontal="center" vertical="justify" textRotation="90"/>
    </xf>
    <xf numFmtId="0" fontId="4" fillId="0" borderId="12" xfId="0" applyFont="1" applyFill="1" applyBorder="1" applyAlignment="1">
      <alignment horizontal="center" vertical="justify" textRotation="90"/>
    </xf>
    <xf numFmtId="0" fontId="4" fillId="0" borderId="14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/>
    </xf>
    <xf numFmtId="0" fontId="4" fillId="0" borderId="76" xfId="0" applyFont="1" applyFill="1" applyBorder="1" applyAlignment="1">
      <alignment horizontal="center" vertical="justify"/>
    </xf>
    <xf numFmtId="0" fontId="4" fillId="0" borderId="64" xfId="0" applyFont="1" applyFill="1" applyBorder="1" applyAlignment="1">
      <alignment horizontal="center" vertical="justify"/>
    </xf>
    <xf numFmtId="1" fontId="0" fillId="0" borderId="15" xfId="0" applyNumberFormat="1" applyFont="1" applyFill="1" applyBorder="1" applyAlignment="1">
      <alignment horizontal="center"/>
    </xf>
    <xf numFmtId="1" fontId="0" fillId="0" borderId="80" xfId="0" applyNumberFormat="1" applyFont="1" applyFill="1" applyBorder="1" applyAlignment="1">
      <alignment horizontal="center"/>
    </xf>
    <xf numFmtId="1" fontId="0" fillId="0" borderId="8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1" fontId="0" fillId="0" borderId="1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178" fontId="10" fillId="39" borderId="84" xfId="42" applyNumberFormat="1" applyFont="1" applyFill="1" applyBorder="1" applyAlignment="1">
      <alignment horizontal="center"/>
    </xf>
    <xf numFmtId="178" fontId="10" fillId="39" borderId="62" xfId="42" applyNumberFormat="1" applyFont="1" applyFill="1" applyBorder="1" applyAlignment="1">
      <alignment horizontal="center"/>
    </xf>
    <xf numFmtId="178" fontId="10" fillId="39" borderId="61" xfId="42" applyNumberFormat="1" applyFont="1" applyFill="1" applyBorder="1" applyAlignment="1">
      <alignment horizontal="center"/>
    </xf>
    <xf numFmtId="178" fontId="0" fillId="44" borderId="67" xfId="42" applyNumberFormat="1" applyFont="1" applyFill="1" applyBorder="1" applyAlignment="1">
      <alignment horizontal="center" wrapText="1" shrinkToFit="1"/>
    </xf>
    <xf numFmtId="178" fontId="0" fillId="44" borderId="68" xfId="42" applyNumberFormat="1" applyFont="1" applyFill="1" applyBorder="1" applyAlignment="1">
      <alignment horizontal="center" wrapText="1" shrinkToFit="1"/>
    </xf>
    <xf numFmtId="178" fontId="0" fillId="44" borderId="69" xfId="42" applyNumberFormat="1" applyFont="1" applyFill="1" applyBorder="1" applyAlignment="1">
      <alignment horizontal="center" wrapText="1" shrinkToFit="1"/>
    </xf>
    <xf numFmtId="178" fontId="10" fillId="39" borderId="74" xfId="42" applyNumberFormat="1" applyFont="1" applyFill="1" applyBorder="1" applyAlignment="1">
      <alignment horizontal="center"/>
    </xf>
    <xf numFmtId="178" fontId="10" fillId="39" borderId="58" xfId="42" applyNumberFormat="1" applyFont="1" applyFill="1" applyBorder="1" applyAlignment="1">
      <alignment horizontal="center"/>
    </xf>
    <xf numFmtId="178" fontId="10" fillId="39" borderId="25" xfId="42" applyNumberFormat="1" applyFont="1" applyFill="1" applyBorder="1" applyAlignment="1">
      <alignment horizontal="center"/>
    </xf>
    <xf numFmtId="0" fontId="10" fillId="40" borderId="42" xfId="0" applyFont="1" applyFill="1" applyBorder="1" applyAlignment="1">
      <alignment horizontal="center"/>
    </xf>
    <xf numFmtId="0" fontId="10" fillId="40" borderId="56" xfId="0" applyFont="1" applyFill="1" applyBorder="1" applyAlignment="1">
      <alignment horizontal="center"/>
    </xf>
    <xf numFmtId="0" fontId="10" fillId="40" borderId="75" xfId="0" applyFont="1" applyFill="1" applyBorder="1" applyAlignment="1">
      <alignment horizontal="center"/>
    </xf>
    <xf numFmtId="3" fontId="4" fillId="39" borderId="53" xfId="0" applyNumberFormat="1" applyFont="1" applyFill="1" applyBorder="1" applyAlignment="1">
      <alignment horizontal="center" vertical="justify"/>
    </xf>
    <xf numFmtId="3" fontId="4" fillId="39" borderId="66" xfId="0" applyNumberFormat="1" applyFont="1" applyFill="1" applyBorder="1" applyAlignment="1">
      <alignment horizontal="center" vertical="justify"/>
    </xf>
    <xf numFmtId="3" fontId="4" fillId="39" borderId="54" xfId="0" applyNumberFormat="1" applyFont="1" applyFill="1" applyBorder="1" applyAlignment="1">
      <alignment horizontal="center" vertical="justify"/>
    </xf>
    <xf numFmtId="3" fontId="4" fillId="39" borderId="70" xfId="0" applyNumberFormat="1" applyFont="1" applyFill="1" applyBorder="1" applyAlignment="1">
      <alignment horizontal="center" vertical="justify"/>
    </xf>
    <xf numFmtId="0" fontId="10" fillId="38" borderId="81" xfId="0" applyFont="1" applyFill="1" applyBorder="1" applyAlignment="1">
      <alignment horizontal="center"/>
    </xf>
    <xf numFmtId="0" fontId="9" fillId="37" borderId="12" xfId="0" applyFont="1" applyFill="1" applyBorder="1" applyAlignment="1">
      <alignment horizontal="right"/>
    </xf>
    <xf numFmtId="0" fontId="13" fillId="37" borderId="13" xfId="0" applyFont="1" applyFill="1" applyBorder="1" applyAlignment="1">
      <alignment horizontal="right"/>
    </xf>
    <xf numFmtId="0" fontId="13" fillId="37" borderId="77" xfId="0" applyFont="1" applyFill="1" applyBorder="1" applyAlignment="1">
      <alignment horizontal="right"/>
    </xf>
    <xf numFmtId="3" fontId="4" fillId="39" borderId="84" xfId="0" applyNumberFormat="1" applyFont="1" applyFill="1" applyBorder="1" applyAlignment="1">
      <alignment horizontal="center" vertical="justify"/>
    </xf>
    <xf numFmtId="3" fontId="4" fillId="39" borderId="61" xfId="0" applyNumberFormat="1" applyFont="1" applyFill="1" applyBorder="1" applyAlignment="1">
      <alignment horizontal="center" vertical="justify"/>
    </xf>
    <xf numFmtId="3" fontId="4" fillId="39" borderId="62" xfId="0" applyNumberFormat="1" applyFont="1" applyFill="1" applyBorder="1" applyAlignment="1">
      <alignment horizontal="center" vertical="justify"/>
    </xf>
    <xf numFmtId="0" fontId="4" fillId="39" borderId="53" xfId="0" applyFont="1" applyFill="1" applyBorder="1" applyAlignment="1">
      <alignment horizontal="center" vertical="justify"/>
    </xf>
    <xf numFmtId="0" fontId="4" fillId="39" borderId="66" xfId="0" applyFont="1" applyFill="1" applyBorder="1" applyAlignment="1">
      <alignment horizontal="center" vertical="justify"/>
    </xf>
    <xf numFmtId="49" fontId="4" fillId="39" borderId="63" xfId="0" applyNumberFormat="1" applyFont="1" applyFill="1" applyBorder="1" applyAlignment="1">
      <alignment horizontal="center" wrapText="1" shrinkToFit="1"/>
    </xf>
    <xf numFmtId="49" fontId="4" fillId="39" borderId="64" xfId="0" applyNumberFormat="1" applyFont="1" applyFill="1" applyBorder="1" applyAlignment="1">
      <alignment horizontal="center" wrapText="1" shrinkToFit="1"/>
    </xf>
    <xf numFmtId="0" fontId="0" fillId="0" borderId="0" xfId="0" applyFont="1" applyBorder="1" applyAlignment="1">
      <alignment horizontal="center"/>
    </xf>
    <xf numFmtId="0" fontId="2" fillId="39" borderId="52" xfId="0" applyFont="1" applyFill="1" applyBorder="1" applyAlignment="1">
      <alignment horizontal="center"/>
    </xf>
    <xf numFmtId="0" fontId="2" fillId="39" borderId="65" xfId="0" applyFont="1" applyFill="1" applyBorder="1" applyAlignment="1">
      <alignment horizontal="center"/>
    </xf>
    <xf numFmtId="0" fontId="2" fillId="39" borderId="53" xfId="0" applyFont="1" applyFill="1" applyBorder="1" applyAlignment="1">
      <alignment horizontal="center"/>
    </xf>
    <xf numFmtId="0" fontId="2" fillId="39" borderId="66" xfId="0" applyFont="1" applyFill="1" applyBorder="1" applyAlignment="1">
      <alignment horizontal="center"/>
    </xf>
    <xf numFmtId="0" fontId="2" fillId="39" borderId="72" xfId="0" applyFont="1" applyFill="1" applyBorder="1" applyAlignment="1">
      <alignment horizontal="center"/>
    </xf>
    <xf numFmtId="0" fontId="2" fillId="39" borderId="56" xfId="0" applyFont="1" applyFill="1" applyBorder="1" applyAlignment="1">
      <alignment horizontal="center"/>
    </xf>
    <xf numFmtId="0" fontId="2" fillId="39" borderId="75" xfId="0" applyFont="1" applyFill="1" applyBorder="1" applyAlignment="1">
      <alignment horizontal="center"/>
    </xf>
    <xf numFmtId="0" fontId="61" fillId="46" borderId="0" xfId="0" applyFont="1" applyFill="1" applyAlignment="1">
      <alignment horizontal="center"/>
    </xf>
    <xf numFmtId="0" fontId="111" fillId="0" borderId="74" xfId="0" applyFont="1" applyFill="1" applyBorder="1" applyAlignment="1">
      <alignment horizontal="center"/>
    </xf>
    <xf numFmtId="0" fontId="111" fillId="0" borderId="31" xfId="0" applyFont="1" applyFill="1" applyBorder="1" applyAlignment="1">
      <alignment horizontal="center"/>
    </xf>
    <xf numFmtId="49" fontId="59" fillId="0" borderId="23" xfId="42" applyNumberFormat="1" applyFont="1" applyFill="1" applyBorder="1" applyAlignment="1">
      <alignment horizontal="center"/>
    </xf>
    <xf numFmtId="49" fontId="59" fillId="0" borderId="24" xfId="42" applyNumberFormat="1" applyFont="1" applyFill="1" applyBorder="1" applyAlignment="1">
      <alignment horizontal="center"/>
    </xf>
    <xf numFmtId="49" fontId="59" fillId="0" borderId="25" xfId="42" applyNumberFormat="1" applyFont="1" applyFill="1" applyBorder="1" applyAlignment="1">
      <alignment horizontal="center"/>
    </xf>
    <xf numFmtId="49" fontId="58" fillId="32" borderId="72" xfId="0" applyNumberFormat="1" applyFont="1" applyFill="1" applyBorder="1" applyAlignment="1">
      <alignment horizontal="center"/>
    </xf>
    <xf numFmtId="49" fontId="58" fillId="32" borderId="56" xfId="0" applyNumberFormat="1" applyFont="1" applyFill="1" applyBorder="1" applyAlignment="1">
      <alignment horizontal="center"/>
    </xf>
    <xf numFmtId="49" fontId="58" fillId="32" borderId="57" xfId="0" applyNumberFormat="1" applyFont="1" applyFill="1" applyBorder="1" applyAlignment="1">
      <alignment horizontal="center"/>
    </xf>
    <xf numFmtId="0" fontId="59" fillId="0" borderId="23" xfId="0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0" fontId="59" fillId="0" borderId="25" xfId="0" applyFont="1" applyFill="1" applyBorder="1" applyAlignment="1">
      <alignment horizontal="center"/>
    </xf>
    <xf numFmtId="49" fontId="58" fillId="32" borderId="42" xfId="0" applyNumberFormat="1" applyFont="1" applyFill="1" applyBorder="1" applyAlignment="1">
      <alignment horizontal="center"/>
    </xf>
    <xf numFmtId="0" fontId="60" fillId="46" borderId="0" xfId="0" applyFont="1" applyFill="1" applyAlignment="1">
      <alignment horizontal="center"/>
    </xf>
    <xf numFmtId="0" fontId="58" fillId="38" borderId="42" xfId="0" applyFont="1" applyFill="1" applyBorder="1" applyAlignment="1">
      <alignment horizontal="center"/>
    </xf>
    <xf numFmtId="0" fontId="58" fillId="38" borderId="75" xfId="0" applyFont="1" applyFill="1" applyBorder="1" applyAlignment="1">
      <alignment horizontal="center"/>
    </xf>
    <xf numFmtId="0" fontId="58" fillId="38" borderId="63" xfId="0" applyFont="1" applyFill="1" applyBorder="1" applyAlignment="1">
      <alignment horizontal="center"/>
    </xf>
    <xf numFmtId="0" fontId="58" fillId="38" borderId="76" xfId="0" applyFont="1" applyFill="1" applyBorder="1" applyAlignment="1">
      <alignment horizontal="center"/>
    </xf>
    <xf numFmtId="49" fontId="58" fillId="38" borderId="63" xfId="42" applyNumberFormat="1" applyFont="1" applyFill="1" applyBorder="1" applyAlignment="1">
      <alignment horizontal="center"/>
    </xf>
    <xf numFmtId="49" fontId="58" fillId="38" borderId="76" xfId="42" applyNumberFormat="1" applyFont="1" applyFill="1" applyBorder="1" applyAlignment="1">
      <alignment horizontal="center"/>
    </xf>
    <xf numFmtId="178" fontId="58" fillId="38" borderId="63" xfId="42" applyNumberFormat="1" applyFont="1" applyFill="1" applyBorder="1" applyAlignment="1">
      <alignment horizontal="center"/>
    </xf>
    <xf numFmtId="178" fontId="58" fillId="38" borderId="76" xfId="42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7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15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37" borderId="0" xfId="0" applyFont="1" applyFill="1" applyAlignment="1">
      <alignment horizontal="center"/>
    </xf>
    <xf numFmtId="0" fontId="0" fillId="0" borderId="7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0" xfId="0" applyAlignment="1">
      <alignment horizontal="center"/>
    </xf>
    <xf numFmtId="0" fontId="103" fillId="0" borderId="0" xfId="0" applyFont="1" applyAlignment="1">
      <alignment horizontal="left"/>
    </xf>
    <xf numFmtId="0" fontId="113" fillId="0" borderId="0" xfId="0" applyFont="1" applyAlignment="1">
      <alignment horizontal="center"/>
    </xf>
    <xf numFmtId="0" fontId="40" fillId="0" borderId="74" xfId="0" applyFont="1" applyBorder="1" applyAlignment="1">
      <alignment horizontal="center"/>
    </xf>
    <xf numFmtId="0" fontId="40" fillId="0" borderId="58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40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40" fillId="0" borderId="74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83" fillId="0" borderId="0" xfId="0" applyFont="1" applyAlignment="1">
      <alignment horizontal="center"/>
    </xf>
    <xf numFmtId="0" fontId="43" fillId="0" borderId="40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43" fillId="0" borderId="74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114" fillId="0" borderId="15" xfId="0" applyFont="1" applyBorder="1" applyAlignment="1">
      <alignment horizontal="left" vertical="top" wrapText="1" indent="2"/>
    </xf>
    <xf numFmtId="0" fontId="8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273</xdr:row>
      <xdr:rowOff>133350</xdr:rowOff>
    </xdr:from>
    <xdr:to>
      <xdr:col>11</xdr:col>
      <xdr:colOff>581025</xdr:colOff>
      <xdr:row>273</xdr:row>
      <xdr:rowOff>142875</xdr:rowOff>
    </xdr:to>
    <xdr:sp>
      <xdr:nvSpPr>
        <xdr:cNvPr id="1" name="Line 11"/>
        <xdr:cNvSpPr>
          <a:spLocks/>
        </xdr:cNvSpPr>
      </xdr:nvSpPr>
      <xdr:spPr>
        <a:xfrm flipH="1">
          <a:off x="7981950" y="46529625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el%20Bilanci%20%20me%20pasq%20stati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ON%20IMPEX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 "/>
      <sheetName val="AKTIVI "/>
      <sheetName val="PASIVI "/>
      <sheetName val="Ardh e shp - natyres"/>
      <sheetName val=" Fluksit mon - direkte"/>
      <sheetName val="Pasq e ndrysh te kap 2"/>
      <sheetName val="Shenit Shpjeguse"/>
      <sheetName val="Shenimet Shpjeg"/>
      <sheetName val="A1"/>
      <sheetName val="A2"/>
      <sheetName val="C1"/>
      <sheetName val="C2"/>
      <sheetName val="C3"/>
      <sheetName val="D1"/>
      <sheetName val="D2"/>
      <sheetName val="D3"/>
      <sheetName val="D4"/>
      <sheetName val="D5-"/>
      <sheetName val="L  2"/>
      <sheetName val="E2"/>
      <sheetName val="M1"/>
      <sheetName val="P  "/>
      <sheetName val="S"/>
      <sheetName val="T"/>
      <sheetName val="U"/>
      <sheetName val="U - 1"/>
      <sheetName val="V"/>
      <sheetName val="Dekl anal e ardh"/>
      <sheetName val="Pasq e SHITJES  Ndertimit"/>
      <sheetName val="Stat - te ardhur"/>
      <sheetName val="Stat - Kostot "/>
      <sheetName val="Stat - te ardh  anal"/>
      <sheetName val="Sheet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 "/>
      <sheetName val="AKTIVI "/>
      <sheetName val="PASIVI "/>
      <sheetName val="Ardh e shp - natyres"/>
      <sheetName val=" Fluksit mon - direkte"/>
      <sheetName val="Pasq e ndrysh te kap 2"/>
      <sheetName val="Shenit Shpjeguse"/>
      <sheetName val="Shenimet Shpjeg"/>
      <sheetName val="A1"/>
      <sheetName val="A2"/>
      <sheetName val="C1"/>
      <sheetName val="C2"/>
      <sheetName val="C3"/>
      <sheetName val="D1"/>
      <sheetName val="D2"/>
      <sheetName val="D3"/>
      <sheetName val="D4"/>
      <sheetName val="D5-"/>
      <sheetName val="D 6"/>
      <sheetName val="L  1"/>
      <sheetName val="L  2"/>
      <sheetName val="E2"/>
      <sheetName val="M1"/>
      <sheetName val="Liber Shit- Blerje "/>
      <sheetName val="P -Ardh Analiz "/>
      <sheetName val="S"/>
      <sheetName val="T"/>
      <sheetName val="U"/>
      <sheetName val="V"/>
      <sheetName val="Bilanci mater"/>
      <sheetName val="EMPORIKI  LEK"/>
      <sheetName val="INTESA  EURO"/>
      <sheetName val="EMPORIKI eur"/>
      <sheetName val="Pasq e SHITJES  Ndertimit"/>
      <sheetName val="U - statist"/>
      <sheetName val="Stat - te ardhur"/>
      <sheetName val="Stat - Kostot "/>
      <sheetName val="Stat - te ardh  anal"/>
      <sheetName val="Sheet1"/>
    </sheetNames>
    <sheetDataSet>
      <sheetData sheetId="3">
        <row r="9">
          <cell r="F9">
            <v>10085561</v>
          </cell>
        </row>
        <row r="12">
          <cell r="F12">
            <v>0</v>
          </cell>
        </row>
        <row r="15">
          <cell r="E15">
            <v>0</v>
          </cell>
        </row>
        <row r="17">
          <cell r="E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M64"/>
  <sheetViews>
    <sheetView zoomScalePageLayoutView="0" workbookViewId="0" topLeftCell="A26">
      <selection activeCell="B1" sqref="B1:M60"/>
    </sheetView>
  </sheetViews>
  <sheetFormatPr defaultColWidth="9.140625" defaultRowHeight="12.75"/>
  <cols>
    <col min="1" max="1" width="4.00390625" style="0" customWidth="1"/>
    <col min="2" max="2" width="3.28125" style="0" customWidth="1"/>
    <col min="4" max="4" width="7.28125" style="0" customWidth="1"/>
    <col min="5" max="5" width="10.140625" style="0" bestFit="1" customWidth="1"/>
    <col min="7" max="7" width="4.140625" style="0" customWidth="1"/>
    <col min="8" max="8" width="4.00390625" style="0" customWidth="1"/>
    <col min="12" max="12" width="11.28125" style="0" customWidth="1"/>
    <col min="13" max="13" width="5.00390625" style="0" customWidth="1"/>
    <col min="14" max="14" width="3.57421875" style="0" customWidth="1"/>
  </cols>
  <sheetData>
    <row r="1" ht="13.5" thickBot="1"/>
    <row r="2" spans="2:13" ht="12.75">
      <c r="B2" s="796"/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8"/>
    </row>
    <row r="3" spans="2:13" ht="12.75">
      <c r="B3" s="799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1"/>
    </row>
    <row r="4" spans="2:13" ht="12.75">
      <c r="B4" s="799"/>
      <c r="C4" s="800"/>
      <c r="D4" s="800"/>
      <c r="E4" s="800"/>
      <c r="F4" s="800" t="s">
        <v>1042</v>
      </c>
      <c r="G4" s="800"/>
      <c r="H4" s="1307"/>
      <c r="I4" s="1307"/>
      <c r="J4" s="1307"/>
      <c r="K4" s="802"/>
      <c r="L4" s="803"/>
      <c r="M4" s="801"/>
    </row>
    <row r="5" spans="2:13" ht="12.75">
      <c r="B5" s="799"/>
      <c r="C5" s="800"/>
      <c r="D5" s="800"/>
      <c r="E5" s="800"/>
      <c r="F5" s="800"/>
      <c r="G5" s="800"/>
      <c r="H5" s="1307"/>
      <c r="I5" s="1307"/>
      <c r="J5" s="1307"/>
      <c r="K5" s="802"/>
      <c r="L5" s="802"/>
      <c r="M5" s="801"/>
    </row>
    <row r="6" spans="2:13" ht="12.75">
      <c r="B6" s="799"/>
      <c r="C6" s="800"/>
      <c r="D6" s="800"/>
      <c r="E6" s="800"/>
      <c r="F6" s="800"/>
      <c r="G6" s="1307"/>
      <c r="H6" s="1307"/>
      <c r="I6" s="1307"/>
      <c r="J6" s="1307"/>
      <c r="K6" s="802"/>
      <c r="L6" s="802"/>
      <c r="M6" s="801"/>
    </row>
    <row r="7" spans="2:13" ht="12.75">
      <c r="B7" s="799"/>
      <c r="C7" s="800"/>
      <c r="D7" s="800"/>
      <c r="E7" s="800"/>
      <c r="F7" s="800"/>
      <c r="G7" s="800"/>
      <c r="H7" s="800"/>
      <c r="I7" s="1307"/>
      <c r="J7" s="1307"/>
      <c r="K7" s="802"/>
      <c r="L7" s="802"/>
      <c r="M7" s="801"/>
    </row>
    <row r="8" spans="2:13" ht="37.5">
      <c r="B8" s="799"/>
      <c r="C8" s="800"/>
      <c r="D8" s="804" t="s">
        <v>367</v>
      </c>
      <c r="E8" s="804"/>
      <c r="F8" s="804"/>
      <c r="G8" s="804"/>
      <c r="H8" s="805"/>
      <c r="I8" s="805"/>
      <c r="J8" s="806"/>
      <c r="K8" s="806"/>
      <c r="L8" s="806"/>
      <c r="M8" s="801"/>
    </row>
    <row r="9" spans="2:13" ht="12.75">
      <c r="B9" s="799"/>
      <c r="C9" s="800"/>
      <c r="D9" s="800"/>
      <c r="E9" s="800"/>
      <c r="F9" s="800"/>
      <c r="G9" s="800"/>
      <c r="H9" s="1307"/>
      <c r="I9" s="1307"/>
      <c r="J9" s="800"/>
      <c r="K9" s="800"/>
      <c r="L9" s="800"/>
      <c r="M9" s="801"/>
    </row>
    <row r="10" spans="2:13" ht="12.75">
      <c r="B10" s="799"/>
      <c r="C10" s="800"/>
      <c r="D10" s="800"/>
      <c r="E10" s="800"/>
      <c r="F10" s="800"/>
      <c r="G10" s="800"/>
      <c r="H10" s="800"/>
      <c r="I10" s="800"/>
      <c r="J10" s="800"/>
      <c r="K10" s="800"/>
      <c r="L10" s="800"/>
      <c r="M10" s="801"/>
    </row>
    <row r="11" spans="2:13" ht="12.75">
      <c r="B11" s="799"/>
      <c r="C11" s="800"/>
      <c r="D11" s="800"/>
      <c r="E11" s="800"/>
      <c r="F11" s="800"/>
      <c r="G11" s="1307"/>
      <c r="H11" s="1307"/>
      <c r="I11" s="1307"/>
      <c r="J11" s="1307"/>
      <c r="K11" s="1307"/>
      <c r="L11" s="1307"/>
      <c r="M11" s="1309"/>
    </row>
    <row r="12" spans="2:13" ht="12.75">
      <c r="B12" s="799"/>
      <c r="C12" s="800"/>
      <c r="D12" s="800"/>
      <c r="E12" s="800"/>
      <c r="F12" s="800"/>
      <c r="G12" s="1307"/>
      <c r="H12" s="1307"/>
      <c r="I12" s="1307"/>
      <c r="J12" s="1307"/>
      <c r="K12" s="802"/>
      <c r="L12" s="802"/>
      <c r="M12" s="801"/>
    </row>
    <row r="13" spans="2:13" ht="12.75">
      <c r="B13" s="799"/>
      <c r="C13" s="800"/>
      <c r="D13" s="800"/>
      <c r="E13" s="800"/>
      <c r="F13" s="800"/>
      <c r="G13" s="800"/>
      <c r="H13" s="800"/>
      <c r="I13" s="800"/>
      <c r="J13" s="800"/>
      <c r="K13" s="800"/>
      <c r="L13" s="800"/>
      <c r="M13" s="801"/>
    </row>
    <row r="14" spans="2:13" ht="12.75">
      <c r="B14" s="799"/>
      <c r="C14" s="800"/>
      <c r="D14" s="800"/>
      <c r="E14" s="800"/>
      <c r="F14" s="800"/>
      <c r="G14" s="800"/>
      <c r="H14" s="800"/>
      <c r="I14" s="800"/>
      <c r="J14" s="800"/>
      <c r="K14" s="800"/>
      <c r="L14" s="800"/>
      <c r="M14" s="801"/>
    </row>
    <row r="15" spans="2:13" ht="12.75">
      <c r="B15" s="799"/>
      <c r="C15" s="803" t="s">
        <v>368</v>
      </c>
      <c r="D15" s="803"/>
      <c r="E15" s="803"/>
      <c r="F15" s="803"/>
      <c r="G15" s="803"/>
      <c r="H15" s="803"/>
      <c r="I15" s="803"/>
      <c r="J15" s="803"/>
      <c r="K15" s="803"/>
      <c r="L15" s="803"/>
      <c r="M15" s="801"/>
    </row>
    <row r="16" spans="2:13" ht="12.75">
      <c r="B16" s="1308" t="s">
        <v>369</v>
      </c>
      <c r="C16" s="1307"/>
      <c r="D16" s="1307"/>
      <c r="E16" s="1307"/>
      <c r="F16" s="1307"/>
      <c r="G16" s="1307"/>
      <c r="H16" s="1307"/>
      <c r="I16" s="1307"/>
      <c r="J16" s="1307"/>
      <c r="K16" s="1307"/>
      <c r="L16" s="1307"/>
      <c r="M16" s="801"/>
    </row>
    <row r="17" spans="2:13" ht="12.75">
      <c r="B17" s="799"/>
      <c r="C17" s="800"/>
      <c r="D17" s="800"/>
      <c r="E17" s="800"/>
      <c r="F17" s="800"/>
      <c r="G17" s="800"/>
      <c r="H17" s="800"/>
      <c r="I17" s="800"/>
      <c r="J17" s="800"/>
      <c r="K17" s="800"/>
      <c r="L17" s="800"/>
      <c r="M17" s="801"/>
    </row>
    <row r="18" spans="2:13" ht="12.75">
      <c r="B18" s="799"/>
      <c r="C18" s="800"/>
      <c r="D18" s="800"/>
      <c r="E18" s="800"/>
      <c r="F18" s="800"/>
      <c r="G18" s="800"/>
      <c r="H18" s="800"/>
      <c r="I18" s="800"/>
      <c r="J18" s="800"/>
      <c r="K18" s="800"/>
      <c r="L18" s="800"/>
      <c r="M18" s="801"/>
    </row>
    <row r="19" spans="2:13" ht="12.75">
      <c r="B19" s="799"/>
      <c r="C19" s="800"/>
      <c r="D19" s="800"/>
      <c r="E19" s="800"/>
      <c r="F19" s="800"/>
      <c r="G19" s="800"/>
      <c r="H19" s="800"/>
      <c r="I19" s="800"/>
      <c r="J19" s="800"/>
      <c r="K19" s="800"/>
      <c r="L19" s="800"/>
      <c r="M19" s="801"/>
    </row>
    <row r="20" spans="2:13" ht="18">
      <c r="B20" s="799"/>
      <c r="C20" s="800"/>
      <c r="D20" s="1305"/>
      <c r="E20" s="1305"/>
      <c r="F20" s="1305"/>
      <c r="G20" s="1305"/>
      <c r="H20" s="1305"/>
      <c r="I20" s="1305"/>
      <c r="J20" s="1305"/>
      <c r="K20" s="807"/>
      <c r="L20" s="807"/>
      <c r="M20" s="801"/>
    </row>
    <row r="21" spans="2:13" ht="12.75">
      <c r="B21" s="799"/>
      <c r="C21" s="800"/>
      <c r="D21" s="800"/>
      <c r="E21" s="800"/>
      <c r="F21" s="800"/>
      <c r="G21" s="800"/>
      <c r="H21" s="800"/>
      <c r="I21" s="800"/>
      <c r="J21" s="800"/>
      <c r="K21" s="800"/>
      <c r="L21" s="800"/>
      <c r="M21" s="801"/>
    </row>
    <row r="22" spans="2:13" ht="12.75">
      <c r="B22" s="799"/>
      <c r="C22" s="800"/>
      <c r="D22" s="800"/>
      <c r="E22" s="800"/>
      <c r="F22" s="800"/>
      <c r="G22" s="800"/>
      <c r="H22" s="800"/>
      <c r="I22" s="800"/>
      <c r="J22" s="800"/>
      <c r="K22" s="800"/>
      <c r="L22" s="800"/>
      <c r="M22" s="801"/>
    </row>
    <row r="23" spans="2:13" ht="18">
      <c r="B23" s="799"/>
      <c r="C23" s="800"/>
      <c r="D23" s="1305"/>
      <c r="E23" s="1305"/>
      <c r="F23" s="1305"/>
      <c r="G23" s="1305"/>
      <c r="H23" s="1305"/>
      <c r="I23" s="1305"/>
      <c r="J23" s="1305"/>
      <c r="K23" s="1305"/>
      <c r="L23" s="1305"/>
      <c r="M23" s="1306"/>
    </row>
    <row r="24" spans="2:13" ht="12.75">
      <c r="B24" s="808"/>
      <c r="C24" s="809"/>
      <c r="D24" s="809"/>
      <c r="E24" s="809"/>
      <c r="F24" s="809"/>
      <c r="G24" s="809"/>
      <c r="H24" s="809"/>
      <c r="I24" s="809"/>
      <c r="J24" s="809"/>
      <c r="K24" s="809"/>
      <c r="L24" s="809"/>
      <c r="M24" s="801"/>
    </row>
    <row r="25" spans="2:13" ht="12.75">
      <c r="B25" s="808"/>
      <c r="C25" s="809"/>
      <c r="D25" s="809"/>
      <c r="E25" s="809"/>
      <c r="F25" s="809"/>
      <c r="G25" s="809"/>
      <c r="H25" s="809"/>
      <c r="I25" s="809"/>
      <c r="J25" s="809"/>
      <c r="K25" s="809"/>
      <c r="L25" s="809"/>
      <c r="M25" s="801"/>
    </row>
    <row r="26" spans="2:13" ht="12.75">
      <c r="B26" s="799"/>
      <c r="C26" s="800"/>
      <c r="D26" s="800"/>
      <c r="E26" s="800"/>
      <c r="F26" s="800"/>
      <c r="G26" s="800"/>
      <c r="H26" s="800"/>
      <c r="I26" s="800"/>
      <c r="J26" s="800"/>
      <c r="K26" s="800"/>
      <c r="L26" s="800"/>
      <c r="M26" s="801"/>
    </row>
    <row r="27" spans="2:13" ht="12.75">
      <c r="B27" s="799"/>
      <c r="C27" s="800"/>
      <c r="D27" s="800"/>
      <c r="E27" s="800"/>
      <c r="F27" s="800"/>
      <c r="G27" s="800"/>
      <c r="H27" s="800"/>
      <c r="I27" s="800"/>
      <c r="J27" s="800"/>
      <c r="K27" s="800"/>
      <c r="L27" s="800"/>
      <c r="M27" s="801"/>
    </row>
    <row r="28" spans="2:13" ht="12.75">
      <c r="B28" s="799"/>
      <c r="C28" s="800"/>
      <c r="D28" s="800"/>
      <c r="E28" s="800"/>
      <c r="F28" s="800"/>
      <c r="G28" s="800"/>
      <c r="H28" s="800"/>
      <c r="I28" s="800"/>
      <c r="J28" s="800"/>
      <c r="K28" s="800"/>
      <c r="L28" s="800"/>
      <c r="M28" s="801"/>
    </row>
    <row r="29" spans="2:13" ht="12.75">
      <c r="B29" s="799"/>
      <c r="C29" s="800"/>
      <c r="D29" s="800"/>
      <c r="E29" s="800" t="s">
        <v>391</v>
      </c>
      <c r="F29" s="800">
        <v>2012</v>
      </c>
      <c r="G29" s="800"/>
      <c r="H29" s="800"/>
      <c r="I29" s="800"/>
      <c r="J29" s="800"/>
      <c r="K29" s="800"/>
      <c r="L29" s="800"/>
      <c r="M29" s="801"/>
    </row>
    <row r="30" spans="2:13" ht="12.75">
      <c r="B30" s="799"/>
      <c r="C30" s="800"/>
      <c r="D30" s="800"/>
      <c r="E30" s="800"/>
      <c r="F30" s="800"/>
      <c r="G30" s="800"/>
      <c r="H30" s="800"/>
      <c r="I30" s="800"/>
      <c r="J30" s="800"/>
      <c r="K30" s="800"/>
      <c r="L30" s="800"/>
      <c r="M30" s="801"/>
    </row>
    <row r="31" spans="2:13" ht="12.75">
      <c r="B31" s="799"/>
      <c r="C31" s="800"/>
      <c r="D31" s="800"/>
      <c r="E31" s="800"/>
      <c r="F31" s="800"/>
      <c r="G31" s="800"/>
      <c r="H31" s="800"/>
      <c r="I31" s="800"/>
      <c r="J31" s="800"/>
      <c r="K31" s="800"/>
      <c r="L31" s="800"/>
      <c r="M31" s="801"/>
    </row>
    <row r="32" spans="2:13" ht="12.75">
      <c r="B32" s="799"/>
      <c r="C32" s="800"/>
      <c r="D32" s="800"/>
      <c r="E32" s="800"/>
      <c r="F32" s="800"/>
      <c r="G32" s="800"/>
      <c r="H32" s="800"/>
      <c r="I32" s="800"/>
      <c r="J32" s="800"/>
      <c r="K32" s="800"/>
      <c r="L32" s="800"/>
      <c r="M32" s="801"/>
    </row>
    <row r="33" spans="2:13" ht="12.75">
      <c r="B33" s="799"/>
      <c r="C33" s="800"/>
      <c r="D33" s="800"/>
      <c r="E33" s="800"/>
      <c r="F33" s="800"/>
      <c r="G33" s="800"/>
      <c r="H33" s="800"/>
      <c r="I33" s="800"/>
      <c r="J33" s="800"/>
      <c r="K33" s="800"/>
      <c r="L33" s="800"/>
      <c r="M33" s="801"/>
    </row>
    <row r="34" spans="2:13" ht="12.75">
      <c r="B34" s="799"/>
      <c r="C34" s="800"/>
      <c r="D34" s="800"/>
      <c r="E34" s="800"/>
      <c r="F34" s="800"/>
      <c r="G34" s="800"/>
      <c r="H34" s="800"/>
      <c r="I34" s="800"/>
      <c r="J34" s="800"/>
      <c r="K34" s="800"/>
      <c r="L34" s="800"/>
      <c r="M34" s="801"/>
    </row>
    <row r="35" spans="2:13" ht="12.75">
      <c r="B35" s="799"/>
      <c r="C35" s="800"/>
      <c r="D35" s="800"/>
      <c r="E35" s="800"/>
      <c r="F35" s="800"/>
      <c r="G35" s="800"/>
      <c r="H35" s="800"/>
      <c r="I35" s="800"/>
      <c r="J35" s="800"/>
      <c r="K35" s="800"/>
      <c r="L35" s="800"/>
      <c r="M35" s="801"/>
    </row>
    <row r="36" spans="2:13" ht="12.75">
      <c r="B36" s="799"/>
      <c r="C36" s="800"/>
      <c r="D36" s="800"/>
      <c r="E36" s="800"/>
      <c r="F36" s="800"/>
      <c r="G36" s="800"/>
      <c r="H36" s="800"/>
      <c r="I36" s="800"/>
      <c r="J36" s="800"/>
      <c r="K36" s="800"/>
      <c r="L36" s="800"/>
      <c r="M36" s="801"/>
    </row>
    <row r="37" spans="2:13" ht="12.75">
      <c r="B37" s="799"/>
      <c r="C37" s="800"/>
      <c r="D37" s="800"/>
      <c r="E37" s="800"/>
      <c r="F37" s="800"/>
      <c r="G37" s="800"/>
      <c r="H37" s="800"/>
      <c r="I37" s="800"/>
      <c r="J37" s="800"/>
      <c r="K37" s="800"/>
      <c r="L37" s="800"/>
      <c r="M37" s="801"/>
    </row>
    <row r="38" spans="2:13" ht="13.5" thickBot="1">
      <c r="B38" s="799"/>
      <c r="C38" s="800"/>
      <c r="D38" s="800"/>
      <c r="E38" s="800"/>
      <c r="F38" s="800"/>
      <c r="G38" s="800"/>
      <c r="H38" s="800"/>
      <c r="I38" s="800"/>
      <c r="J38" s="800"/>
      <c r="K38" s="800"/>
      <c r="L38" s="800"/>
      <c r="M38" s="801"/>
    </row>
    <row r="39" spans="2:13" ht="12.75">
      <c r="B39" s="799"/>
      <c r="C39" s="796"/>
      <c r="D39" s="797"/>
      <c r="E39" s="797"/>
      <c r="F39" s="797"/>
      <c r="G39" s="798"/>
      <c r="H39" s="800"/>
      <c r="I39" s="796"/>
      <c r="J39" s="797"/>
      <c r="K39" s="797"/>
      <c r="L39" s="798"/>
      <c r="M39" s="801"/>
    </row>
    <row r="40" spans="2:13" ht="12.75">
      <c r="B40" s="799"/>
      <c r="C40" s="810" t="s">
        <v>370</v>
      </c>
      <c r="D40" s="803"/>
      <c r="E40" s="803"/>
      <c r="F40" s="803"/>
      <c r="G40" s="811"/>
      <c r="H40" s="800"/>
      <c r="I40" s="1308" t="s">
        <v>371</v>
      </c>
      <c r="J40" s="1307"/>
      <c r="K40" s="1307"/>
      <c r="L40" s="1309"/>
      <c r="M40" s="801"/>
    </row>
    <row r="41" spans="2:13" ht="13.5" thickBot="1">
      <c r="B41" s="799"/>
      <c r="C41" s="799"/>
      <c r="D41" s="800"/>
      <c r="E41" s="800"/>
      <c r="F41" s="800"/>
      <c r="G41" s="801"/>
      <c r="H41" s="800"/>
      <c r="I41" s="799"/>
      <c r="J41" s="800"/>
      <c r="K41" s="800"/>
      <c r="L41" s="801"/>
      <c r="M41" s="801"/>
    </row>
    <row r="42" spans="2:13" ht="13.5" thickBot="1">
      <c r="B42" s="799"/>
      <c r="C42" s="799" t="s">
        <v>372</v>
      </c>
      <c r="D42" s="803" t="str">
        <f>F4</f>
        <v>FJORTES </v>
      </c>
      <c r="E42" s="803"/>
      <c r="F42" s="803"/>
      <c r="G42" s="811"/>
      <c r="H42" s="800"/>
      <c r="I42" s="799"/>
      <c r="J42" s="800"/>
      <c r="K42" s="812" t="s">
        <v>373</v>
      </c>
      <c r="L42" s="801" t="s">
        <v>374</v>
      </c>
      <c r="M42" s="801"/>
    </row>
    <row r="43" spans="2:13" ht="13.5" thickBot="1">
      <c r="B43" s="799"/>
      <c r="C43" s="799"/>
      <c r="D43" s="800"/>
      <c r="E43" s="800"/>
      <c r="F43" s="800"/>
      <c r="G43" s="801"/>
      <c r="H43" s="800"/>
      <c r="I43" s="1308" t="s">
        <v>375</v>
      </c>
      <c r="J43" s="1307"/>
      <c r="K43" s="800"/>
      <c r="L43" s="801"/>
      <c r="M43" s="801"/>
    </row>
    <row r="44" spans="2:13" ht="13.5" thickBot="1">
      <c r="B44" s="799"/>
      <c r="C44" s="799" t="s">
        <v>376</v>
      </c>
      <c r="D44" s="803" t="s">
        <v>1043</v>
      </c>
      <c r="E44" s="803"/>
      <c r="F44" s="803"/>
      <c r="G44" s="811"/>
      <c r="H44" s="800"/>
      <c r="I44" s="799"/>
      <c r="J44" s="800"/>
      <c r="K44" s="813"/>
      <c r="L44" s="801" t="s">
        <v>377</v>
      </c>
      <c r="M44" s="801"/>
    </row>
    <row r="45" spans="2:13" ht="12.75">
      <c r="B45" s="799"/>
      <c r="C45" s="799"/>
      <c r="D45" s="800"/>
      <c r="E45" s="800"/>
      <c r="F45" s="800"/>
      <c r="G45" s="801"/>
      <c r="H45" s="800"/>
      <c r="I45" s="799"/>
      <c r="J45" s="803"/>
      <c r="K45" s="803"/>
      <c r="L45" s="811"/>
      <c r="M45" s="801"/>
    </row>
    <row r="46" spans="2:13" ht="13.5" thickBot="1">
      <c r="B46" s="799"/>
      <c r="C46" s="799" t="s">
        <v>378</v>
      </c>
      <c r="D46" s="803" t="s">
        <v>1044</v>
      </c>
      <c r="E46" s="803"/>
      <c r="F46" s="803"/>
      <c r="G46" s="811"/>
      <c r="H46" s="800"/>
      <c r="I46" s="799"/>
      <c r="J46" s="803"/>
      <c r="K46" s="803"/>
      <c r="L46" s="811"/>
      <c r="M46" s="811"/>
    </row>
    <row r="47" spans="2:13" ht="13.5" thickBot="1">
      <c r="B47" s="799"/>
      <c r="C47" s="799"/>
      <c r="D47" s="803"/>
      <c r="E47" s="803"/>
      <c r="F47" s="803"/>
      <c r="G47" s="811"/>
      <c r="H47" s="800"/>
      <c r="I47" s="1308" t="s">
        <v>379</v>
      </c>
      <c r="J47" s="1309"/>
      <c r="K47" s="812" t="s">
        <v>373</v>
      </c>
      <c r="L47" s="814" t="s">
        <v>380</v>
      </c>
      <c r="M47" s="811"/>
    </row>
    <row r="48" spans="2:13" ht="13.5" thickBot="1">
      <c r="B48" s="799"/>
      <c r="C48" s="799"/>
      <c r="D48" s="800"/>
      <c r="E48" s="800"/>
      <c r="F48" s="800"/>
      <c r="G48" s="801"/>
      <c r="H48" s="800"/>
      <c r="I48" s="799"/>
      <c r="J48" s="800"/>
      <c r="K48" s="800"/>
      <c r="L48" s="814"/>
      <c r="M48" s="811"/>
    </row>
    <row r="49" spans="2:13" ht="13.5" thickBot="1">
      <c r="B49" s="799"/>
      <c r="C49" s="799" t="s">
        <v>381</v>
      </c>
      <c r="D49" s="800"/>
      <c r="E49" s="896">
        <v>36826</v>
      </c>
      <c r="F49" s="803"/>
      <c r="G49" s="811"/>
      <c r="H49" s="800"/>
      <c r="I49" s="799"/>
      <c r="J49" s="800"/>
      <c r="K49" s="813"/>
      <c r="L49" s="814" t="s">
        <v>366</v>
      </c>
      <c r="M49" s="811"/>
    </row>
    <row r="50" spans="2:13" ht="12.75">
      <c r="B50" s="799"/>
      <c r="C50" s="799"/>
      <c r="D50" s="800"/>
      <c r="E50" s="800"/>
      <c r="F50" s="800"/>
      <c r="G50" s="801"/>
      <c r="H50" s="800"/>
      <c r="I50" s="808"/>
      <c r="J50" s="809"/>
      <c r="K50" s="809"/>
      <c r="L50" s="815"/>
      <c r="M50" s="801"/>
    </row>
    <row r="51" spans="2:13" ht="12.75">
      <c r="B51" s="799"/>
      <c r="C51" s="799" t="s">
        <v>382</v>
      </c>
      <c r="D51" s="800"/>
      <c r="E51" s="803">
        <v>19095</v>
      </c>
      <c r="F51" s="803"/>
      <c r="G51" s="811"/>
      <c r="H51" s="800"/>
      <c r="I51" s="1308" t="s">
        <v>383</v>
      </c>
      <c r="J51" s="1307"/>
      <c r="K51" s="1307">
        <v>0</v>
      </c>
      <c r="L51" s="1309"/>
      <c r="M51" s="801"/>
    </row>
    <row r="52" spans="2:13" ht="12.75">
      <c r="B52" s="799"/>
      <c r="C52" s="799"/>
      <c r="D52" s="800"/>
      <c r="E52" s="800"/>
      <c r="F52" s="800"/>
      <c r="G52" s="801"/>
      <c r="H52" s="800"/>
      <c r="I52" s="808"/>
      <c r="J52" s="809"/>
      <c r="K52" s="802"/>
      <c r="L52" s="816"/>
      <c r="M52" s="801"/>
    </row>
    <row r="53" spans="2:13" ht="12.75">
      <c r="B53" s="799"/>
      <c r="C53" s="799"/>
      <c r="D53" s="800"/>
      <c r="E53" s="800"/>
      <c r="F53" s="800"/>
      <c r="G53" s="801"/>
      <c r="H53" s="800"/>
      <c r="I53" s="1308" t="s">
        <v>384</v>
      </c>
      <c r="J53" s="1307"/>
      <c r="K53" s="1307"/>
      <c r="L53" s="1309"/>
      <c r="M53" s="801"/>
    </row>
    <row r="54" spans="2:13" ht="12.75">
      <c r="B54" s="808"/>
      <c r="C54" s="799" t="s">
        <v>385</v>
      </c>
      <c r="D54" s="800"/>
      <c r="E54" s="1311"/>
      <c r="F54" s="1311"/>
      <c r="G54" s="1312"/>
      <c r="H54" s="809"/>
      <c r="I54" s="799"/>
      <c r="J54" s="803"/>
      <c r="K54" s="803"/>
      <c r="L54" s="811"/>
      <c r="M54" s="815"/>
    </row>
    <row r="55" spans="2:13" ht="12.75">
      <c r="B55" s="799"/>
      <c r="C55" s="1310" t="s">
        <v>1045</v>
      </c>
      <c r="D55" s="1311"/>
      <c r="E55" s="1311"/>
      <c r="F55" s="1311"/>
      <c r="G55" s="1312"/>
      <c r="H55" s="800"/>
      <c r="I55" s="1308" t="s">
        <v>940</v>
      </c>
      <c r="J55" s="1307"/>
      <c r="K55" s="1307" t="s">
        <v>941</v>
      </c>
      <c r="L55" s="1309"/>
      <c r="M55" s="811"/>
    </row>
    <row r="56" spans="2:13" ht="12.75">
      <c r="B56" s="799"/>
      <c r="C56" s="799" t="s">
        <v>901</v>
      </c>
      <c r="D56" s="803"/>
      <c r="E56" s="803" t="s">
        <v>1046</v>
      </c>
      <c r="F56" s="803"/>
      <c r="G56" s="811"/>
      <c r="H56" s="800"/>
      <c r="I56" s="808"/>
      <c r="J56" s="809"/>
      <c r="K56" s="809"/>
      <c r="L56" s="815"/>
      <c r="M56" s="801"/>
    </row>
    <row r="57" spans="2:13" ht="12.75">
      <c r="B57" s="799"/>
      <c r="C57" s="799"/>
      <c r="D57" s="800"/>
      <c r="E57" s="800"/>
      <c r="F57" s="800"/>
      <c r="G57" s="801"/>
      <c r="H57" s="800"/>
      <c r="I57" s="1308" t="s">
        <v>386</v>
      </c>
      <c r="J57" s="1307"/>
      <c r="K57" s="1307" t="s">
        <v>942</v>
      </c>
      <c r="L57" s="1309"/>
      <c r="M57" s="801"/>
    </row>
    <row r="58" spans="2:13" ht="13.5" thickBot="1">
      <c r="B58" s="799"/>
      <c r="C58" s="817"/>
      <c r="D58" s="818"/>
      <c r="E58" s="818"/>
      <c r="F58" s="818"/>
      <c r="G58" s="819"/>
      <c r="H58" s="800"/>
      <c r="I58" s="817"/>
      <c r="J58" s="818"/>
      <c r="K58" s="818"/>
      <c r="L58" s="819"/>
      <c r="M58" s="801"/>
    </row>
    <row r="59" spans="2:13" ht="12.75">
      <c r="B59" s="799"/>
      <c r="C59" s="800"/>
      <c r="D59" s="800"/>
      <c r="E59" s="800"/>
      <c r="F59" s="800"/>
      <c r="G59" s="800"/>
      <c r="H59" s="800"/>
      <c r="I59" s="800"/>
      <c r="J59" s="800"/>
      <c r="K59" s="800"/>
      <c r="L59" s="800"/>
      <c r="M59" s="801"/>
    </row>
    <row r="60" spans="2:13" ht="13.5" thickBot="1">
      <c r="B60" s="820"/>
      <c r="C60" s="821"/>
      <c r="D60" s="821"/>
      <c r="E60" s="821"/>
      <c r="F60" s="821"/>
      <c r="G60" s="821"/>
      <c r="H60" s="821"/>
      <c r="I60" s="821"/>
      <c r="J60" s="821"/>
      <c r="K60" s="821"/>
      <c r="L60" s="821"/>
      <c r="M60" s="822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2" ht="12.75">
      <c r="A63" s="1"/>
      <c r="B63" s="1"/>
      <c r="C63" s="1"/>
      <c r="D63" s="1313"/>
      <c r="E63" s="1313"/>
      <c r="F63" s="1313"/>
      <c r="G63" s="1313"/>
      <c r="H63" s="1313"/>
      <c r="I63" s="1313"/>
      <c r="J63" s="1313"/>
      <c r="K63" s="1313"/>
      <c r="L63" s="10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</sheetData>
  <sheetProtection/>
  <mergeCells count="23">
    <mergeCell ref="D63:K63"/>
    <mergeCell ref="I57:J57"/>
    <mergeCell ref="K57:L57"/>
    <mergeCell ref="I51:J51"/>
    <mergeCell ref="K51:L51"/>
    <mergeCell ref="I55:J55"/>
    <mergeCell ref="K55:L55"/>
    <mergeCell ref="H4:J4"/>
    <mergeCell ref="I40:L40"/>
    <mergeCell ref="I43:J43"/>
    <mergeCell ref="H5:J5"/>
    <mergeCell ref="G6:J6"/>
    <mergeCell ref="I7:J7"/>
    <mergeCell ref="H9:I9"/>
    <mergeCell ref="B16:L16"/>
    <mergeCell ref="D20:J20"/>
    <mergeCell ref="G11:M11"/>
    <mergeCell ref="D23:M23"/>
    <mergeCell ref="G12:J12"/>
    <mergeCell ref="I53:L53"/>
    <mergeCell ref="C55:G55"/>
    <mergeCell ref="E54:G54"/>
    <mergeCell ref="I47:J47"/>
  </mergeCells>
  <printOptions/>
  <pageMargins left="0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K59"/>
  <sheetViews>
    <sheetView zoomScalePageLayoutView="0" workbookViewId="0" topLeftCell="A16">
      <selection activeCell="I39" sqref="I39"/>
    </sheetView>
  </sheetViews>
  <sheetFormatPr defaultColWidth="9.140625" defaultRowHeight="12.75"/>
  <cols>
    <col min="1" max="1" width="2.140625" style="0" customWidth="1"/>
    <col min="2" max="2" width="3.28125" style="0" customWidth="1"/>
    <col min="3" max="3" width="4.7109375" style="0" customWidth="1"/>
    <col min="4" max="4" width="24.7109375" style="0" customWidth="1"/>
    <col min="5" max="5" width="25.421875" style="0" customWidth="1"/>
    <col min="6" max="6" width="18.28125" style="0" customWidth="1"/>
    <col min="7" max="7" width="13.140625" style="0" customWidth="1"/>
    <col min="8" max="8" width="12.8515625" style="0" customWidth="1"/>
    <col min="9" max="9" width="16.28125" style="0" customWidth="1"/>
    <col min="10" max="10" width="6.421875" style="0" customWidth="1"/>
    <col min="11" max="11" width="4.8515625" style="0" customWidth="1"/>
    <col min="12" max="12" width="6.421875" style="0" customWidth="1"/>
    <col min="13" max="13" width="5.421875" style="0" customWidth="1"/>
    <col min="14" max="14" width="4.7109375" style="0" customWidth="1"/>
  </cols>
  <sheetData>
    <row r="3" spans="2:8" ht="12.75">
      <c r="B3" s="2"/>
      <c r="C3" s="51"/>
      <c r="D3" s="51"/>
      <c r="E3" s="51"/>
      <c r="F3" s="51"/>
      <c r="G3" s="2"/>
      <c r="H3" s="2"/>
    </row>
    <row r="4" spans="2:8" ht="12.75">
      <c r="B4" s="54"/>
      <c r="C4" s="2" t="str">
        <f>'Kopertina '!F4</f>
        <v>FJORTES </v>
      </c>
      <c r="D4" s="2"/>
      <c r="E4" s="2"/>
      <c r="F4" s="2"/>
      <c r="G4" s="2"/>
      <c r="H4" s="2"/>
    </row>
    <row r="5" spans="2:11" ht="12.75">
      <c r="B5" s="1"/>
      <c r="C5" s="1"/>
      <c r="D5" s="1"/>
      <c r="E5" s="1"/>
      <c r="F5" s="1"/>
      <c r="G5" s="2"/>
      <c r="H5" s="2"/>
      <c r="I5" s="2"/>
      <c r="J5" s="2"/>
      <c r="K5" s="2" t="s">
        <v>238</v>
      </c>
    </row>
    <row r="6" spans="2:9" ht="12.75">
      <c r="B6" s="1"/>
      <c r="C6" s="1337" t="s">
        <v>134</v>
      </c>
      <c r="D6" s="1337"/>
      <c r="E6" s="1337"/>
      <c r="F6" s="1337"/>
      <c r="G6" s="1337"/>
      <c r="H6" s="1337"/>
      <c r="I6" s="1337"/>
    </row>
    <row r="7" spans="2:10" ht="12.75">
      <c r="B7" s="1"/>
      <c r="C7" s="1"/>
      <c r="D7" s="1"/>
      <c r="E7" s="1"/>
      <c r="F7" s="1"/>
      <c r="G7" s="1"/>
      <c r="H7" s="2" t="s">
        <v>131</v>
      </c>
      <c r="I7" s="19"/>
      <c r="J7" s="19">
        <f>'Kopertina '!F29</f>
        <v>2012</v>
      </c>
    </row>
    <row r="8" spans="2:8" ht="12.75">
      <c r="B8" s="1"/>
      <c r="C8" s="1"/>
      <c r="D8" s="1"/>
      <c r="E8" s="1"/>
      <c r="F8" s="1"/>
      <c r="G8" s="1"/>
      <c r="H8" s="1"/>
    </row>
    <row r="9" ht="13.5" thickBot="1"/>
    <row r="10" spans="3:9" ht="23.25" customHeight="1" thickBot="1">
      <c r="C10" s="437" t="s">
        <v>1</v>
      </c>
      <c r="D10" s="438" t="s">
        <v>496</v>
      </c>
      <c r="E10" s="438" t="s">
        <v>497</v>
      </c>
      <c r="F10" s="438" t="s">
        <v>498</v>
      </c>
      <c r="G10" s="438" t="s">
        <v>395</v>
      </c>
      <c r="H10" s="438" t="s">
        <v>405</v>
      </c>
      <c r="I10" s="439" t="s">
        <v>499</v>
      </c>
    </row>
    <row r="11" spans="3:9" ht="12.75">
      <c r="C11" s="870" t="s">
        <v>72</v>
      </c>
      <c r="D11" s="874" t="s">
        <v>923</v>
      </c>
      <c r="E11" s="844"/>
      <c r="F11" s="844"/>
      <c r="G11" s="844"/>
      <c r="H11" s="844"/>
      <c r="I11" s="1286">
        <f>SUM(I12:I16)</f>
        <v>67142.6</v>
      </c>
    </row>
    <row r="12" spans="3:9" ht="12.75">
      <c r="C12" s="871"/>
      <c r="D12" s="81" t="s">
        <v>1060</v>
      </c>
      <c r="E12" s="1010" t="s">
        <v>1061</v>
      </c>
      <c r="F12" s="81" t="s">
        <v>1062</v>
      </c>
      <c r="G12" s="789">
        <v>332</v>
      </c>
      <c r="H12" s="81">
        <v>140</v>
      </c>
      <c r="I12" s="1287">
        <f aca="true" t="shared" si="0" ref="I12:I38">G12*H12</f>
        <v>46480</v>
      </c>
    </row>
    <row r="13" spans="3:9" ht="12.75">
      <c r="C13" s="871"/>
      <c r="D13" s="81" t="s">
        <v>1131</v>
      </c>
      <c r="E13" s="81">
        <v>130684</v>
      </c>
      <c r="F13" s="81" t="s">
        <v>1062</v>
      </c>
      <c r="G13" s="1277">
        <v>57</v>
      </c>
      <c r="H13" s="81">
        <v>140</v>
      </c>
      <c r="I13" s="1287">
        <f t="shared" si="0"/>
        <v>7980</v>
      </c>
    </row>
    <row r="14" spans="3:9" ht="12.75">
      <c r="C14" s="871"/>
      <c r="D14" s="81" t="s">
        <v>1068</v>
      </c>
      <c r="E14" s="81"/>
      <c r="F14" s="81" t="s">
        <v>1062</v>
      </c>
      <c r="G14" s="789">
        <v>90.59</v>
      </c>
      <c r="H14" s="81">
        <v>140</v>
      </c>
      <c r="I14" s="1287">
        <f t="shared" si="0"/>
        <v>12682.6</v>
      </c>
    </row>
    <row r="15" spans="3:9" ht="12.75">
      <c r="C15" s="871"/>
      <c r="D15" s="81"/>
      <c r="E15" s="81"/>
      <c r="F15" s="81"/>
      <c r="G15" s="789"/>
      <c r="H15" s="81"/>
      <c r="I15" s="1287">
        <f t="shared" si="0"/>
        <v>0</v>
      </c>
    </row>
    <row r="16" spans="3:9" ht="12.75">
      <c r="C16" s="871"/>
      <c r="D16" s="81"/>
      <c r="E16" s="81"/>
      <c r="F16" s="81"/>
      <c r="G16" s="789"/>
      <c r="H16" s="81"/>
      <c r="I16" s="1287">
        <f t="shared" si="0"/>
        <v>0</v>
      </c>
    </row>
    <row r="17" spans="3:9" ht="12.75">
      <c r="C17" s="871" t="s">
        <v>78</v>
      </c>
      <c r="D17" s="842" t="s">
        <v>572</v>
      </c>
      <c r="E17" s="845"/>
      <c r="F17" s="845"/>
      <c r="G17" s="1289"/>
      <c r="H17" s="845"/>
      <c r="I17" s="1288">
        <f>SUM(I18:I27)</f>
        <v>5928150.77</v>
      </c>
    </row>
    <row r="18" spans="3:9" ht="12.75">
      <c r="C18" s="871"/>
      <c r="D18" s="81" t="s">
        <v>1063</v>
      </c>
      <c r="E18" s="1010" t="s">
        <v>1064</v>
      </c>
      <c r="F18" s="81" t="s">
        <v>1065</v>
      </c>
      <c r="G18" s="1277">
        <v>631260.27</v>
      </c>
      <c r="H18" s="81">
        <v>1</v>
      </c>
      <c r="I18" s="1287">
        <f t="shared" si="0"/>
        <v>631260.27</v>
      </c>
    </row>
    <row r="19" spans="3:9" ht="12.75">
      <c r="C19" s="871"/>
      <c r="D19" s="81" t="s">
        <v>1066</v>
      </c>
      <c r="E19" s="306" t="s">
        <v>1067</v>
      </c>
      <c r="F19" s="81" t="s">
        <v>1065</v>
      </c>
      <c r="G19" s="1277">
        <v>640431</v>
      </c>
      <c r="H19" s="81">
        <v>1</v>
      </c>
      <c r="I19" s="1287">
        <f t="shared" si="0"/>
        <v>640431</v>
      </c>
    </row>
    <row r="20" spans="3:9" ht="12.75">
      <c r="C20" s="871"/>
      <c r="D20" s="81" t="s">
        <v>1068</v>
      </c>
      <c r="E20" s="306" t="s">
        <v>1069</v>
      </c>
      <c r="F20" s="81" t="s">
        <v>1065</v>
      </c>
      <c r="G20" s="1277">
        <v>290354</v>
      </c>
      <c r="H20" s="81">
        <v>1</v>
      </c>
      <c r="I20" s="1287">
        <f t="shared" si="0"/>
        <v>290354</v>
      </c>
    </row>
    <row r="21" spans="3:9" ht="12.75">
      <c r="C21" s="871"/>
      <c r="D21" s="81" t="s">
        <v>1070</v>
      </c>
      <c r="E21" s="1010"/>
      <c r="F21" s="81"/>
      <c r="G21" s="789"/>
      <c r="H21" s="81">
        <v>1</v>
      </c>
      <c r="I21" s="1287">
        <f t="shared" si="0"/>
        <v>0</v>
      </c>
    </row>
    <row r="22" spans="3:9" ht="12.75">
      <c r="C22" s="871"/>
      <c r="D22" s="83" t="s">
        <v>1071</v>
      </c>
      <c r="E22" s="128" t="s">
        <v>1072</v>
      </c>
      <c r="F22" s="83" t="s">
        <v>1065</v>
      </c>
      <c r="G22" s="1277">
        <v>1085161.71</v>
      </c>
      <c r="H22" s="81">
        <v>1</v>
      </c>
      <c r="I22" s="1287">
        <f t="shared" si="0"/>
        <v>1085161.71</v>
      </c>
    </row>
    <row r="23" spans="3:9" ht="12.75">
      <c r="C23" s="871"/>
      <c r="D23" s="83" t="s">
        <v>1073</v>
      </c>
      <c r="E23" s="128" t="s">
        <v>1074</v>
      </c>
      <c r="F23" s="83" t="s">
        <v>1065</v>
      </c>
      <c r="G23" s="1277">
        <v>72932.9</v>
      </c>
      <c r="H23" s="81">
        <v>1</v>
      </c>
      <c r="I23" s="1287">
        <f t="shared" si="0"/>
        <v>72932.9</v>
      </c>
    </row>
    <row r="24" spans="3:9" ht="12.75">
      <c r="C24" s="871"/>
      <c r="D24" s="83" t="s">
        <v>1075</v>
      </c>
      <c r="E24" s="128">
        <v>130684</v>
      </c>
      <c r="F24" s="83"/>
      <c r="G24" s="1277">
        <v>1142386</v>
      </c>
      <c r="H24" s="81">
        <v>1</v>
      </c>
      <c r="I24" s="1287">
        <f t="shared" si="0"/>
        <v>1142386</v>
      </c>
    </row>
    <row r="25" spans="3:9" ht="12.75">
      <c r="C25" s="871"/>
      <c r="D25" s="81" t="s">
        <v>1076</v>
      </c>
      <c r="E25" s="1010" t="s">
        <v>1077</v>
      </c>
      <c r="F25" s="81" t="s">
        <v>1065</v>
      </c>
      <c r="G25" s="1277">
        <v>1915466.89</v>
      </c>
      <c r="H25" s="81">
        <v>1</v>
      </c>
      <c r="I25" s="1287">
        <f t="shared" si="0"/>
        <v>1915466.89</v>
      </c>
    </row>
    <row r="26" spans="3:9" ht="12.75">
      <c r="C26" s="871"/>
      <c r="D26" s="81" t="s">
        <v>1060</v>
      </c>
      <c r="E26" s="1010" t="s">
        <v>1061</v>
      </c>
      <c r="F26" s="81" t="s">
        <v>1065</v>
      </c>
      <c r="G26" s="789">
        <v>150158</v>
      </c>
      <c r="H26" s="81">
        <v>1</v>
      </c>
      <c r="I26" s="1287">
        <f t="shared" si="0"/>
        <v>150158</v>
      </c>
    </row>
    <row r="27" spans="3:9" ht="12.75">
      <c r="C27" s="871"/>
      <c r="D27" s="81"/>
      <c r="E27" s="81"/>
      <c r="F27" s="81"/>
      <c r="G27" s="789"/>
      <c r="H27" s="81"/>
      <c r="I27" s="1287">
        <f t="shared" si="0"/>
        <v>0</v>
      </c>
    </row>
    <row r="28" spans="3:9" ht="12.75">
      <c r="C28" s="871" t="s">
        <v>83</v>
      </c>
      <c r="D28" s="842" t="s">
        <v>924</v>
      </c>
      <c r="E28" s="845"/>
      <c r="F28" s="845"/>
      <c r="G28" s="1289"/>
      <c r="H28" s="845"/>
      <c r="I28" s="1288">
        <f>I29+I30+I31+I32</f>
        <v>0</v>
      </c>
    </row>
    <row r="29" spans="3:9" ht="12.75">
      <c r="C29" s="871"/>
      <c r="D29" s="81"/>
      <c r="E29" s="81"/>
      <c r="F29" s="81"/>
      <c r="G29" s="789"/>
      <c r="H29" s="81"/>
      <c r="I29" s="1287">
        <f>I34+I35+I36+I37+I38</f>
        <v>0</v>
      </c>
    </row>
    <row r="30" spans="3:9" ht="12.75">
      <c r="C30" s="871"/>
      <c r="D30" s="81"/>
      <c r="E30" s="81"/>
      <c r="F30" s="81"/>
      <c r="G30" s="81"/>
      <c r="H30" s="81"/>
      <c r="I30" s="1287">
        <f t="shared" si="0"/>
        <v>0</v>
      </c>
    </row>
    <row r="31" spans="3:9" ht="12.75">
      <c r="C31" s="871"/>
      <c r="D31" s="81"/>
      <c r="E31" s="81"/>
      <c r="F31" s="81"/>
      <c r="G31" s="81"/>
      <c r="H31" s="81"/>
      <c r="I31" s="1287">
        <f t="shared" si="0"/>
        <v>0</v>
      </c>
    </row>
    <row r="32" spans="3:9" ht="12.75">
      <c r="C32" s="871"/>
      <c r="D32" s="81"/>
      <c r="E32" s="81"/>
      <c r="F32" s="81"/>
      <c r="G32" s="81"/>
      <c r="H32" s="81"/>
      <c r="I32" s="440">
        <f t="shared" si="0"/>
        <v>0</v>
      </c>
    </row>
    <row r="33" spans="3:9" ht="12.75">
      <c r="C33" s="871" t="s">
        <v>114</v>
      </c>
      <c r="D33" s="842" t="s">
        <v>925</v>
      </c>
      <c r="E33" s="845"/>
      <c r="F33" s="845"/>
      <c r="G33" s="845"/>
      <c r="H33" s="845"/>
      <c r="I33" s="846">
        <f t="shared" si="0"/>
        <v>0</v>
      </c>
    </row>
    <row r="34" spans="3:9" ht="12.75">
      <c r="C34" s="871"/>
      <c r="D34" s="81"/>
      <c r="E34" s="81"/>
      <c r="F34" s="81"/>
      <c r="G34" s="81"/>
      <c r="H34" s="81"/>
      <c r="I34" s="440">
        <f t="shared" si="0"/>
        <v>0</v>
      </c>
    </row>
    <row r="35" spans="3:9" ht="19.5" customHeight="1">
      <c r="C35" s="871"/>
      <c r="D35" s="81"/>
      <c r="E35" s="81"/>
      <c r="F35" s="81"/>
      <c r="G35" s="81"/>
      <c r="H35" s="81"/>
      <c r="I35" s="440">
        <f t="shared" si="0"/>
        <v>0</v>
      </c>
    </row>
    <row r="36" spans="3:9" ht="12.75">
      <c r="C36" s="871"/>
      <c r="D36" s="81"/>
      <c r="E36" s="81"/>
      <c r="F36" s="81"/>
      <c r="G36" s="81"/>
      <c r="H36" s="81"/>
      <c r="I36" s="440">
        <f t="shared" si="0"/>
        <v>0</v>
      </c>
    </row>
    <row r="37" spans="3:9" ht="12.75">
      <c r="C37" s="871"/>
      <c r="D37" s="81"/>
      <c r="E37" s="81"/>
      <c r="F37" s="81"/>
      <c r="G37" s="81"/>
      <c r="H37" s="81"/>
      <c r="I37" s="440">
        <f t="shared" si="0"/>
        <v>0</v>
      </c>
    </row>
    <row r="38" spans="3:9" ht="13.5" thickBot="1">
      <c r="C38" s="25"/>
      <c r="D38" s="441"/>
      <c r="E38" s="441"/>
      <c r="F38" s="441"/>
      <c r="G38" s="441"/>
      <c r="H38" s="441"/>
      <c r="I38" s="442">
        <f t="shared" si="0"/>
        <v>0</v>
      </c>
    </row>
    <row r="39" spans="3:9" ht="13.5" thickBot="1">
      <c r="C39" s="443"/>
      <c r="D39" s="444" t="s">
        <v>164</v>
      </c>
      <c r="E39" s="445"/>
      <c r="F39" s="445"/>
      <c r="G39" s="445"/>
      <c r="H39" s="445"/>
      <c r="I39" s="1290">
        <f>I11+I17+I28+I33</f>
        <v>5995293.369999999</v>
      </c>
    </row>
    <row r="53" spans="2:11" ht="12.75">
      <c r="B53" s="1"/>
      <c r="J53" s="1"/>
      <c r="K53" s="1"/>
    </row>
    <row r="54" spans="2:11" ht="12.75">
      <c r="B54" s="1"/>
      <c r="J54" s="1"/>
      <c r="K54" s="1"/>
    </row>
    <row r="55" spans="2:11" ht="12.75">
      <c r="B55" s="1"/>
      <c r="J55" s="1"/>
      <c r="K55" s="1"/>
    </row>
    <row r="57" spans="3:9" ht="12.75">
      <c r="C57" s="1"/>
      <c r="D57" s="1"/>
      <c r="E57" s="1"/>
      <c r="F57" s="1"/>
      <c r="G57" s="1"/>
      <c r="H57" s="1"/>
      <c r="I57" s="1"/>
    </row>
    <row r="58" spans="3:9" ht="12.75">
      <c r="C58" s="1"/>
      <c r="D58" s="1"/>
      <c r="E58" s="1"/>
      <c r="F58" s="1"/>
      <c r="G58" s="1"/>
      <c r="H58" s="1"/>
      <c r="I58" s="1"/>
    </row>
    <row r="59" spans="3:9" ht="12.75">
      <c r="C59" s="1"/>
      <c r="D59" s="1"/>
      <c r="E59" s="1"/>
      <c r="F59" s="1"/>
      <c r="G59" s="1"/>
      <c r="H59" s="1"/>
      <c r="I59" s="1"/>
    </row>
  </sheetData>
  <sheetProtection/>
  <mergeCells count="1">
    <mergeCell ref="C6:I6"/>
  </mergeCells>
  <printOptions/>
  <pageMargins left="0.25" right="0.25" top="0.25" bottom="0.25" header="0.25" footer="0.2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76">
      <selection activeCell="F12" sqref="F12"/>
    </sheetView>
  </sheetViews>
  <sheetFormatPr defaultColWidth="9.140625" defaultRowHeight="12.75"/>
  <cols>
    <col min="1" max="1" width="3.8515625" style="101" customWidth="1"/>
    <col min="2" max="2" width="4.8515625" style="101" customWidth="1"/>
    <col min="3" max="3" width="23.28125" style="101" customWidth="1"/>
    <col min="4" max="4" width="12.421875" style="101" customWidth="1"/>
    <col min="5" max="5" width="17.57421875" style="101" customWidth="1"/>
    <col min="6" max="6" width="16.7109375" style="101" customWidth="1"/>
    <col min="7" max="7" width="17.140625" style="215" customWidth="1"/>
    <col min="8" max="8" width="5.421875" style="101" customWidth="1"/>
    <col min="9" max="9" width="6.7109375" style="101" customWidth="1"/>
    <col min="10" max="10" width="10.7109375" style="101" customWidth="1"/>
    <col min="11" max="11" width="5.421875" style="101" customWidth="1"/>
    <col min="12" max="16384" width="9.140625" style="101" customWidth="1"/>
  </cols>
  <sheetData>
    <row r="1" spans="2:7" ht="12.75">
      <c r="B1" s="3"/>
      <c r="C1" s="155"/>
      <c r="D1" s="155"/>
      <c r="E1" s="155"/>
      <c r="F1" s="155"/>
      <c r="G1" s="211"/>
    </row>
    <row r="2" spans="2:7" ht="12.75">
      <c r="B2" s="3"/>
      <c r="C2" s="3" t="str">
        <f>'Kopertina '!F4</f>
        <v>FJORTES </v>
      </c>
      <c r="D2" s="3"/>
      <c r="E2" s="3"/>
      <c r="F2" s="3"/>
      <c r="G2" s="211"/>
    </row>
    <row r="3" spans="2:10" ht="12.75">
      <c r="B3" s="61"/>
      <c r="C3" s="61"/>
      <c r="D3" s="61"/>
      <c r="E3" s="61"/>
      <c r="F3" s="61"/>
      <c r="G3" s="211"/>
      <c r="H3" s="3"/>
      <c r="I3" s="3"/>
      <c r="J3" s="3" t="s">
        <v>117</v>
      </c>
    </row>
    <row r="4" spans="2:8" ht="12.75">
      <c r="B4" s="61"/>
      <c r="C4" s="1354" t="s">
        <v>135</v>
      </c>
      <c r="D4" s="1354"/>
      <c r="E4" s="1354"/>
      <c r="F4" s="1354"/>
      <c r="G4" s="1354"/>
      <c r="H4" s="1354"/>
    </row>
    <row r="5" spans="2:9" ht="12.75">
      <c r="B5" s="61"/>
      <c r="C5" s="61"/>
      <c r="D5" s="61"/>
      <c r="E5" s="61"/>
      <c r="F5" s="61"/>
      <c r="G5" s="211" t="s">
        <v>131</v>
      </c>
      <c r="H5" s="156"/>
      <c r="I5" s="156">
        <f>'Kopertina '!F29</f>
        <v>2012</v>
      </c>
    </row>
    <row r="6" spans="2:7" ht="13.5" thickBot="1">
      <c r="B6" s="61"/>
      <c r="C6" s="61"/>
      <c r="D6" s="61"/>
      <c r="E6" s="61"/>
      <c r="F6" s="61"/>
      <c r="G6" s="212"/>
    </row>
    <row r="7" spans="2:10" ht="13.5" thickBot="1">
      <c r="B7" s="206"/>
      <c r="C7" s="199"/>
      <c r="D7" s="199"/>
      <c r="E7" s="199"/>
      <c r="F7" s="199"/>
      <c r="G7" s="213"/>
      <c r="H7" s="199"/>
      <c r="I7" s="200"/>
      <c r="J7" s="61"/>
    </row>
    <row r="8" spans="2:10" ht="12.75" customHeight="1">
      <c r="B8" s="1358" t="s">
        <v>199</v>
      </c>
      <c r="C8" s="1360" t="s">
        <v>390</v>
      </c>
      <c r="D8" s="1360" t="s">
        <v>1078</v>
      </c>
      <c r="E8" s="1360" t="s">
        <v>402</v>
      </c>
      <c r="F8" s="1360" t="s">
        <v>400</v>
      </c>
      <c r="G8" s="1360" t="s">
        <v>403</v>
      </c>
      <c r="H8" s="61"/>
      <c r="I8" s="201"/>
      <c r="J8" s="61"/>
    </row>
    <row r="9" spans="2:10" ht="13.5" thickBot="1">
      <c r="B9" s="1359"/>
      <c r="C9" s="1361"/>
      <c r="D9" s="1361"/>
      <c r="E9" s="1361"/>
      <c r="F9" s="1361"/>
      <c r="G9" s="1361"/>
      <c r="H9" s="61"/>
      <c r="I9" s="201"/>
      <c r="J9" s="61"/>
    </row>
    <row r="10" spans="2:10" ht="12.75">
      <c r="B10" s="207">
        <v>1</v>
      </c>
      <c r="C10" s="139" t="s">
        <v>1079</v>
      </c>
      <c r="D10" s="208">
        <v>0</v>
      </c>
      <c r="E10" s="208"/>
      <c r="F10" s="208"/>
      <c r="G10" s="227">
        <f>D10+E10-F10</f>
        <v>0</v>
      </c>
      <c r="H10" s="61"/>
      <c r="I10" s="201"/>
      <c r="J10" s="61"/>
    </row>
    <row r="11" spans="2:10" ht="12.75">
      <c r="B11" s="209">
        <v>2</v>
      </c>
      <c r="C11" s="139" t="s">
        <v>1332</v>
      </c>
      <c r="D11" s="132"/>
      <c r="E11" s="132">
        <v>2198153</v>
      </c>
      <c r="F11" s="139">
        <f>1394853+463591</f>
        <v>1858444</v>
      </c>
      <c r="G11" s="447">
        <f aca="true" t="shared" si="0" ref="G11:G74">D11+E11-F11</f>
        <v>339709</v>
      </c>
      <c r="H11" s="61"/>
      <c r="I11" s="201"/>
      <c r="J11" s="1280"/>
    </row>
    <row r="12" spans="2:10" ht="12.75">
      <c r="B12" s="209">
        <v>3</v>
      </c>
      <c r="C12" s="139" t="s">
        <v>1155</v>
      </c>
      <c r="D12" s="132"/>
      <c r="E12" s="132">
        <v>1864084</v>
      </c>
      <c r="F12" s="139">
        <v>1701955</v>
      </c>
      <c r="G12" s="447">
        <f t="shared" si="0"/>
        <v>162129</v>
      </c>
      <c r="H12" s="61"/>
      <c r="I12" s="201"/>
      <c r="J12" s="1280"/>
    </row>
    <row r="13" spans="2:10" ht="12.75">
      <c r="B13" s="209">
        <v>4</v>
      </c>
      <c r="C13" s="139" t="s">
        <v>1334</v>
      </c>
      <c r="D13" s="132"/>
      <c r="E13" s="132">
        <v>277000</v>
      </c>
      <c r="F13" s="139">
        <f aca="true" t="shared" si="1" ref="F13:F75">E13</f>
        <v>277000</v>
      </c>
      <c r="G13" s="447">
        <f t="shared" si="0"/>
        <v>0</v>
      </c>
      <c r="H13" s="61"/>
      <c r="I13" s="201"/>
      <c r="J13" s="1280"/>
    </row>
    <row r="14" spans="2:10" ht="12.75">
      <c r="B14" s="209">
        <v>5</v>
      </c>
      <c r="C14" s="139" t="s">
        <v>1089</v>
      </c>
      <c r="D14" s="132"/>
      <c r="E14" s="132">
        <v>11160</v>
      </c>
      <c r="F14" s="139">
        <f t="shared" si="1"/>
        <v>11160</v>
      </c>
      <c r="G14" s="447">
        <f t="shared" si="0"/>
        <v>0</v>
      </c>
      <c r="H14" s="61"/>
      <c r="I14" s="201"/>
      <c r="J14" s="1280"/>
    </row>
    <row r="15" spans="2:10" ht="12.75">
      <c r="B15" s="209">
        <v>6</v>
      </c>
      <c r="C15" s="139" t="s">
        <v>1359</v>
      </c>
      <c r="D15" s="132"/>
      <c r="E15" s="132">
        <v>800318.64</v>
      </c>
      <c r="F15" s="139">
        <f t="shared" si="1"/>
        <v>800318.64</v>
      </c>
      <c r="G15" s="447">
        <f t="shared" si="0"/>
        <v>0</v>
      </c>
      <c r="H15" s="61"/>
      <c r="I15" s="201"/>
      <c r="J15" s="1280"/>
    </row>
    <row r="16" spans="2:10" ht="12.75">
      <c r="B16" s="209">
        <v>7</v>
      </c>
      <c r="C16" s="139" t="s">
        <v>1730</v>
      </c>
      <c r="D16" s="139"/>
      <c r="E16" s="132">
        <v>18000</v>
      </c>
      <c r="F16" s="139">
        <f t="shared" si="1"/>
        <v>18000</v>
      </c>
      <c r="G16" s="447">
        <f t="shared" si="0"/>
        <v>0</v>
      </c>
      <c r="H16" s="61"/>
      <c r="I16" s="201"/>
      <c r="J16" s="1280"/>
    </row>
    <row r="17" spans="2:10" ht="12.75">
      <c r="B17" s="209">
        <v>8</v>
      </c>
      <c r="C17" s="139" t="s">
        <v>1242</v>
      </c>
      <c r="D17" s="139"/>
      <c r="E17" s="132">
        <v>64500</v>
      </c>
      <c r="F17" s="139">
        <f t="shared" si="1"/>
        <v>64500</v>
      </c>
      <c r="G17" s="447">
        <f t="shared" si="0"/>
        <v>0</v>
      </c>
      <c r="H17" s="61"/>
      <c r="I17" s="201"/>
      <c r="J17" s="1280"/>
    </row>
    <row r="18" spans="2:10" ht="12.75">
      <c r="B18" s="209">
        <v>9</v>
      </c>
      <c r="C18" s="139" t="s">
        <v>1731</v>
      </c>
      <c r="D18" s="139"/>
      <c r="E18" s="132">
        <v>187000</v>
      </c>
      <c r="F18" s="139">
        <f t="shared" si="1"/>
        <v>187000</v>
      </c>
      <c r="G18" s="447">
        <f t="shared" si="0"/>
        <v>0</v>
      </c>
      <c r="H18" s="61"/>
      <c r="I18" s="201"/>
      <c r="J18" s="1280"/>
    </row>
    <row r="19" spans="2:10" ht="12.75">
      <c r="B19" s="209">
        <v>10</v>
      </c>
      <c r="C19" s="139" t="s">
        <v>1732</v>
      </c>
      <c r="D19" s="139"/>
      <c r="E19" s="132">
        <v>180000</v>
      </c>
      <c r="F19" s="139">
        <f t="shared" si="1"/>
        <v>180000</v>
      </c>
      <c r="G19" s="447">
        <f t="shared" si="0"/>
        <v>0</v>
      </c>
      <c r="H19" s="61"/>
      <c r="I19" s="201"/>
      <c r="J19" s="1280"/>
    </row>
    <row r="20" spans="2:10" ht="12.75">
      <c r="B20" s="209">
        <v>11</v>
      </c>
      <c r="C20" s="139" t="s">
        <v>1333</v>
      </c>
      <c r="D20" s="132"/>
      <c r="E20" s="132">
        <v>10944875</v>
      </c>
      <c r="F20" s="139">
        <v>9835493</v>
      </c>
      <c r="G20" s="447">
        <f t="shared" si="0"/>
        <v>1109382</v>
      </c>
      <c r="H20" s="61"/>
      <c r="I20" s="201"/>
      <c r="J20" s="1280"/>
    </row>
    <row r="21" spans="2:10" ht="12.75">
      <c r="B21" s="209">
        <v>12</v>
      </c>
      <c r="C21" s="139" t="s">
        <v>1766</v>
      </c>
      <c r="D21" s="132"/>
      <c r="E21" s="132">
        <v>1197014</v>
      </c>
      <c r="F21" s="139">
        <f t="shared" si="1"/>
        <v>1197014</v>
      </c>
      <c r="G21" s="447">
        <f t="shared" si="0"/>
        <v>0</v>
      </c>
      <c r="H21" s="61"/>
      <c r="I21" s="201"/>
      <c r="J21" s="1280"/>
    </row>
    <row r="22" spans="2:10" ht="12.75">
      <c r="B22" s="209">
        <v>13</v>
      </c>
      <c r="C22" s="139" t="s">
        <v>1063</v>
      </c>
      <c r="D22" s="132"/>
      <c r="E22" s="132">
        <v>506470</v>
      </c>
      <c r="F22" s="139">
        <f t="shared" si="1"/>
        <v>506470</v>
      </c>
      <c r="G22" s="447">
        <f t="shared" si="0"/>
        <v>0</v>
      </c>
      <c r="H22" s="61"/>
      <c r="I22" s="201"/>
      <c r="J22" s="1280"/>
    </row>
    <row r="23" spans="2:10" ht="12.75">
      <c r="B23" s="209">
        <v>14</v>
      </c>
      <c r="C23" s="139" t="s">
        <v>1336</v>
      </c>
      <c r="D23" s="132"/>
      <c r="E23" s="132">
        <v>8839842</v>
      </c>
      <c r="F23" s="139">
        <f t="shared" si="1"/>
        <v>8839842</v>
      </c>
      <c r="G23" s="447">
        <f t="shared" si="0"/>
        <v>0</v>
      </c>
      <c r="H23" s="61"/>
      <c r="I23" s="201"/>
      <c r="J23" s="1280"/>
    </row>
    <row r="24" spans="2:10" ht="12.75">
      <c r="B24" s="209">
        <v>15</v>
      </c>
      <c r="C24" s="139" t="s">
        <v>1128</v>
      </c>
      <c r="D24" s="132"/>
      <c r="E24" s="132">
        <v>540100</v>
      </c>
      <c r="F24" s="139">
        <f t="shared" si="1"/>
        <v>540100</v>
      </c>
      <c r="G24" s="447">
        <f t="shared" si="0"/>
        <v>0</v>
      </c>
      <c r="H24" s="61"/>
      <c r="I24" s="201"/>
      <c r="J24" s="1280"/>
    </row>
    <row r="25" spans="2:10" ht="12.75">
      <c r="B25" s="209">
        <v>16</v>
      </c>
      <c r="C25" s="139" t="s">
        <v>1337</v>
      </c>
      <c r="D25" s="132"/>
      <c r="E25" s="132">
        <v>199339</v>
      </c>
      <c r="F25" s="139">
        <f t="shared" si="1"/>
        <v>199339</v>
      </c>
      <c r="G25" s="447">
        <f t="shared" si="0"/>
        <v>0</v>
      </c>
      <c r="H25" s="61"/>
      <c r="I25" s="201"/>
      <c r="J25" s="1280"/>
    </row>
    <row r="26" spans="2:10" ht="12.75">
      <c r="B26" s="209">
        <v>17</v>
      </c>
      <c r="C26" s="139" t="s">
        <v>1733</v>
      </c>
      <c r="D26" s="132"/>
      <c r="E26" s="132">
        <v>738650</v>
      </c>
      <c r="F26" s="139"/>
      <c r="G26" s="447">
        <f t="shared" si="0"/>
        <v>738650</v>
      </c>
      <c r="H26" s="61"/>
      <c r="I26" s="201"/>
      <c r="J26" s="1280"/>
    </row>
    <row r="27" spans="2:10" ht="12.75">
      <c r="B27" s="209">
        <v>18</v>
      </c>
      <c r="C27" s="139" t="s">
        <v>1734</v>
      </c>
      <c r="D27" s="132"/>
      <c r="E27" s="132">
        <v>600000</v>
      </c>
      <c r="F27" s="139">
        <f t="shared" si="1"/>
        <v>600000</v>
      </c>
      <c r="G27" s="447">
        <f t="shared" si="0"/>
        <v>0</v>
      </c>
      <c r="H27" s="61"/>
      <c r="I27" s="201"/>
      <c r="J27" s="1280"/>
    </row>
    <row r="28" spans="2:10" ht="12.75">
      <c r="B28" s="209">
        <v>19</v>
      </c>
      <c r="C28" s="139" t="s">
        <v>1338</v>
      </c>
      <c r="D28" s="132"/>
      <c r="E28" s="132">
        <v>374000</v>
      </c>
      <c r="F28" s="139">
        <f t="shared" si="1"/>
        <v>374000</v>
      </c>
      <c r="G28" s="447">
        <f t="shared" si="0"/>
        <v>0</v>
      </c>
      <c r="H28" s="61"/>
      <c r="I28" s="201"/>
      <c r="J28" s="1280"/>
    </row>
    <row r="29" spans="2:10" ht="12.75">
      <c r="B29" s="209">
        <v>20</v>
      </c>
      <c r="C29" s="139" t="s">
        <v>1087</v>
      </c>
      <c r="D29" s="132"/>
      <c r="E29" s="132">
        <v>1252000</v>
      </c>
      <c r="F29" s="139">
        <f t="shared" si="1"/>
        <v>1252000</v>
      </c>
      <c r="G29" s="447">
        <f t="shared" si="0"/>
        <v>0</v>
      </c>
      <c r="H29" s="61"/>
      <c r="I29" s="201"/>
      <c r="J29" s="1280"/>
    </row>
    <row r="30" spans="2:10" ht="12.75">
      <c r="B30" s="209">
        <v>21</v>
      </c>
      <c r="C30" s="139" t="s">
        <v>1735</v>
      </c>
      <c r="D30" s="132"/>
      <c r="E30" s="132">
        <v>206800</v>
      </c>
      <c r="F30" s="139">
        <f t="shared" si="1"/>
        <v>206800</v>
      </c>
      <c r="G30" s="447">
        <f t="shared" si="0"/>
        <v>0</v>
      </c>
      <c r="H30" s="61"/>
      <c r="I30" s="201"/>
      <c r="J30" s="1280"/>
    </row>
    <row r="31" spans="2:10" ht="12.75">
      <c r="B31" s="209">
        <v>22</v>
      </c>
      <c r="C31" s="139" t="s">
        <v>1335</v>
      </c>
      <c r="D31" s="132"/>
      <c r="E31" s="132">
        <v>78589</v>
      </c>
      <c r="F31" s="139">
        <f t="shared" si="1"/>
        <v>78589</v>
      </c>
      <c r="G31" s="447">
        <f t="shared" si="0"/>
        <v>0</v>
      </c>
      <c r="H31" s="61"/>
      <c r="I31" s="201"/>
      <c r="J31" s="1280"/>
    </row>
    <row r="32" spans="2:10" ht="12.75">
      <c r="B32" s="209">
        <v>23</v>
      </c>
      <c r="C32" s="139" t="s">
        <v>1736</v>
      </c>
      <c r="D32" s="132"/>
      <c r="E32" s="132">
        <v>243100</v>
      </c>
      <c r="F32" s="139">
        <f t="shared" si="1"/>
        <v>243100</v>
      </c>
      <c r="G32" s="447">
        <f t="shared" si="0"/>
        <v>0</v>
      </c>
      <c r="H32" s="61"/>
      <c r="I32" s="201"/>
      <c r="J32" s="1280"/>
    </row>
    <row r="33" spans="2:10" ht="12.75">
      <c r="B33" s="209">
        <v>24</v>
      </c>
      <c r="C33" s="139" t="s">
        <v>1737</v>
      </c>
      <c r="D33" s="132"/>
      <c r="E33" s="132">
        <v>18600</v>
      </c>
      <c r="F33" s="139">
        <f t="shared" si="1"/>
        <v>18600</v>
      </c>
      <c r="G33" s="447">
        <f t="shared" si="0"/>
        <v>0</v>
      </c>
      <c r="H33" s="61"/>
      <c r="I33" s="201"/>
      <c r="J33" s="1280"/>
    </row>
    <row r="34" spans="2:10" ht="12.75">
      <c r="B34" s="209">
        <v>25</v>
      </c>
      <c r="C34" s="139" t="s">
        <v>1208</v>
      </c>
      <c r="D34" s="132"/>
      <c r="E34" s="132">
        <v>169399</v>
      </c>
      <c r="F34" s="139">
        <f t="shared" si="1"/>
        <v>169399</v>
      </c>
      <c r="G34" s="447">
        <f t="shared" si="0"/>
        <v>0</v>
      </c>
      <c r="H34" s="61"/>
      <c r="I34" s="201"/>
      <c r="J34" s="1280"/>
    </row>
    <row r="35" spans="2:10" ht="12.75">
      <c r="B35" s="209">
        <v>26</v>
      </c>
      <c r="C35" s="139" t="s">
        <v>1738</v>
      </c>
      <c r="D35" s="132"/>
      <c r="E35" s="132">
        <v>1426811</v>
      </c>
      <c r="F35" s="139"/>
      <c r="G35" s="447">
        <f t="shared" si="0"/>
        <v>1426811</v>
      </c>
      <c r="H35" s="61"/>
      <c r="I35" s="201"/>
      <c r="J35" s="1280"/>
    </row>
    <row r="36" spans="2:10" ht="12.75">
      <c r="B36" s="209">
        <v>27</v>
      </c>
      <c r="C36" s="139" t="s">
        <v>1344</v>
      </c>
      <c r="D36" s="132"/>
      <c r="E36" s="132">
        <v>428389</v>
      </c>
      <c r="F36" s="139">
        <f t="shared" si="1"/>
        <v>428389</v>
      </c>
      <c r="G36" s="447">
        <f t="shared" si="0"/>
        <v>0</v>
      </c>
      <c r="H36" s="61"/>
      <c r="I36" s="201"/>
      <c r="J36" s="1280"/>
    </row>
    <row r="37" spans="2:10" ht="12.75">
      <c r="B37" s="209">
        <v>28</v>
      </c>
      <c r="C37" s="139" t="s">
        <v>1739</v>
      </c>
      <c r="D37" s="132"/>
      <c r="E37" s="132">
        <v>351279</v>
      </c>
      <c r="F37" s="139">
        <f t="shared" si="1"/>
        <v>351279</v>
      </c>
      <c r="G37" s="447">
        <f t="shared" si="0"/>
        <v>0</v>
      </c>
      <c r="H37" s="61"/>
      <c r="I37" s="201"/>
      <c r="J37" s="1280"/>
    </row>
    <row r="38" spans="2:10" ht="12.75">
      <c r="B38" s="209">
        <v>29</v>
      </c>
      <c r="C38" s="139" t="s">
        <v>1339</v>
      </c>
      <c r="D38" s="132"/>
      <c r="E38" s="132">
        <v>277012</v>
      </c>
      <c r="F38" s="139">
        <v>262800</v>
      </c>
      <c r="G38" s="447">
        <f t="shared" si="0"/>
        <v>14212</v>
      </c>
      <c r="H38" s="61"/>
      <c r="I38" s="201"/>
      <c r="J38" s="1280"/>
    </row>
    <row r="39" spans="2:10" ht="12.75">
      <c r="B39" s="209">
        <v>30</v>
      </c>
      <c r="C39" s="139" t="s">
        <v>1340</v>
      </c>
      <c r="D39" s="132"/>
      <c r="E39" s="132">
        <v>14340</v>
      </c>
      <c r="F39" s="139">
        <f t="shared" si="1"/>
        <v>14340</v>
      </c>
      <c r="G39" s="447">
        <f t="shared" si="0"/>
        <v>0</v>
      </c>
      <c r="H39" s="61"/>
      <c r="I39" s="201"/>
      <c r="J39" s="1280"/>
    </row>
    <row r="40" spans="2:10" ht="12.75">
      <c r="B40" s="209">
        <v>31</v>
      </c>
      <c r="C40" s="139" t="s">
        <v>1341</v>
      </c>
      <c r="D40" s="132"/>
      <c r="E40" s="132">
        <v>1157022</v>
      </c>
      <c r="F40" s="139">
        <v>711061</v>
      </c>
      <c r="G40" s="447">
        <f t="shared" si="0"/>
        <v>445961</v>
      </c>
      <c r="H40" s="61"/>
      <c r="I40" s="201"/>
      <c r="J40" s="1280"/>
    </row>
    <row r="41" spans="2:10" ht="12.75">
      <c r="B41" s="209">
        <v>32</v>
      </c>
      <c r="C41" s="139" t="s">
        <v>1345</v>
      </c>
      <c r="D41" s="132"/>
      <c r="E41" s="132">
        <v>1658769</v>
      </c>
      <c r="F41" s="139">
        <v>1416714</v>
      </c>
      <c r="G41" s="447">
        <f t="shared" si="0"/>
        <v>242055</v>
      </c>
      <c r="H41" s="61"/>
      <c r="I41" s="201"/>
      <c r="J41" s="1280"/>
    </row>
    <row r="42" spans="2:10" ht="12.75">
      <c r="B42" s="209">
        <v>33</v>
      </c>
      <c r="C42" s="139" t="s">
        <v>1346</v>
      </c>
      <c r="D42" s="132"/>
      <c r="E42" s="132">
        <v>343879</v>
      </c>
      <c r="F42" s="139">
        <f t="shared" si="1"/>
        <v>343879</v>
      </c>
      <c r="G42" s="447">
        <f t="shared" si="0"/>
        <v>0</v>
      </c>
      <c r="H42" s="61"/>
      <c r="I42" s="201"/>
      <c r="J42" s="1280"/>
    </row>
    <row r="43" spans="2:10" ht="12.75">
      <c r="B43" s="209">
        <v>34</v>
      </c>
      <c r="C43" s="139" t="s">
        <v>1347</v>
      </c>
      <c r="D43" s="132"/>
      <c r="E43" s="132">
        <v>2745999</v>
      </c>
      <c r="F43" s="139">
        <f t="shared" si="1"/>
        <v>2745999</v>
      </c>
      <c r="G43" s="447">
        <f t="shared" si="0"/>
        <v>0</v>
      </c>
      <c r="H43" s="61"/>
      <c r="I43" s="201"/>
      <c r="J43" s="1280"/>
    </row>
    <row r="44" spans="2:10" ht="12.75">
      <c r="B44" s="209">
        <v>35</v>
      </c>
      <c r="C44" s="139" t="s">
        <v>1348</v>
      </c>
      <c r="D44" s="132"/>
      <c r="E44" s="132">
        <v>1578913</v>
      </c>
      <c r="F44" s="139">
        <f t="shared" si="1"/>
        <v>1578913</v>
      </c>
      <c r="G44" s="447">
        <f t="shared" si="0"/>
        <v>0</v>
      </c>
      <c r="H44" s="61"/>
      <c r="I44" s="201"/>
      <c r="J44" s="1280"/>
    </row>
    <row r="45" spans="2:10" ht="12.75">
      <c r="B45" s="209">
        <v>36</v>
      </c>
      <c r="C45" s="139" t="s">
        <v>1342</v>
      </c>
      <c r="D45" s="132"/>
      <c r="E45" s="132">
        <v>1235745</v>
      </c>
      <c r="F45" s="139">
        <v>687225</v>
      </c>
      <c r="G45" s="447">
        <f t="shared" si="0"/>
        <v>548520</v>
      </c>
      <c r="H45" s="61"/>
      <c r="I45" s="201"/>
      <c r="J45" s="1280"/>
    </row>
    <row r="46" spans="2:10" ht="12.75">
      <c r="B46" s="209">
        <v>37</v>
      </c>
      <c r="C46" s="139" t="s">
        <v>1212</v>
      </c>
      <c r="D46" s="132"/>
      <c r="E46" s="132">
        <v>68554</v>
      </c>
      <c r="F46" s="139">
        <f t="shared" si="1"/>
        <v>68554</v>
      </c>
      <c r="G46" s="447">
        <f t="shared" si="0"/>
        <v>0</v>
      </c>
      <c r="H46" s="61"/>
      <c r="I46" s="201"/>
      <c r="J46" s="1280"/>
    </row>
    <row r="47" spans="2:10" ht="12.75">
      <c r="B47" s="209">
        <v>38</v>
      </c>
      <c r="C47" s="139" t="s">
        <v>1126</v>
      </c>
      <c r="D47" s="132"/>
      <c r="E47" s="132">
        <v>250500</v>
      </c>
      <c r="F47" s="139">
        <f t="shared" si="1"/>
        <v>250500</v>
      </c>
      <c r="G47" s="447">
        <f t="shared" si="0"/>
        <v>0</v>
      </c>
      <c r="H47" s="61"/>
      <c r="I47" s="201"/>
      <c r="J47" s="1280"/>
    </row>
    <row r="48" spans="2:10" ht="12.75">
      <c r="B48" s="209">
        <v>39</v>
      </c>
      <c r="C48" s="139" t="s">
        <v>1740</v>
      </c>
      <c r="D48" s="132"/>
      <c r="E48" s="132">
        <v>934999</v>
      </c>
      <c r="F48" s="139">
        <f t="shared" si="1"/>
        <v>934999</v>
      </c>
      <c r="G48" s="447">
        <f t="shared" si="0"/>
        <v>0</v>
      </c>
      <c r="H48" s="61"/>
      <c r="I48" s="201"/>
      <c r="J48" s="1280"/>
    </row>
    <row r="49" spans="2:10" ht="12.75">
      <c r="B49" s="209">
        <v>40</v>
      </c>
      <c r="C49" s="139" t="s">
        <v>1349</v>
      </c>
      <c r="D49" s="132"/>
      <c r="E49" s="132">
        <v>2821037</v>
      </c>
      <c r="F49" s="139">
        <v>2821037</v>
      </c>
      <c r="G49" s="447">
        <f t="shared" si="0"/>
        <v>0</v>
      </c>
      <c r="H49" s="61"/>
      <c r="I49" s="201"/>
      <c r="J49" s="1280"/>
    </row>
    <row r="50" spans="2:10" ht="13.5" thickBot="1">
      <c r="B50" s="209">
        <v>41</v>
      </c>
      <c r="C50" s="139" t="s">
        <v>1741</v>
      </c>
      <c r="D50" s="132"/>
      <c r="E50" s="132">
        <v>40000</v>
      </c>
      <c r="F50" s="139">
        <f t="shared" si="1"/>
        <v>40000</v>
      </c>
      <c r="G50" s="447">
        <f t="shared" si="0"/>
        <v>0</v>
      </c>
      <c r="H50" s="61"/>
      <c r="I50" s="201"/>
      <c r="J50" s="1280"/>
    </row>
    <row r="51" spans="2:10" ht="12.75">
      <c r="B51" s="209">
        <v>42</v>
      </c>
      <c r="C51" s="139" t="s">
        <v>390</v>
      </c>
      <c r="D51" s="208">
        <v>3577824</v>
      </c>
      <c r="E51" s="132">
        <v>60686495</v>
      </c>
      <c r="F51" s="139">
        <f>+D51+E51</f>
        <v>64264319</v>
      </c>
      <c r="G51" s="447">
        <f t="shared" si="0"/>
        <v>0</v>
      </c>
      <c r="H51" s="61"/>
      <c r="I51" s="201"/>
      <c r="J51" s="1280"/>
    </row>
    <row r="52" spans="2:10" ht="12.75">
      <c r="B52" s="209">
        <v>43</v>
      </c>
      <c r="C52" s="139" t="s">
        <v>1343</v>
      </c>
      <c r="D52" s="132"/>
      <c r="E52" s="132">
        <v>330040</v>
      </c>
      <c r="F52" s="139">
        <f t="shared" si="1"/>
        <v>330040</v>
      </c>
      <c r="G52" s="447">
        <f t="shared" si="0"/>
        <v>0</v>
      </c>
      <c r="H52" s="61"/>
      <c r="I52" s="201"/>
      <c r="J52" s="1280"/>
    </row>
    <row r="53" spans="2:10" ht="12.75">
      <c r="B53" s="209">
        <v>44</v>
      </c>
      <c r="C53" s="139" t="s">
        <v>1281</v>
      </c>
      <c r="D53" s="132"/>
      <c r="E53" s="132">
        <v>146737</v>
      </c>
      <c r="F53" s="139">
        <v>114777</v>
      </c>
      <c r="G53" s="447">
        <f>D53+E53-F53</f>
        <v>31960</v>
      </c>
      <c r="H53" s="61"/>
      <c r="I53" s="201"/>
      <c r="J53" s="1280"/>
    </row>
    <row r="54" spans="2:10" ht="12.75">
      <c r="B54" s="209">
        <v>45</v>
      </c>
      <c r="C54" s="139" t="s">
        <v>1161</v>
      </c>
      <c r="D54" s="132"/>
      <c r="E54" s="132">
        <v>1327921</v>
      </c>
      <c r="F54" s="139">
        <v>702058</v>
      </c>
      <c r="G54" s="447">
        <f t="shared" si="0"/>
        <v>625863</v>
      </c>
      <c r="H54" s="61"/>
      <c r="I54" s="201"/>
      <c r="J54" s="1280"/>
    </row>
    <row r="55" spans="2:10" ht="12.75">
      <c r="B55" s="209">
        <v>46</v>
      </c>
      <c r="C55" s="139" t="s">
        <v>1742</v>
      </c>
      <c r="D55" s="132"/>
      <c r="E55" s="132">
        <v>2000000</v>
      </c>
      <c r="F55" s="139">
        <f t="shared" si="1"/>
        <v>2000000</v>
      </c>
      <c r="G55" s="447">
        <f t="shared" si="0"/>
        <v>0</v>
      </c>
      <c r="H55" s="61"/>
      <c r="I55" s="201"/>
      <c r="J55" s="1280"/>
    </row>
    <row r="56" spans="2:10" ht="12.75">
      <c r="B56" s="209">
        <v>47</v>
      </c>
      <c r="C56" s="139" t="s">
        <v>1743</v>
      </c>
      <c r="D56" s="132"/>
      <c r="E56" s="132">
        <v>18000</v>
      </c>
      <c r="F56" s="139">
        <f t="shared" si="1"/>
        <v>18000</v>
      </c>
      <c r="G56" s="447">
        <f t="shared" si="0"/>
        <v>0</v>
      </c>
      <c r="H56" s="61"/>
      <c r="I56" s="201"/>
      <c r="J56" s="1280"/>
    </row>
    <row r="57" spans="2:10" ht="12.75">
      <c r="B57" s="209">
        <v>48</v>
      </c>
      <c r="C57" s="139" t="s">
        <v>1744</v>
      </c>
      <c r="D57" s="132"/>
      <c r="E57" s="132">
        <v>528000</v>
      </c>
      <c r="F57" s="139">
        <v>528000</v>
      </c>
      <c r="G57" s="447">
        <f t="shared" si="0"/>
        <v>0</v>
      </c>
      <c r="H57" s="61"/>
      <c r="I57" s="201"/>
      <c r="J57" s="1280"/>
    </row>
    <row r="58" spans="2:10" ht="12.75">
      <c r="B58" s="209">
        <v>49</v>
      </c>
      <c r="C58" s="139" t="s">
        <v>1350</v>
      </c>
      <c r="D58" s="132"/>
      <c r="E58" s="132">
        <v>2415532</v>
      </c>
      <c r="F58" s="139">
        <v>2192388</v>
      </c>
      <c r="G58" s="447">
        <f t="shared" si="0"/>
        <v>223144</v>
      </c>
      <c r="H58" s="61"/>
      <c r="I58" s="201"/>
      <c r="J58" s="1280"/>
    </row>
    <row r="59" spans="2:10" ht="12.75">
      <c r="B59" s="209">
        <v>50</v>
      </c>
      <c r="C59" s="139" t="s">
        <v>1745</v>
      </c>
      <c r="D59" s="132"/>
      <c r="E59" s="132">
        <v>10680</v>
      </c>
      <c r="F59" s="139">
        <f t="shared" si="1"/>
        <v>10680</v>
      </c>
      <c r="G59" s="447">
        <f t="shared" si="0"/>
        <v>0</v>
      </c>
      <c r="H59" s="61"/>
      <c r="I59" s="201"/>
      <c r="J59" s="1280"/>
    </row>
    <row r="60" spans="2:10" ht="12.75">
      <c r="B60" s="209">
        <v>51</v>
      </c>
      <c r="C60" s="139" t="s">
        <v>1351</v>
      </c>
      <c r="D60" s="132"/>
      <c r="E60" s="132">
        <v>93500</v>
      </c>
      <c r="F60" s="139">
        <f t="shared" si="1"/>
        <v>93500</v>
      </c>
      <c r="G60" s="447">
        <f t="shared" si="0"/>
        <v>0</v>
      </c>
      <c r="H60" s="61"/>
      <c r="I60" s="201"/>
      <c r="J60" s="1280"/>
    </row>
    <row r="61" spans="2:10" ht="12.75">
      <c r="B61" s="209">
        <v>52</v>
      </c>
      <c r="C61" s="139" t="s">
        <v>1352</v>
      </c>
      <c r="D61" s="132"/>
      <c r="E61" s="132">
        <v>127726</v>
      </c>
      <c r="F61" s="139">
        <f t="shared" si="1"/>
        <v>127726</v>
      </c>
      <c r="G61" s="447">
        <f t="shared" si="0"/>
        <v>0</v>
      </c>
      <c r="H61" s="61"/>
      <c r="I61" s="201"/>
      <c r="J61" s="1280"/>
    </row>
    <row r="62" spans="2:10" ht="12.75">
      <c r="B62" s="209">
        <v>53</v>
      </c>
      <c r="C62" s="139" t="s">
        <v>1163</v>
      </c>
      <c r="D62" s="132"/>
      <c r="E62" s="132">
        <v>177400</v>
      </c>
      <c r="F62" s="139">
        <f t="shared" si="1"/>
        <v>177400</v>
      </c>
      <c r="G62" s="447">
        <f t="shared" si="0"/>
        <v>0</v>
      </c>
      <c r="H62" s="61"/>
      <c r="I62" s="201"/>
      <c r="J62" s="1280"/>
    </row>
    <row r="63" spans="2:10" ht="12.75">
      <c r="B63" s="209">
        <v>54</v>
      </c>
      <c r="C63" s="139" t="s">
        <v>1101</v>
      </c>
      <c r="D63" s="210"/>
      <c r="E63" s="210">
        <v>256850</v>
      </c>
      <c r="F63" s="139">
        <f t="shared" si="1"/>
        <v>256850</v>
      </c>
      <c r="G63" s="447">
        <f t="shared" si="0"/>
        <v>0</v>
      </c>
      <c r="H63" s="61"/>
      <c r="I63" s="201"/>
      <c r="J63" s="1280"/>
    </row>
    <row r="64" spans="2:10" ht="12.75">
      <c r="B64" s="209">
        <v>55</v>
      </c>
      <c r="C64" s="139" t="s">
        <v>1131</v>
      </c>
      <c r="D64" s="210"/>
      <c r="E64" s="210">
        <v>335800</v>
      </c>
      <c r="F64" s="139">
        <f t="shared" si="1"/>
        <v>335800</v>
      </c>
      <c r="G64" s="447">
        <f t="shared" si="0"/>
        <v>0</v>
      </c>
      <c r="H64" s="61"/>
      <c r="I64" s="201"/>
      <c r="J64" s="1280"/>
    </row>
    <row r="65" spans="2:10" ht="12.75">
      <c r="B65" s="209">
        <v>56</v>
      </c>
      <c r="C65" s="139" t="s">
        <v>1746</v>
      </c>
      <c r="D65" s="210"/>
      <c r="E65" s="210">
        <v>239360</v>
      </c>
      <c r="F65" s="139">
        <f t="shared" si="1"/>
        <v>239360</v>
      </c>
      <c r="G65" s="447">
        <f t="shared" si="0"/>
        <v>0</v>
      </c>
      <c r="H65" s="61"/>
      <c r="I65" s="201"/>
      <c r="J65" s="1280"/>
    </row>
    <row r="66" spans="2:10" ht="12.75">
      <c r="B66" s="209">
        <v>57</v>
      </c>
      <c r="C66" s="139" t="s">
        <v>1747</v>
      </c>
      <c r="D66" s="210"/>
      <c r="E66" s="210">
        <v>106590</v>
      </c>
      <c r="F66" s="139">
        <f t="shared" si="1"/>
        <v>106590</v>
      </c>
      <c r="G66" s="447">
        <f t="shared" si="0"/>
        <v>0</v>
      </c>
      <c r="H66" s="61"/>
      <c r="I66" s="201"/>
      <c r="J66" s="1280"/>
    </row>
    <row r="67" spans="2:10" ht="12.75">
      <c r="B67" s="209">
        <v>58</v>
      </c>
      <c r="C67" s="139" t="s">
        <v>1353</v>
      </c>
      <c r="D67" s="210"/>
      <c r="E67" s="210">
        <v>434049</v>
      </c>
      <c r="F67" s="139">
        <v>103109</v>
      </c>
      <c r="G67" s="447">
        <f t="shared" si="0"/>
        <v>330940</v>
      </c>
      <c r="H67" s="61"/>
      <c r="I67" s="201"/>
      <c r="J67" s="1280"/>
    </row>
    <row r="68" spans="2:10" ht="12.75">
      <c r="B68" s="209">
        <v>59</v>
      </c>
      <c r="C68" s="139" t="s">
        <v>1748</v>
      </c>
      <c r="D68" s="210"/>
      <c r="E68" s="210">
        <v>359920</v>
      </c>
      <c r="F68" s="139">
        <v>244000</v>
      </c>
      <c r="G68" s="447">
        <f t="shared" si="0"/>
        <v>115920</v>
      </c>
      <c r="H68" s="61"/>
      <c r="I68" s="201"/>
      <c r="J68" s="1280"/>
    </row>
    <row r="69" spans="2:10" ht="12.75">
      <c r="B69" s="209">
        <v>60</v>
      </c>
      <c r="C69" s="139" t="s">
        <v>1354</v>
      </c>
      <c r="D69" s="210"/>
      <c r="E69" s="210">
        <v>1169887</v>
      </c>
      <c r="F69" s="139">
        <f t="shared" si="1"/>
        <v>1169887</v>
      </c>
      <c r="G69" s="447">
        <f t="shared" si="0"/>
        <v>0</v>
      </c>
      <c r="H69" s="61"/>
      <c r="I69" s="201"/>
      <c r="J69" s="1280"/>
    </row>
    <row r="70" spans="2:10" ht="12.75">
      <c r="B70" s="209">
        <v>61</v>
      </c>
      <c r="C70" s="139" t="s">
        <v>1355</v>
      </c>
      <c r="D70" s="210"/>
      <c r="E70" s="210">
        <v>29300</v>
      </c>
      <c r="F70" s="139">
        <f t="shared" si="1"/>
        <v>29300</v>
      </c>
      <c r="G70" s="447">
        <f t="shared" si="0"/>
        <v>0</v>
      </c>
      <c r="H70" s="61"/>
      <c r="I70" s="201"/>
      <c r="J70" s="1280"/>
    </row>
    <row r="71" spans="2:10" ht="12.75">
      <c r="B71" s="209">
        <v>62</v>
      </c>
      <c r="C71" s="139" t="s">
        <v>1356</v>
      </c>
      <c r="D71" s="210"/>
      <c r="E71" s="210">
        <v>622140</v>
      </c>
      <c r="F71" s="139">
        <f t="shared" si="1"/>
        <v>622140</v>
      </c>
      <c r="G71" s="447">
        <f t="shared" si="0"/>
        <v>0</v>
      </c>
      <c r="H71" s="61"/>
      <c r="I71" s="201"/>
      <c r="J71" s="1280"/>
    </row>
    <row r="72" spans="2:10" ht="12.75">
      <c r="B72" s="209">
        <v>63</v>
      </c>
      <c r="C72" s="141" t="s">
        <v>1196</v>
      </c>
      <c r="D72" s="210"/>
      <c r="E72" s="210">
        <v>99530</v>
      </c>
      <c r="F72" s="139">
        <f t="shared" si="1"/>
        <v>99530</v>
      </c>
      <c r="G72" s="447">
        <f t="shared" si="0"/>
        <v>0</v>
      </c>
      <c r="H72" s="61"/>
      <c r="I72" s="201"/>
      <c r="J72" s="1280"/>
    </row>
    <row r="73" spans="2:10" ht="12.75">
      <c r="B73" s="209">
        <v>64</v>
      </c>
      <c r="C73" s="141" t="s">
        <v>1749</v>
      </c>
      <c r="D73" s="210"/>
      <c r="E73" s="210">
        <v>11409</v>
      </c>
      <c r="F73" s="139">
        <f t="shared" si="1"/>
        <v>11409</v>
      </c>
      <c r="G73" s="447">
        <f t="shared" si="0"/>
        <v>0</v>
      </c>
      <c r="H73" s="61"/>
      <c r="I73" s="201"/>
      <c r="J73" s="1280"/>
    </row>
    <row r="74" spans="2:10" ht="12.75">
      <c r="B74" s="209">
        <v>65</v>
      </c>
      <c r="C74" s="141" t="s">
        <v>1357</v>
      </c>
      <c r="D74" s="210"/>
      <c r="E74" s="210">
        <v>1114011</v>
      </c>
      <c r="F74" s="139">
        <v>1087118</v>
      </c>
      <c r="G74" s="447">
        <f t="shared" si="0"/>
        <v>26893</v>
      </c>
      <c r="H74" s="61"/>
      <c r="I74" s="201"/>
      <c r="J74" s="1280"/>
    </row>
    <row r="75" spans="2:10" ht="12.75">
      <c r="B75" s="209">
        <v>66</v>
      </c>
      <c r="C75" s="139" t="s">
        <v>1235</v>
      </c>
      <c r="D75" s="210"/>
      <c r="E75" s="210">
        <v>16000</v>
      </c>
      <c r="F75" s="139">
        <f t="shared" si="1"/>
        <v>16000</v>
      </c>
      <c r="G75" s="447">
        <f aca="true" t="shared" si="2" ref="G75:G90">D75+E75-F75</f>
        <v>0</v>
      </c>
      <c r="H75" s="61"/>
      <c r="I75" s="201"/>
      <c r="J75" s="1280"/>
    </row>
    <row r="76" spans="2:10" ht="12.75">
      <c r="B76" s="209">
        <v>67</v>
      </c>
      <c r="C76" s="139" t="s">
        <v>1185</v>
      </c>
      <c r="D76" s="210"/>
      <c r="E76" s="210">
        <v>132800</v>
      </c>
      <c r="F76" s="139">
        <f aca="true" t="shared" si="3" ref="F76:F90">E76</f>
        <v>132800</v>
      </c>
      <c r="G76" s="447">
        <f t="shared" si="2"/>
        <v>0</v>
      </c>
      <c r="H76" s="61"/>
      <c r="I76" s="201"/>
      <c r="J76" s="1280"/>
    </row>
    <row r="77" spans="2:10" ht="12.75">
      <c r="B77" s="209">
        <v>68</v>
      </c>
      <c r="C77" s="139" t="s">
        <v>1750</v>
      </c>
      <c r="D77" s="210"/>
      <c r="E77" s="210">
        <v>200047</v>
      </c>
      <c r="F77" s="139">
        <f t="shared" si="3"/>
        <v>200047</v>
      </c>
      <c r="G77" s="447">
        <f t="shared" si="2"/>
        <v>0</v>
      </c>
      <c r="H77" s="61"/>
      <c r="I77" s="201"/>
      <c r="J77" s="1280"/>
    </row>
    <row r="78" spans="2:10" ht="12.75">
      <c r="B78" s="209">
        <v>69</v>
      </c>
      <c r="C78" s="139" t="s">
        <v>1751</v>
      </c>
      <c r="D78" s="210"/>
      <c r="E78" s="210"/>
      <c r="F78" s="139">
        <f t="shared" si="3"/>
        <v>0</v>
      </c>
      <c r="G78" s="447">
        <f t="shared" si="2"/>
        <v>0</v>
      </c>
      <c r="H78" s="61"/>
      <c r="I78" s="201"/>
      <c r="J78" s="1280"/>
    </row>
    <row r="79" spans="2:10" ht="12.75">
      <c r="B79" s="209">
        <v>70</v>
      </c>
      <c r="C79" s="139" t="s">
        <v>1752</v>
      </c>
      <c r="D79" s="210"/>
      <c r="E79" s="210">
        <v>739584</v>
      </c>
      <c r="F79" s="139">
        <f t="shared" si="3"/>
        <v>739584</v>
      </c>
      <c r="G79" s="447">
        <f t="shared" si="2"/>
        <v>0</v>
      </c>
      <c r="H79" s="61"/>
      <c r="I79" s="201"/>
      <c r="J79" s="1280"/>
    </row>
    <row r="80" spans="2:10" ht="12.75">
      <c r="B80" s="209">
        <v>71</v>
      </c>
      <c r="C80" s="146" t="s">
        <v>1753</v>
      </c>
      <c r="D80" s="210"/>
      <c r="E80" s="210">
        <v>80100</v>
      </c>
      <c r="F80" s="139">
        <f t="shared" si="3"/>
        <v>80100</v>
      </c>
      <c r="G80" s="447">
        <f t="shared" si="2"/>
        <v>0</v>
      </c>
      <c r="H80" s="61"/>
      <c r="I80" s="201"/>
      <c r="J80" s="1280"/>
    </row>
    <row r="81" spans="2:10" ht="12.75">
      <c r="B81" s="209">
        <v>72</v>
      </c>
      <c r="C81" s="139" t="s">
        <v>1754</v>
      </c>
      <c r="D81" s="210"/>
      <c r="E81" s="210">
        <v>0</v>
      </c>
      <c r="F81" s="139">
        <f t="shared" si="3"/>
        <v>0</v>
      </c>
      <c r="G81" s="447">
        <f t="shared" si="2"/>
        <v>0</v>
      </c>
      <c r="H81" s="61"/>
      <c r="I81" s="201"/>
      <c r="J81" s="1280"/>
    </row>
    <row r="82" spans="2:10" ht="12.75">
      <c r="B82" s="209">
        <v>73</v>
      </c>
      <c r="C82" s="139" t="s">
        <v>1108</v>
      </c>
      <c r="D82" s="210"/>
      <c r="E82" s="210">
        <v>1799478</v>
      </c>
      <c r="F82" s="139">
        <f t="shared" si="3"/>
        <v>1799478</v>
      </c>
      <c r="G82" s="447">
        <f t="shared" si="2"/>
        <v>0</v>
      </c>
      <c r="H82" s="61"/>
      <c r="I82" s="201"/>
      <c r="J82" s="1280"/>
    </row>
    <row r="83" spans="2:10" ht="12.75">
      <c r="B83" s="209">
        <v>74</v>
      </c>
      <c r="C83" s="139" t="s">
        <v>1755</v>
      </c>
      <c r="D83" s="210"/>
      <c r="E83" s="210">
        <v>56700</v>
      </c>
      <c r="F83" s="139">
        <f t="shared" si="3"/>
        <v>56700</v>
      </c>
      <c r="G83" s="447">
        <f t="shared" si="2"/>
        <v>0</v>
      </c>
      <c r="H83" s="61"/>
      <c r="I83" s="201"/>
      <c r="J83" s="1280"/>
    </row>
    <row r="84" spans="2:10" ht="12.75">
      <c r="B84" s="209">
        <v>75</v>
      </c>
      <c r="C84" s="146" t="s">
        <v>1756</v>
      </c>
      <c r="D84" s="210"/>
      <c r="E84" s="210">
        <v>341887</v>
      </c>
      <c r="F84" s="139">
        <f t="shared" si="3"/>
        <v>341887</v>
      </c>
      <c r="G84" s="447">
        <f t="shared" si="2"/>
        <v>0</v>
      </c>
      <c r="H84" s="61"/>
      <c r="I84" s="201"/>
      <c r="J84" s="1280"/>
    </row>
    <row r="85" spans="2:10" ht="12.75">
      <c r="B85" s="209">
        <v>76</v>
      </c>
      <c r="C85" s="146" t="s">
        <v>1757</v>
      </c>
      <c r="D85" s="210"/>
      <c r="E85" s="210">
        <v>0</v>
      </c>
      <c r="F85" s="139">
        <f t="shared" si="3"/>
        <v>0</v>
      </c>
      <c r="G85" s="447">
        <f t="shared" si="2"/>
        <v>0</v>
      </c>
      <c r="H85" s="61"/>
      <c r="I85" s="201"/>
      <c r="J85" s="1280"/>
    </row>
    <row r="86" spans="2:10" ht="12.75">
      <c r="B86" s="209">
        <v>77</v>
      </c>
      <c r="C86" s="139" t="s">
        <v>1623</v>
      </c>
      <c r="D86" s="210"/>
      <c r="E86" s="210">
        <v>13299825</v>
      </c>
      <c r="F86" s="139">
        <f t="shared" si="3"/>
        <v>13299825</v>
      </c>
      <c r="G86" s="447">
        <f t="shared" si="2"/>
        <v>0</v>
      </c>
      <c r="H86" s="61"/>
      <c r="I86" s="201"/>
      <c r="J86" s="1280"/>
    </row>
    <row r="87" spans="2:10" ht="12.75">
      <c r="B87" s="209">
        <v>78</v>
      </c>
      <c r="C87" s="139" t="s">
        <v>1106</v>
      </c>
      <c r="D87" s="210"/>
      <c r="E87" s="210">
        <v>44040</v>
      </c>
      <c r="F87" s="139">
        <f t="shared" si="3"/>
        <v>44040</v>
      </c>
      <c r="G87" s="447">
        <f t="shared" si="2"/>
        <v>0</v>
      </c>
      <c r="H87" s="61"/>
      <c r="I87" s="201"/>
      <c r="J87" s="1280"/>
    </row>
    <row r="88" spans="2:10" ht="12.75">
      <c r="B88" s="209">
        <v>79</v>
      </c>
      <c r="C88" s="139" t="s">
        <v>1758</v>
      </c>
      <c r="D88" s="210"/>
      <c r="E88" s="210">
        <v>0</v>
      </c>
      <c r="F88" s="139">
        <f t="shared" si="3"/>
        <v>0</v>
      </c>
      <c r="G88" s="447">
        <f t="shared" si="2"/>
        <v>0</v>
      </c>
      <c r="H88" s="61"/>
      <c r="I88" s="201"/>
      <c r="J88" s="1280"/>
    </row>
    <row r="89" spans="2:10" ht="12.75">
      <c r="B89" s="209">
        <v>80</v>
      </c>
      <c r="C89" s="139" t="s">
        <v>1358</v>
      </c>
      <c r="D89" s="210"/>
      <c r="E89" s="210">
        <v>75000</v>
      </c>
      <c r="F89" s="139">
        <f t="shared" si="3"/>
        <v>75000</v>
      </c>
      <c r="G89" s="447">
        <f t="shared" si="2"/>
        <v>0</v>
      </c>
      <c r="H89" s="61"/>
      <c r="I89" s="201"/>
      <c r="J89" s="1280"/>
    </row>
    <row r="90" spans="2:10" ht="12.75">
      <c r="B90" s="209">
        <v>81</v>
      </c>
      <c r="C90" s="146" t="s">
        <v>1455</v>
      </c>
      <c r="D90" s="210"/>
      <c r="E90" s="210">
        <v>173490</v>
      </c>
      <c r="F90" s="139">
        <f t="shared" si="3"/>
        <v>173490</v>
      </c>
      <c r="G90" s="447">
        <f t="shared" si="2"/>
        <v>0</v>
      </c>
      <c r="H90" s="61"/>
      <c r="I90" s="201"/>
      <c r="J90" s="1280"/>
    </row>
    <row r="91" spans="2:9" ht="13.5" thickBot="1">
      <c r="B91" s="1356" t="s">
        <v>389</v>
      </c>
      <c r="C91" s="1357"/>
      <c r="D91" s="446">
        <f>SUM(D10:D90)</f>
        <v>3577824</v>
      </c>
      <c r="E91" s="446">
        <f>SUM(E10:E90)</f>
        <v>136442069.64</v>
      </c>
      <c r="F91" s="446">
        <f>SUM(F10:F90)</f>
        <v>133637744.64</v>
      </c>
      <c r="G91" s="446">
        <f>SUM(G10:G90)</f>
        <v>6382149</v>
      </c>
      <c r="H91" s="61"/>
      <c r="I91" s="201"/>
    </row>
    <row r="92" spans="2:9" ht="13.5" thickBot="1">
      <c r="B92" s="216"/>
      <c r="C92" s="61"/>
      <c r="D92" s="61"/>
      <c r="E92" s="1278"/>
      <c r="F92" s="61"/>
      <c r="G92" s="214"/>
      <c r="H92" s="61"/>
      <c r="I92" s="201"/>
    </row>
    <row r="93" spans="2:9" ht="13.5" thickBot="1">
      <c r="B93" s="216"/>
      <c r="C93" s="61"/>
      <c r="D93" s="61"/>
      <c r="E93" s="1354" t="s">
        <v>164</v>
      </c>
      <c r="F93" s="1355"/>
      <c r="G93" s="221">
        <f>SUM(G91:G92)</f>
        <v>6382149</v>
      </c>
      <c r="H93" s="61"/>
      <c r="I93" s="201"/>
    </row>
    <row r="94" spans="2:9" ht="13.5" thickBot="1">
      <c r="B94" s="217"/>
      <c r="C94" s="218"/>
      <c r="D94" s="218"/>
      <c r="E94" s="218"/>
      <c r="F94" s="218"/>
      <c r="G94" s="219"/>
      <c r="H94" s="218"/>
      <c r="I94" s="220"/>
    </row>
    <row r="95" ht="12.75">
      <c r="E95" s="1071"/>
    </row>
    <row r="96" spans="5:7" ht="12.75">
      <c r="E96" s="1071"/>
      <c r="G96" s="215">
        <f>10194777-3812628</f>
        <v>6382149</v>
      </c>
    </row>
    <row r="99" ht="12.75">
      <c r="G99" s="1282">
        <f>G91-G96</f>
        <v>0</v>
      </c>
    </row>
  </sheetData>
  <sheetProtection/>
  <mergeCells count="9">
    <mergeCell ref="E93:F93"/>
    <mergeCell ref="C4:H4"/>
    <mergeCell ref="B91:C91"/>
    <mergeCell ref="B8:B9"/>
    <mergeCell ref="C8:C9"/>
    <mergeCell ref="D8:D9"/>
    <mergeCell ref="E8:E9"/>
    <mergeCell ref="F8:F9"/>
    <mergeCell ref="G8:G9"/>
  </mergeCells>
  <printOptions/>
  <pageMargins left="0.25" right="0.25" top="0.25" bottom="0.25" header="0.25" footer="0.2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J55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.00390625" style="0" customWidth="1"/>
    <col min="2" max="2" width="5.00390625" style="0" customWidth="1"/>
    <col min="3" max="3" width="21.00390625" style="0" customWidth="1"/>
    <col min="4" max="4" width="11.7109375" style="0" customWidth="1"/>
    <col min="5" max="5" width="11.8515625" style="0" customWidth="1"/>
    <col min="6" max="6" width="10.7109375" style="0" customWidth="1"/>
    <col min="7" max="7" width="14.8515625" style="0" customWidth="1"/>
    <col min="8" max="8" width="5.28125" style="0" customWidth="1"/>
    <col min="9" max="9" width="6.140625" style="0" customWidth="1"/>
    <col min="10" max="10" width="5.140625" style="0" customWidth="1"/>
    <col min="11" max="11" width="6.8515625" style="0" customWidth="1"/>
    <col min="12" max="12" width="5.57421875" style="0" customWidth="1"/>
  </cols>
  <sheetData>
    <row r="3" spans="2:8" ht="12.75">
      <c r="B3" s="2"/>
      <c r="C3" s="51"/>
      <c r="D3" s="51"/>
      <c r="E3" s="51"/>
      <c r="F3" s="51"/>
      <c r="G3" s="2"/>
      <c r="H3" s="2"/>
    </row>
    <row r="4" spans="2:8" ht="12.75">
      <c r="B4" s="54"/>
      <c r="C4" s="2" t="str">
        <f>'Kopertina '!F4</f>
        <v>FJORTES </v>
      </c>
      <c r="D4" s="2"/>
      <c r="E4" s="2"/>
      <c r="F4" s="2"/>
      <c r="G4" s="2"/>
      <c r="H4" s="2"/>
    </row>
    <row r="5" spans="2:10" ht="12.75">
      <c r="B5" s="1"/>
      <c r="C5" s="1"/>
      <c r="D5" s="1"/>
      <c r="E5" s="1"/>
      <c r="F5" s="1"/>
      <c r="G5" s="2"/>
      <c r="H5" s="2"/>
      <c r="I5" s="2"/>
      <c r="J5" s="2" t="s">
        <v>118</v>
      </c>
    </row>
    <row r="6" spans="2:8" ht="12.75">
      <c r="B6" s="1"/>
      <c r="C6" s="51" t="s">
        <v>147</v>
      </c>
      <c r="D6" s="51"/>
      <c r="E6" s="51"/>
      <c r="F6" s="51"/>
      <c r="G6" s="51"/>
      <c r="H6" s="51"/>
    </row>
    <row r="7" spans="2:9" ht="12.75">
      <c r="B7" s="1"/>
      <c r="C7" s="1"/>
      <c r="D7" s="1"/>
      <c r="E7" s="1"/>
      <c r="F7" s="1"/>
      <c r="G7" s="1"/>
      <c r="H7" s="2" t="s">
        <v>131</v>
      </c>
      <c r="I7" s="19">
        <f>'Kopertina '!F29</f>
        <v>2012</v>
      </c>
    </row>
    <row r="8" spans="2:8" ht="13.5" thickBot="1">
      <c r="B8" s="1"/>
      <c r="C8" s="1"/>
      <c r="D8" s="1"/>
      <c r="E8" s="1"/>
      <c r="F8" s="1"/>
      <c r="G8" s="1"/>
      <c r="H8" s="1"/>
    </row>
    <row r="9" spans="2:10" ht="13.5" thickBot="1">
      <c r="B9" s="16"/>
      <c r="C9" s="17"/>
      <c r="D9" s="17"/>
      <c r="E9" s="17"/>
      <c r="F9" s="17"/>
      <c r="G9" s="17"/>
      <c r="H9" s="17"/>
      <c r="I9" s="17"/>
      <c r="J9" s="18"/>
    </row>
    <row r="10" spans="2:10" ht="12.75">
      <c r="B10" s="5"/>
      <c r="C10" s="1363" t="s">
        <v>388</v>
      </c>
      <c r="D10" s="1363" t="s">
        <v>875</v>
      </c>
      <c r="E10" s="1363" t="s">
        <v>399</v>
      </c>
      <c r="F10" s="1365" t="s">
        <v>400</v>
      </c>
      <c r="G10" s="1363" t="s">
        <v>401</v>
      </c>
      <c r="H10" s="1"/>
      <c r="I10" s="1"/>
      <c r="J10" s="6"/>
    </row>
    <row r="11" spans="2:10" ht="13.5" thickBot="1">
      <c r="B11" s="5"/>
      <c r="C11" s="1364"/>
      <c r="D11" s="1364"/>
      <c r="E11" s="1364"/>
      <c r="F11" s="1366"/>
      <c r="G11" s="1364"/>
      <c r="H11" s="1"/>
      <c r="I11" s="1"/>
      <c r="J11" s="6"/>
    </row>
    <row r="12" spans="2:10" ht="12.75">
      <c r="B12" s="5"/>
      <c r="C12" s="448"/>
      <c r="D12" s="449"/>
      <c r="E12" s="449"/>
      <c r="F12" s="449"/>
      <c r="G12" s="332">
        <f>D12+E12-F12</f>
        <v>0</v>
      </c>
      <c r="H12" s="1"/>
      <c r="I12" s="1"/>
      <c r="J12" s="6"/>
    </row>
    <row r="13" spans="2:10" ht="12.75">
      <c r="B13" s="5"/>
      <c r="C13" s="450"/>
      <c r="D13" s="451"/>
      <c r="E13" s="451"/>
      <c r="F13" s="451"/>
      <c r="G13" s="455">
        <f aca="true" t="shared" si="0" ref="G13:G20">D13+E13-F13</f>
        <v>0</v>
      </c>
      <c r="H13" s="1"/>
      <c r="I13" s="1"/>
      <c r="J13" s="6"/>
    </row>
    <row r="14" spans="2:10" ht="12.75">
      <c r="B14" s="5"/>
      <c r="C14" s="450"/>
      <c r="D14" s="451"/>
      <c r="E14" s="451"/>
      <c r="F14" s="451"/>
      <c r="G14" s="455">
        <f t="shared" si="0"/>
        <v>0</v>
      </c>
      <c r="H14" s="1"/>
      <c r="I14" s="1"/>
      <c r="J14" s="6"/>
    </row>
    <row r="15" spans="2:10" ht="12.75">
      <c r="B15" s="5"/>
      <c r="C15" s="325"/>
      <c r="D15" s="83"/>
      <c r="E15" s="83"/>
      <c r="F15" s="83"/>
      <c r="G15" s="455">
        <f t="shared" si="0"/>
        <v>0</v>
      </c>
      <c r="H15" s="1"/>
      <c r="I15" s="1"/>
      <c r="J15" s="6"/>
    </row>
    <row r="16" spans="2:10" ht="12.75">
      <c r="B16" s="5"/>
      <c r="C16" s="325"/>
      <c r="D16" s="83"/>
      <c r="E16" s="83"/>
      <c r="F16" s="83"/>
      <c r="G16" s="455">
        <f t="shared" si="0"/>
        <v>0</v>
      </c>
      <c r="H16" s="1"/>
      <c r="I16" s="1"/>
      <c r="J16" s="6"/>
    </row>
    <row r="17" spans="2:10" ht="12.75">
      <c r="B17" s="5"/>
      <c r="C17" s="325"/>
      <c r="D17" s="83"/>
      <c r="E17" s="83"/>
      <c r="F17" s="83"/>
      <c r="G17" s="455">
        <f t="shared" si="0"/>
        <v>0</v>
      </c>
      <c r="H17" s="1"/>
      <c r="I17" s="1"/>
      <c r="J17" s="6"/>
    </row>
    <row r="18" spans="2:10" ht="12.75">
      <c r="B18" s="5"/>
      <c r="C18" s="325"/>
      <c r="D18" s="83"/>
      <c r="E18" s="83"/>
      <c r="F18" s="83"/>
      <c r="G18" s="455">
        <f t="shared" si="0"/>
        <v>0</v>
      </c>
      <c r="H18" s="1"/>
      <c r="I18" s="1"/>
      <c r="J18" s="6"/>
    </row>
    <row r="19" spans="2:10" ht="12.75">
      <c r="B19" s="5"/>
      <c r="C19" s="325"/>
      <c r="D19" s="83"/>
      <c r="E19" s="83"/>
      <c r="F19" s="83"/>
      <c r="G19" s="455">
        <f t="shared" si="0"/>
        <v>0</v>
      </c>
      <c r="H19" s="1"/>
      <c r="I19" s="1"/>
      <c r="J19" s="6"/>
    </row>
    <row r="20" spans="2:10" ht="12.75">
      <c r="B20" s="5"/>
      <c r="C20" s="325"/>
      <c r="D20" s="83"/>
      <c r="E20" s="83"/>
      <c r="F20" s="83"/>
      <c r="G20" s="455">
        <f t="shared" si="0"/>
        <v>0</v>
      </c>
      <c r="H20" s="1"/>
      <c r="I20" s="1"/>
      <c r="J20" s="6"/>
    </row>
    <row r="21" spans="2:10" ht="13.5" thickBot="1">
      <c r="B21" s="5"/>
      <c r="C21" s="456"/>
      <c r="D21" s="457"/>
      <c r="E21" s="457"/>
      <c r="F21" s="457"/>
      <c r="G21" s="458"/>
      <c r="H21" s="1"/>
      <c r="I21" s="1"/>
      <c r="J21" s="6"/>
    </row>
    <row r="22" spans="2:10" ht="13.5" thickBot="1">
      <c r="B22" s="5"/>
      <c r="C22" s="452" t="s">
        <v>164</v>
      </c>
      <c r="D22" s="453"/>
      <c r="E22" s="453"/>
      <c r="F22" s="453"/>
      <c r="G22" s="454">
        <f>SUM(G12:G21)</f>
        <v>0</v>
      </c>
      <c r="H22" s="1"/>
      <c r="I22" s="1"/>
      <c r="J22" s="6"/>
    </row>
    <row r="23" spans="2:10" ht="12.75">
      <c r="B23" s="5"/>
      <c r="C23" s="1"/>
      <c r="D23" s="1"/>
      <c r="E23" s="1"/>
      <c r="F23" s="1"/>
      <c r="G23" s="1"/>
      <c r="H23" s="1"/>
      <c r="I23" s="1"/>
      <c r="J23" s="6"/>
    </row>
    <row r="24" spans="2:10" ht="12.75">
      <c r="B24" s="5"/>
      <c r="C24" s="1"/>
      <c r="D24" s="1"/>
      <c r="E24" s="1"/>
      <c r="F24" s="1"/>
      <c r="G24" s="1"/>
      <c r="H24" s="1"/>
      <c r="I24" s="1"/>
      <c r="J24" s="6"/>
    </row>
    <row r="25" spans="2:10" ht="12.75">
      <c r="B25" s="5"/>
      <c r="C25" s="1"/>
      <c r="D25" s="1"/>
      <c r="E25" s="1"/>
      <c r="F25" s="1"/>
      <c r="G25" s="1"/>
      <c r="H25" s="1"/>
      <c r="I25" s="1"/>
      <c r="J25" s="6"/>
    </row>
    <row r="26" spans="2:10" ht="12.75">
      <c r="B26" s="5"/>
      <c r="C26" s="1"/>
      <c r="D26" s="1"/>
      <c r="E26" s="1"/>
      <c r="F26" s="1"/>
      <c r="G26" s="1"/>
      <c r="H26" s="1"/>
      <c r="I26" s="1"/>
      <c r="J26" s="6"/>
    </row>
    <row r="27" spans="2:10" ht="12.75">
      <c r="B27" s="5"/>
      <c r="C27" s="1"/>
      <c r="D27" s="1"/>
      <c r="E27" s="1"/>
      <c r="F27" s="1"/>
      <c r="G27" s="1"/>
      <c r="H27" s="1"/>
      <c r="I27" s="1"/>
      <c r="J27" s="6"/>
    </row>
    <row r="28" spans="2:10" ht="12.75">
      <c r="B28" s="5"/>
      <c r="C28" s="1"/>
      <c r="D28" s="1"/>
      <c r="E28" s="1"/>
      <c r="F28" s="1"/>
      <c r="G28" s="1"/>
      <c r="H28" s="1"/>
      <c r="I28" s="1"/>
      <c r="J28" s="6"/>
    </row>
    <row r="29" spans="2:10" ht="12.75">
      <c r="B29" s="5"/>
      <c r="C29" s="1"/>
      <c r="D29" s="1"/>
      <c r="E29" s="1"/>
      <c r="F29" s="1"/>
      <c r="G29" s="1"/>
      <c r="H29" s="1"/>
      <c r="I29" s="1"/>
      <c r="J29" s="6"/>
    </row>
    <row r="30" spans="2:10" ht="12.75">
      <c r="B30" s="5"/>
      <c r="C30" s="1"/>
      <c r="D30" s="1"/>
      <c r="E30" s="1"/>
      <c r="F30" s="1"/>
      <c r="G30" s="1"/>
      <c r="H30" s="1"/>
      <c r="I30" s="1"/>
      <c r="J30" s="6"/>
    </row>
    <row r="31" spans="2:10" ht="12.75">
      <c r="B31" s="5"/>
      <c r="C31" s="1"/>
      <c r="D31" s="1"/>
      <c r="E31" s="1"/>
      <c r="F31" s="1"/>
      <c r="G31" s="1"/>
      <c r="H31" s="1"/>
      <c r="I31" s="1"/>
      <c r="J31" s="6"/>
    </row>
    <row r="32" spans="2:10" ht="12.75">
      <c r="B32" s="5"/>
      <c r="C32" s="1"/>
      <c r="D32" s="1"/>
      <c r="E32" s="1"/>
      <c r="F32" s="1"/>
      <c r="G32" s="1"/>
      <c r="H32" s="1"/>
      <c r="I32" s="1"/>
      <c r="J32" s="6"/>
    </row>
    <row r="33" spans="2:10" ht="12.75">
      <c r="B33" s="5"/>
      <c r="C33" s="1"/>
      <c r="D33" s="1"/>
      <c r="E33" s="1"/>
      <c r="F33" s="1"/>
      <c r="G33" s="1"/>
      <c r="H33" s="1"/>
      <c r="I33" s="1"/>
      <c r="J33" s="6"/>
    </row>
    <row r="34" spans="2:10" ht="12.75">
      <c r="B34" s="5"/>
      <c r="C34" s="1"/>
      <c r="D34" s="1"/>
      <c r="E34" s="1"/>
      <c r="F34" s="1"/>
      <c r="G34" s="1"/>
      <c r="H34" s="1"/>
      <c r="I34" s="1"/>
      <c r="J34" s="6"/>
    </row>
    <row r="35" spans="2:10" ht="12.75">
      <c r="B35" s="5"/>
      <c r="C35" s="1"/>
      <c r="D35" s="1"/>
      <c r="E35" s="1"/>
      <c r="F35" s="1"/>
      <c r="G35" s="1"/>
      <c r="H35" s="1"/>
      <c r="I35" s="1"/>
      <c r="J35" s="6"/>
    </row>
    <row r="36" spans="2:10" ht="12.75">
      <c r="B36" s="5"/>
      <c r="C36" s="1"/>
      <c r="D36" s="1"/>
      <c r="E36" s="1"/>
      <c r="F36" s="1"/>
      <c r="G36" s="1"/>
      <c r="H36" s="1"/>
      <c r="I36" s="1"/>
      <c r="J36" s="6"/>
    </row>
    <row r="37" spans="2:10" ht="12.75">
      <c r="B37" s="5"/>
      <c r="C37" s="1"/>
      <c r="D37" s="1"/>
      <c r="E37" s="1"/>
      <c r="F37" s="1"/>
      <c r="G37" s="1"/>
      <c r="H37" s="1"/>
      <c r="I37" s="1"/>
      <c r="J37" s="6"/>
    </row>
    <row r="38" spans="2:10" ht="12.75">
      <c r="B38" s="5"/>
      <c r="C38" s="1"/>
      <c r="D38" s="1"/>
      <c r="E38" s="1"/>
      <c r="F38" s="1"/>
      <c r="G38" s="1"/>
      <c r="H38" s="1"/>
      <c r="I38" s="1"/>
      <c r="J38" s="6"/>
    </row>
    <row r="39" spans="2:10" ht="12.75">
      <c r="B39" s="5"/>
      <c r="C39" s="1"/>
      <c r="D39" s="1"/>
      <c r="E39" s="1"/>
      <c r="F39" s="1"/>
      <c r="G39" s="1"/>
      <c r="H39" s="1"/>
      <c r="I39" s="1"/>
      <c r="J39" s="6"/>
    </row>
    <row r="40" spans="2:10" ht="12.75">
      <c r="B40" s="5"/>
      <c r="C40" s="1"/>
      <c r="D40" s="1"/>
      <c r="E40" s="1"/>
      <c r="F40" s="1"/>
      <c r="G40" s="1"/>
      <c r="H40" s="1"/>
      <c r="I40" s="1"/>
      <c r="J40" s="6"/>
    </row>
    <row r="41" spans="2:10" ht="13.5" thickBot="1">
      <c r="B41" s="5"/>
      <c r="C41" s="1"/>
      <c r="D41" s="1"/>
      <c r="E41" s="1"/>
      <c r="F41" s="1"/>
      <c r="G41" s="1"/>
      <c r="H41" s="1"/>
      <c r="I41" s="1"/>
      <c r="J41" s="6"/>
    </row>
    <row r="42" spans="2:10" ht="13.5" thickBot="1">
      <c r="B42" s="5"/>
      <c r="C42" s="1"/>
      <c r="D42" s="1362"/>
      <c r="E42" s="1362"/>
      <c r="F42" s="1362"/>
      <c r="G42" s="1362"/>
      <c r="H42" s="1362"/>
      <c r="I42" s="224"/>
      <c r="J42" s="6"/>
    </row>
    <row r="43" spans="2:10" ht="12.75">
      <c r="B43" s="5"/>
      <c r="C43" s="1"/>
      <c r="D43" s="1"/>
      <c r="E43" s="1"/>
      <c r="F43" s="1"/>
      <c r="G43" s="1"/>
      <c r="H43" s="1"/>
      <c r="I43" s="1"/>
      <c r="J43" s="6"/>
    </row>
    <row r="44" spans="2:10" ht="12.75">
      <c r="B44" s="5"/>
      <c r="C44" s="1"/>
      <c r="D44" s="1"/>
      <c r="E44" s="1"/>
      <c r="F44" s="1"/>
      <c r="G44" s="1"/>
      <c r="H44" s="1"/>
      <c r="I44" s="1"/>
      <c r="J44" s="6"/>
    </row>
    <row r="45" spans="2:10" ht="12.75">
      <c r="B45" s="5"/>
      <c r="C45" s="1"/>
      <c r="D45" s="1"/>
      <c r="E45" s="1"/>
      <c r="F45" s="1"/>
      <c r="G45" s="1"/>
      <c r="H45" s="1"/>
      <c r="I45" s="1"/>
      <c r="J45" s="6"/>
    </row>
    <row r="46" spans="2:10" ht="12.75">
      <c r="B46" s="5"/>
      <c r="C46" s="1"/>
      <c r="D46" s="1"/>
      <c r="E46" s="1"/>
      <c r="F46" s="1"/>
      <c r="G46" s="1"/>
      <c r="H46" s="1"/>
      <c r="I46" s="1"/>
      <c r="J46" s="6"/>
    </row>
    <row r="47" spans="2:10" ht="12.75">
      <c r="B47" s="5"/>
      <c r="C47" s="1"/>
      <c r="D47" s="1"/>
      <c r="E47" s="1"/>
      <c r="F47" s="1"/>
      <c r="G47" s="1"/>
      <c r="H47" s="1"/>
      <c r="I47" s="1"/>
      <c r="J47" s="6"/>
    </row>
    <row r="48" spans="2:10" ht="12.75">
      <c r="B48" s="5"/>
      <c r="C48" s="1"/>
      <c r="D48" s="1"/>
      <c r="E48" s="1"/>
      <c r="F48" s="1"/>
      <c r="G48" s="1"/>
      <c r="H48" s="1"/>
      <c r="I48" s="1"/>
      <c r="J48" s="6"/>
    </row>
    <row r="49" spans="2:10" ht="12.75">
      <c r="B49" s="5"/>
      <c r="C49" s="1"/>
      <c r="D49" s="1"/>
      <c r="E49" s="1"/>
      <c r="F49" s="1"/>
      <c r="G49" s="1"/>
      <c r="H49" s="1"/>
      <c r="I49" s="1"/>
      <c r="J49" s="6"/>
    </row>
    <row r="50" spans="2:10" ht="12.75">
      <c r="B50" s="5"/>
      <c r="C50" s="1"/>
      <c r="D50" s="1"/>
      <c r="E50" s="1"/>
      <c r="F50" s="1"/>
      <c r="G50" s="1"/>
      <c r="H50" s="1"/>
      <c r="I50" s="1"/>
      <c r="J50" s="6"/>
    </row>
    <row r="51" spans="2:10" ht="12.75">
      <c r="B51" s="5"/>
      <c r="C51" s="1"/>
      <c r="D51" s="1"/>
      <c r="E51" s="1"/>
      <c r="F51" s="1"/>
      <c r="G51" s="1"/>
      <c r="H51" s="1"/>
      <c r="I51" s="1"/>
      <c r="J51" s="6"/>
    </row>
    <row r="52" spans="2:10" ht="12.75">
      <c r="B52" s="5"/>
      <c r="C52" s="1"/>
      <c r="D52" s="1"/>
      <c r="E52" s="1"/>
      <c r="F52" s="1"/>
      <c r="G52" s="1"/>
      <c r="H52" s="1"/>
      <c r="I52" s="1"/>
      <c r="J52" s="6"/>
    </row>
    <row r="53" spans="2:10" ht="12.75">
      <c r="B53" s="5"/>
      <c r="C53" s="1"/>
      <c r="D53" s="1"/>
      <c r="E53" s="1"/>
      <c r="F53" s="1"/>
      <c r="G53" s="1"/>
      <c r="H53" s="1"/>
      <c r="I53" s="1"/>
      <c r="J53" s="6"/>
    </row>
    <row r="54" spans="2:10" ht="12.75">
      <c r="B54" s="5"/>
      <c r="C54" s="1"/>
      <c r="D54" s="1"/>
      <c r="E54" s="1"/>
      <c r="F54" s="1"/>
      <c r="G54" s="1"/>
      <c r="H54" s="1"/>
      <c r="I54" s="1"/>
      <c r="J54" s="6"/>
    </row>
    <row r="55" spans="2:10" ht="13.5" thickBot="1">
      <c r="B55" s="7"/>
      <c r="C55" s="8"/>
      <c r="D55" s="8"/>
      <c r="E55" s="8"/>
      <c r="F55" s="8"/>
      <c r="G55" s="8"/>
      <c r="H55" s="8"/>
      <c r="I55" s="8"/>
      <c r="J55" s="9"/>
    </row>
  </sheetData>
  <sheetProtection/>
  <mergeCells count="6">
    <mergeCell ref="D42:H42"/>
    <mergeCell ref="C10:C11"/>
    <mergeCell ref="D10:D11"/>
    <mergeCell ref="E10:E11"/>
    <mergeCell ref="F10:F11"/>
    <mergeCell ref="G10:G11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K62"/>
  <sheetViews>
    <sheetView zoomScalePageLayoutView="0" workbookViewId="0" topLeftCell="A13">
      <selection activeCell="F29" sqref="F29"/>
    </sheetView>
  </sheetViews>
  <sheetFormatPr defaultColWidth="9.140625" defaultRowHeight="12.75"/>
  <cols>
    <col min="1" max="1" width="4.421875" style="0" customWidth="1"/>
    <col min="2" max="2" width="6.57421875" style="0" customWidth="1"/>
    <col min="3" max="4" width="13.421875" style="0" customWidth="1"/>
    <col min="5" max="5" width="15.140625" style="101" customWidth="1"/>
    <col min="6" max="6" width="12.28125" style="0" customWidth="1"/>
    <col min="7" max="7" width="7.421875" style="0" customWidth="1"/>
    <col min="8" max="8" width="7.8515625" style="0" customWidth="1"/>
    <col min="9" max="9" width="4.8515625" style="0" customWidth="1"/>
    <col min="10" max="10" width="7.00390625" style="0" customWidth="1"/>
    <col min="11" max="11" width="7.140625" style="0" customWidth="1"/>
  </cols>
  <sheetData>
    <row r="3" spans="2:8" ht="12.75">
      <c r="B3" s="2"/>
      <c r="C3" s="51"/>
      <c r="D3" s="51"/>
      <c r="E3" s="155"/>
      <c r="F3" s="51"/>
      <c r="G3" s="2"/>
      <c r="H3" s="2"/>
    </row>
    <row r="4" spans="2:8" ht="12.75">
      <c r="B4" s="2"/>
      <c r="C4" s="2" t="str">
        <f>'Kopertina '!F4</f>
        <v>FJORTES </v>
      </c>
      <c r="D4" s="2"/>
      <c r="E4" s="3"/>
      <c r="F4" s="2"/>
      <c r="G4" s="2"/>
      <c r="H4" s="2"/>
    </row>
    <row r="5" spans="2:11" ht="12.75">
      <c r="B5" s="1"/>
      <c r="C5" s="1"/>
      <c r="D5" s="1"/>
      <c r="E5" s="61"/>
      <c r="F5" s="1"/>
      <c r="G5" s="2"/>
      <c r="H5" s="2"/>
      <c r="I5" s="2"/>
      <c r="J5" s="2"/>
      <c r="K5" s="2" t="s">
        <v>119</v>
      </c>
    </row>
    <row r="6" spans="2:9" ht="12.75">
      <c r="B6" s="1"/>
      <c r="C6" s="1337" t="s">
        <v>148</v>
      </c>
      <c r="D6" s="1337"/>
      <c r="E6" s="1337"/>
      <c r="F6" s="1337"/>
      <c r="G6" s="1337"/>
      <c r="H6" s="1337"/>
      <c r="I6" s="1337"/>
    </row>
    <row r="7" spans="2:10" ht="12.75">
      <c r="B7" s="1"/>
      <c r="C7" s="1"/>
      <c r="D7" s="1"/>
      <c r="E7" s="61"/>
      <c r="F7" s="1"/>
      <c r="G7" s="1"/>
      <c r="H7" s="2" t="s">
        <v>131</v>
      </c>
      <c r="I7" s="19"/>
      <c r="J7" s="19">
        <f>'Kopertina '!F29</f>
        <v>2012</v>
      </c>
    </row>
    <row r="8" spans="2:8" ht="13.5" thickBot="1">
      <c r="B8" s="1"/>
      <c r="C8" s="1"/>
      <c r="D8" s="1"/>
      <c r="E8" s="61"/>
      <c r="F8" s="1"/>
      <c r="G8" s="1"/>
      <c r="H8" s="1"/>
    </row>
    <row r="9" spans="2:11" ht="12.75">
      <c r="B9" s="16"/>
      <c r="C9" s="17"/>
      <c r="D9" s="17"/>
      <c r="E9" s="199"/>
      <c r="F9" s="17"/>
      <c r="G9" s="17"/>
      <c r="H9" s="17"/>
      <c r="I9" s="17"/>
      <c r="J9" s="17"/>
      <c r="K9" s="18"/>
    </row>
    <row r="10" spans="2:11" ht="12.75">
      <c r="B10" s="5"/>
      <c r="C10" s="1"/>
      <c r="D10" s="1"/>
      <c r="E10" s="61"/>
      <c r="F10" s="1"/>
      <c r="G10" s="1"/>
      <c r="H10" s="1"/>
      <c r="I10" s="1"/>
      <c r="J10" s="1"/>
      <c r="K10" s="6"/>
    </row>
    <row r="11" spans="2:11" ht="13.5" thickBot="1">
      <c r="B11" s="5"/>
      <c r="C11" s="1"/>
      <c r="D11" s="1"/>
      <c r="E11" s="61"/>
      <c r="F11" s="1"/>
      <c r="G11" s="1"/>
      <c r="H11" s="1"/>
      <c r="I11" s="1"/>
      <c r="J11" s="1"/>
      <c r="K11" s="6"/>
    </row>
    <row r="12" spans="2:11" ht="18" customHeight="1" thickBot="1">
      <c r="B12" s="463" t="s">
        <v>1</v>
      </c>
      <c r="C12" s="464" t="s">
        <v>166</v>
      </c>
      <c r="D12" s="464" t="s">
        <v>253</v>
      </c>
      <c r="E12" s="464" t="s">
        <v>252</v>
      </c>
      <c r="F12" s="465" t="s">
        <v>254</v>
      </c>
      <c r="G12" s="2"/>
      <c r="H12" s="1"/>
      <c r="I12" s="1"/>
      <c r="J12" s="1"/>
      <c r="K12" s="6"/>
    </row>
    <row r="13" spans="2:11" ht="12.75">
      <c r="B13" s="459">
        <v>1</v>
      </c>
      <c r="C13" s="460" t="s">
        <v>209</v>
      </c>
      <c r="D13" s="460"/>
      <c r="E13" s="461">
        <v>28150</v>
      </c>
      <c r="F13" s="462">
        <f>+E13</f>
        <v>28150</v>
      </c>
      <c r="G13" s="1"/>
      <c r="H13" s="1"/>
      <c r="I13" s="1"/>
      <c r="J13" s="1"/>
      <c r="K13" s="6"/>
    </row>
    <row r="14" spans="2:11" ht="12.75">
      <c r="B14" s="142">
        <v>2</v>
      </c>
      <c r="C14" s="139" t="s">
        <v>244</v>
      </c>
      <c r="D14" s="139"/>
      <c r="E14" s="461">
        <v>28150</v>
      </c>
      <c r="F14" s="143">
        <f>F13+E14</f>
        <v>56300</v>
      </c>
      <c r="G14" s="1"/>
      <c r="H14" s="1"/>
      <c r="I14" s="1"/>
      <c r="J14" s="1"/>
      <c r="K14" s="6"/>
    </row>
    <row r="15" spans="2:11" ht="12.75">
      <c r="B15" s="142">
        <v>3</v>
      </c>
      <c r="C15" s="141" t="s">
        <v>210</v>
      </c>
      <c r="D15" s="139"/>
      <c r="E15" s="461">
        <v>28150</v>
      </c>
      <c r="F15" s="143">
        <f aca="true" t="shared" si="0" ref="F15:F24">F14+E15</f>
        <v>84450</v>
      </c>
      <c r="G15" s="1"/>
      <c r="H15" s="1"/>
      <c r="I15" s="1"/>
      <c r="J15" s="1"/>
      <c r="K15" s="6"/>
    </row>
    <row r="16" spans="2:11" ht="12.75">
      <c r="B16" s="142">
        <v>4</v>
      </c>
      <c r="C16" s="141" t="s">
        <v>211</v>
      </c>
      <c r="D16" s="139"/>
      <c r="E16" s="461">
        <v>28150</v>
      </c>
      <c r="F16" s="143">
        <f t="shared" si="0"/>
        <v>112600</v>
      </c>
      <c r="G16" s="1"/>
      <c r="H16" s="1"/>
      <c r="I16" s="1"/>
      <c r="J16" s="1"/>
      <c r="K16" s="6"/>
    </row>
    <row r="17" spans="2:11" ht="12.75">
      <c r="B17" s="142">
        <v>5</v>
      </c>
      <c r="C17" s="141" t="s">
        <v>212</v>
      </c>
      <c r="D17" s="139"/>
      <c r="E17" s="461">
        <v>76478</v>
      </c>
      <c r="F17" s="143">
        <f t="shared" si="0"/>
        <v>189078</v>
      </c>
      <c r="G17" s="1"/>
      <c r="H17" s="1"/>
      <c r="I17" s="1"/>
      <c r="J17" s="1"/>
      <c r="K17" s="6"/>
    </row>
    <row r="18" spans="2:11" ht="12.75">
      <c r="B18" s="142">
        <v>6</v>
      </c>
      <c r="C18" s="141" t="s">
        <v>213</v>
      </c>
      <c r="D18" s="139"/>
      <c r="E18" s="461">
        <v>76478</v>
      </c>
      <c r="F18" s="143">
        <f t="shared" si="0"/>
        <v>265556</v>
      </c>
      <c r="G18" s="1"/>
      <c r="H18" s="1"/>
      <c r="I18" s="1"/>
      <c r="J18" s="1"/>
      <c r="K18" s="6"/>
    </row>
    <row r="19" spans="2:11" ht="12.75">
      <c r="B19" s="142">
        <v>7</v>
      </c>
      <c r="C19" s="141" t="s">
        <v>255</v>
      </c>
      <c r="D19" s="139"/>
      <c r="E19" s="461">
        <v>76478</v>
      </c>
      <c r="F19" s="143">
        <f t="shared" si="0"/>
        <v>342034</v>
      </c>
      <c r="G19" s="1"/>
      <c r="H19" s="1"/>
      <c r="I19" s="1"/>
      <c r="J19" s="1"/>
      <c r="K19" s="6"/>
    </row>
    <row r="20" spans="2:11" ht="12.75">
      <c r="B20" s="142">
        <v>8</v>
      </c>
      <c r="C20" s="141" t="s">
        <v>215</v>
      </c>
      <c r="D20" s="139"/>
      <c r="E20" s="461">
        <v>76478</v>
      </c>
      <c r="F20" s="143">
        <f t="shared" si="0"/>
        <v>418512</v>
      </c>
      <c r="G20" s="1"/>
      <c r="H20" s="1"/>
      <c r="I20" s="1"/>
      <c r="J20" s="1"/>
      <c r="K20" s="6"/>
    </row>
    <row r="21" spans="2:11" ht="12.75">
      <c r="B21" s="142">
        <v>9</v>
      </c>
      <c r="C21" s="141" t="s">
        <v>216</v>
      </c>
      <c r="D21" s="139"/>
      <c r="E21" s="461">
        <v>76478</v>
      </c>
      <c r="F21" s="143">
        <f t="shared" si="0"/>
        <v>494990</v>
      </c>
      <c r="G21" s="1"/>
      <c r="H21" s="1"/>
      <c r="I21" s="1"/>
      <c r="J21" s="1"/>
      <c r="K21" s="6"/>
    </row>
    <row r="22" spans="2:11" ht="12.75">
      <c r="B22" s="142">
        <v>10</v>
      </c>
      <c r="C22" s="141" t="s">
        <v>217</v>
      </c>
      <c r="D22" s="139"/>
      <c r="E22" s="461">
        <v>76478</v>
      </c>
      <c r="F22" s="143">
        <f t="shared" si="0"/>
        <v>571468</v>
      </c>
      <c r="G22" s="1"/>
      <c r="H22" s="1"/>
      <c r="I22" s="1"/>
      <c r="J22" s="1"/>
      <c r="K22" s="6"/>
    </row>
    <row r="23" spans="2:11" ht="12.75">
      <c r="B23" s="142">
        <v>11</v>
      </c>
      <c r="C23" s="141" t="s">
        <v>218</v>
      </c>
      <c r="D23" s="139"/>
      <c r="E23" s="461">
        <v>76478</v>
      </c>
      <c r="F23" s="143">
        <f t="shared" si="0"/>
        <v>647946</v>
      </c>
      <c r="G23" s="1"/>
      <c r="H23" s="1"/>
      <c r="I23" s="1"/>
      <c r="J23" s="1"/>
      <c r="K23" s="6"/>
    </row>
    <row r="24" spans="2:11" ht="12.75">
      <c r="B24" s="142">
        <v>12</v>
      </c>
      <c r="C24" s="141" t="s">
        <v>219</v>
      </c>
      <c r="D24" s="139"/>
      <c r="E24" s="461">
        <v>76478</v>
      </c>
      <c r="F24" s="143">
        <f t="shared" si="0"/>
        <v>724424</v>
      </c>
      <c r="G24" s="1"/>
      <c r="H24" s="1"/>
      <c r="I24" s="1"/>
      <c r="J24" s="1"/>
      <c r="K24" s="6"/>
    </row>
    <row r="25" spans="2:11" ht="13.5" thickBot="1">
      <c r="B25" s="144"/>
      <c r="C25" s="145" t="s">
        <v>917</v>
      </c>
      <c r="D25" s="146"/>
      <c r="E25" s="145">
        <v>384147</v>
      </c>
      <c r="F25" s="466">
        <f>F24</f>
        <v>724424</v>
      </c>
      <c r="G25" s="1"/>
      <c r="H25" s="28" t="s">
        <v>1006</v>
      </c>
      <c r="I25" s="1"/>
      <c r="J25" s="1"/>
      <c r="K25" s="6"/>
    </row>
    <row r="26" spans="2:11" ht="17.25" customHeight="1" thickBot="1">
      <c r="B26" s="467"/>
      <c r="C26" s="468" t="s">
        <v>220</v>
      </c>
      <c r="D26" s="468">
        <f>SUM(D13:D25)</f>
        <v>0</v>
      </c>
      <c r="E26" s="468">
        <f>SUM(E13:E25)</f>
        <v>1108571</v>
      </c>
      <c r="F26" s="468">
        <f>F25+E25</f>
        <v>1108571</v>
      </c>
      <c r="G26" s="1"/>
      <c r="H26" s="1"/>
      <c r="I26" s="1"/>
      <c r="J26" s="1"/>
      <c r="K26" s="6"/>
    </row>
    <row r="27" spans="2:11" ht="13.5" thickBot="1">
      <c r="B27" s="5"/>
      <c r="C27" s="1"/>
      <c r="D27" s="1"/>
      <c r="E27" s="225"/>
      <c r="F27" s="140"/>
      <c r="G27" s="1"/>
      <c r="H27" s="1"/>
      <c r="I27" s="1"/>
      <c r="J27" s="1"/>
      <c r="K27" s="6"/>
    </row>
    <row r="28" spans="2:11" ht="17.25" customHeight="1" thickBot="1">
      <c r="B28" s="5"/>
      <c r="C28" s="3" t="s">
        <v>943</v>
      </c>
      <c r="D28" s="1"/>
      <c r="E28" s="225"/>
      <c r="F28" s="872">
        <f>0-E25</f>
        <v>-384147</v>
      </c>
      <c r="G28" s="1"/>
      <c r="H28" s="1"/>
      <c r="I28" s="1"/>
      <c r="J28" s="1"/>
      <c r="K28" s="6"/>
    </row>
    <row r="29" spans="2:11" ht="13.5" thickBot="1">
      <c r="B29" s="5"/>
      <c r="C29" s="1"/>
      <c r="D29" s="1"/>
      <c r="E29" s="225"/>
      <c r="F29" s="140"/>
      <c r="G29" s="1"/>
      <c r="H29" s="1"/>
      <c r="I29" s="1"/>
      <c r="J29" s="1"/>
      <c r="K29" s="6"/>
    </row>
    <row r="30" spans="2:11" ht="18.75" customHeight="1" thickBot="1">
      <c r="B30" s="5"/>
      <c r="C30" s="62" t="s">
        <v>94</v>
      </c>
      <c r="D30" s="42"/>
      <c r="E30" s="226"/>
      <c r="F30" s="873">
        <f>F26+F28</f>
        <v>724424</v>
      </c>
      <c r="G30" s="1"/>
      <c r="H30" s="1"/>
      <c r="I30" s="1"/>
      <c r="J30" s="1"/>
      <c r="K30" s="6"/>
    </row>
    <row r="31" spans="2:11" ht="12.75">
      <c r="B31" s="5"/>
      <c r="C31" s="1"/>
      <c r="D31" s="1"/>
      <c r="E31" s="225"/>
      <c r="F31" s="140"/>
      <c r="G31" s="1"/>
      <c r="H31" s="1"/>
      <c r="I31" s="1"/>
      <c r="J31" s="1"/>
      <c r="K31" s="6"/>
    </row>
    <row r="32" spans="2:11" ht="13.5" thickBot="1">
      <c r="B32" s="5"/>
      <c r="C32" s="1"/>
      <c r="D32" s="1"/>
      <c r="E32" s="225"/>
      <c r="F32" s="140"/>
      <c r="G32" s="1"/>
      <c r="H32" s="1"/>
      <c r="I32" s="1"/>
      <c r="J32" s="1"/>
      <c r="K32" s="6"/>
    </row>
    <row r="33" spans="2:11" ht="13.5" thickBot="1">
      <c r="B33" s="5"/>
      <c r="C33" s="1" t="s">
        <v>256</v>
      </c>
      <c r="D33" s="1"/>
      <c r="E33" s="225"/>
      <c r="F33" s="872">
        <f>'Ardh e shp - natyres'!E38</f>
        <v>578486.6937000006</v>
      </c>
      <c r="G33" s="1"/>
      <c r="H33" s="1"/>
      <c r="I33" s="1"/>
      <c r="J33" s="1"/>
      <c r="K33" s="6"/>
    </row>
    <row r="34" spans="2:11" ht="12.75">
      <c r="B34" s="5"/>
      <c r="C34" s="1"/>
      <c r="D34" s="1"/>
      <c r="E34" s="225"/>
      <c r="F34" s="140"/>
      <c r="G34" s="1"/>
      <c r="H34" s="1"/>
      <c r="I34" s="1"/>
      <c r="J34" s="1"/>
      <c r="K34" s="6"/>
    </row>
    <row r="35" spans="2:11" ht="13.5" thickBot="1">
      <c r="B35" s="5"/>
      <c r="C35" s="1"/>
      <c r="D35" s="1"/>
      <c r="E35" s="225"/>
      <c r="F35" s="140"/>
      <c r="G35" s="1"/>
      <c r="H35" s="1"/>
      <c r="I35" s="1"/>
      <c r="J35" s="1"/>
      <c r="K35" s="6"/>
    </row>
    <row r="36" spans="2:11" ht="13.5" thickBot="1">
      <c r="B36" s="5"/>
      <c r="C36" s="1" t="s">
        <v>257</v>
      </c>
      <c r="D36" s="1"/>
      <c r="E36" s="225"/>
      <c r="F36" s="872">
        <f>F33-F30</f>
        <v>-145937.30629999936</v>
      </c>
      <c r="G36" s="1"/>
      <c r="H36" s="1"/>
      <c r="I36" s="1"/>
      <c r="J36" s="1"/>
      <c r="K36" s="6"/>
    </row>
    <row r="37" spans="2:11" ht="12.75">
      <c r="B37" s="5"/>
      <c r="C37" s="1"/>
      <c r="D37" s="1"/>
      <c r="E37" s="225"/>
      <c r="F37" s="140"/>
      <c r="G37" s="1"/>
      <c r="H37" s="1"/>
      <c r="I37" s="1"/>
      <c r="J37" s="1"/>
      <c r="K37" s="6"/>
    </row>
    <row r="38" spans="2:11" ht="12.75">
      <c r="B38" s="5"/>
      <c r="C38" s="1"/>
      <c r="D38" s="1"/>
      <c r="E38" s="225"/>
      <c r="F38" s="140"/>
      <c r="G38" s="1"/>
      <c r="H38" s="1"/>
      <c r="I38" s="1"/>
      <c r="J38" s="1"/>
      <c r="K38" s="6"/>
    </row>
    <row r="39" spans="2:11" ht="12.75">
      <c r="B39" s="5"/>
      <c r="C39" s="1"/>
      <c r="D39" s="1"/>
      <c r="E39" s="225"/>
      <c r="F39" s="140"/>
      <c r="G39" s="1"/>
      <c r="H39" s="1"/>
      <c r="I39" s="1"/>
      <c r="J39" s="1"/>
      <c r="K39" s="6"/>
    </row>
    <row r="40" spans="2:11" ht="12.75">
      <c r="B40" s="5"/>
      <c r="C40" s="1"/>
      <c r="D40" s="1"/>
      <c r="E40" s="61"/>
      <c r="F40" s="1"/>
      <c r="G40" s="1"/>
      <c r="H40" s="1"/>
      <c r="I40" s="1"/>
      <c r="J40" s="1"/>
      <c r="K40" s="6"/>
    </row>
    <row r="41" spans="2:11" ht="12.75">
      <c r="B41" s="5"/>
      <c r="C41" s="1"/>
      <c r="D41" s="1"/>
      <c r="E41" s="61"/>
      <c r="F41" s="1"/>
      <c r="G41" s="1"/>
      <c r="H41" s="1"/>
      <c r="I41" s="1"/>
      <c r="J41" s="1"/>
      <c r="K41" s="6"/>
    </row>
    <row r="42" spans="2:11" ht="12.75">
      <c r="B42" s="5"/>
      <c r="C42" s="1"/>
      <c r="D42" s="1"/>
      <c r="E42" s="61"/>
      <c r="F42" s="138"/>
      <c r="G42" s="1"/>
      <c r="H42" s="1"/>
      <c r="I42" s="1"/>
      <c r="J42" s="1"/>
      <c r="K42" s="6"/>
    </row>
    <row r="43" spans="2:11" ht="12.75">
      <c r="B43" s="5"/>
      <c r="C43" s="1"/>
      <c r="D43" s="1"/>
      <c r="E43" s="61"/>
      <c r="F43" s="1"/>
      <c r="G43" s="1"/>
      <c r="H43" s="1"/>
      <c r="I43" s="1"/>
      <c r="J43" s="1"/>
      <c r="K43" s="6"/>
    </row>
    <row r="44" spans="2:11" ht="12.75">
      <c r="B44" s="5"/>
      <c r="C44" s="1"/>
      <c r="D44" s="1"/>
      <c r="E44" s="61"/>
      <c r="F44" s="138"/>
      <c r="G44" s="1"/>
      <c r="H44" s="1"/>
      <c r="I44" s="1"/>
      <c r="J44" s="1"/>
      <c r="K44" s="6"/>
    </row>
    <row r="45" spans="2:11" ht="12.75">
      <c r="B45" s="5"/>
      <c r="C45" s="1"/>
      <c r="D45" s="1"/>
      <c r="E45" s="61"/>
      <c r="F45" s="1"/>
      <c r="G45" s="1"/>
      <c r="H45" s="1"/>
      <c r="I45" s="1"/>
      <c r="J45" s="1"/>
      <c r="K45" s="6"/>
    </row>
    <row r="46" spans="2:11" ht="12.75">
      <c r="B46" s="5"/>
      <c r="C46" s="1"/>
      <c r="D46" s="1"/>
      <c r="E46" s="61"/>
      <c r="F46" s="1"/>
      <c r="G46" s="1"/>
      <c r="H46" s="1"/>
      <c r="I46" s="1"/>
      <c r="J46" s="1"/>
      <c r="K46" s="6"/>
    </row>
    <row r="47" spans="2:11" ht="12.75">
      <c r="B47" s="5"/>
      <c r="C47" s="1"/>
      <c r="D47" s="1"/>
      <c r="E47" s="61"/>
      <c r="F47" s="1"/>
      <c r="G47" s="1"/>
      <c r="H47" s="1"/>
      <c r="I47" s="1"/>
      <c r="J47" s="1"/>
      <c r="K47" s="6"/>
    </row>
    <row r="48" spans="2:11" ht="12.75">
      <c r="B48" s="5"/>
      <c r="C48" s="1"/>
      <c r="D48" s="1"/>
      <c r="E48" s="61"/>
      <c r="F48" s="1"/>
      <c r="G48" s="1"/>
      <c r="H48" s="1"/>
      <c r="I48" s="1"/>
      <c r="J48" s="1"/>
      <c r="K48" s="6"/>
    </row>
    <row r="49" spans="2:11" ht="12.75">
      <c r="B49" s="5"/>
      <c r="C49" s="1"/>
      <c r="D49" s="1"/>
      <c r="E49" s="61"/>
      <c r="F49" s="1"/>
      <c r="G49" s="1"/>
      <c r="H49" s="1"/>
      <c r="I49" s="1"/>
      <c r="J49" s="1"/>
      <c r="K49" s="6"/>
    </row>
    <row r="50" spans="2:11" ht="12.75">
      <c r="B50" s="5"/>
      <c r="C50" s="1"/>
      <c r="D50" s="1"/>
      <c r="E50" s="61"/>
      <c r="F50" s="1"/>
      <c r="G50" s="1"/>
      <c r="H50" s="1"/>
      <c r="I50" s="1"/>
      <c r="J50" s="1"/>
      <c r="K50" s="6"/>
    </row>
    <row r="51" spans="2:11" ht="12.75">
      <c r="B51" s="5"/>
      <c r="C51" s="1"/>
      <c r="D51" s="1"/>
      <c r="E51" s="61"/>
      <c r="F51" s="1"/>
      <c r="G51" s="1"/>
      <c r="H51" s="1"/>
      <c r="I51" s="1"/>
      <c r="J51" s="1"/>
      <c r="K51" s="6"/>
    </row>
    <row r="52" spans="2:11" ht="12.75">
      <c r="B52" s="5"/>
      <c r="C52" s="1"/>
      <c r="D52" s="1"/>
      <c r="E52" s="61"/>
      <c r="F52" s="1"/>
      <c r="G52" s="1"/>
      <c r="H52" s="1"/>
      <c r="I52" s="1"/>
      <c r="J52" s="1"/>
      <c r="K52" s="6"/>
    </row>
    <row r="53" spans="2:11" ht="12.75">
      <c r="B53" s="5"/>
      <c r="C53" s="1"/>
      <c r="D53" s="1"/>
      <c r="E53" s="61"/>
      <c r="F53" s="1"/>
      <c r="G53" s="1"/>
      <c r="H53" s="1"/>
      <c r="I53" s="1"/>
      <c r="J53" s="1"/>
      <c r="K53" s="6"/>
    </row>
    <row r="54" spans="2:11" ht="12.75">
      <c r="B54" s="5"/>
      <c r="C54" s="1"/>
      <c r="D54" s="1"/>
      <c r="E54" s="61"/>
      <c r="F54" s="1"/>
      <c r="G54" s="1"/>
      <c r="H54" s="1"/>
      <c r="I54" s="1"/>
      <c r="J54" s="1"/>
      <c r="K54" s="6"/>
    </row>
    <row r="55" spans="2:11" ht="12.75">
      <c r="B55" s="5"/>
      <c r="C55" s="1"/>
      <c r="D55" s="1"/>
      <c r="E55" s="61"/>
      <c r="F55" s="1"/>
      <c r="G55" s="1"/>
      <c r="H55" s="1"/>
      <c r="I55" s="1"/>
      <c r="J55" s="1"/>
      <c r="K55" s="6"/>
    </row>
    <row r="56" spans="2:11" ht="12.75">
      <c r="B56" s="5"/>
      <c r="C56" s="1"/>
      <c r="D56" s="1"/>
      <c r="E56" s="61"/>
      <c r="F56" s="1"/>
      <c r="G56" s="1"/>
      <c r="H56" s="1"/>
      <c r="I56" s="1"/>
      <c r="J56" s="1"/>
      <c r="K56" s="6"/>
    </row>
    <row r="57" spans="2:11" ht="12.75">
      <c r="B57" s="5"/>
      <c r="C57" s="1"/>
      <c r="D57" s="1"/>
      <c r="E57" s="61"/>
      <c r="F57" s="1"/>
      <c r="G57" s="1"/>
      <c r="H57" s="1"/>
      <c r="I57" s="1"/>
      <c r="J57" s="1"/>
      <c r="K57" s="6"/>
    </row>
    <row r="58" spans="2:11" ht="12.75">
      <c r="B58" s="5"/>
      <c r="C58" s="1"/>
      <c r="D58" s="1"/>
      <c r="E58" s="61"/>
      <c r="F58" s="1"/>
      <c r="G58" s="1"/>
      <c r="H58" s="1"/>
      <c r="I58" s="1"/>
      <c r="J58" s="1"/>
      <c r="K58" s="6"/>
    </row>
    <row r="59" spans="2:11" ht="12.75">
      <c r="B59" s="5"/>
      <c r="C59" s="1"/>
      <c r="D59" s="1"/>
      <c r="E59" s="61"/>
      <c r="F59" s="1"/>
      <c r="G59" s="1"/>
      <c r="H59" s="1"/>
      <c r="I59" s="1"/>
      <c r="J59" s="1"/>
      <c r="K59" s="6"/>
    </row>
    <row r="60" spans="2:11" ht="12.75">
      <c r="B60" s="5"/>
      <c r="C60" s="1"/>
      <c r="D60" s="1"/>
      <c r="E60" s="61"/>
      <c r="F60" s="1"/>
      <c r="G60" s="1"/>
      <c r="H60" s="1"/>
      <c r="I60" s="1"/>
      <c r="J60" s="1"/>
      <c r="K60" s="6"/>
    </row>
    <row r="61" spans="2:11" ht="12.75">
      <c r="B61" s="5"/>
      <c r="C61" s="1"/>
      <c r="D61" s="1"/>
      <c r="E61" s="61"/>
      <c r="F61" s="1"/>
      <c r="G61" s="1"/>
      <c r="H61" s="1"/>
      <c r="I61" s="1"/>
      <c r="J61" s="1"/>
      <c r="K61" s="6"/>
    </row>
    <row r="62" spans="2:11" ht="13.5" thickBot="1">
      <c r="B62" s="7"/>
      <c r="C62" s="8"/>
      <c r="D62" s="8"/>
      <c r="E62" s="218"/>
      <c r="F62" s="8"/>
      <c r="G62" s="8"/>
      <c r="H62" s="8"/>
      <c r="I62" s="8"/>
      <c r="J62" s="8"/>
      <c r="K62" s="9"/>
    </row>
  </sheetData>
  <sheetProtection/>
  <mergeCells count="1">
    <mergeCell ref="C6:I6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25">
      <selection activeCell="B1" sqref="B1:J46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6.00390625" style="0" customWidth="1"/>
    <col min="4" max="4" width="22.421875" style="0" customWidth="1"/>
    <col min="5" max="5" width="5.7109375" style="0" hidden="1" customWidth="1"/>
    <col min="6" max="6" width="8.8515625" style="0" customWidth="1"/>
    <col min="7" max="7" width="8.140625" style="0" customWidth="1"/>
    <col min="8" max="8" width="9.421875" style="0" customWidth="1"/>
    <col min="9" max="9" width="15.8515625" style="0" customWidth="1"/>
    <col min="10" max="10" width="6.57421875" style="0" customWidth="1"/>
    <col min="11" max="11" width="6.28125" style="0" customWidth="1"/>
    <col min="12" max="12" width="6.00390625" style="0" customWidth="1"/>
  </cols>
  <sheetData>
    <row r="1" ht="12.75">
      <c r="A1" t="s">
        <v>133</v>
      </c>
    </row>
    <row r="3" spans="2:7" ht="12.75">
      <c r="B3" s="2"/>
      <c r="C3" s="51"/>
      <c r="D3" s="51"/>
      <c r="E3" s="51"/>
      <c r="F3" s="51"/>
      <c r="G3" s="2"/>
    </row>
    <row r="4" spans="2:7" ht="12.75">
      <c r="B4" s="2" t="s">
        <v>130</v>
      </c>
      <c r="C4" s="2" t="str">
        <f>'Kopertina '!F4</f>
        <v>FJORTES </v>
      </c>
      <c r="D4" s="2"/>
      <c r="E4" s="2"/>
      <c r="F4" s="2"/>
      <c r="G4" s="2"/>
    </row>
    <row r="5" spans="2:10" ht="12.75">
      <c r="B5" s="1"/>
      <c r="C5" s="1"/>
      <c r="D5" s="1"/>
      <c r="E5" s="1"/>
      <c r="F5" s="1"/>
      <c r="G5" s="2"/>
      <c r="H5" s="2"/>
      <c r="I5" s="2"/>
      <c r="J5" s="2" t="s">
        <v>136</v>
      </c>
    </row>
    <row r="6" spans="2:8" ht="12.75">
      <c r="B6" s="1"/>
      <c r="C6" s="1337" t="s">
        <v>149</v>
      </c>
      <c r="D6" s="1337"/>
      <c r="E6" s="1337"/>
      <c r="F6" s="1337"/>
      <c r="G6" s="1337"/>
      <c r="H6" s="1337"/>
    </row>
    <row r="7" spans="2:9" ht="12.75">
      <c r="B7" s="1"/>
      <c r="C7" s="1"/>
      <c r="D7" s="1"/>
      <c r="E7" s="1"/>
      <c r="F7" s="1"/>
      <c r="G7" s="2" t="s">
        <v>131</v>
      </c>
      <c r="H7" s="19"/>
      <c r="I7" s="19">
        <f>'Kopertina '!F29</f>
        <v>2012</v>
      </c>
    </row>
    <row r="8" spans="2:7" ht="13.5" thickBot="1">
      <c r="B8" s="1"/>
      <c r="C8" s="1"/>
      <c r="D8" s="1"/>
      <c r="E8" s="1"/>
      <c r="F8" s="1"/>
      <c r="G8" s="1"/>
    </row>
    <row r="9" spans="2:10" ht="12.75">
      <c r="B9" s="16"/>
      <c r="C9" s="17"/>
      <c r="D9" s="17"/>
      <c r="E9" s="17"/>
      <c r="F9" s="17"/>
      <c r="G9" s="17"/>
      <c r="H9" s="17"/>
      <c r="I9" s="17"/>
      <c r="J9" s="18"/>
    </row>
    <row r="10" spans="2:10" ht="13.5" thickBot="1">
      <c r="B10" s="5"/>
      <c r="C10" s="1"/>
      <c r="D10" s="1"/>
      <c r="E10" s="1"/>
      <c r="F10" s="1"/>
      <c r="G10" s="1"/>
      <c r="H10" s="1"/>
      <c r="I10" s="1"/>
      <c r="J10" s="6"/>
    </row>
    <row r="11" spans="2:10" ht="21" customHeight="1" thickBot="1">
      <c r="B11" s="5"/>
      <c r="C11" s="396" t="s">
        <v>1</v>
      </c>
      <c r="D11" s="397" t="s">
        <v>393</v>
      </c>
      <c r="E11" s="397" t="s">
        <v>394</v>
      </c>
      <c r="F11" s="397" t="s">
        <v>394</v>
      </c>
      <c r="G11" s="397" t="s">
        <v>395</v>
      </c>
      <c r="H11" s="397" t="s">
        <v>269</v>
      </c>
      <c r="I11" s="469" t="s">
        <v>396</v>
      </c>
      <c r="J11" s="6"/>
    </row>
    <row r="12" spans="2:10" ht="12.75">
      <c r="B12" s="5"/>
      <c r="C12" s="426">
        <v>1</v>
      </c>
      <c r="D12" s="428"/>
      <c r="E12" s="428"/>
      <c r="F12" s="428"/>
      <c r="G12" s="428"/>
      <c r="H12" s="428"/>
      <c r="I12" s="429">
        <f>G12*H12</f>
        <v>0</v>
      </c>
      <c r="J12" s="6"/>
    </row>
    <row r="13" spans="2:10" ht="12.75">
      <c r="B13" s="5"/>
      <c r="C13" s="424">
        <v>2</v>
      </c>
      <c r="D13" s="195"/>
      <c r="E13" s="195"/>
      <c r="F13" s="195"/>
      <c r="G13" s="195"/>
      <c r="H13" s="195"/>
      <c r="I13" s="418">
        <f aca="true" t="shared" si="0" ref="I13:I40">G13*H13</f>
        <v>0</v>
      </c>
      <c r="J13" s="6"/>
    </row>
    <row r="14" spans="2:10" ht="12.75">
      <c r="B14" s="5"/>
      <c r="C14" s="424">
        <v>3</v>
      </c>
      <c r="D14" s="195"/>
      <c r="E14" s="195"/>
      <c r="F14" s="195"/>
      <c r="G14" s="195"/>
      <c r="H14" s="195"/>
      <c r="I14" s="418">
        <f t="shared" si="0"/>
        <v>0</v>
      </c>
      <c r="J14" s="6"/>
    </row>
    <row r="15" spans="2:10" ht="12.75">
      <c r="B15" s="5"/>
      <c r="C15" s="470">
        <v>4</v>
      </c>
      <c r="D15" s="195"/>
      <c r="E15" s="195"/>
      <c r="F15" s="195"/>
      <c r="G15" s="195"/>
      <c r="H15" s="195"/>
      <c r="I15" s="418">
        <f t="shared" si="0"/>
        <v>0</v>
      </c>
      <c r="J15" s="6"/>
    </row>
    <row r="16" spans="2:10" ht="12.75">
      <c r="B16" s="5"/>
      <c r="C16" s="470">
        <v>5</v>
      </c>
      <c r="D16" s="195"/>
      <c r="E16" s="195"/>
      <c r="F16" s="195"/>
      <c r="G16" s="195"/>
      <c r="H16" s="195"/>
      <c r="I16" s="418">
        <f t="shared" si="0"/>
        <v>0</v>
      </c>
      <c r="J16" s="6"/>
    </row>
    <row r="17" spans="2:10" ht="12.75">
      <c r="B17" s="5"/>
      <c r="C17" s="424">
        <v>6</v>
      </c>
      <c r="D17" s="195"/>
      <c r="E17" s="195"/>
      <c r="F17" s="195"/>
      <c r="G17" s="195"/>
      <c r="H17" s="195"/>
      <c r="I17" s="418">
        <f t="shared" si="0"/>
        <v>0</v>
      </c>
      <c r="J17" s="6"/>
    </row>
    <row r="18" spans="2:10" ht="12.75">
      <c r="B18" s="5"/>
      <c r="C18" s="424">
        <v>7</v>
      </c>
      <c r="D18" s="195"/>
      <c r="E18" s="195"/>
      <c r="F18" s="195"/>
      <c r="G18" s="195"/>
      <c r="H18" s="195"/>
      <c r="I18" s="418">
        <f t="shared" si="0"/>
        <v>0</v>
      </c>
      <c r="J18" s="6"/>
    </row>
    <row r="19" spans="2:10" ht="12.75">
      <c r="B19" s="5"/>
      <c r="C19" s="424">
        <v>8</v>
      </c>
      <c r="D19" s="195"/>
      <c r="E19" s="195"/>
      <c r="F19" s="195"/>
      <c r="G19" s="195"/>
      <c r="H19" s="195"/>
      <c r="I19" s="418">
        <f t="shared" si="0"/>
        <v>0</v>
      </c>
      <c r="J19" s="6"/>
    </row>
    <row r="20" spans="2:10" ht="12.75">
      <c r="B20" s="5"/>
      <c r="C20" s="470">
        <v>9</v>
      </c>
      <c r="D20" s="195"/>
      <c r="E20" s="195"/>
      <c r="F20" s="195"/>
      <c r="G20" s="195"/>
      <c r="H20" s="195"/>
      <c r="I20" s="418">
        <f t="shared" si="0"/>
        <v>0</v>
      </c>
      <c r="J20" s="6"/>
    </row>
    <row r="21" spans="2:10" ht="12.75">
      <c r="B21" s="5"/>
      <c r="C21" s="470">
        <v>10</v>
      </c>
      <c r="D21" s="195"/>
      <c r="E21" s="195"/>
      <c r="F21" s="195"/>
      <c r="G21" s="195"/>
      <c r="H21" s="195"/>
      <c r="I21" s="418">
        <f t="shared" si="0"/>
        <v>0</v>
      </c>
      <c r="J21" s="6"/>
    </row>
    <row r="22" spans="2:10" ht="12.75">
      <c r="B22" s="5"/>
      <c r="C22" s="424">
        <v>11</v>
      </c>
      <c r="D22" s="195"/>
      <c r="E22" s="195"/>
      <c r="F22" s="195"/>
      <c r="G22" s="195"/>
      <c r="H22" s="195"/>
      <c r="I22" s="418">
        <f t="shared" si="0"/>
        <v>0</v>
      </c>
      <c r="J22" s="6"/>
    </row>
    <row r="23" spans="2:10" ht="12.75">
      <c r="B23" s="5"/>
      <c r="C23" s="424">
        <v>12</v>
      </c>
      <c r="D23" s="195"/>
      <c r="E23" s="195"/>
      <c r="F23" s="195"/>
      <c r="G23" s="195"/>
      <c r="H23" s="195"/>
      <c r="I23" s="418">
        <f t="shared" si="0"/>
        <v>0</v>
      </c>
      <c r="J23" s="6"/>
    </row>
    <row r="24" spans="2:10" ht="12.75">
      <c r="B24" s="5"/>
      <c r="C24" s="424">
        <v>13</v>
      </c>
      <c r="D24" s="195"/>
      <c r="E24" s="195"/>
      <c r="F24" s="195"/>
      <c r="G24" s="195"/>
      <c r="H24" s="195"/>
      <c r="I24" s="418">
        <f t="shared" si="0"/>
        <v>0</v>
      </c>
      <c r="J24" s="6"/>
    </row>
    <row r="25" spans="2:10" ht="12.75">
      <c r="B25" s="5"/>
      <c r="C25" s="470">
        <v>14</v>
      </c>
      <c r="D25" s="195"/>
      <c r="E25" s="195"/>
      <c r="F25" s="195"/>
      <c r="G25" s="195"/>
      <c r="H25" s="195"/>
      <c r="I25" s="418">
        <f t="shared" si="0"/>
        <v>0</v>
      </c>
      <c r="J25" s="6"/>
    </row>
    <row r="26" spans="2:10" ht="12.75">
      <c r="B26" s="5"/>
      <c r="C26" s="470">
        <v>15</v>
      </c>
      <c r="D26" s="195"/>
      <c r="E26" s="195"/>
      <c r="F26" s="195"/>
      <c r="G26" s="195"/>
      <c r="H26" s="195"/>
      <c r="I26" s="418">
        <f t="shared" si="0"/>
        <v>0</v>
      </c>
      <c r="J26" s="6"/>
    </row>
    <row r="27" spans="2:10" ht="12.75">
      <c r="B27" s="5"/>
      <c r="C27" s="424">
        <v>16</v>
      </c>
      <c r="D27" s="195"/>
      <c r="E27" s="195"/>
      <c r="F27" s="195"/>
      <c r="G27" s="195"/>
      <c r="H27" s="195"/>
      <c r="I27" s="418">
        <f t="shared" si="0"/>
        <v>0</v>
      </c>
      <c r="J27" s="6"/>
    </row>
    <row r="28" spans="2:10" ht="12.75">
      <c r="B28" s="5"/>
      <c r="C28" s="424">
        <v>17</v>
      </c>
      <c r="D28" s="195"/>
      <c r="E28" s="195"/>
      <c r="F28" s="195"/>
      <c r="G28" s="195"/>
      <c r="H28" s="195"/>
      <c r="I28" s="418">
        <f t="shared" si="0"/>
        <v>0</v>
      </c>
      <c r="J28" s="6"/>
    </row>
    <row r="29" spans="2:10" ht="12.75">
      <c r="B29" s="5"/>
      <c r="C29" s="424">
        <v>18</v>
      </c>
      <c r="D29" s="195"/>
      <c r="E29" s="195"/>
      <c r="F29" s="195"/>
      <c r="G29" s="195"/>
      <c r="H29" s="195"/>
      <c r="I29" s="418">
        <f t="shared" si="0"/>
        <v>0</v>
      </c>
      <c r="J29" s="6"/>
    </row>
    <row r="30" spans="2:10" ht="12.75">
      <c r="B30" s="5"/>
      <c r="C30" s="470">
        <v>19</v>
      </c>
      <c r="D30" s="195"/>
      <c r="E30" s="195"/>
      <c r="F30" s="195"/>
      <c r="G30" s="195"/>
      <c r="H30" s="195"/>
      <c r="I30" s="418">
        <f t="shared" si="0"/>
        <v>0</v>
      </c>
      <c r="J30" s="6"/>
    </row>
    <row r="31" spans="2:10" ht="12.75">
      <c r="B31" s="5"/>
      <c r="C31" s="470">
        <v>20</v>
      </c>
      <c r="D31" s="195"/>
      <c r="E31" s="195"/>
      <c r="F31" s="195"/>
      <c r="G31" s="195"/>
      <c r="H31" s="195"/>
      <c r="I31" s="418">
        <f t="shared" si="0"/>
        <v>0</v>
      </c>
      <c r="J31" s="6"/>
    </row>
    <row r="32" spans="2:10" ht="12.75">
      <c r="B32" s="5"/>
      <c r="C32" s="424">
        <v>21</v>
      </c>
      <c r="D32" s="195"/>
      <c r="E32" s="195"/>
      <c r="F32" s="195"/>
      <c r="G32" s="195"/>
      <c r="H32" s="195"/>
      <c r="I32" s="418">
        <f t="shared" si="0"/>
        <v>0</v>
      </c>
      <c r="J32" s="6"/>
    </row>
    <row r="33" spans="2:10" ht="12.75">
      <c r="B33" s="5"/>
      <c r="C33" s="424">
        <v>22</v>
      </c>
      <c r="D33" s="195"/>
      <c r="E33" s="195"/>
      <c r="F33" s="195"/>
      <c r="G33" s="195"/>
      <c r="H33" s="195"/>
      <c r="I33" s="418">
        <f t="shared" si="0"/>
        <v>0</v>
      </c>
      <c r="J33" s="6"/>
    </row>
    <row r="34" spans="2:10" ht="12.75">
      <c r="B34" s="5"/>
      <c r="C34" s="424">
        <v>23</v>
      </c>
      <c r="D34" s="195"/>
      <c r="E34" s="195"/>
      <c r="F34" s="195"/>
      <c r="G34" s="195"/>
      <c r="H34" s="195"/>
      <c r="I34" s="418">
        <f t="shared" si="0"/>
        <v>0</v>
      </c>
      <c r="J34" s="6"/>
    </row>
    <row r="35" spans="2:10" ht="12.75">
      <c r="B35" s="5"/>
      <c r="C35" s="470">
        <v>24</v>
      </c>
      <c r="D35" s="195"/>
      <c r="E35" s="195"/>
      <c r="F35" s="195"/>
      <c r="G35" s="195"/>
      <c r="H35" s="195"/>
      <c r="I35" s="418">
        <f t="shared" si="0"/>
        <v>0</v>
      </c>
      <c r="J35" s="6"/>
    </row>
    <row r="36" spans="2:10" ht="12.75">
      <c r="B36" s="5"/>
      <c r="C36" s="470">
        <v>25</v>
      </c>
      <c r="D36" s="195"/>
      <c r="E36" s="195"/>
      <c r="F36" s="195"/>
      <c r="G36" s="195"/>
      <c r="H36" s="195"/>
      <c r="I36" s="418">
        <f t="shared" si="0"/>
        <v>0</v>
      </c>
      <c r="J36" s="6"/>
    </row>
    <row r="37" spans="2:10" ht="12.75">
      <c r="B37" s="5"/>
      <c r="C37" s="424">
        <v>26</v>
      </c>
      <c r="D37" s="195"/>
      <c r="E37" s="195"/>
      <c r="F37" s="195"/>
      <c r="G37" s="195"/>
      <c r="H37" s="195"/>
      <c r="I37" s="418">
        <f t="shared" si="0"/>
        <v>0</v>
      </c>
      <c r="J37" s="6"/>
    </row>
    <row r="38" spans="2:10" ht="12.75">
      <c r="B38" s="5"/>
      <c r="C38" s="424">
        <v>27</v>
      </c>
      <c r="D38" s="195"/>
      <c r="E38" s="195"/>
      <c r="F38" s="195"/>
      <c r="G38" s="195"/>
      <c r="H38" s="195"/>
      <c r="I38" s="418">
        <f t="shared" si="0"/>
        <v>0</v>
      </c>
      <c r="J38" s="6"/>
    </row>
    <row r="39" spans="2:10" ht="12.75">
      <c r="B39" s="5"/>
      <c r="C39" s="424">
        <v>28</v>
      </c>
      <c r="D39" s="195"/>
      <c r="E39" s="195"/>
      <c r="F39" s="195"/>
      <c r="G39" s="195"/>
      <c r="H39" s="195"/>
      <c r="I39" s="418">
        <f t="shared" si="0"/>
        <v>0</v>
      </c>
      <c r="J39" s="6"/>
    </row>
    <row r="40" spans="2:10" ht="13.5" thickBot="1">
      <c r="B40" s="5"/>
      <c r="C40" s="471"/>
      <c r="D40" s="430"/>
      <c r="E40" s="430"/>
      <c r="F40" s="430"/>
      <c r="G40" s="430"/>
      <c r="H40" s="430"/>
      <c r="I40" s="431">
        <f t="shared" si="0"/>
        <v>0</v>
      </c>
      <c r="J40" s="6"/>
    </row>
    <row r="41" spans="2:10" ht="13.5" thickBot="1">
      <c r="B41" s="5"/>
      <c r="C41" s="1"/>
      <c r="D41" s="1337" t="s">
        <v>164</v>
      </c>
      <c r="E41" s="1337"/>
      <c r="F41" s="1337"/>
      <c r="G41" s="2"/>
      <c r="H41" s="2"/>
      <c r="I41" s="351">
        <f>SUM(I12:I40)</f>
        <v>0</v>
      </c>
      <c r="J41" s="6"/>
    </row>
    <row r="42" spans="2:10" ht="12.75">
      <c r="B42" s="5"/>
      <c r="C42" s="1"/>
      <c r="D42" s="1"/>
      <c r="E42" s="1"/>
      <c r="F42" s="1"/>
      <c r="G42" s="1"/>
      <c r="H42" s="1"/>
      <c r="I42" s="1"/>
      <c r="J42" s="6"/>
    </row>
    <row r="43" spans="2:10" ht="12.75">
      <c r="B43" s="5"/>
      <c r="C43" s="1"/>
      <c r="D43" s="1"/>
      <c r="E43" s="1"/>
      <c r="F43" s="1"/>
      <c r="G43" s="1"/>
      <c r="H43" s="1"/>
      <c r="I43" s="1"/>
      <c r="J43" s="6"/>
    </row>
    <row r="44" spans="2:10" ht="12.75">
      <c r="B44" s="5"/>
      <c r="C44" s="1"/>
      <c r="D44" s="1"/>
      <c r="E44" s="1"/>
      <c r="F44" s="1"/>
      <c r="G44" s="1"/>
      <c r="H44" s="1"/>
      <c r="I44" s="1"/>
      <c r="J44" s="6"/>
    </row>
    <row r="45" spans="2:10" ht="12.75">
      <c r="B45" s="5"/>
      <c r="C45" s="1"/>
      <c r="D45" s="1"/>
      <c r="E45" s="1"/>
      <c r="F45" s="1"/>
      <c r="G45" s="1"/>
      <c r="H45" s="1"/>
      <c r="I45" s="1"/>
      <c r="J45" s="6"/>
    </row>
    <row r="46" spans="2:10" ht="13.5" thickBot="1">
      <c r="B46" s="7"/>
      <c r="C46" s="8"/>
      <c r="D46" s="8"/>
      <c r="E46" s="8"/>
      <c r="F46" s="8"/>
      <c r="G46" s="8"/>
      <c r="H46" s="8"/>
      <c r="I46" s="8"/>
      <c r="J46" s="9"/>
    </row>
  </sheetData>
  <sheetProtection/>
  <mergeCells count="2">
    <mergeCell ref="C6:H6"/>
    <mergeCell ref="D41:F41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I56"/>
  <sheetViews>
    <sheetView zoomScalePageLayoutView="0" workbookViewId="0" topLeftCell="A1">
      <selection activeCell="D11" sqref="D11:D12"/>
    </sheetView>
  </sheetViews>
  <sheetFormatPr defaultColWidth="9.140625" defaultRowHeight="12.75"/>
  <cols>
    <col min="1" max="1" width="3.28125" style="0" customWidth="1"/>
    <col min="2" max="3" width="5.140625" style="0" customWidth="1"/>
    <col min="4" max="4" width="21.421875" style="0" customWidth="1"/>
    <col min="5" max="5" width="8.28125" style="0" customWidth="1"/>
    <col min="6" max="6" width="10.57421875" style="0" customWidth="1"/>
    <col min="7" max="8" width="15.00390625" style="0" customWidth="1"/>
    <col min="9" max="9" width="6.57421875" style="0" customWidth="1"/>
    <col min="10" max="10" width="6.140625" style="0" customWidth="1"/>
    <col min="11" max="11" width="5.28125" style="0" customWidth="1"/>
  </cols>
  <sheetData>
    <row r="3" spans="2:7" ht="12.75">
      <c r="B3" s="2"/>
      <c r="C3" s="51"/>
      <c r="D3" s="51"/>
      <c r="E3" s="51"/>
      <c r="F3" s="2"/>
      <c r="G3" s="2"/>
    </row>
    <row r="4" spans="2:7" ht="12.75">
      <c r="B4" s="2" t="s">
        <v>130</v>
      </c>
      <c r="C4" s="2" t="str">
        <f>'Kopertina '!F4</f>
        <v>FJORTES </v>
      </c>
      <c r="D4" s="2"/>
      <c r="E4" s="2"/>
      <c r="F4" s="2"/>
      <c r="G4" s="2"/>
    </row>
    <row r="5" spans="2:9" ht="12.75">
      <c r="B5" s="1"/>
      <c r="C5" s="1"/>
      <c r="D5" s="1"/>
      <c r="E5" s="1"/>
      <c r="F5" s="2"/>
      <c r="G5" s="2"/>
      <c r="H5" s="2"/>
      <c r="I5" s="2"/>
    </row>
    <row r="6" spans="2:8" ht="12.75">
      <c r="B6" s="1"/>
      <c r="C6" s="1337" t="s">
        <v>151</v>
      </c>
      <c r="D6" s="1337"/>
      <c r="E6" s="1337"/>
      <c r="F6" s="1337"/>
      <c r="G6" s="1337"/>
      <c r="H6" s="1337"/>
    </row>
    <row r="7" spans="2:9" ht="12.75">
      <c r="B7" s="1"/>
      <c r="C7" s="1"/>
      <c r="D7" s="1"/>
      <c r="E7" s="1"/>
      <c r="F7" s="1"/>
      <c r="G7" s="2" t="s">
        <v>131</v>
      </c>
      <c r="H7" s="19"/>
      <c r="I7" s="19">
        <f>'Kopertina '!F29</f>
        <v>2012</v>
      </c>
    </row>
    <row r="8" spans="2:7" ht="13.5" thickBot="1">
      <c r="B8" s="1"/>
      <c r="C8" s="1"/>
      <c r="D8" s="1"/>
      <c r="E8" s="1"/>
      <c r="F8" s="1"/>
      <c r="G8" s="1"/>
    </row>
    <row r="9" spans="2:9" ht="13.5" thickBot="1">
      <c r="B9" s="16"/>
      <c r="C9" s="17"/>
      <c r="D9" s="17"/>
      <c r="E9" s="17"/>
      <c r="F9" s="17"/>
      <c r="G9" s="17"/>
      <c r="H9" s="18"/>
      <c r="I9" s="1"/>
    </row>
    <row r="10" spans="2:9" ht="21" customHeight="1" thickBot="1">
      <c r="B10" s="5"/>
      <c r="C10" s="333" t="s">
        <v>1</v>
      </c>
      <c r="D10" s="198" t="s">
        <v>393</v>
      </c>
      <c r="E10" s="334" t="s">
        <v>394</v>
      </c>
      <c r="F10" s="334" t="s">
        <v>395</v>
      </c>
      <c r="G10" s="334" t="s">
        <v>269</v>
      </c>
      <c r="H10" s="335" t="s">
        <v>396</v>
      </c>
      <c r="I10" s="1"/>
    </row>
    <row r="11" spans="2:9" ht="12.75">
      <c r="B11" s="5"/>
      <c r="C11" s="40">
        <v>1</v>
      </c>
      <c r="D11" s="79" t="s">
        <v>944</v>
      </c>
      <c r="E11" s="79" t="s">
        <v>380</v>
      </c>
      <c r="F11" s="40">
        <v>1</v>
      </c>
      <c r="G11" s="40"/>
      <c r="H11" s="22">
        <f aca="true" t="shared" si="0" ref="H11:H41">F11*G11</f>
        <v>0</v>
      </c>
      <c r="I11" s="1"/>
    </row>
    <row r="12" spans="2:9" ht="12.75">
      <c r="B12" s="5"/>
      <c r="C12" s="22">
        <v>2</v>
      </c>
      <c r="D12" s="79" t="s">
        <v>945</v>
      </c>
      <c r="E12" s="22"/>
      <c r="F12" s="22"/>
      <c r="G12" s="22"/>
      <c r="H12" s="22">
        <f t="shared" si="0"/>
        <v>0</v>
      </c>
      <c r="I12" s="1"/>
    </row>
    <row r="13" spans="2:9" ht="12.75">
      <c r="B13" s="5"/>
      <c r="C13" s="22">
        <v>3</v>
      </c>
      <c r="D13" s="22"/>
      <c r="E13" s="22"/>
      <c r="F13" s="22"/>
      <c r="G13" s="22"/>
      <c r="H13" s="22">
        <f t="shared" si="0"/>
        <v>0</v>
      </c>
      <c r="I13" s="1"/>
    </row>
    <row r="14" spans="2:9" ht="12.75">
      <c r="B14" s="5"/>
      <c r="C14" s="100">
        <v>4</v>
      </c>
      <c r="D14" s="22"/>
      <c r="E14" s="22"/>
      <c r="F14" s="22"/>
      <c r="G14" s="22"/>
      <c r="H14" s="22">
        <f t="shared" si="0"/>
        <v>0</v>
      </c>
      <c r="I14" s="1"/>
    </row>
    <row r="15" spans="2:9" ht="12.75">
      <c r="B15" s="5"/>
      <c r="C15" s="100">
        <v>5</v>
      </c>
      <c r="D15" s="22"/>
      <c r="E15" s="22"/>
      <c r="F15" s="22"/>
      <c r="G15" s="22"/>
      <c r="H15" s="22">
        <f t="shared" si="0"/>
        <v>0</v>
      </c>
      <c r="I15" s="1"/>
    </row>
    <row r="16" spans="2:9" ht="12.75">
      <c r="B16" s="5"/>
      <c r="C16" s="22">
        <v>6</v>
      </c>
      <c r="D16" s="22"/>
      <c r="E16" s="22"/>
      <c r="F16" s="22"/>
      <c r="G16" s="22"/>
      <c r="H16" s="22">
        <f t="shared" si="0"/>
        <v>0</v>
      </c>
      <c r="I16" s="1"/>
    </row>
    <row r="17" spans="2:9" ht="12.75">
      <c r="B17" s="5"/>
      <c r="C17" s="22">
        <v>7</v>
      </c>
      <c r="D17" s="22"/>
      <c r="E17" s="22"/>
      <c r="F17" s="22"/>
      <c r="G17" s="22"/>
      <c r="H17" s="22">
        <f t="shared" si="0"/>
        <v>0</v>
      </c>
      <c r="I17" s="1"/>
    </row>
    <row r="18" spans="2:9" ht="12.75">
      <c r="B18" s="5"/>
      <c r="C18" s="22">
        <v>8</v>
      </c>
      <c r="D18" s="22"/>
      <c r="E18" s="22"/>
      <c r="F18" s="22"/>
      <c r="G18" s="22"/>
      <c r="H18" s="22">
        <f t="shared" si="0"/>
        <v>0</v>
      </c>
      <c r="I18" s="1"/>
    </row>
    <row r="19" spans="2:9" ht="12.75">
      <c r="B19" s="5"/>
      <c r="C19" s="100">
        <v>9</v>
      </c>
      <c r="D19" s="22"/>
      <c r="E19" s="22"/>
      <c r="F19" s="22"/>
      <c r="G19" s="22"/>
      <c r="H19" s="22">
        <f t="shared" si="0"/>
        <v>0</v>
      </c>
      <c r="I19" s="1"/>
    </row>
    <row r="20" spans="2:9" ht="12.75">
      <c r="B20" s="5"/>
      <c r="C20" s="100">
        <v>10</v>
      </c>
      <c r="D20" s="22"/>
      <c r="E20" s="22"/>
      <c r="F20" s="22"/>
      <c r="G20" s="22"/>
      <c r="H20" s="22">
        <f t="shared" si="0"/>
        <v>0</v>
      </c>
      <c r="I20" s="1"/>
    </row>
    <row r="21" spans="2:9" ht="12.75">
      <c r="B21" s="5"/>
      <c r="C21" s="22">
        <v>11</v>
      </c>
      <c r="D21" s="22"/>
      <c r="E21" s="22"/>
      <c r="F21" s="22"/>
      <c r="G21" s="22"/>
      <c r="H21" s="22">
        <f t="shared" si="0"/>
        <v>0</v>
      </c>
      <c r="I21" s="1"/>
    </row>
    <row r="22" spans="2:9" ht="12.75">
      <c r="B22" s="5"/>
      <c r="C22" s="22">
        <v>12</v>
      </c>
      <c r="D22" s="22"/>
      <c r="E22" s="22"/>
      <c r="F22" s="22"/>
      <c r="G22" s="22"/>
      <c r="H22" s="22">
        <f t="shared" si="0"/>
        <v>0</v>
      </c>
      <c r="I22" s="1"/>
    </row>
    <row r="23" spans="2:9" ht="12.75">
      <c r="B23" s="5"/>
      <c r="C23" s="22">
        <v>13</v>
      </c>
      <c r="D23" s="22"/>
      <c r="E23" s="22"/>
      <c r="F23" s="22"/>
      <c r="G23" s="22"/>
      <c r="H23" s="22">
        <f t="shared" si="0"/>
        <v>0</v>
      </c>
      <c r="I23" s="1"/>
    </row>
    <row r="24" spans="2:9" ht="12.75">
      <c r="B24" s="5"/>
      <c r="C24" s="100">
        <v>14</v>
      </c>
      <c r="D24" s="22"/>
      <c r="E24" s="22"/>
      <c r="F24" s="22"/>
      <c r="G24" s="22"/>
      <c r="H24" s="22">
        <f t="shared" si="0"/>
        <v>0</v>
      </c>
      <c r="I24" s="1"/>
    </row>
    <row r="25" spans="2:9" ht="12.75">
      <c r="B25" s="5"/>
      <c r="C25" s="100">
        <v>15</v>
      </c>
      <c r="D25" s="22"/>
      <c r="E25" s="22"/>
      <c r="F25" s="22"/>
      <c r="G25" s="22"/>
      <c r="H25" s="22">
        <f t="shared" si="0"/>
        <v>0</v>
      </c>
      <c r="I25" s="1"/>
    </row>
    <row r="26" spans="2:9" ht="12.75">
      <c r="B26" s="5"/>
      <c r="C26" s="22">
        <v>16</v>
      </c>
      <c r="D26" s="22"/>
      <c r="E26" s="22"/>
      <c r="F26" s="22"/>
      <c r="G26" s="22"/>
      <c r="H26" s="22">
        <f t="shared" si="0"/>
        <v>0</v>
      </c>
      <c r="I26" s="1"/>
    </row>
    <row r="27" spans="2:9" ht="12.75">
      <c r="B27" s="5"/>
      <c r="C27" s="22">
        <v>17</v>
      </c>
      <c r="D27" s="22"/>
      <c r="E27" s="22"/>
      <c r="F27" s="22"/>
      <c r="G27" s="22"/>
      <c r="H27" s="22">
        <f t="shared" si="0"/>
        <v>0</v>
      </c>
      <c r="I27" s="1"/>
    </row>
    <row r="28" spans="2:9" ht="12.75">
      <c r="B28" s="5"/>
      <c r="C28" s="22">
        <v>18</v>
      </c>
      <c r="D28" s="22"/>
      <c r="E28" s="22"/>
      <c r="F28" s="22"/>
      <c r="G28" s="22"/>
      <c r="H28" s="22">
        <f t="shared" si="0"/>
        <v>0</v>
      </c>
      <c r="I28" s="1"/>
    </row>
    <row r="29" spans="2:9" ht="12.75">
      <c r="B29" s="5"/>
      <c r="C29" s="100">
        <v>19</v>
      </c>
      <c r="D29" s="22"/>
      <c r="E29" s="22"/>
      <c r="F29" s="22"/>
      <c r="G29" s="22"/>
      <c r="H29" s="22">
        <f t="shared" si="0"/>
        <v>0</v>
      </c>
      <c r="I29" s="1"/>
    </row>
    <row r="30" spans="2:9" ht="12.75">
      <c r="B30" s="5"/>
      <c r="C30" s="100">
        <v>20</v>
      </c>
      <c r="D30" s="22"/>
      <c r="E30" s="22"/>
      <c r="F30" s="22"/>
      <c r="G30" s="22"/>
      <c r="H30" s="22">
        <f t="shared" si="0"/>
        <v>0</v>
      </c>
      <c r="I30" s="1"/>
    </row>
    <row r="31" spans="2:9" ht="12.75">
      <c r="B31" s="5"/>
      <c r="C31" s="22">
        <v>21</v>
      </c>
      <c r="D31" s="22"/>
      <c r="E31" s="22"/>
      <c r="F31" s="22"/>
      <c r="G31" s="22"/>
      <c r="H31" s="22">
        <f t="shared" si="0"/>
        <v>0</v>
      </c>
      <c r="I31" s="1"/>
    </row>
    <row r="32" spans="2:9" ht="12.75">
      <c r="B32" s="5"/>
      <c r="C32" s="22">
        <v>22</v>
      </c>
      <c r="D32" s="22"/>
      <c r="E32" s="22"/>
      <c r="F32" s="22"/>
      <c r="G32" s="22"/>
      <c r="H32" s="22">
        <f t="shared" si="0"/>
        <v>0</v>
      </c>
      <c r="I32" s="1"/>
    </row>
    <row r="33" spans="2:9" ht="12.75">
      <c r="B33" s="5"/>
      <c r="C33" s="22">
        <v>23</v>
      </c>
      <c r="D33" s="22"/>
      <c r="E33" s="22"/>
      <c r="F33" s="22"/>
      <c r="G33" s="22"/>
      <c r="H33" s="22">
        <f t="shared" si="0"/>
        <v>0</v>
      </c>
      <c r="I33" s="1"/>
    </row>
    <row r="34" spans="2:9" ht="12.75">
      <c r="B34" s="5"/>
      <c r="C34" s="100">
        <v>24</v>
      </c>
      <c r="D34" s="22"/>
      <c r="E34" s="22"/>
      <c r="F34" s="22"/>
      <c r="G34" s="22"/>
      <c r="H34" s="22">
        <f t="shared" si="0"/>
        <v>0</v>
      </c>
      <c r="I34" s="1"/>
    </row>
    <row r="35" spans="2:9" ht="12.75">
      <c r="B35" s="5"/>
      <c r="C35" s="100">
        <v>25</v>
      </c>
      <c r="D35" s="22"/>
      <c r="E35" s="22"/>
      <c r="F35" s="22"/>
      <c r="G35" s="22"/>
      <c r="H35" s="22">
        <f t="shared" si="0"/>
        <v>0</v>
      </c>
      <c r="I35" s="1"/>
    </row>
    <row r="36" spans="2:9" ht="12.75">
      <c r="B36" s="5"/>
      <c r="C36" s="22">
        <v>26</v>
      </c>
      <c r="D36" s="22"/>
      <c r="E36" s="22"/>
      <c r="F36" s="22"/>
      <c r="G36" s="22"/>
      <c r="H36" s="22">
        <f t="shared" si="0"/>
        <v>0</v>
      </c>
      <c r="I36" s="1"/>
    </row>
    <row r="37" spans="2:9" ht="12.75">
      <c r="B37" s="5"/>
      <c r="C37" s="22">
        <v>27</v>
      </c>
      <c r="D37" s="22"/>
      <c r="E37" s="22"/>
      <c r="F37" s="22"/>
      <c r="G37" s="22"/>
      <c r="H37" s="22">
        <f t="shared" si="0"/>
        <v>0</v>
      </c>
      <c r="I37" s="1"/>
    </row>
    <row r="38" spans="2:9" ht="12.75">
      <c r="B38" s="5"/>
      <c r="C38" s="22">
        <v>28</v>
      </c>
      <c r="D38" s="22"/>
      <c r="E38" s="22"/>
      <c r="F38" s="22"/>
      <c r="G38" s="22"/>
      <c r="H38" s="22">
        <f t="shared" si="0"/>
        <v>0</v>
      </c>
      <c r="I38" s="1"/>
    </row>
    <row r="39" spans="2:9" ht="12.75">
      <c r="B39" s="5"/>
      <c r="C39" s="100">
        <v>29</v>
      </c>
      <c r="D39" s="22"/>
      <c r="E39" s="22"/>
      <c r="F39" s="22"/>
      <c r="G39" s="22"/>
      <c r="H39" s="22">
        <f t="shared" si="0"/>
        <v>0</v>
      </c>
      <c r="I39" s="1"/>
    </row>
    <row r="40" spans="2:9" ht="12.75">
      <c r="B40" s="5"/>
      <c r="C40" s="100">
        <v>30</v>
      </c>
      <c r="D40" s="22"/>
      <c r="E40" s="22"/>
      <c r="F40" s="22"/>
      <c r="G40" s="22"/>
      <c r="H40" s="22">
        <f t="shared" si="0"/>
        <v>0</v>
      </c>
      <c r="I40" s="1"/>
    </row>
    <row r="41" spans="2:9" ht="12.75">
      <c r="B41" s="5"/>
      <c r="C41" s="22">
        <v>31</v>
      </c>
      <c r="D41" s="22"/>
      <c r="E41" s="22"/>
      <c r="F41" s="22"/>
      <c r="G41" s="22"/>
      <c r="H41" s="22">
        <f t="shared" si="0"/>
        <v>0</v>
      </c>
      <c r="I41" s="1"/>
    </row>
    <row r="42" spans="2:9" ht="12.75">
      <c r="B42" s="5"/>
      <c r="C42" s="1"/>
      <c r="D42" s="1"/>
      <c r="E42" s="1"/>
      <c r="F42" s="1"/>
      <c r="G42" s="1"/>
      <c r="H42" s="6"/>
      <c r="I42" s="1"/>
    </row>
    <row r="43" spans="2:9" ht="13.5" thickBot="1">
      <c r="B43" s="5"/>
      <c r="C43" s="1"/>
      <c r="D43" s="1"/>
      <c r="E43" s="1"/>
      <c r="F43" s="1"/>
      <c r="G43" s="1"/>
      <c r="H43" s="6"/>
      <c r="I43" s="1"/>
    </row>
    <row r="44" spans="2:9" ht="13.5" thickBot="1">
      <c r="B44" s="5"/>
      <c r="C44" s="1"/>
      <c r="D44" s="1337" t="s">
        <v>164</v>
      </c>
      <c r="E44" s="1337"/>
      <c r="F44" s="1337"/>
      <c r="G44" s="1337"/>
      <c r="H44" s="87">
        <f>SUM(H11:H43)</f>
        <v>0</v>
      </c>
      <c r="I44" s="1"/>
    </row>
    <row r="45" spans="2:9" ht="12.75">
      <c r="B45" s="5"/>
      <c r="C45" s="1"/>
      <c r="D45" s="1"/>
      <c r="E45" s="1"/>
      <c r="F45" s="1"/>
      <c r="G45" s="1"/>
      <c r="H45" s="6"/>
      <c r="I45" s="1"/>
    </row>
    <row r="46" spans="2:9" ht="12.75">
      <c r="B46" s="5"/>
      <c r="C46" s="1"/>
      <c r="D46" s="1"/>
      <c r="E46" s="1"/>
      <c r="F46" s="1"/>
      <c r="G46" s="1"/>
      <c r="H46" s="6"/>
      <c r="I46" s="1"/>
    </row>
    <row r="47" spans="2:9" ht="12.75">
      <c r="B47" s="5"/>
      <c r="C47" s="1"/>
      <c r="D47" s="1"/>
      <c r="E47" s="1"/>
      <c r="F47" s="1"/>
      <c r="G47" s="1"/>
      <c r="H47" s="6"/>
      <c r="I47" s="1"/>
    </row>
    <row r="48" spans="2:9" ht="12.75">
      <c r="B48" s="5"/>
      <c r="C48" s="1"/>
      <c r="D48" s="1"/>
      <c r="E48" s="1"/>
      <c r="F48" s="1"/>
      <c r="G48" s="1"/>
      <c r="H48" s="6"/>
      <c r="I48" s="1"/>
    </row>
    <row r="49" spans="2:9" ht="12.75">
      <c r="B49" s="5"/>
      <c r="C49" s="1"/>
      <c r="D49" s="1"/>
      <c r="E49" s="1"/>
      <c r="F49" s="1"/>
      <c r="G49" s="1"/>
      <c r="H49" s="6"/>
      <c r="I49" s="1"/>
    </row>
    <row r="50" spans="2:9" ht="12.75">
      <c r="B50" s="5"/>
      <c r="C50" s="1"/>
      <c r="D50" s="1"/>
      <c r="E50" s="1"/>
      <c r="F50" s="1"/>
      <c r="G50" s="1"/>
      <c r="H50" s="6"/>
      <c r="I50" s="1"/>
    </row>
    <row r="51" spans="2:9" ht="12.75">
      <c r="B51" s="5"/>
      <c r="C51" s="1"/>
      <c r="D51" s="1"/>
      <c r="E51" s="1"/>
      <c r="F51" s="1"/>
      <c r="G51" s="1"/>
      <c r="H51" s="6"/>
      <c r="I51" s="1"/>
    </row>
    <row r="52" spans="2:9" ht="12.75">
      <c r="B52" s="5"/>
      <c r="C52" s="1"/>
      <c r="D52" s="1"/>
      <c r="E52" s="1"/>
      <c r="F52" s="1"/>
      <c r="G52" s="1"/>
      <c r="H52" s="6"/>
      <c r="I52" s="1"/>
    </row>
    <row r="53" spans="2:9" ht="12.75">
      <c r="B53" s="5"/>
      <c r="C53" s="1"/>
      <c r="D53" s="1"/>
      <c r="E53" s="1"/>
      <c r="F53" s="1"/>
      <c r="G53" s="1"/>
      <c r="H53" s="6"/>
      <c r="I53" s="1"/>
    </row>
    <row r="54" spans="2:9" ht="12.75">
      <c r="B54" s="5"/>
      <c r="C54" s="1"/>
      <c r="D54" s="1"/>
      <c r="E54" s="1"/>
      <c r="F54" s="1"/>
      <c r="G54" s="1"/>
      <c r="H54" s="6"/>
      <c r="I54" s="1"/>
    </row>
    <row r="55" spans="2:9" ht="12.75">
      <c r="B55" s="5"/>
      <c r="C55" s="1"/>
      <c r="D55" s="1"/>
      <c r="E55" s="1"/>
      <c r="F55" s="1"/>
      <c r="G55" s="1"/>
      <c r="H55" s="6"/>
      <c r="I55" s="1"/>
    </row>
    <row r="56" spans="2:9" ht="13.5" thickBot="1">
      <c r="B56" s="7"/>
      <c r="C56" s="8"/>
      <c r="D56" s="8"/>
      <c r="E56" s="8"/>
      <c r="F56" s="8"/>
      <c r="G56" s="8"/>
      <c r="H56" s="9"/>
      <c r="I56" s="8"/>
    </row>
  </sheetData>
  <sheetProtection/>
  <mergeCells count="2">
    <mergeCell ref="C6:H6"/>
    <mergeCell ref="D44:G44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J54"/>
  <sheetViews>
    <sheetView zoomScalePageLayoutView="0" workbookViewId="0" topLeftCell="A19">
      <selection activeCell="D16" sqref="D16"/>
    </sheetView>
  </sheetViews>
  <sheetFormatPr defaultColWidth="9.140625" defaultRowHeight="12.75"/>
  <cols>
    <col min="1" max="1" width="3.7109375" style="0" customWidth="1"/>
    <col min="2" max="2" width="7.00390625" style="0" customWidth="1"/>
    <col min="3" max="3" width="4.8515625" style="0" customWidth="1"/>
    <col min="4" max="4" width="19.7109375" style="0" customWidth="1"/>
    <col min="5" max="5" width="8.8515625" style="0" customWidth="1"/>
    <col min="6" max="6" width="10.57421875" style="0" customWidth="1"/>
    <col min="7" max="7" width="9.57421875" style="0" customWidth="1"/>
    <col min="8" max="8" width="16.00390625" style="0" customWidth="1"/>
    <col min="9" max="9" width="4.57421875" style="0" customWidth="1"/>
    <col min="10" max="10" width="7.00390625" style="0" customWidth="1"/>
    <col min="11" max="11" width="4.28125" style="0" customWidth="1"/>
  </cols>
  <sheetData>
    <row r="3" spans="2:8" ht="12.75">
      <c r="B3" s="2"/>
      <c r="C3" s="51"/>
      <c r="D3" s="51"/>
      <c r="E3" s="51"/>
      <c r="F3" s="51"/>
      <c r="G3" s="2"/>
      <c r="H3" s="2"/>
    </row>
    <row r="4" spans="2:8" ht="12.75">
      <c r="B4" s="2" t="s">
        <v>130</v>
      </c>
      <c r="C4" s="2" t="str">
        <f>'Kopertina '!F4</f>
        <v>FJORTES </v>
      </c>
      <c r="D4" s="2"/>
      <c r="E4" s="2"/>
      <c r="F4" s="2"/>
      <c r="G4" s="2"/>
      <c r="H4" s="2"/>
    </row>
    <row r="5" spans="2:10" ht="12.75">
      <c r="B5" s="1"/>
      <c r="C5" s="1"/>
      <c r="D5" s="1"/>
      <c r="E5" s="1"/>
      <c r="F5" s="1"/>
      <c r="G5" s="2"/>
      <c r="H5" s="2"/>
      <c r="I5" s="2"/>
      <c r="J5" s="2" t="s">
        <v>275</v>
      </c>
    </row>
    <row r="6" spans="2:9" ht="12.75">
      <c r="B6" s="1"/>
      <c r="C6" s="1337" t="s">
        <v>150</v>
      </c>
      <c r="D6" s="1337"/>
      <c r="E6" s="1337"/>
      <c r="F6" s="1337"/>
      <c r="G6" s="1337"/>
      <c r="H6" s="1337"/>
      <c r="I6" s="1337"/>
    </row>
    <row r="7" spans="2:10" ht="13.5" thickBot="1">
      <c r="B7" s="1"/>
      <c r="C7" s="1"/>
      <c r="D7" s="1"/>
      <c r="E7" s="1"/>
      <c r="F7" s="1"/>
      <c r="G7" s="1"/>
      <c r="H7" s="2" t="s">
        <v>131</v>
      </c>
      <c r="I7" s="19"/>
      <c r="J7" s="19">
        <f>'Kopertina '!F29</f>
        <v>2012</v>
      </c>
    </row>
    <row r="8" spans="2:8" ht="13.5" thickBot="1">
      <c r="B8" s="16"/>
      <c r="C8" s="17"/>
      <c r="D8" s="17"/>
      <c r="E8" s="17"/>
      <c r="F8" s="17"/>
      <c r="G8" s="17"/>
      <c r="H8" s="18"/>
    </row>
    <row r="9" spans="2:8" ht="20.25" customHeight="1" thickBot="1">
      <c r="B9" s="5"/>
      <c r="C9" s="333" t="s">
        <v>1</v>
      </c>
      <c r="D9" s="198" t="s">
        <v>393</v>
      </c>
      <c r="E9" s="334" t="s">
        <v>394</v>
      </c>
      <c r="F9" s="334" t="s">
        <v>395</v>
      </c>
      <c r="G9" s="334" t="s">
        <v>269</v>
      </c>
      <c r="H9" s="335" t="s">
        <v>396</v>
      </c>
    </row>
    <row r="10" spans="2:8" ht="12.75">
      <c r="B10" s="5"/>
      <c r="C10" s="40">
        <v>1</v>
      </c>
      <c r="D10" s="40" t="s">
        <v>933</v>
      </c>
      <c r="E10" s="40" t="s">
        <v>157</v>
      </c>
      <c r="F10" s="40"/>
      <c r="G10" s="40"/>
      <c r="H10" s="336">
        <f>F10*G10</f>
        <v>0</v>
      </c>
    </row>
    <row r="11" spans="2:8" ht="12.75">
      <c r="B11" s="5"/>
      <c r="C11" s="22">
        <v>2</v>
      </c>
      <c r="D11" s="22" t="s">
        <v>934</v>
      </c>
      <c r="E11" s="22"/>
      <c r="F11" s="22"/>
      <c r="G11" s="22"/>
      <c r="H11" s="223">
        <f aca="true" t="shared" si="0" ref="H11:H40">F11*G11</f>
        <v>0</v>
      </c>
    </row>
    <row r="12" spans="2:8" ht="12.75">
      <c r="B12" s="5"/>
      <c r="C12" s="22">
        <v>3</v>
      </c>
      <c r="D12" s="22" t="s">
        <v>935</v>
      </c>
      <c r="E12" s="22"/>
      <c r="F12" s="22"/>
      <c r="G12" s="22"/>
      <c r="H12" s="223">
        <f t="shared" si="0"/>
        <v>0</v>
      </c>
    </row>
    <row r="13" spans="2:8" ht="12.75">
      <c r="B13" s="5"/>
      <c r="C13" s="100">
        <v>4</v>
      </c>
      <c r="D13" s="22" t="s">
        <v>935</v>
      </c>
      <c r="E13" s="22"/>
      <c r="F13" s="22"/>
      <c r="G13" s="22"/>
      <c r="H13" s="223">
        <f t="shared" si="0"/>
        <v>0</v>
      </c>
    </row>
    <row r="14" spans="2:8" ht="12.75">
      <c r="B14" s="5"/>
      <c r="C14" s="100">
        <v>5</v>
      </c>
      <c r="D14" s="22" t="s">
        <v>936</v>
      </c>
      <c r="E14" s="22"/>
      <c r="F14" s="22"/>
      <c r="G14" s="22"/>
      <c r="H14" s="223">
        <f t="shared" si="0"/>
        <v>0</v>
      </c>
    </row>
    <row r="15" spans="2:8" ht="12.75">
      <c r="B15" s="5"/>
      <c r="C15" s="22">
        <v>6</v>
      </c>
      <c r="D15" s="22" t="s">
        <v>937</v>
      </c>
      <c r="E15" s="22"/>
      <c r="F15" s="22"/>
      <c r="G15" s="22"/>
      <c r="H15" s="223">
        <f t="shared" si="0"/>
        <v>0</v>
      </c>
    </row>
    <row r="16" spans="2:8" ht="12.75">
      <c r="B16" s="5"/>
      <c r="C16" s="22">
        <v>7</v>
      </c>
      <c r="D16" s="22" t="s">
        <v>938</v>
      </c>
      <c r="E16" s="22"/>
      <c r="F16" s="22"/>
      <c r="G16" s="22"/>
      <c r="H16" s="223">
        <f t="shared" si="0"/>
        <v>0</v>
      </c>
    </row>
    <row r="17" spans="2:8" ht="12.75">
      <c r="B17" s="5"/>
      <c r="C17" s="22">
        <v>8</v>
      </c>
      <c r="D17" s="22"/>
      <c r="E17" s="22"/>
      <c r="F17" s="22"/>
      <c r="G17" s="22"/>
      <c r="H17" s="223">
        <f t="shared" si="0"/>
        <v>0</v>
      </c>
    </row>
    <row r="18" spans="2:8" ht="12.75">
      <c r="B18" s="5"/>
      <c r="C18" s="100">
        <v>9</v>
      </c>
      <c r="D18" s="22"/>
      <c r="E18" s="22"/>
      <c r="F18" s="22"/>
      <c r="G18" s="22"/>
      <c r="H18" s="223">
        <f t="shared" si="0"/>
        <v>0</v>
      </c>
    </row>
    <row r="19" spans="2:8" ht="12.75">
      <c r="B19" s="5"/>
      <c r="C19" s="100">
        <v>10</v>
      </c>
      <c r="D19" s="22"/>
      <c r="E19" s="22"/>
      <c r="F19" s="22"/>
      <c r="G19" s="22"/>
      <c r="H19" s="223">
        <f t="shared" si="0"/>
        <v>0</v>
      </c>
    </row>
    <row r="20" spans="2:8" ht="12.75">
      <c r="B20" s="5"/>
      <c r="C20" s="22">
        <v>11</v>
      </c>
      <c r="D20" s="22"/>
      <c r="E20" s="22"/>
      <c r="F20" s="22"/>
      <c r="G20" s="22"/>
      <c r="H20" s="223">
        <f t="shared" si="0"/>
        <v>0</v>
      </c>
    </row>
    <row r="21" spans="2:8" ht="12.75">
      <c r="B21" s="5"/>
      <c r="C21" s="22">
        <v>12</v>
      </c>
      <c r="D21" s="22"/>
      <c r="E21" s="22"/>
      <c r="F21" s="22"/>
      <c r="G21" s="22"/>
      <c r="H21" s="223">
        <f t="shared" si="0"/>
        <v>0</v>
      </c>
    </row>
    <row r="22" spans="2:8" ht="12.75">
      <c r="B22" s="5"/>
      <c r="C22" s="22">
        <v>13</v>
      </c>
      <c r="D22" s="22"/>
      <c r="E22" s="22"/>
      <c r="F22" s="22"/>
      <c r="G22" s="22"/>
      <c r="H22" s="223">
        <f t="shared" si="0"/>
        <v>0</v>
      </c>
    </row>
    <row r="23" spans="2:8" ht="12.75">
      <c r="B23" s="5"/>
      <c r="C23" s="100">
        <v>14</v>
      </c>
      <c r="D23" s="22"/>
      <c r="E23" s="22"/>
      <c r="F23" s="22"/>
      <c r="G23" s="22"/>
      <c r="H23" s="223">
        <f t="shared" si="0"/>
        <v>0</v>
      </c>
    </row>
    <row r="24" spans="2:8" ht="12.75">
      <c r="B24" s="5"/>
      <c r="C24" s="100">
        <v>15</v>
      </c>
      <c r="D24" s="22"/>
      <c r="E24" s="22"/>
      <c r="F24" s="22"/>
      <c r="G24" s="22"/>
      <c r="H24" s="223">
        <f t="shared" si="0"/>
        <v>0</v>
      </c>
    </row>
    <row r="25" spans="2:8" ht="12.75">
      <c r="B25" s="5"/>
      <c r="C25" s="22">
        <v>16</v>
      </c>
      <c r="D25" s="22"/>
      <c r="E25" s="22"/>
      <c r="F25" s="22"/>
      <c r="G25" s="22"/>
      <c r="H25" s="223">
        <f t="shared" si="0"/>
        <v>0</v>
      </c>
    </row>
    <row r="26" spans="2:8" ht="12.75">
      <c r="B26" s="5"/>
      <c r="C26" s="22">
        <v>17</v>
      </c>
      <c r="D26" s="22"/>
      <c r="E26" s="22"/>
      <c r="F26" s="22"/>
      <c r="G26" s="22"/>
      <c r="H26" s="223">
        <f t="shared" si="0"/>
        <v>0</v>
      </c>
    </row>
    <row r="27" spans="2:8" ht="12.75">
      <c r="B27" s="5"/>
      <c r="C27" s="22">
        <v>18</v>
      </c>
      <c r="D27" s="22"/>
      <c r="E27" s="22"/>
      <c r="F27" s="22"/>
      <c r="G27" s="22"/>
      <c r="H27" s="223">
        <f t="shared" si="0"/>
        <v>0</v>
      </c>
    </row>
    <row r="28" spans="2:8" ht="12.75">
      <c r="B28" s="5"/>
      <c r="C28" s="100">
        <v>19</v>
      </c>
      <c r="D28" s="22"/>
      <c r="E28" s="22"/>
      <c r="F28" s="22"/>
      <c r="G28" s="22"/>
      <c r="H28" s="223">
        <f t="shared" si="0"/>
        <v>0</v>
      </c>
    </row>
    <row r="29" spans="2:8" ht="12.75">
      <c r="B29" s="5"/>
      <c r="C29" s="100">
        <v>20</v>
      </c>
      <c r="D29" s="22"/>
      <c r="E29" s="22"/>
      <c r="F29" s="22"/>
      <c r="G29" s="22"/>
      <c r="H29" s="223">
        <f t="shared" si="0"/>
        <v>0</v>
      </c>
    </row>
    <row r="30" spans="2:8" ht="12.75">
      <c r="B30" s="5"/>
      <c r="C30" s="22">
        <v>21</v>
      </c>
      <c r="D30" s="22"/>
      <c r="E30" s="22"/>
      <c r="F30" s="22"/>
      <c r="G30" s="22"/>
      <c r="H30" s="223">
        <f t="shared" si="0"/>
        <v>0</v>
      </c>
    </row>
    <row r="31" spans="2:8" ht="12.75">
      <c r="B31" s="5"/>
      <c r="C31" s="22">
        <v>22</v>
      </c>
      <c r="D31" s="22"/>
      <c r="E31" s="22"/>
      <c r="F31" s="22"/>
      <c r="G31" s="22"/>
      <c r="H31" s="223">
        <f t="shared" si="0"/>
        <v>0</v>
      </c>
    </row>
    <row r="32" spans="2:8" ht="12.75">
      <c r="B32" s="5"/>
      <c r="C32" s="22">
        <v>23</v>
      </c>
      <c r="D32" s="22"/>
      <c r="E32" s="22"/>
      <c r="F32" s="22"/>
      <c r="G32" s="22"/>
      <c r="H32" s="223">
        <f t="shared" si="0"/>
        <v>0</v>
      </c>
    </row>
    <row r="33" spans="2:8" ht="12.75">
      <c r="B33" s="5"/>
      <c r="C33" s="100">
        <v>24</v>
      </c>
      <c r="D33" s="22"/>
      <c r="E33" s="22"/>
      <c r="F33" s="22"/>
      <c r="G33" s="22"/>
      <c r="H33" s="223">
        <f t="shared" si="0"/>
        <v>0</v>
      </c>
    </row>
    <row r="34" spans="2:8" ht="12.75">
      <c r="B34" s="5"/>
      <c r="C34" s="100">
        <v>25</v>
      </c>
      <c r="D34" s="22"/>
      <c r="E34" s="22"/>
      <c r="F34" s="22"/>
      <c r="G34" s="22"/>
      <c r="H34" s="223">
        <f t="shared" si="0"/>
        <v>0</v>
      </c>
    </row>
    <row r="35" spans="2:8" ht="12.75">
      <c r="B35" s="5"/>
      <c r="C35" s="22">
        <v>26</v>
      </c>
      <c r="D35" s="22"/>
      <c r="E35" s="22"/>
      <c r="F35" s="22"/>
      <c r="G35" s="22"/>
      <c r="H35" s="223">
        <f t="shared" si="0"/>
        <v>0</v>
      </c>
    </row>
    <row r="36" spans="2:8" ht="12.75">
      <c r="B36" s="5"/>
      <c r="C36" s="22">
        <v>27</v>
      </c>
      <c r="D36" s="22"/>
      <c r="E36" s="22"/>
      <c r="F36" s="22"/>
      <c r="G36" s="22"/>
      <c r="H36" s="223">
        <f t="shared" si="0"/>
        <v>0</v>
      </c>
    </row>
    <row r="37" spans="2:8" ht="12.75">
      <c r="B37" s="5"/>
      <c r="C37" s="22">
        <v>28</v>
      </c>
      <c r="D37" s="22"/>
      <c r="E37" s="22"/>
      <c r="F37" s="22"/>
      <c r="G37" s="22"/>
      <c r="H37" s="223">
        <f t="shared" si="0"/>
        <v>0</v>
      </c>
    </row>
    <row r="38" spans="2:8" ht="12.75">
      <c r="B38" s="5"/>
      <c r="C38" s="100">
        <v>29</v>
      </c>
      <c r="D38" s="22"/>
      <c r="E38" s="22"/>
      <c r="F38" s="22"/>
      <c r="G38" s="22"/>
      <c r="H38" s="223">
        <f t="shared" si="0"/>
        <v>0</v>
      </c>
    </row>
    <row r="39" spans="2:8" ht="12.75">
      <c r="B39" s="5"/>
      <c r="C39" s="100">
        <v>30</v>
      </c>
      <c r="D39" s="22"/>
      <c r="E39" s="22"/>
      <c r="F39" s="22"/>
      <c r="G39" s="22"/>
      <c r="H39" s="223">
        <f t="shared" si="0"/>
        <v>0</v>
      </c>
    </row>
    <row r="40" spans="2:8" ht="12.75">
      <c r="B40" s="5"/>
      <c r="C40" s="22">
        <v>31</v>
      </c>
      <c r="D40" s="22"/>
      <c r="E40" s="22"/>
      <c r="F40" s="22"/>
      <c r="G40" s="22"/>
      <c r="H40" s="223">
        <f t="shared" si="0"/>
        <v>0</v>
      </c>
    </row>
    <row r="41" spans="2:8" ht="12.75">
      <c r="B41" s="5"/>
      <c r="C41" s="1"/>
      <c r="D41" s="1"/>
      <c r="E41" s="1"/>
      <c r="F41" s="1"/>
      <c r="G41" s="1"/>
      <c r="H41" s="6"/>
    </row>
    <row r="42" spans="2:8" ht="13.5" thickBot="1">
      <c r="B42" s="5"/>
      <c r="C42" s="1"/>
      <c r="D42" s="1"/>
      <c r="E42" s="1"/>
      <c r="F42" s="1"/>
      <c r="G42" s="1"/>
      <c r="H42" s="6"/>
    </row>
    <row r="43" spans="2:8" ht="13.5" thickBot="1">
      <c r="B43" s="5"/>
      <c r="C43" s="1"/>
      <c r="D43" s="1362" t="s">
        <v>164</v>
      </c>
      <c r="E43" s="1362"/>
      <c r="F43" s="1362"/>
      <c r="G43" s="1362"/>
      <c r="H43" s="44">
        <f>SUM(H10:H42)</f>
        <v>0</v>
      </c>
    </row>
    <row r="44" spans="2:8" ht="12.75">
      <c r="B44" s="5"/>
      <c r="C44" s="1"/>
      <c r="D44" s="1"/>
      <c r="E44" s="1"/>
      <c r="F44" s="1"/>
      <c r="G44" s="1"/>
      <c r="H44" s="6"/>
    </row>
    <row r="45" spans="2:8" ht="12.75">
      <c r="B45" s="5"/>
      <c r="C45" s="1"/>
      <c r="D45" s="1"/>
      <c r="E45" s="1"/>
      <c r="F45" s="1"/>
      <c r="G45" s="1"/>
      <c r="H45" s="6"/>
    </row>
    <row r="46" spans="2:8" ht="12.75">
      <c r="B46" s="5"/>
      <c r="C46" s="1"/>
      <c r="D46" s="1"/>
      <c r="E46" s="1"/>
      <c r="F46" s="1"/>
      <c r="G46" s="1"/>
      <c r="H46" s="6"/>
    </row>
    <row r="47" spans="2:8" ht="12.75">
      <c r="B47" s="5"/>
      <c r="C47" s="1"/>
      <c r="D47" s="1"/>
      <c r="E47" s="1"/>
      <c r="F47" s="1"/>
      <c r="G47" s="1"/>
      <c r="H47" s="6"/>
    </row>
    <row r="48" spans="2:8" ht="12.75">
      <c r="B48" s="5"/>
      <c r="C48" s="1"/>
      <c r="D48" s="1"/>
      <c r="E48" s="1"/>
      <c r="F48" s="1"/>
      <c r="G48" s="1"/>
      <c r="H48" s="6"/>
    </row>
    <row r="49" spans="2:8" ht="12.75">
      <c r="B49" s="5"/>
      <c r="C49" s="1"/>
      <c r="D49" s="1"/>
      <c r="E49" s="1"/>
      <c r="F49" s="1"/>
      <c r="G49" s="1"/>
      <c r="H49" s="6"/>
    </row>
    <row r="50" spans="2:8" ht="12.75">
      <c r="B50" s="5"/>
      <c r="C50" s="1"/>
      <c r="D50" s="1"/>
      <c r="E50" s="1"/>
      <c r="F50" s="1"/>
      <c r="G50" s="1"/>
      <c r="H50" s="6"/>
    </row>
    <row r="51" spans="2:8" ht="12.75">
      <c r="B51" s="5"/>
      <c r="C51" s="1"/>
      <c r="D51" s="1"/>
      <c r="E51" s="1"/>
      <c r="F51" s="1"/>
      <c r="G51" s="1"/>
      <c r="H51" s="6"/>
    </row>
    <row r="52" spans="2:8" ht="12.75">
      <c r="B52" s="5"/>
      <c r="C52" s="1"/>
      <c r="D52" s="1"/>
      <c r="E52" s="1"/>
      <c r="F52" s="1"/>
      <c r="G52" s="1"/>
      <c r="H52" s="6"/>
    </row>
    <row r="53" spans="2:8" ht="12.75">
      <c r="B53" s="5"/>
      <c r="C53" s="1"/>
      <c r="D53" s="1"/>
      <c r="E53" s="1"/>
      <c r="F53" s="1"/>
      <c r="G53" s="1"/>
      <c r="H53" s="6"/>
    </row>
    <row r="54" spans="2:8" ht="13.5" thickBot="1">
      <c r="B54" s="7"/>
      <c r="C54" s="8"/>
      <c r="D54" s="8"/>
      <c r="E54" s="8"/>
      <c r="F54" s="8"/>
      <c r="G54" s="8"/>
      <c r="H54" s="9"/>
    </row>
  </sheetData>
  <sheetProtection/>
  <mergeCells count="2">
    <mergeCell ref="C6:I6"/>
    <mergeCell ref="D43:G43"/>
  </mergeCells>
  <printOptions/>
  <pageMargins left="0" right="0" top="0" bottom="0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I64"/>
  <sheetViews>
    <sheetView zoomScalePageLayoutView="0" workbookViewId="0" topLeftCell="A37">
      <selection activeCell="G57" sqref="G57"/>
    </sheetView>
  </sheetViews>
  <sheetFormatPr defaultColWidth="9.140625" defaultRowHeight="12.75"/>
  <cols>
    <col min="1" max="1" width="4.140625" style="0" customWidth="1"/>
    <col min="2" max="2" width="7.57421875" style="0" customWidth="1"/>
    <col min="3" max="3" width="5.421875" style="0" customWidth="1"/>
    <col min="4" max="4" width="22.421875" style="0" customWidth="1"/>
    <col min="5" max="5" width="10.00390625" style="0" customWidth="1"/>
    <col min="6" max="6" width="12.7109375" style="0" customWidth="1"/>
    <col min="7" max="7" width="11.140625" style="0" customWidth="1"/>
    <col min="8" max="8" width="15.00390625" style="0" customWidth="1"/>
    <col min="9" max="9" width="7.7109375" style="0" customWidth="1"/>
    <col min="10" max="10" width="4.28125" style="0" customWidth="1"/>
  </cols>
  <sheetData>
    <row r="3" spans="2:6" ht="12.75">
      <c r="B3" s="2"/>
      <c r="C3" s="51"/>
      <c r="D3" s="51"/>
      <c r="E3" s="2"/>
      <c r="F3" s="2"/>
    </row>
    <row r="4" spans="2:6" ht="12.75">
      <c r="B4" s="2" t="s">
        <v>130</v>
      </c>
      <c r="C4" s="2" t="str">
        <f>'Kopertina '!F4</f>
        <v>FJORTES </v>
      </c>
      <c r="D4" s="2"/>
      <c r="E4" s="2"/>
      <c r="F4" s="2"/>
    </row>
    <row r="5" spans="2:9" ht="12.75">
      <c r="B5" s="1"/>
      <c r="C5" s="1"/>
      <c r="D5" s="1"/>
      <c r="E5" s="2"/>
      <c r="F5" s="2"/>
      <c r="G5" s="2"/>
      <c r="H5" s="2"/>
      <c r="I5" s="2" t="s">
        <v>276</v>
      </c>
    </row>
    <row r="6" spans="2:7" ht="12.75">
      <c r="B6" s="1"/>
      <c r="C6" s="1337" t="s">
        <v>404</v>
      </c>
      <c r="D6" s="1337"/>
      <c r="E6" s="1337"/>
      <c r="F6" s="1337"/>
      <c r="G6" s="1337"/>
    </row>
    <row r="7" spans="2:8" ht="12.75">
      <c r="B7" s="1"/>
      <c r="C7" s="1"/>
      <c r="D7" s="1"/>
      <c r="E7" s="1"/>
      <c r="F7" s="2" t="s">
        <v>131</v>
      </c>
      <c r="G7" s="19"/>
      <c r="H7" s="19">
        <f>'Kopertina '!F29</f>
        <v>2012</v>
      </c>
    </row>
    <row r="8" spans="2:6" ht="13.5" thickBot="1">
      <c r="B8" s="1"/>
      <c r="C8" s="1"/>
      <c r="D8" s="1"/>
      <c r="E8" s="1"/>
      <c r="F8" s="1"/>
    </row>
    <row r="9" spans="2:9" ht="12.75">
      <c r="B9" s="16"/>
      <c r="C9" s="17"/>
      <c r="D9" s="17"/>
      <c r="E9" s="17"/>
      <c r="F9" s="17"/>
      <c r="G9" s="17"/>
      <c r="H9" s="17"/>
      <c r="I9" s="18"/>
    </row>
    <row r="10" spans="2:9" ht="12.75">
      <c r="B10" s="5"/>
      <c r="C10" s="1"/>
      <c r="D10" s="1"/>
      <c r="E10" s="1"/>
      <c r="F10" s="1"/>
      <c r="G10" s="1"/>
      <c r="H10" s="1"/>
      <c r="I10" s="6"/>
    </row>
    <row r="11" spans="2:9" ht="13.5" thickBot="1">
      <c r="B11" s="5"/>
      <c r="C11" s="1"/>
      <c r="D11" s="1"/>
      <c r="E11" s="1"/>
      <c r="F11" s="1"/>
      <c r="G11" s="1"/>
      <c r="H11" s="1"/>
      <c r="I11" s="6"/>
    </row>
    <row r="12" spans="2:9" ht="19.5" customHeight="1" thickBot="1">
      <c r="B12" s="5"/>
      <c r="C12" s="473" t="s">
        <v>1</v>
      </c>
      <c r="D12" s="474" t="s">
        <v>266</v>
      </c>
      <c r="E12" s="474" t="s">
        <v>267</v>
      </c>
      <c r="F12" s="474" t="s">
        <v>268</v>
      </c>
      <c r="G12" s="474" t="s">
        <v>269</v>
      </c>
      <c r="H12" s="475" t="s">
        <v>270</v>
      </c>
      <c r="I12" s="6"/>
    </row>
    <row r="13" spans="2:9" ht="12.75">
      <c r="B13" s="5"/>
      <c r="C13" s="57">
        <v>1</v>
      </c>
      <c r="D13" s="240" t="str">
        <f>'Bilanci mater'!B8</f>
        <v>Gazoil</v>
      </c>
      <c r="E13" s="240" t="str">
        <f>'Bilanci mater'!E9</f>
        <v>LITRA</v>
      </c>
      <c r="F13" s="795">
        <v>7153.7</v>
      </c>
      <c r="G13" s="793">
        <f>H13/F13</f>
        <v>155.7809245565232</v>
      </c>
      <c r="H13" s="428">
        <v>1114410</v>
      </c>
      <c r="I13" s="6"/>
    </row>
    <row r="14" spans="2:9" ht="12.75">
      <c r="B14" s="5"/>
      <c r="C14" s="31">
        <v>2</v>
      </c>
      <c r="D14" s="22" t="str">
        <f>'Bilanci mater'!B166</f>
        <v>BENZIN</v>
      </c>
      <c r="E14" s="22" t="str">
        <f>'Bilanci mater'!E167</f>
        <v>LITRA</v>
      </c>
      <c r="F14" s="793">
        <v>9045</v>
      </c>
      <c r="G14" s="793">
        <f>H14/F14</f>
        <v>155.8703150912106</v>
      </c>
      <c r="H14" s="195">
        <v>1409847</v>
      </c>
      <c r="I14" s="6"/>
    </row>
    <row r="15" spans="2:9" ht="12.75">
      <c r="B15" s="5"/>
      <c r="C15" s="31">
        <v>3</v>
      </c>
      <c r="D15" s="22" t="str">
        <f>'Bilanci mater'!B240</f>
        <v>SOLAR </v>
      </c>
      <c r="E15" s="22" t="str">
        <f>'Bilanci mater'!E241</f>
        <v>LITRA</v>
      </c>
      <c r="F15" s="793">
        <v>0</v>
      </c>
      <c r="G15" s="793">
        <v>0</v>
      </c>
      <c r="H15" s="195">
        <v>0</v>
      </c>
      <c r="I15" s="6"/>
    </row>
    <row r="16" spans="2:9" ht="12.75">
      <c r="B16" s="5"/>
      <c r="C16" s="31">
        <v>4</v>
      </c>
      <c r="D16" s="22"/>
      <c r="E16" s="22"/>
      <c r="F16" s="793"/>
      <c r="G16" s="793"/>
      <c r="H16" s="195">
        <v>0</v>
      </c>
      <c r="I16" s="6"/>
    </row>
    <row r="17" spans="2:9" ht="12.75">
      <c r="B17" s="5"/>
      <c r="C17" s="31">
        <v>5</v>
      </c>
      <c r="D17" s="22"/>
      <c r="E17" s="22"/>
      <c r="F17" s="793"/>
      <c r="G17" s="793"/>
      <c r="H17" s="195">
        <v>0</v>
      </c>
      <c r="I17" s="6"/>
    </row>
    <row r="18" spans="2:9" ht="12.75">
      <c r="B18" s="5"/>
      <c r="C18" s="31">
        <v>6</v>
      </c>
      <c r="D18" s="22"/>
      <c r="E18" s="22"/>
      <c r="F18" s="793"/>
      <c r="G18" s="793"/>
      <c r="H18" s="195">
        <v>0</v>
      </c>
      <c r="I18" s="6"/>
    </row>
    <row r="19" spans="2:9" ht="12.75">
      <c r="B19" s="5"/>
      <c r="C19" s="31">
        <v>7</v>
      </c>
      <c r="D19" s="22"/>
      <c r="E19" s="22"/>
      <c r="F19" s="22"/>
      <c r="G19" s="22"/>
      <c r="H19" s="418">
        <f aca="true" t="shared" si="0" ref="H19:H51">F19*G19</f>
        <v>0</v>
      </c>
      <c r="I19" s="6"/>
    </row>
    <row r="20" spans="2:9" ht="12.75">
      <c r="B20" s="5"/>
      <c r="C20" s="31">
        <v>8</v>
      </c>
      <c r="D20" s="22"/>
      <c r="E20" s="22"/>
      <c r="F20" s="22"/>
      <c r="G20" s="22"/>
      <c r="H20" s="418">
        <f t="shared" si="0"/>
        <v>0</v>
      </c>
      <c r="I20" s="6"/>
    </row>
    <row r="21" spans="2:9" ht="12.75">
      <c r="B21" s="5"/>
      <c r="C21" s="31">
        <v>9</v>
      </c>
      <c r="D21" s="22"/>
      <c r="E21" s="22"/>
      <c r="F21" s="22"/>
      <c r="G21" s="22"/>
      <c r="H21" s="418">
        <f t="shared" si="0"/>
        <v>0</v>
      </c>
      <c r="I21" s="6"/>
    </row>
    <row r="22" spans="2:9" ht="12.75">
      <c r="B22" s="5"/>
      <c r="C22" s="31">
        <v>10</v>
      </c>
      <c r="D22" s="22"/>
      <c r="E22" s="22"/>
      <c r="F22" s="22"/>
      <c r="G22" s="22"/>
      <c r="H22" s="418">
        <f t="shared" si="0"/>
        <v>0</v>
      </c>
      <c r="I22" s="6"/>
    </row>
    <row r="23" spans="2:9" ht="12.75">
      <c r="B23" s="5"/>
      <c r="C23" s="31">
        <v>11</v>
      </c>
      <c r="D23" s="22"/>
      <c r="E23" s="22"/>
      <c r="F23" s="22"/>
      <c r="G23" s="22"/>
      <c r="H23" s="418">
        <f t="shared" si="0"/>
        <v>0</v>
      </c>
      <c r="I23" s="6"/>
    </row>
    <row r="24" spans="2:9" ht="12.75">
      <c r="B24" s="5"/>
      <c r="C24" s="31">
        <v>12</v>
      </c>
      <c r="D24" s="22"/>
      <c r="E24" s="22"/>
      <c r="F24" s="22"/>
      <c r="G24" s="22"/>
      <c r="H24" s="418">
        <f t="shared" si="0"/>
        <v>0</v>
      </c>
      <c r="I24" s="6"/>
    </row>
    <row r="25" spans="2:9" ht="12.75">
      <c r="B25" s="5"/>
      <c r="C25" s="31">
        <v>13</v>
      </c>
      <c r="D25" s="22"/>
      <c r="E25" s="22"/>
      <c r="F25" s="22"/>
      <c r="G25" s="22"/>
      <c r="H25" s="418">
        <f t="shared" si="0"/>
        <v>0</v>
      </c>
      <c r="I25" s="6"/>
    </row>
    <row r="26" spans="2:9" ht="12.75">
      <c r="B26" s="5"/>
      <c r="C26" s="31">
        <v>14</v>
      </c>
      <c r="D26" s="22"/>
      <c r="E26" s="22"/>
      <c r="F26" s="22"/>
      <c r="G26" s="22"/>
      <c r="H26" s="418">
        <f t="shared" si="0"/>
        <v>0</v>
      </c>
      <c r="I26" s="6"/>
    </row>
    <row r="27" spans="2:9" ht="12.75">
      <c r="B27" s="5"/>
      <c r="C27" s="31">
        <v>15</v>
      </c>
      <c r="D27" s="22"/>
      <c r="E27" s="22"/>
      <c r="F27" s="22"/>
      <c r="G27" s="22"/>
      <c r="H27" s="418">
        <f t="shared" si="0"/>
        <v>0</v>
      </c>
      <c r="I27" s="6"/>
    </row>
    <row r="28" spans="2:9" ht="12.75">
      <c r="B28" s="5"/>
      <c r="C28" s="31">
        <v>16</v>
      </c>
      <c r="D28" s="22"/>
      <c r="E28" s="22"/>
      <c r="F28" s="22"/>
      <c r="G28" s="22"/>
      <c r="H28" s="418">
        <f t="shared" si="0"/>
        <v>0</v>
      </c>
      <c r="I28" s="6"/>
    </row>
    <row r="29" spans="2:9" ht="12.75">
      <c r="B29" s="5"/>
      <c r="C29" s="31">
        <v>17</v>
      </c>
      <c r="D29" s="22"/>
      <c r="E29" s="22"/>
      <c r="F29" s="22"/>
      <c r="G29" s="22"/>
      <c r="H29" s="418">
        <f t="shared" si="0"/>
        <v>0</v>
      </c>
      <c r="I29" s="6"/>
    </row>
    <row r="30" spans="2:9" ht="12.75">
      <c r="B30" s="5"/>
      <c r="C30" s="31">
        <v>18</v>
      </c>
      <c r="D30" s="22"/>
      <c r="E30" s="22"/>
      <c r="F30" s="22"/>
      <c r="G30" s="22"/>
      <c r="H30" s="418">
        <f t="shared" si="0"/>
        <v>0</v>
      </c>
      <c r="I30" s="6"/>
    </row>
    <row r="31" spans="2:9" ht="12.75">
      <c r="B31" s="5"/>
      <c r="C31" s="31">
        <v>19</v>
      </c>
      <c r="D31" s="22"/>
      <c r="E31" s="22"/>
      <c r="F31" s="22"/>
      <c r="G31" s="22"/>
      <c r="H31" s="418">
        <f t="shared" si="0"/>
        <v>0</v>
      </c>
      <c r="I31" s="6"/>
    </row>
    <row r="32" spans="2:9" ht="12.75">
      <c r="B32" s="5"/>
      <c r="C32" s="31">
        <v>20</v>
      </c>
      <c r="D32" s="22"/>
      <c r="E32" s="22"/>
      <c r="F32" s="22"/>
      <c r="G32" s="22"/>
      <c r="H32" s="418">
        <f t="shared" si="0"/>
        <v>0</v>
      </c>
      <c r="I32" s="6"/>
    </row>
    <row r="33" spans="2:9" ht="12.75">
      <c r="B33" s="5"/>
      <c r="C33" s="31">
        <v>21</v>
      </c>
      <c r="D33" s="22"/>
      <c r="E33" s="22"/>
      <c r="F33" s="22"/>
      <c r="G33" s="22"/>
      <c r="H33" s="418">
        <f t="shared" si="0"/>
        <v>0</v>
      </c>
      <c r="I33" s="6"/>
    </row>
    <row r="34" spans="2:9" ht="12.75">
      <c r="B34" s="5"/>
      <c r="C34" s="31">
        <v>22</v>
      </c>
      <c r="D34" s="22"/>
      <c r="E34" s="22"/>
      <c r="F34" s="22"/>
      <c r="G34" s="22"/>
      <c r="H34" s="418">
        <f t="shared" si="0"/>
        <v>0</v>
      </c>
      <c r="I34" s="6"/>
    </row>
    <row r="35" spans="2:9" ht="12.75">
      <c r="B35" s="5"/>
      <c r="C35" s="31">
        <v>23</v>
      </c>
      <c r="D35" s="22"/>
      <c r="E35" s="22"/>
      <c r="F35" s="22"/>
      <c r="G35" s="22"/>
      <c r="H35" s="418">
        <f t="shared" si="0"/>
        <v>0</v>
      </c>
      <c r="I35" s="6"/>
    </row>
    <row r="36" spans="2:9" ht="12.75">
      <c r="B36" s="5"/>
      <c r="C36" s="31">
        <v>24</v>
      </c>
      <c r="D36" s="22"/>
      <c r="E36" s="22"/>
      <c r="F36" s="22"/>
      <c r="G36" s="22"/>
      <c r="H36" s="418">
        <f t="shared" si="0"/>
        <v>0</v>
      </c>
      <c r="I36" s="6"/>
    </row>
    <row r="37" spans="2:9" ht="12.75">
      <c r="B37" s="5"/>
      <c r="C37" s="31">
        <v>25</v>
      </c>
      <c r="D37" s="22"/>
      <c r="E37" s="22"/>
      <c r="F37" s="22"/>
      <c r="G37" s="22"/>
      <c r="H37" s="418">
        <f t="shared" si="0"/>
        <v>0</v>
      </c>
      <c r="I37" s="6"/>
    </row>
    <row r="38" spans="2:9" ht="12.75">
      <c r="B38" s="5"/>
      <c r="C38" s="31">
        <v>26</v>
      </c>
      <c r="D38" s="22"/>
      <c r="E38" s="22"/>
      <c r="F38" s="22"/>
      <c r="G38" s="22"/>
      <c r="H38" s="418">
        <f t="shared" si="0"/>
        <v>0</v>
      </c>
      <c r="I38" s="6"/>
    </row>
    <row r="39" spans="2:9" ht="12.75">
      <c r="B39" s="5"/>
      <c r="C39" s="31">
        <v>27</v>
      </c>
      <c r="D39" s="22"/>
      <c r="E39" s="22"/>
      <c r="F39" s="22"/>
      <c r="G39" s="22"/>
      <c r="H39" s="418">
        <f t="shared" si="0"/>
        <v>0</v>
      </c>
      <c r="I39" s="6"/>
    </row>
    <row r="40" spans="2:9" ht="12.75">
      <c r="B40" s="5"/>
      <c r="C40" s="31">
        <v>28</v>
      </c>
      <c r="D40" s="22"/>
      <c r="E40" s="22"/>
      <c r="F40" s="22"/>
      <c r="G40" s="22"/>
      <c r="H40" s="418">
        <f t="shared" si="0"/>
        <v>0</v>
      </c>
      <c r="I40" s="6"/>
    </row>
    <row r="41" spans="2:9" ht="12.75">
      <c r="B41" s="5"/>
      <c r="C41" s="31">
        <v>29</v>
      </c>
      <c r="D41" s="22"/>
      <c r="E41" s="22"/>
      <c r="F41" s="22"/>
      <c r="G41" s="22"/>
      <c r="H41" s="418">
        <f t="shared" si="0"/>
        <v>0</v>
      </c>
      <c r="I41" s="6"/>
    </row>
    <row r="42" spans="2:9" ht="12.75">
      <c r="B42" s="5"/>
      <c r="C42" s="31">
        <v>30</v>
      </c>
      <c r="D42" s="22"/>
      <c r="E42" s="22"/>
      <c r="F42" s="22"/>
      <c r="G42" s="22"/>
      <c r="H42" s="418">
        <f t="shared" si="0"/>
        <v>0</v>
      </c>
      <c r="I42" s="6"/>
    </row>
    <row r="43" spans="2:9" ht="12.75">
      <c r="B43" s="5"/>
      <c r="C43" s="31">
        <v>31</v>
      </c>
      <c r="D43" s="22"/>
      <c r="E43" s="22"/>
      <c r="F43" s="22"/>
      <c r="G43" s="22"/>
      <c r="H43" s="418">
        <f t="shared" si="0"/>
        <v>0</v>
      </c>
      <c r="I43" s="6"/>
    </row>
    <row r="44" spans="2:9" ht="12.75">
      <c r="B44" s="5"/>
      <c r="C44" s="31">
        <v>32</v>
      </c>
      <c r="D44" s="22"/>
      <c r="E44" s="22"/>
      <c r="F44" s="22"/>
      <c r="G44" s="22"/>
      <c r="H44" s="418">
        <f t="shared" si="0"/>
        <v>0</v>
      </c>
      <c r="I44" s="6"/>
    </row>
    <row r="45" spans="2:9" ht="12.75">
      <c r="B45" s="5"/>
      <c r="C45" s="31">
        <v>33</v>
      </c>
      <c r="D45" s="22"/>
      <c r="E45" s="22"/>
      <c r="F45" s="22"/>
      <c r="G45" s="22"/>
      <c r="H45" s="418">
        <f t="shared" si="0"/>
        <v>0</v>
      </c>
      <c r="I45" s="6"/>
    </row>
    <row r="46" spans="2:9" ht="12.75">
      <c r="B46" s="5"/>
      <c r="C46" s="31">
        <v>34</v>
      </c>
      <c r="D46" s="22"/>
      <c r="E46" s="22"/>
      <c r="F46" s="22"/>
      <c r="G46" s="22"/>
      <c r="H46" s="418">
        <f t="shared" si="0"/>
        <v>0</v>
      </c>
      <c r="I46" s="6"/>
    </row>
    <row r="47" spans="2:9" ht="12.75">
      <c r="B47" s="5"/>
      <c r="C47" s="31">
        <v>35</v>
      </c>
      <c r="D47" s="22"/>
      <c r="E47" s="22"/>
      <c r="F47" s="22"/>
      <c r="G47" s="22"/>
      <c r="H47" s="418">
        <f t="shared" si="0"/>
        <v>0</v>
      </c>
      <c r="I47" s="6"/>
    </row>
    <row r="48" spans="2:9" ht="12.75">
      <c r="B48" s="5"/>
      <c r="C48" s="31">
        <v>36</v>
      </c>
      <c r="D48" s="22"/>
      <c r="E48" s="22"/>
      <c r="F48" s="22"/>
      <c r="G48" s="22"/>
      <c r="H48" s="418">
        <f t="shared" si="0"/>
        <v>0</v>
      </c>
      <c r="I48" s="6"/>
    </row>
    <row r="49" spans="2:9" ht="12.75">
      <c r="B49" s="5"/>
      <c r="C49" s="31">
        <v>37</v>
      </c>
      <c r="D49" s="22"/>
      <c r="E49" s="22"/>
      <c r="F49" s="22"/>
      <c r="G49" s="22"/>
      <c r="H49" s="418">
        <f t="shared" si="0"/>
        <v>0</v>
      </c>
      <c r="I49" s="6"/>
    </row>
    <row r="50" spans="2:9" ht="12.75">
      <c r="B50" s="5"/>
      <c r="C50" s="31">
        <v>38</v>
      </c>
      <c r="D50" s="22"/>
      <c r="E50" s="22"/>
      <c r="F50" s="22"/>
      <c r="G50" s="22"/>
      <c r="H50" s="418">
        <f t="shared" si="0"/>
        <v>0</v>
      </c>
      <c r="I50" s="6"/>
    </row>
    <row r="51" spans="2:9" ht="13.5" thickBot="1">
      <c r="B51" s="5"/>
      <c r="C51" s="32">
        <v>39</v>
      </c>
      <c r="D51" s="26"/>
      <c r="E51" s="26"/>
      <c r="F51" s="26"/>
      <c r="G51" s="26"/>
      <c r="H51" s="431">
        <f t="shared" si="0"/>
        <v>0</v>
      </c>
      <c r="I51" s="6"/>
    </row>
    <row r="52" spans="2:9" ht="13.5" thickBot="1">
      <c r="B52" s="5"/>
      <c r="C52" s="476" t="s">
        <v>265</v>
      </c>
      <c r="D52" s="477"/>
      <c r="E52" s="477"/>
      <c r="F52" s="477"/>
      <c r="G52" s="478"/>
      <c r="H52" s="1291">
        <f>SUM(H13:H51)</f>
        <v>2524257</v>
      </c>
      <c r="I52" s="6"/>
    </row>
    <row r="53" spans="2:9" ht="12.75">
      <c r="B53" s="5"/>
      <c r="C53" s="1"/>
      <c r="D53" s="1"/>
      <c r="E53" s="1"/>
      <c r="F53" s="1"/>
      <c r="G53" s="1"/>
      <c r="H53" s="1"/>
      <c r="I53" s="6"/>
    </row>
    <row r="54" spans="2:9" ht="12.75">
      <c r="B54" s="5"/>
      <c r="C54" s="1"/>
      <c r="D54" s="1"/>
      <c r="E54" s="1"/>
      <c r="F54" s="1"/>
      <c r="G54" s="1"/>
      <c r="H54" s="1"/>
      <c r="I54" s="6"/>
    </row>
    <row r="55" spans="2:9" ht="12.75">
      <c r="B55" s="5"/>
      <c r="C55" s="1"/>
      <c r="D55" s="1"/>
      <c r="E55" s="1"/>
      <c r="F55" s="1"/>
      <c r="G55" s="1"/>
      <c r="H55" s="1"/>
      <c r="I55" s="6"/>
    </row>
    <row r="56" spans="2:9" ht="12.75">
      <c r="B56" s="5"/>
      <c r="C56" s="1"/>
      <c r="D56" s="1"/>
      <c r="E56" s="1"/>
      <c r="F56" s="1"/>
      <c r="G56" s="1"/>
      <c r="H56" s="1"/>
      <c r="I56" s="6"/>
    </row>
    <row r="57" spans="2:9" ht="12.75">
      <c r="B57" s="5"/>
      <c r="C57" s="1"/>
      <c r="D57" s="1"/>
      <c r="E57" s="1"/>
      <c r="F57" s="1"/>
      <c r="G57" s="1"/>
      <c r="H57" s="1"/>
      <c r="I57" s="6"/>
    </row>
    <row r="58" spans="2:9" ht="12.75">
      <c r="B58" s="5"/>
      <c r="C58" s="1"/>
      <c r="D58" s="1"/>
      <c r="E58" s="1"/>
      <c r="F58" s="1"/>
      <c r="G58" s="1"/>
      <c r="H58" s="1"/>
      <c r="I58" s="6"/>
    </row>
    <row r="59" spans="2:9" ht="12.75">
      <c r="B59" s="5"/>
      <c r="C59" s="1"/>
      <c r="D59" s="1"/>
      <c r="E59" s="1"/>
      <c r="F59" s="1"/>
      <c r="G59" s="1"/>
      <c r="H59" s="1"/>
      <c r="I59" s="6"/>
    </row>
    <row r="60" spans="2:9" ht="12.75">
      <c r="B60" s="5"/>
      <c r="C60" s="1"/>
      <c r="D60" s="1"/>
      <c r="E60" s="1"/>
      <c r="F60" s="1"/>
      <c r="G60" s="1"/>
      <c r="H60" s="1"/>
      <c r="I60" s="6"/>
    </row>
    <row r="61" spans="2:9" ht="12.75">
      <c r="B61" s="5"/>
      <c r="C61" s="1"/>
      <c r="D61" s="1"/>
      <c r="E61" s="1"/>
      <c r="F61" s="1"/>
      <c r="G61" s="1"/>
      <c r="H61" s="1"/>
      <c r="I61" s="6"/>
    </row>
    <row r="62" spans="2:9" ht="12.75">
      <c r="B62" s="5"/>
      <c r="C62" s="1"/>
      <c r="D62" s="1"/>
      <c r="E62" s="1"/>
      <c r="F62" s="1"/>
      <c r="G62" s="1"/>
      <c r="H62" s="1"/>
      <c r="I62" s="6"/>
    </row>
    <row r="63" spans="2:9" ht="12.75">
      <c r="B63" s="5"/>
      <c r="C63" s="1"/>
      <c r="D63" s="1"/>
      <c r="E63" s="1"/>
      <c r="F63" s="1"/>
      <c r="G63" s="1"/>
      <c r="H63" s="1"/>
      <c r="I63" s="6"/>
    </row>
    <row r="64" spans="2:9" ht="13.5" thickBot="1">
      <c r="B64" s="7"/>
      <c r="C64" s="8"/>
      <c r="D64" s="8"/>
      <c r="E64" s="8"/>
      <c r="F64" s="8"/>
      <c r="G64" s="8"/>
      <c r="H64" s="8"/>
      <c r="I64" s="9"/>
    </row>
  </sheetData>
  <sheetProtection/>
  <mergeCells count="1">
    <mergeCell ref="C6:G6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K41"/>
  <sheetViews>
    <sheetView zoomScalePageLayoutView="0" workbookViewId="0" topLeftCell="A10">
      <selection activeCell="H27" sqref="H27"/>
    </sheetView>
  </sheetViews>
  <sheetFormatPr defaultColWidth="9.140625" defaultRowHeight="12.75"/>
  <cols>
    <col min="1" max="1" width="4.57421875" style="0" customWidth="1"/>
    <col min="2" max="2" width="7.8515625" style="0" customWidth="1"/>
    <col min="3" max="3" width="6.00390625" style="0" customWidth="1"/>
    <col min="4" max="4" width="7.57421875" style="0" customWidth="1"/>
    <col min="5" max="5" width="7.140625" style="0" customWidth="1"/>
    <col min="6" max="6" width="24.421875" style="0" customWidth="1"/>
    <col min="7" max="7" width="11.28125" style="0" customWidth="1"/>
    <col min="8" max="8" width="8.140625" style="0" customWidth="1"/>
    <col min="9" max="9" width="12.57421875" style="0" customWidth="1"/>
    <col min="10" max="10" width="23.421875" style="0" customWidth="1"/>
    <col min="12" max="13" width="6.7109375" style="0" customWidth="1"/>
    <col min="14" max="14" width="5.140625" style="0" customWidth="1"/>
    <col min="15" max="15" width="4.421875" style="0" customWidth="1"/>
  </cols>
  <sheetData>
    <row r="3" spans="2:10" ht="12.75">
      <c r="B3" s="2"/>
      <c r="C3" s="51"/>
      <c r="D3" s="51"/>
      <c r="E3" s="51"/>
      <c r="F3" s="51"/>
      <c r="G3" s="2"/>
      <c r="H3" s="2"/>
      <c r="I3" s="2"/>
      <c r="J3" s="2"/>
    </row>
    <row r="4" spans="2:10" ht="12.75">
      <c r="B4" s="2" t="s">
        <v>130</v>
      </c>
      <c r="C4" s="2" t="str">
        <f>'Kopertina '!F4</f>
        <v>FJORTES </v>
      </c>
      <c r="D4" s="2"/>
      <c r="E4" s="2"/>
      <c r="F4" s="2"/>
      <c r="G4" s="2"/>
      <c r="H4" s="2"/>
      <c r="I4" s="2"/>
      <c r="J4" s="2"/>
    </row>
    <row r="5" spans="2:11" ht="12.75">
      <c r="B5" s="1"/>
      <c r="C5" s="1"/>
      <c r="D5" s="1"/>
      <c r="E5" s="1"/>
      <c r="F5" s="1"/>
      <c r="G5" s="2"/>
      <c r="H5" s="2"/>
      <c r="I5" s="2"/>
      <c r="J5" s="2"/>
      <c r="K5" s="2" t="s">
        <v>127</v>
      </c>
    </row>
    <row r="6" spans="2:10" ht="12.75">
      <c r="B6" s="1"/>
      <c r="C6" s="1337" t="s">
        <v>152</v>
      </c>
      <c r="D6" s="1337"/>
      <c r="E6" s="1337"/>
      <c r="F6" s="1337"/>
      <c r="G6" s="1337"/>
      <c r="H6" s="1337"/>
      <c r="I6" s="1337"/>
      <c r="J6" s="1337"/>
    </row>
    <row r="7" spans="2:11" ht="12.75">
      <c r="B7" s="1"/>
      <c r="C7" s="1"/>
      <c r="D7" s="1"/>
      <c r="E7" s="1"/>
      <c r="F7" s="1"/>
      <c r="G7" s="1"/>
      <c r="H7" s="1"/>
      <c r="I7" s="1"/>
      <c r="J7" s="2">
        <f>'Kopertina '!F29</f>
        <v>2012</v>
      </c>
      <c r="K7" s="19"/>
    </row>
    <row r="8" spans="2:10" ht="13.5" thickBot="1">
      <c r="B8" s="1"/>
      <c r="C8" s="1"/>
      <c r="D8" s="1"/>
      <c r="E8" s="1"/>
      <c r="F8" s="1"/>
      <c r="G8" s="1"/>
      <c r="H8" s="1"/>
      <c r="I8" s="1"/>
      <c r="J8" s="1"/>
    </row>
    <row r="9" spans="2:11" ht="12.75">
      <c r="B9" s="16"/>
      <c r="C9" s="17"/>
      <c r="D9" s="17"/>
      <c r="E9" s="17"/>
      <c r="F9" s="17"/>
      <c r="G9" s="17"/>
      <c r="H9" s="17"/>
      <c r="I9" s="17"/>
      <c r="J9" s="17"/>
      <c r="K9" s="18"/>
    </row>
    <row r="10" spans="2:11" ht="12.75">
      <c r="B10" s="5"/>
      <c r="C10" s="1"/>
      <c r="D10" s="1"/>
      <c r="E10" s="1"/>
      <c r="F10" s="1"/>
      <c r="G10" s="1"/>
      <c r="H10" s="1"/>
      <c r="I10" s="1"/>
      <c r="J10" s="1"/>
      <c r="K10" s="6"/>
    </row>
    <row r="11" spans="2:11" ht="13.5" thickBot="1">
      <c r="B11" s="5"/>
      <c r="C11" s="1"/>
      <c r="D11" s="1"/>
      <c r="E11" s="1"/>
      <c r="F11" s="1"/>
      <c r="G11" s="1"/>
      <c r="H11" s="1"/>
      <c r="I11" s="1"/>
      <c r="J11" s="1"/>
      <c r="K11" s="6"/>
    </row>
    <row r="12" spans="2:11" ht="13.5" thickBot="1">
      <c r="B12" s="5"/>
      <c r="C12" s="541" t="s">
        <v>1</v>
      </c>
      <c r="D12" s="395" t="s">
        <v>358</v>
      </c>
      <c r="E12" s="542"/>
      <c r="F12" s="543" t="s">
        <v>357</v>
      </c>
      <c r="G12" s="544" t="s">
        <v>359</v>
      </c>
      <c r="H12" s="544" t="s">
        <v>362</v>
      </c>
      <c r="I12" s="544" t="s">
        <v>359</v>
      </c>
      <c r="J12" s="544" t="s">
        <v>93</v>
      </c>
      <c r="K12" s="6"/>
    </row>
    <row r="13" spans="2:11" ht="13.5" thickBot="1">
      <c r="B13" s="5"/>
      <c r="C13" s="545"/>
      <c r="D13" s="546" t="s">
        <v>1</v>
      </c>
      <c r="E13" s="546" t="s">
        <v>232</v>
      </c>
      <c r="F13" s="547"/>
      <c r="G13" s="548" t="s">
        <v>361</v>
      </c>
      <c r="H13" s="548" t="s">
        <v>363</v>
      </c>
      <c r="I13" s="548" t="s">
        <v>360</v>
      </c>
      <c r="J13" s="548" t="s">
        <v>490</v>
      </c>
      <c r="K13" s="6"/>
    </row>
    <row r="14" spans="2:11" ht="12.75">
      <c r="B14" s="5"/>
      <c r="C14" s="58">
        <v>1</v>
      </c>
      <c r="D14" s="40"/>
      <c r="E14" s="79"/>
      <c r="F14" s="79"/>
      <c r="G14" s="75"/>
      <c r="H14" s="75"/>
      <c r="I14" s="75">
        <f aca="true" t="shared" si="0" ref="I14:I19">G14*H14</f>
        <v>0</v>
      </c>
      <c r="J14" s="80"/>
      <c r="K14" s="6"/>
    </row>
    <row r="15" spans="2:11" ht="12.75">
      <c r="B15" s="5"/>
      <c r="C15" s="31">
        <v>2</v>
      </c>
      <c r="D15" s="22"/>
      <c r="E15" s="81"/>
      <c r="F15" s="81"/>
      <c r="G15" s="76"/>
      <c r="H15" s="76"/>
      <c r="I15" s="75">
        <f t="shared" si="0"/>
        <v>0</v>
      </c>
      <c r="J15" s="82"/>
      <c r="K15" s="6"/>
    </row>
    <row r="16" spans="2:11" ht="12.75">
      <c r="B16" s="5"/>
      <c r="C16" s="31">
        <v>3</v>
      </c>
      <c r="D16" s="22"/>
      <c r="E16" s="81"/>
      <c r="F16" s="81"/>
      <c r="G16" s="76"/>
      <c r="H16" s="76"/>
      <c r="I16" s="75">
        <f t="shared" si="0"/>
        <v>0</v>
      </c>
      <c r="J16" s="82"/>
      <c r="K16" s="6"/>
    </row>
    <row r="17" spans="2:11" ht="12.75">
      <c r="B17" s="5"/>
      <c r="C17" s="31">
        <v>4</v>
      </c>
      <c r="D17" s="22"/>
      <c r="E17" s="81"/>
      <c r="F17" s="22"/>
      <c r="G17" s="76"/>
      <c r="H17" s="76"/>
      <c r="I17" s="75">
        <f t="shared" si="0"/>
        <v>0</v>
      </c>
      <c r="J17" s="82"/>
      <c r="K17" s="6"/>
    </row>
    <row r="18" spans="2:11" ht="12.75">
      <c r="B18" s="5"/>
      <c r="C18" s="31">
        <v>5</v>
      </c>
      <c r="D18" s="22"/>
      <c r="E18" s="81"/>
      <c r="F18" s="22"/>
      <c r="G18" s="76"/>
      <c r="H18" s="76"/>
      <c r="I18" s="75">
        <f t="shared" si="0"/>
        <v>0</v>
      </c>
      <c r="J18" s="74"/>
      <c r="K18" s="6"/>
    </row>
    <row r="19" spans="2:11" ht="13.5" thickBot="1">
      <c r="B19" s="5"/>
      <c r="C19" s="847">
        <v>6</v>
      </c>
      <c r="D19" s="22"/>
      <c r="E19" s="22"/>
      <c r="F19" s="22"/>
      <c r="G19" s="22"/>
      <c r="H19" s="22"/>
      <c r="I19" s="22">
        <f t="shared" si="0"/>
        <v>0</v>
      </c>
      <c r="J19" s="74"/>
      <c r="K19" s="6"/>
    </row>
    <row r="20" spans="2:11" ht="23.25" customHeight="1" thickBot="1">
      <c r="B20" s="5"/>
      <c r="C20" s="44"/>
      <c r="D20" s="1367" t="s">
        <v>918</v>
      </c>
      <c r="E20" s="1367"/>
      <c r="F20" s="1368"/>
      <c r="G20" s="77">
        <f>SUM(G14:G17)</f>
        <v>0</v>
      </c>
      <c r="H20" s="77"/>
      <c r="I20" s="77">
        <f>SUM(I14:I19)</f>
        <v>0</v>
      </c>
      <c r="J20" s="78"/>
      <c r="K20" s="6"/>
    </row>
    <row r="21" spans="2:11" ht="12.75">
      <c r="B21" s="5"/>
      <c r="C21" s="1"/>
      <c r="D21" s="1"/>
      <c r="E21" s="1"/>
      <c r="F21" s="1"/>
      <c r="G21" s="1"/>
      <c r="H21" s="1"/>
      <c r="I21" s="1"/>
      <c r="J21" s="1"/>
      <c r="K21" s="6"/>
    </row>
    <row r="22" spans="2:11" ht="12.75">
      <c r="B22" s="5"/>
      <c r="C22" s="1"/>
      <c r="D22" s="1"/>
      <c r="E22" s="1"/>
      <c r="F22" s="1"/>
      <c r="G22" s="1"/>
      <c r="H22" s="1"/>
      <c r="I22" s="1"/>
      <c r="J22" s="1"/>
      <c r="K22" s="6"/>
    </row>
    <row r="23" spans="2:11" ht="12.75">
      <c r="B23" s="5"/>
      <c r="C23" s="1"/>
      <c r="D23" s="1"/>
      <c r="E23" s="1"/>
      <c r="F23" s="1"/>
      <c r="G23" s="1"/>
      <c r="H23" s="1"/>
      <c r="I23" s="1"/>
      <c r="J23" s="1"/>
      <c r="K23" s="6"/>
    </row>
    <row r="24" spans="2:11" ht="12.75">
      <c r="B24" s="5"/>
      <c r="C24" s="1"/>
      <c r="D24" s="1"/>
      <c r="E24" s="1"/>
      <c r="F24" s="1"/>
      <c r="G24" s="1"/>
      <c r="H24" s="1"/>
      <c r="I24" s="1"/>
      <c r="J24" s="1"/>
      <c r="K24" s="6"/>
    </row>
    <row r="25" spans="2:11" ht="12.75">
      <c r="B25" s="5"/>
      <c r="C25" s="1"/>
      <c r="D25" s="1"/>
      <c r="E25" s="1"/>
      <c r="F25" s="1"/>
      <c r="G25" s="1"/>
      <c r="H25" s="1"/>
      <c r="I25" s="1"/>
      <c r="J25" s="1"/>
      <c r="K25" s="6"/>
    </row>
    <row r="26" spans="2:11" ht="12.75">
      <c r="B26" s="5"/>
      <c r="C26" s="1"/>
      <c r="D26" s="1"/>
      <c r="E26" s="1"/>
      <c r="F26" s="1"/>
      <c r="G26" s="1"/>
      <c r="H26" s="1"/>
      <c r="I26" s="1"/>
      <c r="J26" s="1"/>
      <c r="K26" s="6"/>
    </row>
    <row r="27" spans="2:11" ht="12.75">
      <c r="B27" s="5"/>
      <c r="C27" s="1"/>
      <c r="D27" s="1"/>
      <c r="E27" s="1"/>
      <c r="F27" s="1"/>
      <c r="G27" s="1"/>
      <c r="H27" s="1"/>
      <c r="I27" s="1"/>
      <c r="J27" s="1"/>
      <c r="K27" s="6"/>
    </row>
    <row r="28" spans="2:11" ht="12.75">
      <c r="B28" s="5"/>
      <c r="C28" s="1"/>
      <c r="D28" s="1"/>
      <c r="E28" s="1"/>
      <c r="F28" s="1"/>
      <c r="G28" s="1"/>
      <c r="H28" s="1"/>
      <c r="I28" s="1"/>
      <c r="J28" s="1"/>
      <c r="K28" s="6"/>
    </row>
    <row r="29" spans="2:11" ht="12.75">
      <c r="B29" s="5"/>
      <c r="C29" s="1"/>
      <c r="D29" s="1"/>
      <c r="E29" s="1"/>
      <c r="F29" s="1"/>
      <c r="G29" s="1"/>
      <c r="H29" s="1"/>
      <c r="I29" s="1"/>
      <c r="J29" s="1"/>
      <c r="K29" s="6"/>
    </row>
    <row r="30" spans="2:11" ht="12.75">
      <c r="B30" s="5"/>
      <c r="C30" s="1"/>
      <c r="D30" s="1"/>
      <c r="E30" s="1"/>
      <c r="F30" s="1"/>
      <c r="G30" s="1"/>
      <c r="H30" s="1"/>
      <c r="I30" s="1"/>
      <c r="J30" s="1"/>
      <c r="K30" s="6"/>
    </row>
    <row r="31" spans="2:11" ht="12.75">
      <c r="B31" s="5"/>
      <c r="C31" s="1"/>
      <c r="D31" s="1"/>
      <c r="E31" s="1"/>
      <c r="F31" s="1"/>
      <c r="G31" s="1"/>
      <c r="H31" s="1"/>
      <c r="I31" s="1"/>
      <c r="J31" s="1"/>
      <c r="K31" s="6"/>
    </row>
    <row r="32" spans="2:11" ht="12.75">
      <c r="B32" s="5"/>
      <c r="C32" s="1"/>
      <c r="D32" s="1"/>
      <c r="E32" s="1"/>
      <c r="F32" s="1"/>
      <c r="G32" s="1"/>
      <c r="H32" s="1"/>
      <c r="I32" s="1"/>
      <c r="J32" s="1"/>
      <c r="K32" s="6"/>
    </row>
    <row r="33" spans="2:11" ht="12.75">
      <c r="B33" s="5"/>
      <c r="C33" s="1"/>
      <c r="D33" s="1"/>
      <c r="E33" s="1"/>
      <c r="F33" s="1"/>
      <c r="G33" s="1"/>
      <c r="H33" s="1"/>
      <c r="I33" s="1"/>
      <c r="J33" s="1"/>
      <c r="K33" s="6"/>
    </row>
    <row r="34" spans="2:11" ht="12.75">
      <c r="B34" s="5"/>
      <c r="C34" s="1"/>
      <c r="D34" s="1"/>
      <c r="E34" s="1"/>
      <c r="F34" s="1"/>
      <c r="G34" s="1"/>
      <c r="H34" s="1"/>
      <c r="I34" s="1"/>
      <c r="J34" s="1"/>
      <c r="K34" s="6"/>
    </row>
    <row r="35" spans="2:11" ht="12.75">
      <c r="B35" s="5"/>
      <c r="C35" s="1"/>
      <c r="D35" s="1"/>
      <c r="E35" s="1"/>
      <c r="F35" s="1"/>
      <c r="G35" s="1"/>
      <c r="H35" s="1"/>
      <c r="I35" s="1"/>
      <c r="J35" s="1"/>
      <c r="K35" s="6"/>
    </row>
    <row r="36" spans="2:11" ht="12.75">
      <c r="B36" s="5"/>
      <c r="C36" s="1"/>
      <c r="D36" s="1"/>
      <c r="E36" s="1"/>
      <c r="F36" s="1"/>
      <c r="G36" s="1"/>
      <c r="H36" s="1"/>
      <c r="I36" s="1"/>
      <c r="J36" s="1"/>
      <c r="K36" s="6"/>
    </row>
    <row r="37" spans="2:11" ht="12.75">
      <c r="B37" s="5"/>
      <c r="C37" s="1"/>
      <c r="D37" s="1"/>
      <c r="E37" s="1"/>
      <c r="F37" s="1"/>
      <c r="G37" s="1"/>
      <c r="H37" s="1"/>
      <c r="I37" s="1"/>
      <c r="J37" s="1"/>
      <c r="K37" s="6"/>
    </row>
    <row r="38" spans="2:11" ht="12.75">
      <c r="B38" s="5"/>
      <c r="C38" s="1"/>
      <c r="D38" s="1"/>
      <c r="E38" s="1"/>
      <c r="F38" s="1"/>
      <c r="G38" s="1"/>
      <c r="H38" s="1"/>
      <c r="I38" s="1"/>
      <c r="J38" s="1"/>
      <c r="K38" s="6"/>
    </row>
    <row r="39" spans="2:11" ht="12.75">
      <c r="B39" s="5"/>
      <c r="C39" s="1"/>
      <c r="D39" s="1"/>
      <c r="E39" s="1"/>
      <c r="F39" s="1"/>
      <c r="G39" s="1"/>
      <c r="H39" s="1"/>
      <c r="I39" s="1"/>
      <c r="J39" s="1"/>
      <c r="K39" s="6"/>
    </row>
    <row r="40" spans="2:11" ht="12.75">
      <c r="B40" s="5"/>
      <c r="C40" s="1"/>
      <c r="D40" s="1"/>
      <c r="E40" s="1"/>
      <c r="F40" s="1"/>
      <c r="G40" s="1"/>
      <c r="H40" s="1"/>
      <c r="I40" s="1"/>
      <c r="J40" s="1"/>
      <c r="K40" s="6"/>
    </row>
    <row r="41" spans="2:11" ht="13.5" thickBot="1">
      <c r="B41" s="7"/>
      <c r="C41" s="8"/>
      <c r="D41" s="8"/>
      <c r="E41" s="8"/>
      <c r="F41" s="8"/>
      <c r="G41" s="8"/>
      <c r="H41" s="8"/>
      <c r="I41" s="8"/>
      <c r="J41" s="8"/>
      <c r="K41" s="9"/>
    </row>
  </sheetData>
  <sheetProtection/>
  <mergeCells count="2">
    <mergeCell ref="C6:J6"/>
    <mergeCell ref="D20:F20"/>
  </mergeCells>
  <printOptions/>
  <pageMargins left="0.25" right="0.25" top="0.25" bottom="0.25" header="0.25" footer="0.2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3:I63"/>
  <sheetViews>
    <sheetView zoomScalePageLayoutView="0" workbookViewId="0" topLeftCell="A34">
      <selection activeCell="S46" sqref="S46"/>
    </sheetView>
  </sheetViews>
  <sheetFormatPr defaultColWidth="9.140625" defaultRowHeight="12.75"/>
  <cols>
    <col min="1" max="1" width="5.140625" style="0" customWidth="1"/>
    <col min="2" max="2" width="4.8515625" style="0" customWidth="1"/>
    <col min="3" max="3" width="5.00390625" style="0" customWidth="1"/>
    <col min="4" max="4" width="22.57421875" style="0" customWidth="1"/>
    <col min="6" max="6" width="11.00390625" style="0" customWidth="1"/>
    <col min="7" max="7" width="10.28125" style="0" customWidth="1"/>
    <col min="8" max="8" width="11.8515625" style="0" customWidth="1"/>
    <col min="9" max="9" width="7.140625" style="0" customWidth="1"/>
  </cols>
  <sheetData>
    <row r="3" spans="2:6" ht="12.75">
      <c r="B3" s="2"/>
      <c r="C3" s="51"/>
      <c r="D3" s="51"/>
      <c r="E3" s="2"/>
      <c r="F3" s="2"/>
    </row>
    <row r="4" spans="2:6" ht="12.75">
      <c r="B4" s="2" t="s">
        <v>130</v>
      </c>
      <c r="C4" s="2" t="str">
        <f>'Kopertina '!F4</f>
        <v>FJORTES </v>
      </c>
      <c r="D4" s="2"/>
      <c r="E4" s="2"/>
      <c r="F4" s="2"/>
    </row>
    <row r="5" spans="2:9" ht="12.75">
      <c r="B5" s="1"/>
      <c r="C5" s="1"/>
      <c r="D5" s="1"/>
      <c r="E5" s="2"/>
      <c r="F5" s="2"/>
      <c r="G5" s="2"/>
      <c r="H5" s="2"/>
      <c r="I5" s="2" t="s">
        <v>276</v>
      </c>
    </row>
    <row r="6" spans="2:7" ht="12.75">
      <c r="B6" s="1"/>
      <c r="C6" s="1337" t="s">
        <v>404</v>
      </c>
      <c r="D6" s="1337"/>
      <c r="E6" s="1337"/>
      <c r="F6" s="1337"/>
      <c r="G6" s="1337"/>
    </row>
    <row r="7" spans="2:8" ht="12.75">
      <c r="B7" s="1"/>
      <c r="C7" s="1"/>
      <c r="D7" s="1"/>
      <c r="E7" s="1"/>
      <c r="F7" s="2" t="s">
        <v>131</v>
      </c>
      <c r="G7" s="19"/>
      <c r="H7" s="19">
        <f>'Kopertina '!F29</f>
        <v>2012</v>
      </c>
    </row>
    <row r="8" spans="2:6" ht="13.5" thickBot="1">
      <c r="B8" s="1"/>
      <c r="C8" s="1"/>
      <c r="D8" s="1"/>
      <c r="E8" s="1"/>
      <c r="F8" s="1"/>
    </row>
    <row r="9" spans="2:9" ht="12.75">
      <c r="B9" s="16"/>
      <c r="C9" s="17"/>
      <c r="D9" s="17"/>
      <c r="E9" s="17"/>
      <c r="F9" s="17"/>
      <c r="G9" s="17"/>
      <c r="H9" s="17"/>
      <c r="I9" s="18"/>
    </row>
    <row r="10" spans="2:9" ht="12.75">
      <c r="B10" s="5"/>
      <c r="C10" s="1"/>
      <c r="D10" s="1"/>
      <c r="E10" s="1"/>
      <c r="F10" s="1"/>
      <c r="G10" s="1"/>
      <c r="H10" s="1"/>
      <c r="I10" s="6"/>
    </row>
    <row r="11" spans="2:9" ht="13.5" thickBot="1">
      <c r="B11" s="5"/>
      <c r="C11" s="1"/>
      <c r="D11" s="1"/>
      <c r="E11" s="1"/>
      <c r="F11" s="1"/>
      <c r="G11" s="1"/>
      <c r="H11" s="1"/>
      <c r="I11" s="6"/>
    </row>
    <row r="12" spans="2:9" ht="13.5" thickBot="1">
      <c r="B12" s="5"/>
      <c r="C12" s="473" t="s">
        <v>1</v>
      </c>
      <c r="D12" s="474" t="s">
        <v>266</v>
      </c>
      <c r="E12" s="474" t="s">
        <v>267</v>
      </c>
      <c r="F12" s="474" t="s">
        <v>268</v>
      </c>
      <c r="G12" s="474" t="s">
        <v>269</v>
      </c>
      <c r="H12" s="475" t="s">
        <v>270</v>
      </c>
      <c r="I12" s="6"/>
    </row>
    <row r="13" spans="2:9" ht="12.75">
      <c r="B13" s="5"/>
      <c r="C13" s="57">
        <v>1</v>
      </c>
      <c r="D13" s="240"/>
      <c r="E13" s="240"/>
      <c r="F13" s="795"/>
      <c r="G13" s="795"/>
      <c r="H13" s="795">
        <v>0</v>
      </c>
      <c r="I13" s="6"/>
    </row>
    <row r="14" spans="2:9" ht="12.75">
      <c r="B14" s="5"/>
      <c r="C14" s="31">
        <v>2</v>
      </c>
      <c r="D14" s="22"/>
      <c r="E14" s="22"/>
      <c r="F14" s="793"/>
      <c r="G14" s="793"/>
      <c r="H14" s="793">
        <v>0</v>
      </c>
      <c r="I14" s="6"/>
    </row>
    <row r="15" spans="2:9" ht="12.75">
      <c r="B15" s="5"/>
      <c r="C15" s="31">
        <v>3</v>
      </c>
      <c r="D15" s="22"/>
      <c r="E15" s="22"/>
      <c r="F15" s="793"/>
      <c r="G15" s="793"/>
      <c r="H15" s="793">
        <v>0</v>
      </c>
      <c r="I15" s="6"/>
    </row>
    <row r="16" spans="2:9" ht="12.75">
      <c r="B16" s="5"/>
      <c r="C16" s="31">
        <v>4</v>
      </c>
      <c r="D16" s="22"/>
      <c r="E16" s="22"/>
      <c r="F16" s="793"/>
      <c r="G16" s="793"/>
      <c r="H16" s="793">
        <v>0</v>
      </c>
      <c r="I16" s="6"/>
    </row>
    <row r="17" spans="2:9" ht="12.75">
      <c r="B17" s="5"/>
      <c r="C17" s="31">
        <v>5</v>
      </c>
      <c r="D17" s="22"/>
      <c r="E17" s="22"/>
      <c r="F17" s="793"/>
      <c r="G17" s="793"/>
      <c r="H17" s="793">
        <v>0</v>
      </c>
      <c r="I17" s="6"/>
    </row>
    <row r="18" spans="2:9" ht="12.75">
      <c r="B18" s="5"/>
      <c r="C18" s="31">
        <v>6</v>
      </c>
      <c r="D18" s="22"/>
      <c r="E18" s="22"/>
      <c r="F18" s="793"/>
      <c r="G18" s="793"/>
      <c r="H18" s="793">
        <v>0</v>
      </c>
      <c r="I18" s="6"/>
    </row>
    <row r="19" spans="2:9" ht="12.75">
      <c r="B19" s="5"/>
      <c r="C19" s="31">
        <v>7</v>
      </c>
      <c r="D19" s="22"/>
      <c r="E19" s="22"/>
      <c r="F19" s="22"/>
      <c r="G19" s="22"/>
      <c r="H19" s="223">
        <f aca="true" t="shared" si="0" ref="H19:H51">F19*G19</f>
        <v>0</v>
      </c>
      <c r="I19" s="6"/>
    </row>
    <row r="20" spans="2:9" ht="12.75">
      <c r="B20" s="5"/>
      <c r="C20" s="31">
        <v>8</v>
      </c>
      <c r="D20" s="22"/>
      <c r="E20" s="22"/>
      <c r="F20" s="22"/>
      <c r="G20" s="22"/>
      <c r="H20" s="223">
        <f t="shared" si="0"/>
        <v>0</v>
      </c>
      <c r="I20" s="6"/>
    </row>
    <row r="21" spans="2:9" ht="12.75">
      <c r="B21" s="5"/>
      <c r="C21" s="31">
        <v>9</v>
      </c>
      <c r="D21" s="22"/>
      <c r="E21" s="22"/>
      <c r="F21" s="22"/>
      <c r="G21" s="22"/>
      <c r="H21" s="223">
        <f t="shared" si="0"/>
        <v>0</v>
      </c>
      <c r="I21" s="6"/>
    </row>
    <row r="22" spans="2:9" ht="12.75">
      <c r="B22" s="5"/>
      <c r="C22" s="31">
        <v>10</v>
      </c>
      <c r="D22" s="22"/>
      <c r="E22" s="22"/>
      <c r="F22" s="22"/>
      <c r="G22" s="22"/>
      <c r="H22" s="223">
        <f t="shared" si="0"/>
        <v>0</v>
      </c>
      <c r="I22" s="6"/>
    </row>
    <row r="23" spans="2:9" ht="12.75">
      <c r="B23" s="5"/>
      <c r="C23" s="31">
        <v>11</v>
      </c>
      <c r="D23" s="22"/>
      <c r="E23" s="22"/>
      <c r="F23" s="22"/>
      <c r="G23" s="22"/>
      <c r="H23" s="223">
        <f t="shared" si="0"/>
        <v>0</v>
      </c>
      <c r="I23" s="6"/>
    </row>
    <row r="24" spans="2:9" ht="12.75">
      <c r="B24" s="5"/>
      <c r="C24" s="31">
        <v>12</v>
      </c>
      <c r="D24" s="22"/>
      <c r="E24" s="22"/>
      <c r="F24" s="22"/>
      <c r="G24" s="22"/>
      <c r="H24" s="223">
        <f t="shared" si="0"/>
        <v>0</v>
      </c>
      <c r="I24" s="6"/>
    </row>
    <row r="25" spans="2:9" ht="12.75">
      <c r="B25" s="5"/>
      <c r="C25" s="31">
        <v>13</v>
      </c>
      <c r="D25" s="22"/>
      <c r="E25" s="22"/>
      <c r="F25" s="22"/>
      <c r="G25" s="22"/>
      <c r="H25" s="223">
        <f t="shared" si="0"/>
        <v>0</v>
      </c>
      <c r="I25" s="6"/>
    </row>
    <row r="26" spans="2:9" ht="12.75">
      <c r="B26" s="5"/>
      <c r="C26" s="31">
        <v>14</v>
      </c>
      <c r="D26" s="22"/>
      <c r="E26" s="22"/>
      <c r="F26" s="22"/>
      <c r="G26" s="22"/>
      <c r="H26" s="223">
        <f t="shared" si="0"/>
        <v>0</v>
      </c>
      <c r="I26" s="6"/>
    </row>
    <row r="27" spans="2:9" ht="12.75">
      <c r="B27" s="5"/>
      <c r="C27" s="31">
        <v>15</v>
      </c>
      <c r="D27" s="22"/>
      <c r="E27" s="22"/>
      <c r="F27" s="22"/>
      <c r="G27" s="22"/>
      <c r="H27" s="223">
        <f t="shared" si="0"/>
        <v>0</v>
      </c>
      <c r="I27" s="6"/>
    </row>
    <row r="28" spans="2:9" ht="12.75">
      <c r="B28" s="5"/>
      <c r="C28" s="31">
        <v>16</v>
      </c>
      <c r="D28" s="22"/>
      <c r="E28" s="22"/>
      <c r="F28" s="22"/>
      <c r="G28" s="22"/>
      <c r="H28" s="223">
        <f t="shared" si="0"/>
        <v>0</v>
      </c>
      <c r="I28" s="6"/>
    </row>
    <row r="29" spans="2:9" ht="12.75">
      <c r="B29" s="5"/>
      <c r="C29" s="31">
        <v>17</v>
      </c>
      <c r="D29" s="22"/>
      <c r="E29" s="22"/>
      <c r="F29" s="22"/>
      <c r="G29" s="22"/>
      <c r="H29" s="223">
        <f t="shared" si="0"/>
        <v>0</v>
      </c>
      <c r="I29" s="6"/>
    </row>
    <row r="30" spans="2:9" ht="12.75">
      <c r="B30" s="5"/>
      <c r="C30" s="31">
        <v>18</v>
      </c>
      <c r="D30" s="22"/>
      <c r="E30" s="22"/>
      <c r="F30" s="22"/>
      <c r="G30" s="22"/>
      <c r="H30" s="223">
        <f t="shared" si="0"/>
        <v>0</v>
      </c>
      <c r="I30" s="6"/>
    </row>
    <row r="31" spans="2:9" ht="12.75">
      <c r="B31" s="5"/>
      <c r="C31" s="31">
        <v>19</v>
      </c>
      <c r="D31" s="22"/>
      <c r="E31" s="22"/>
      <c r="F31" s="22"/>
      <c r="G31" s="22"/>
      <c r="H31" s="223">
        <f t="shared" si="0"/>
        <v>0</v>
      </c>
      <c r="I31" s="6"/>
    </row>
    <row r="32" spans="2:9" ht="12.75">
      <c r="B32" s="5"/>
      <c r="C32" s="31">
        <v>20</v>
      </c>
      <c r="D32" s="22"/>
      <c r="E32" s="22"/>
      <c r="F32" s="22"/>
      <c r="G32" s="22"/>
      <c r="H32" s="223">
        <f t="shared" si="0"/>
        <v>0</v>
      </c>
      <c r="I32" s="6"/>
    </row>
    <row r="33" spans="2:9" ht="12.75">
      <c r="B33" s="5"/>
      <c r="C33" s="31">
        <v>21</v>
      </c>
      <c r="D33" s="22"/>
      <c r="E33" s="22"/>
      <c r="F33" s="22"/>
      <c r="G33" s="22"/>
      <c r="H33" s="223">
        <f t="shared" si="0"/>
        <v>0</v>
      </c>
      <c r="I33" s="6"/>
    </row>
    <row r="34" spans="2:9" ht="12.75">
      <c r="B34" s="5"/>
      <c r="C34" s="31">
        <v>22</v>
      </c>
      <c r="D34" s="22"/>
      <c r="E34" s="22"/>
      <c r="F34" s="22"/>
      <c r="G34" s="22"/>
      <c r="H34" s="223">
        <f t="shared" si="0"/>
        <v>0</v>
      </c>
      <c r="I34" s="6"/>
    </row>
    <row r="35" spans="2:9" ht="12.75">
      <c r="B35" s="5"/>
      <c r="C35" s="31">
        <v>23</v>
      </c>
      <c r="D35" s="22"/>
      <c r="E35" s="22"/>
      <c r="F35" s="22"/>
      <c r="G35" s="22"/>
      <c r="H35" s="223">
        <f t="shared" si="0"/>
        <v>0</v>
      </c>
      <c r="I35" s="6"/>
    </row>
    <row r="36" spans="2:9" ht="12.75">
      <c r="B36" s="5"/>
      <c r="C36" s="31">
        <v>24</v>
      </c>
      <c r="D36" s="22"/>
      <c r="E36" s="22"/>
      <c r="F36" s="22"/>
      <c r="G36" s="22"/>
      <c r="H36" s="223">
        <f t="shared" si="0"/>
        <v>0</v>
      </c>
      <c r="I36" s="6"/>
    </row>
    <row r="37" spans="2:9" ht="12.75">
      <c r="B37" s="5"/>
      <c r="C37" s="31">
        <v>25</v>
      </c>
      <c r="D37" s="22"/>
      <c r="E37" s="22"/>
      <c r="F37" s="22"/>
      <c r="G37" s="22"/>
      <c r="H37" s="223">
        <f t="shared" si="0"/>
        <v>0</v>
      </c>
      <c r="I37" s="6"/>
    </row>
    <row r="38" spans="2:9" ht="12.75">
      <c r="B38" s="5"/>
      <c r="C38" s="31">
        <v>26</v>
      </c>
      <c r="D38" s="22"/>
      <c r="E38" s="22"/>
      <c r="F38" s="22"/>
      <c r="G38" s="22"/>
      <c r="H38" s="223">
        <f t="shared" si="0"/>
        <v>0</v>
      </c>
      <c r="I38" s="6"/>
    </row>
    <row r="39" spans="2:9" ht="12.75">
      <c r="B39" s="5"/>
      <c r="C39" s="31">
        <v>27</v>
      </c>
      <c r="D39" s="22"/>
      <c r="E39" s="22"/>
      <c r="F39" s="22"/>
      <c r="G39" s="22"/>
      <c r="H39" s="223">
        <f t="shared" si="0"/>
        <v>0</v>
      </c>
      <c r="I39" s="6"/>
    </row>
    <row r="40" spans="2:9" ht="12.75">
      <c r="B40" s="5"/>
      <c r="C40" s="31">
        <v>28</v>
      </c>
      <c r="D40" s="22"/>
      <c r="E40" s="22"/>
      <c r="F40" s="22"/>
      <c r="G40" s="22"/>
      <c r="H40" s="223">
        <f t="shared" si="0"/>
        <v>0</v>
      </c>
      <c r="I40" s="6"/>
    </row>
    <row r="41" spans="2:9" ht="12.75">
      <c r="B41" s="5"/>
      <c r="C41" s="31">
        <v>29</v>
      </c>
      <c r="D41" s="22"/>
      <c r="E41" s="22"/>
      <c r="F41" s="22"/>
      <c r="G41" s="22"/>
      <c r="H41" s="223">
        <f t="shared" si="0"/>
        <v>0</v>
      </c>
      <c r="I41" s="6"/>
    </row>
    <row r="42" spans="2:9" ht="12.75">
      <c r="B42" s="5"/>
      <c r="C42" s="31">
        <v>30</v>
      </c>
      <c r="D42" s="22"/>
      <c r="E42" s="22"/>
      <c r="F42" s="22"/>
      <c r="G42" s="22"/>
      <c r="H42" s="223">
        <f t="shared" si="0"/>
        <v>0</v>
      </c>
      <c r="I42" s="6"/>
    </row>
    <row r="43" spans="2:9" ht="12.75">
      <c r="B43" s="5"/>
      <c r="C43" s="31">
        <v>31</v>
      </c>
      <c r="D43" s="22"/>
      <c r="E43" s="22"/>
      <c r="F43" s="22"/>
      <c r="G43" s="22"/>
      <c r="H43" s="223">
        <f t="shared" si="0"/>
        <v>0</v>
      </c>
      <c r="I43" s="6"/>
    </row>
    <row r="44" spans="2:9" ht="12.75">
      <c r="B44" s="5"/>
      <c r="C44" s="31">
        <v>32</v>
      </c>
      <c r="D44" s="22"/>
      <c r="E44" s="22"/>
      <c r="F44" s="22"/>
      <c r="G44" s="22"/>
      <c r="H44" s="223">
        <f t="shared" si="0"/>
        <v>0</v>
      </c>
      <c r="I44" s="6"/>
    </row>
    <row r="45" spans="2:9" ht="12.75">
      <c r="B45" s="5"/>
      <c r="C45" s="31">
        <v>33</v>
      </c>
      <c r="D45" s="22"/>
      <c r="E45" s="22"/>
      <c r="F45" s="22"/>
      <c r="G45" s="22"/>
      <c r="H45" s="223">
        <f t="shared" si="0"/>
        <v>0</v>
      </c>
      <c r="I45" s="6"/>
    </row>
    <row r="46" spans="2:9" ht="12.75">
      <c r="B46" s="5"/>
      <c r="C46" s="31">
        <v>34</v>
      </c>
      <c r="D46" s="22"/>
      <c r="E46" s="22"/>
      <c r="F46" s="22"/>
      <c r="G46" s="22"/>
      <c r="H46" s="223">
        <f t="shared" si="0"/>
        <v>0</v>
      </c>
      <c r="I46" s="6"/>
    </row>
    <row r="47" spans="2:9" ht="12.75">
      <c r="B47" s="5"/>
      <c r="C47" s="31">
        <v>35</v>
      </c>
      <c r="D47" s="22"/>
      <c r="E47" s="22"/>
      <c r="F47" s="22"/>
      <c r="G47" s="22"/>
      <c r="H47" s="223">
        <f t="shared" si="0"/>
        <v>0</v>
      </c>
      <c r="I47" s="6"/>
    </row>
    <row r="48" spans="2:9" ht="12.75">
      <c r="B48" s="5"/>
      <c r="C48" s="31">
        <v>36</v>
      </c>
      <c r="D48" s="22"/>
      <c r="E48" s="22"/>
      <c r="F48" s="22"/>
      <c r="G48" s="22"/>
      <c r="H48" s="223">
        <f t="shared" si="0"/>
        <v>0</v>
      </c>
      <c r="I48" s="6"/>
    </row>
    <row r="49" spans="2:9" ht="12.75">
      <c r="B49" s="5"/>
      <c r="C49" s="31">
        <v>37</v>
      </c>
      <c r="D49" s="22"/>
      <c r="E49" s="22"/>
      <c r="F49" s="22"/>
      <c r="G49" s="22"/>
      <c r="H49" s="223">
        <f t="shared" si="0"/>
        <v>0</v>
      </c>
      <c r="I49" s="6"/>
    </row>
    <row r="50" spans="2:9" ht="12.75">
      <c r="B50" s="5"/>
      <c r="C50" s="31">
        <v>38</v>
      </c>
      <c r="D50" s="22"/>
      <c r="E50" s="22"/>
      <c r="F50" s="22"/>
      <c r="G50" s="22"/>
      <c r="H50" s="223">
        <f t="shared" si="0"/>
        <v>0</v>
      </c>
      <c r="I50" s="6"/>
    </row>
    <row r="51" spans="2:9" ht="13.5" thickBot="1">
      <c r="B51" s="5"/>
      <c r="C51" s="32">
        <v>39</v>
      </c>
      <c r="D51" s="26"/>
      <c r="E51" s="26"/>
      <c r="F51" s="26"/>
      <c r="G51" s="26"/>
      <c r="H51" s="338">
        <f t="shared" si="0"/>
        <v>0</v>
      </c>
      <c r="I51" s="6"/>
    </row>
    <row r="52" spans="2:9" ht="13.5" thickBot="1">
      <c r="B52" s="5"/>
      <c r="C52" s="476" t="s">
        <v>999</v>
      </c>
      <c r="D52" s="477"/>
      <c r="E52" s="477"/>
      <c r="F52" s="477"/>
      <c r="G52" s="478"/>
      <c r="H52" s="351">
        <f>SUM(H13:H51)</f>
        <v>0</v>
      </c>
      <c r="I52" s="6"/>
    </row>
    <row r="53" spans="2:9" ht="12.75">
      <c r="B53" s="5"/>
      <c r="C53" s="1"/>
      <c r="D53" s="1"/>
      <c r="E53" s="1"/>
      <c r="F53" s="1"/>
      <c r="G53" s="1"/>
      <c r="H53" s="1"/>
      <c r="I53" s="6"/>
    </row>
    <row r="54" spans="2:9" ht="12.75">
      <c r="B54" s="5"/>
      <c r="C54" s="1"/>
      <c r="D54" s="1"/>
      <c r="E54" s="1"/>
      <c r="F54" s="1"/>
      <c r="G54" s="1"/>
      <c r="H54" s="1"/>
      <c r="I54" s="6"/>
    </row>
    <row r="55" spans="2:9" ht="12.75">
      <c r="B55" s="5"/>
      <c r="C55" s="1"/>
      <c r="D55" s="1"/>
      <c r="E55" s="1"/>
      <c r="F55" s="1"/>
      <c r="G55" s="1"/>
      <c r="H55" s="1"/>
      <c r="I55" s="6"/>
    </row>
    <row r="56" spans="2:9" ht="12.75">
      <c r="B56" s="5"/>
      <c r="C56" s="1"/>
      <c r="D56" s="1"/>
      <c r="E56" s="1"/>
      <c r="F56" s="1"/>
      <c r="G56" s="1"/>
      <c r="H56" s="1"/>
      <c r="I56" s="6"/>
    </row>
    <row r="57" spans="2:9" ht="12.75">
      <c r="B57" s="5"/>
      <c r="C57" s="1"/>
      <c r="D57" s="1"/>
      <c r="E57" s="1"/>
      <c r="F57" s="1"/>
      <c r="G57" s="1"/>
      <c r="H57" s="1"/>
      <c r="I57" s="6"/>
    </row>
    <row r="58" spans="2:9" ht="12.75">
      <c r="B58" s="5"/>
      <c r="C58" s="1"/>
      <c r="D58" s="1"/>
      <c r="E58" s="1"/>
      <c r="F58" s="1"/>
      <c r="G58" s="1"/>
      <c r="H58" s="1"/>
      <c r="I58" s="6"/>
    </row>
    <row r="59" spans="2:9" ht="12.75">
      <c r="B59" s="5"/>
      <c r="C59" s="1"/>
      <c r="D59" s="1"/>
      <c r="E59" s="1"/>
      <c r="F59" s="1"/>
      <c r="G59" s="1"/>
      <c r="H59" s="1"/>
      <c r="I59" s="6"/>
    </row>
    <row r="60" spans="2:9" ht="12.75">
      <c r="B60" s="5"/>
      <c r="C60" s="1"/>
      <c r="D60" s="1"/>
      <c r="E60" s="1"/>
      <c r="F60" s="1"/>
      <c r="G60" s="1"/>
      <c r="H60" s="1"/>
      <c r="I60" s="6"/>
    </row>
    <row r="61" spans="2:9" ht="12.75">
      <c r="B61" s="5"/>
      <c r="C61" s="1"/>
      <c r="D61" s="1"/>
      <c r="E61" s="1"/>
      <c r="F61" s="1"/>
      <c r="G61" s="1"/>
      <c r="H61" s="1"/>
      <c r="I61" s="6"/>
    </row>
    <row r="62" spans="2:9" ht="12.75">
      <c r="B62" s="5"/>
      <c r="C62" s="1"/>
      <c r="D62" s="1"/>
      <c r="E62" s="1"/>
      <c r="F62" s="1"/>
      <c r="G62" s="1"/>
      <c r="H62" s="1"/>
      <c r="I62" s="6"/>
    </row>
    <row r="63" spans="2:9" ht="12.75">
      <c r="B63" s="5"/>
      <c r="C63" s="1"/>
      <c r="D63" s="1"/>
      <c r="E63" s="1"/>
      <c r="F63" s="1"/>
      <c r="G63" s="1"/>
      <c r="H63" s="1"/>
      <c r="I63" s="6"/>
    </row>
  </sheetData>
  <sheetProtection/>
  <mergeCells count="1">
    <mergeCell ref="C6:G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1" sqref="A1:F54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45.57421875" style="0" customWidth="1"/>
    <col min="4" max="4" width="8.28125" style="0" customWidth="1"/>
    <col min="5" max="5" width="14.421875" style="88" customWidth="1"/>
    <col min="6" max="6" width="15.00390625" style="88" customWidth="1"/>
    <col min="7" max="7" width="4.8515625" style="0" customWidth="1"/>
  </cols>
  <sheetData>
    <row r="1" spans="1:6" ht="15">
      <c r="A1" s="10"/>
      <c r="B1" s="10"/>
      <c r="C1" s="10"/>
      <c r="D1" s="10"/>
      <c r="E1" s="869" t="str">
        <f>'Kopertina '!F4</f>
        <v>FJORTES </v>
      </c>
      <c r="F1" s="91"/>
    </row>
    <row r="2" spans="1:6" ht="15.75">
      <c r="A2" s="10"/>
      <c r="B2" s="1315" t="s">
        <v>0</v>
      </c>
      <c r="C2" s="1315"/>
      <c r="D2" s="1315"/>
      <c r="E2" s="1315"/>
      <c r="F2" s="92">
        <f>'Kopertina '!F29</f>
        <v>2012</v>
      </c>
    </row>
    <row r="3" spans="1:6" ht="15" thickBot="1">
      <c r="A3" s="10"/>
      <c r="B3" s="10"/>
      <c r="C3" s="10"/>
      <c r="D3" s="10"/>
      <c r="E3" s="91"/>
      <c r="F3" s="91"/>
    </row>
    <row r="4" spans="1:6" ht="18.75" customHeight="1">
      <c r="A4" s="10"/>
      <c r="B4" s="1320" t="s">
        <v>1</v>
      </c>
      <c r="C4" s="1320" t="s">
        <v>2</v>
      </c>
      <c r="D4" s="1316" t="s">
        <v>898</v>
      </c>
      <c r="E4" s="1318" t="s">
        <v>910</v>
      </c>
      <c r="F4" s="1318" t="s">
        <v>897</v>
      </c>
    </row>
    <row r="5" spans="1:6" ht="19.5" customHeight="1" thickBot="1">
      <c r="A5" s="10"/>
      <c r="B5" s="1321"/>
      <c r="C5" s="1321"/>
      <c r="D5" s="1317"/>
      <c r="E5" s="1319"/>
      <c r="F5" s="1319"/>
    </row>
    <row r="6" spans="1:6" ht="18.75" customHeight="1">
      <c r="A6" s="10"/>
      <c r="B6" s="353" t="s">
        <v>4</v>
      </c>
      <c r="C6" s="354" t="s">
        <v>5</v>
      </c>
      <c r="D6" s="364"/>
      <c r="E6" s="366">
        <f>E7+E10+E11+E21+E30+E32+E31</f>
        <v>20758762.8763</v>
      </c>
      <c r="F6" s="997">
        <f>F7+F10+F11+F21+F30+F32+F31</f>
        <v>13503382</v>
      </c>
    </row>
    <row r="7" spans="1:6" ht="15">
      <c r="A7" s="10"/>
      <c r="B7" s="12"/>
      <c r="C7" s="936" t="s">
        <v>8</v>
      </c>
      <c r="D7" s="937"/>
      <c r="E7" s="938">
        <f>E8+E9</f>
        <v>5995293.369999999</v>
      </c>
      <c r="F7" s="941">
        <f>F8+F9</f>
        <v>5698309</v>
      </c>
    </row>
    <row r="8" spans="1:6" ht="15">
      <c r="A8" s="10"/>
      <c r="B8" s="12"/>
      <c r="C8" s="11" t="s">
        <v>7</v>
      </c>
      <c r="D8" s="359" t="s">
        <v>115</v>
      </c>
      <c r="E8" s="367">
        <f>'A1'!F12</f>
        <v>0</v>
      </c>
      <c r="F8" s="368"/>
    </row>
    <row r="9" spans="1:6" ht="15">
      <c r="A9" s="10"/>
      <c r="B9" s="12"/>
      <c r="C9" s="11" t="s">
        <v>6</v>
      </c>
      <c r="D9" s="359" t="s">
        <v>116</v>
      </c>
      <c r="E9" s="367">
        <f>+'A2'!I39</f>
        <v>5995293.369999999</v>
      </c>
      <c r="F9" s="368">
        <v>5698309</v>
      </c>
    </row>
    <row r="10" spans="1:6" ht="14.25">
      <c r="A10" s="10"/>
      <c r="B10" s="12"/>
      <c r="C10" s="939" t="s">
        <v>9</v>
      </c>
      <c r="D10" s="940"/>
      <c r="E10" s="938"/>
      <c r="F10" s="941"/>
    </row>
    <row r="11" spans="1:6" ht="14.25">
      <c r="A11" s="10"/>
      <c r="B11" s="12"/>
      <c r="C11" s="939" t="s">
        <v>12</v>
      </c>
      <c r="D11" s="940"/>
      <c r="E11" s="938">
        <f>E12+E13+E14+E15+E16+E17+E18+E19</f>
        <v>12239212.506299999</v>
      </c>
      <c r="F11" s="941">
        <f>F12+F13+F14+F15+F16+F17+F18+F19</f>
        <v>5714657</v>
      </c>
    </row>
    <row r="12" spans="1:6" ht="15">
      <c r="A12" s="10"/>
      <c r="B12" s="12"/>
      <c r="C12" s="11" t="s">
        <v>271</v>
      </c>
      <c r="D12" s="359" t="s">
        <v>117</v>
      </c>
      <c r="E12" s="367">
        <f>+'C1'!G93</f>
        <v>6382149</v>
      </c>
      <c r="F12" s="368">
        <v>3577824</v>
      </c>
    </row>
    <row r="13" spans="1:6" ht="15">
      <c r="A13" s="10"/>
      <c r="B13" s="12"/>
      <c r="C13" s="11" t="s">
        <v>272</v>
      </c>
      <c r="D13" s="359" t="s">
        <v>118</v>
      </c>
      <c r="E13" s="367">
        <f>'C2'!G22</f>
        <v>0</v>
      </c>
      <c r="F13" s="368"/>
    </row>
    <row r="14" spans="1:6" ht="15">
      <c r="A14" s="10"/>
      <c r="B14" s="12"/>
      <c r="C14" s="11" t="s">
        <v>11</v>
      </c>
      <c r="D14" s="359" t="s">
        <v>119</v>
      </c>
      <c r="E14" s="367">
        <f>0-'C3'!F36</f>
        <v>145937.30629999936</v>
      </c>
      <c r="F14" s="368"/>
    </row>
    <row r="15" spans="1:6" ht="15">
      <c r="A15" s="10"/>
      <c r="B15" s="12"/>
      <c r="C15" s="11" t="s">
        <v>1778</v>
      </c>
      <c r="D15" s="360" t="s">
        <v>129</v>
      </c>
      <c r="E15" s="1283">
        <f>+IF('P -Ardh Analiz '!N25&gt;0,0,-'P -Ardh Analiz '!N25)</f>
        <v>5711126.2</v>
      </c>
      <c r="F15" s="368">
        <v>2136833</v>
      </c>
    </row>
    <row r="16" spans="1:6" ht="14.25">
      <c r="A16" s="10"/>
      <c r="B16" s="12"/>
      <c r="C16" s="11" t="s">
        <v>10</v>
      </c>
      <c r="D16" s="361" t="s">
        <v>476</v>
      </c>
      <c r="E16" s="367">
        <v>0</v>
      </c>
      <c r="F16" s="368"/>
    </row>
    <row r="17" spans="1:6" ht="14.25">
      <c r="A17" s="10"/>
      <c r="B17" s="12"/>
      <c r="C17" s="11" t="s">
        <v>273</v>
      </c>
      <c r="D17" s="361" t="s">
        <v>476</v>
      </c>
      <c r="E17" s="367"/>
      <c r="F17" s="368"/>
    </row>
    <row r="18" spans="1:6" ht="14.25">
      <c r="A18" s="10"/>
      <c r="B18" s="12"/>
      <c r="C18" s="11" t="s">
        <v>274</v>
      </c>
      <c r="D18" s="361" t="s">
        <v>476</v>
      </c>
      <c r="E18" s="367"/>
      <c r="F18" s="368"/>
    </row>
    <row r="19" spans="1:6" ht="15">
      <c r="A19" s="10"/>
      <c r="B19" s="12"/>
      <c r="C19" s="11"/>
      <c r="D19" s="359"/>
      <c r="E19" s="367"/>
      <c r="F19" s="368"/>
    </row>
    <row r="20" spans="1:6" ht="15">
      <c r="A20" s="10"/>
      <c r="B20" s="12"/>
      <c r="C20" s="11"/>
      <c r="D20" s="359"/>
      <c r="E20" s="367"/>
      <c r="F20" s="368"/>
    </row>
    <row r="21" spans="1:6" ht="15">
      <c r="A21" s="10"/>
      <c r="B21" s="12"/>
      <c r="C21" s="936" t="s">
        <v>13</v>
      </c>
      <c r="D21" s="937"/>
      <c r="E21" s="942">
        <f>E22+E23+E24+E25+E26+E27+E28+E29</f>
        <v>2524257</v>
      </c>
      <c r="F21" s="943">
        <f>F22+F23+F24+F25+F26+F27+F28+F29</f>
        <v>2090416</v>
      </c>
    </row>
    <row r="22" spans="1:6" ht="15">
      <c r="A22" s="10"/>
      <c r="B22" s="12"/>
      <c r="C22" s="11" t="s">
        <v>14</v>
      </c>
      <c r="D22" s="360" t="s">
        <v>1001</v>
      </c>
      <c r="E22" s="367">
        <f>'D1'!I41</f>
        <v>0</v>
      </c>
      <c r="F22" s="368">
        <v>0</v>
      </c>
    </row>
    <row r="23" spans="1:6" ht="15">
      <c r="A23" s="10"/>
      <c r="B23" s="12"/>
      <c r="C23" s="11" t="s">
        <v>302</v>
      </c>
      <c r="D23" s="360" t="s">
        <v>1002</v>
      </c>
      <c r="E23" s="367">
        <f>'D2'!H44</f>
        <v>0</v>
      </c>
      <c r="F23" s="368">
        <v>0</v>
      </c>
    </row>
    <row r="24" spans="1:6" ht="15">
      <c r="A24" s="10"/>
      <c r="B24" s="12"/>
      <c r="C24" s="11" t="s">
        <v>15</v>
      </c>
      <c r="D24" s="360" t="s">
        <v>1003</v>
      </c>
      <c r="E24" s="367">
        <f>'D3'!H43</f>
        <v>0</v>
      </c>
      <c r="F24" s="368"/>
    </row>
    <row r="25" spans="1:12" ht="15">
      <c r="A25" s="10"/>
      <c r="B25" s="12"/>
      <c r="C25" s="11" t="s">
        <v>16</v>
      </c>
      <c r="D25" s="360" t="s">
        <v>1004</v>
      </c>
      <c r="E25" s="367">
        <f>'D4'!H52</f>
        <v>2524257</v>
      </c>
      <c r="F25" s="368">
        <v>2090416</v>
      </c>
      <c r="H25" s="926"/>
      <c r="I25" s="926"/>
      <c r="J25" s="926"/>
      <c r="K25" s="926"/>
      <c r="L25" s="926"/>
    </row>
    <row r="26" spans="1:6" ht="15">
      <c r="A26" s="10"/>
      <c r="B26" s="12"/>
      <c r="C26" s="11" t="s">
        <v>299</v>
      </c>
      <c r="D26" s="360" t="s">
        <v>1005</v>
      </c>
      <c r="E26" s="367">
        <f>'D5-'!I20</f>
        <v>0</v>
      </c>
      <c r="F26" s="368"/>
    </row>
    <row r="27" spans="1:6" ht="15">
      <c r="A27" s="10"/>
      <c r="B27" s="12"/>
      <c r="C27" s="352" t="s">
        <v>946</v>
      </c>
      <c r="D27" s="360" t="s">
        <v>1000</v>
      </c>
      <c r="E27" s="367">
        <f>'D 6'!H52</f>
        <v>0</v>
      </c>
      <c r="F27" s="368"/>
    </row>
    <row r="28" spans="1:6" ht="15">
      <c r="A28" s="10"/>
      <c r="B28" s="12"/>
      <c r="C28" s="11" t="s">
        <v>927</v>
      </c>
      <c r="D28" s="359"/>
      <c r="E28" s="367">
        <f>E23*0.2</f>
        <v>0</v>
      </c>
      <c r="F28" s="368">
        <f>F23*0.2</f>
        <v>0</v>
      </c>
    </row>
    <row r="29" spans="1:6" ht="15">
      <c r="A29" s="10"/>
      <c r="B29" s="12"/>
      <c r="C29" s="11"/>
      <c r="D29" s="359"/>
      <c r="E29" s="367"/>
      <c r="F29" s="368"/>
    </row>
    <row r="30" spans="1:6" ht="15">
      <c r="A30" s="10"/>
      <c r="B30" s="12"/>
      <c r="C30" s="936" t="s">
        <v>277</v>
      </c>
      <c r="D30" s="937"/>
      <c r="E30" s="942">
        <v>0</v>
      </c>
      <c r="F30" s="943">
        <v>0</v>
      </c>
    </row>
    <row r="31" spans="1:6" ht="15">
      <c r="A31" s="10"/>
      <c r="B31" s="12"/>
      <c r="C31" s="944" t="s">
        <v>17</v>
      </c>
      <c r="D31" s="937" t="s">
        <v>123</v>
      </c>
      <c r="E31" s="938"/>
      <c r="F31" s="941"/>
    </row>
    <row r="32" spans="1:6" ht="15">
      <c r="A32" s="10"/>
      <c r="B32" s="12"/>
      <c r="C32" s="944" t="s">
        <v>18</v>
      </c>
      <c r="D32" s="937" t="s">
        <v>124</v>
      </c>
      <c r="E32" s="938">
        <f>'E2'!G43</f>
        <v>0</v>
      </c>
      <c r="F32" s="941"/>
    </row>
    <row r="33" spans="1:6" ht="18.75" customHeight="1">
      <c r="A33" s="10"/>
      <c r="B33" s="355" t="s">
        <v>19</v>
      </c>
      <c r="C33" s="356" t="s">
        <v>20</v>
      </c>
      <c r="D33" s="362"/>
      <c r="E33" s="369">
        <f>E34+E38+E45+E50+E51+E46</f>
        <v>54303281.75</v>
      </c>
      <c r="F33" s="370">
        <f>F34+F38+F45+F50+F51</f>
        <v>34644672</v>
      </c>
    </row>
    <row r="34" spans="1:6" ht="15">
      <c r="A34" s="10"/>
      <c r="B34" s="12"/>
      <c r="C34" s="936" t="s">
        <v>278</v>
      </c>
      <c r="D34" s="937"/>
      <c r="E34" s="938">
        <f>E35+E36+E37</f>
        <v>0</v>
      </c>
      <c r="F34" s="941">
        <f>F35+F36+F37</f>
        <v>0</v>
      </c>
    </row>
    <row r="35" spans="1:6" ht="14.25">
      <c r="A35" s="10"/>
      <c r="B35" s="12"/>
      <c r="C35" s="15" t="s">
        <v>279</v>
      </c>
      <c r="D35" s="361" t="s">
        <v>476</v>
      </c>
      <c r="E35" s="367"/>
      <c r="F35" s="368"/>
    </row>
    <row r="36" spans="1:6" ht="14.25">
      <c r="A36" s="10"/>
      <c r="B36" s="12"/>
      <c r="C36" s="15" t="s">
        <v>280</v>
      </c>
      <c r="D36" s="361" t="s">
        <v>476</v>
      </c>
      <c r="E36" s="367"/>
      <c r="F36" s="368"/>
    </row>
    <row r="37" spans="1:6" ht="14.25">
      <c r="A37" s="10"/>
      <c r="B37" s="12"/>
      <c r="C37" s="15" t="s">
        <v>281</v>
      </c>
      <c r="D37" s="361" t="s">
        <v>476</v>
      </c>
      <c r="E37" s="367"/>
      <c r="F37" s="368"/>
    </row>
    <row r="38" spans="1:6" ht="15">
      <c r="A38" s="10"/>
      <c r="B38" s="12"/>
      <c r="C38" s="839" t="s">
        <v>21</v>
      </c>
      <c r="D38" s="840"/>
      <c r="E38" s="841">
        <f>E39+E40+E41+E42+E43+E44</f>
        <v>54303281.75</v>
      </c>
      <c r="F38" s="841">
        <f>F39+F40+F41+F42+F43+F44</f>
        <v>34644672</v>
      </c>
    </row>
    <row r="39" spans="1:6" ht="15">
      <c r="A39" s="10"/>
      <c r="B39" s="12"/>
      <c r="C39" s="11" t="s">
        <v>22</v>
      </c>
      <c r="D39" s="359" t="s">
        <v>158</v>
      </c>
      <c r="E39" s="367">
        <f>U!O9</f>
        <v>0</v>
      </c>
      <c r="F39" s="368">
        <f>U!K8</f>
        <v>0</v>
      </c>
    </row>
    <row r="40" spans="1:6" ht="15">
      <c r="A40" s="10"/>
      <c r="B40" s="12"/>
      <c r="C40" s="11" t="s">
        <v>23</v>
      </c>
      <c r="D40" s="359" t="s">
        <v>158</v>
      </c>
      <c r="E40" s="367">
        <f>U!O13</f>
        <v>49210998.95</v>
      </c>
      <c r="F40" s="368">
        <f>U!K13</f>
        <v>30583481</v>
      </c>
    </row>
    <row r="41" spans="1:6" ht="15">
      <c r="A41" s="10"/>
      <c r="B41" s="12"/>
      <c r="C41" s="11" t="s">
        <v>24</v>
      </c>
      <c r="D41" s="359" t="s">
        <v>158</v>
      </c>
      <c r="E41" s="367">
        <f>U!O28</f>
        <v>595132.8</v>
      </c>
      <c r="F41" s="368">
        <f>U!K28</f>
        <v>743916</v>
      </c>
    </row>
    <row r="42" spans="1:6" ht="15">
      <c r="A42" s="10"/>
      <c r="B42" s="12"/>
      <c r="C42" s="11" t="s">
        <v>1009</v>
      </c>
      <c r="D42" s="359" t="s">
        <v>158</v>
      </c>
      <c r="E42" s="367">
        <f>U!O35</f>
        <v>0</v>
      </c>
      <c r="F42" s="368">
        <f>U!K35</f>
        <v>0</v>
      </c>
    </row>
    <row r="43" spans="1:6" ht="15">
      <c r="A43" s="10"/>
      <c r="B43" s="12"/>
      <c r="C43" s="11" t="s">
        <v>1010</v>
      </c>
      <c r="D43" s="359" t="s">
        <v>158</v>
      </c>
      <c r="E43" s="367">
        <f>U!O47</f>
        <v>4497150</v>
      </c>
      <c r="F43" s="368">
        <f>U!K47</f>
        <v>3317275</v>
      </c>
    </row>
    <row r="44" spans="1:6" ht="15">
      <c r="A44" s="10"/>
      <c r="B44" s="12"/>
      <c r="C44" s="11" t="s">
        <v>947</v>
      </c>
      <c r="D44" s="359" t="s">
        <v>158</v>
      </c>
      <c r="E44" s="367">
        <f>U!O48</f>
        <v>0</v>
      </c>
      <c r="F44" s="368">
        <f>U!K48</f>
        <v>0</v>
      </c>
    </row>
    <row r="45" spans="1:6" ht="15">
      <c r="A45" s="10"/>
      <c r="B45" s="12"/>
      <c r="C45" s="936" t="s">
        <v>25</v>
      </c>
      <c r="D45" s="945" t="s">
        <v>476</v>
      </c>
      <c r="E45" s="938"/>
      <c r="F45" s="941"/>
    </row>
    <row r="46" spans="1:6" ht="15">
      <c r="A46" s="10"/>
      <c r="B46" s="12"/>
      <c r="C46" s="936" t="s">
        <v>26</v>
      </c>
      <c r="D46" s="945" t="s">
        <v>476</v>
      </c>
      <c r="E46" s="938">
        <f>E47+E48+E49</f>
        <v>0</v>
      </c>
      <c r="F46" s="941">
        <f>F47+F48+F49</f>
        <v>0</v>
      </c>
    </row>
    <row r="47" spans="1:6" ht="14.25">
      <c r="A47" s="10"/>
      <c r="B47" s="12"/>
      <c r="C47" s="15" t="s">
        <v>282</v>
      </c>
      <c r="D47" s="361" t="s">
        <v>476</v>
      </c>
      <c r="E47" s="367"/>
      <c r="F47" s="368"/>
    </row>
    <row r="48" spans="1:6" ht="14.25">
      <c r="A48" s="10"/>
      <c r="B48" s="12"/>
      <c r="C48" s="15" t="s">
        <v>283</v>
      </c>
      <c r="D48" s="361" t="s">
        <v>476</v>
      </c>
      <c r="E48" s="367"/>
      <c r="F48" s="368"/>
    </row>
    <row r="49" spans="1:6" ht="14.25">
      <c r="A49" s="10"/>
      <c r="B49" s="12"/>
      <c r="C49" s="15" t="s">
        <v>284</v>
      </c>
      <c r="D49" s="361" t="s">
        <v>476</v>
      </c>
      <c r="E49" s="367"/>
      <c r="F49" s="368"/>
    </row>
    <row r="50" spans="1:6" ht="15">
      <c r="A50" s="10"/>
      <c r="B50" s="12"/>
      <c r="C50" s="936" t="s">
        <v>27</v>
      </c>
      <c r="D50" s="945" t="s">
        <v>476</v>
      </c>
      <c r="E50" s="938"/>
      <c r="F50" s="941"/>
    </row>
    <row r="51" spans="1:6" ht="15">
      <c r="A51" s="10"/>
      <c r="B51" s="12"/>
      <c r="C51" s="936" t="s">
        <v>28</v>
      </c>
      <c r="D51" s="945" t="s">
        <v>476</v>
      </c>
      <c r="E51" s="938"/>
      <c r="F51" s="941"/>
    </row>
    <row r="52" spans="1:6" ht="14.25">
      <c r="A52" s="10"/>
      <c r="B52" s="12"/>
      <c r="C52" s="11"/>
      <c r="D52" s="363"/>
      <c r="E52" s="367"/>
      <c r="F52" s="368"/>
    </row>
    <row r="53" spans="1:6" ht="21.75" customHeight="1">
      <c r="A53" s="10"/>
      <c r="B53" s="357"/>
      <c r="C53" s="356" t="s">
        <v>94</v>
      </c>
      <c r="D53" s="358"/>
      <c r="E53" s="369">
        <f>E6+E33</f>
        <v>75062044.6263</v>
      </c>
      <c r="F53" s="370">
        <f>F6+F33</f>
        <v>48148054</v>
      </c>
    </row>
    <row r="54" spans="1:6" ht="15" thickBot="1">
      <c r="A54" s="10"/>
      <c r="B54" s="13"/>
      <c r="C54" s="14"/>
      <c r="D54" s="365"/>
      <c r="E54" s="371"/>
      <c r="F54" s="372"/>
    </row>
    <row r="55" ht="12.75">
      <c r="F55" s="88" t="s">
        <v>1776</v>
      </c>
    </row>
    <row r="57" spans="2:6" ht="12.75">
      <c r="B57" s="1314"/>
      <c r="C57" s="1314"/>
      <c r="D57" s="1314"/>
      <c r="E57" s="1314"/>
      <c r="F57" s="1314"/>
    </row>
    <row r="58" spans="1:6" ht="12.75">
      <c r="A58" s="1314"/>
      <c r="B58" s="1314"/>
      <c r="C58" s="1314"/>
      <c r="D58" s="1314"/>
      <c r="E58" s="1314"/>
      <c r="F58" s="1314"/>
    </row>
  </sheetData>
  <sheetProtection/>
  <mergeCells count="8">
    <mergeCell ref="B57:F57"/>
    <mergeCell ref="A58:F58"/>
    <mergeCell ref="B2:E2"/>
    <mergeCell ref="D4:D5"/>
    <mergeCell ref="E4:E5"/>
    <mergeCell ref="F4:F5"/>
    <mergeCell ref="C4:C5"/>
    <mergeCell ref="B4:B5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J33"/>
  <sheetViews>
    <sheetView zoomScalePageLayoutView="0" workbookViewId="0" topLeftCell="A1">
      <selection activeCell="H40" sqref="H40"/>
    </sheetView>
  </sheetViews>
  <sheetFormatPr defaultColWidth="9.140625" defaultRowHeight="12.75"/>
  <cols>
    <col min="1" max="2" width="5.421875" style="0" customWidth="1"/>
    <col min="7" max="7" width="16.421875" style="0" customWidth="1"/>
  </cols>
  <sheetData>
    <row r="1" ht="13.5" thickBot="1"/>
    <row r="2" spans="2:10" ht="12.75">
      <c r="B2" s="823"/>
      <c r="C2" s="824"/>
      <c r="D2" s="824"/>
      <c r="E2" s="824"/>
      <c r="F2" s="824"/>
      <c r="G2" s="824"/>
      <c r="H2" s="824"/>
      <c r="I2" s="825"/>
      <c r="J2" s="1"/>
    </row>
    <row r="3" spans="2:10" ht="12.75">
      <c r="B3" s="808"/>
      <c r="C3" s="809"/>
      <c r="D3" s="809"/>
      <c r="E3" s="809"/>
      <c r="F3" s="809"/>
      <c r="G3" s="809"/>
      <c r="H3" s="809"/>
      <c r="I3" s="815"/>
      <c r="J3" s="1"/>
    </row>
    <row r="4" spans="2:10" ht="12.75">
      <c r="B4" s="808"/>
      <c r="C4" s="809"/>
      <c r="D4" s="809"/>
      <c r="E4" s="809"/>
      <c r="F4" s="809"/>
      <c r="G4" s="809"/>
      <c r="H4" s="809"/>
      <c r="I4" s="815"/>
      <c r="J4" s="1"/>
    </row>
    <row r="5" spans="2:10" ht="12.75">
      <c r="B5" s="808"/>
      <c r="C5" s="1369" t="s">
        <v>862</v>
      </c>
      <c r="D5" s="1369"/>
      <c r="E5" s="1369"/>
      <c r="F5" s="1369"/>
      <c r="G5" s="1369"/>
      <c r="H5" s="1369"/>
      <c r="I5" s="815"/>
      <c r="J5" s="1"/>
    </row>
    <row r="6" spans="2:10" ht="12.75">
      <c r="B6" s="808"/>
      <c r="C6" s="809"/>
      <c r="D6" s="809"/>
      <c r="E6" s="809"/>
      <c r="F6" s="809"/>
      <c r="G6" s="809"/>
      <c r="H6" s="809"/>
      <c r="I6" s="815"/>
      <c r="J6" s="1"/>
    </row>
    <row r="7" spans="2:10" ht="12.75">
      <c r="B7" s="808"/>
      <c r="C7" s="809"/>
      <c r="D7" s="809"/>
      <c r="E7" s="809"/>
      <c r="F7" s="809"/>
      <c r="G7" s="809"/>
      <c r="H7" s="809"/>
      <c r="I7" s="815"/>
      <c r="J7" s="1"/>
    </row>
    <row r="8" spans="2:10" ht="12.75">
      <c r="B8" s="808"/>
      <c r="C8" s="826" t="s">
        <v>863</v>
      </c>
      <c r="D8" s="809"/>
      <c r="E8" s="809"/>
      <c r="F8" s="809"/>
      <c r="G8" s="809">
        <v>0</v>
      </c>
      <c r="H8" s="809"/>
      <c r="I8" s="815"/>
      <c r="J8" s="1"/>
    </row>
    <row r="9" spans="2:10" ht="12.75">
      <c r="B9" s="808"/>
      <c r="C9" s="809"/>
      <c r="D9" s="809"/>
      <c r="E9" s="809"/>
      <c r="F9" s="809"/>
      <c r="G9" s="809"/>
      <c r="H9" s="809"/>
      <c r="I9" s="815"/>
      <c r="J9" s="1"/>
    </row>
    <row r="10" spans="2:10" ht="12.75">
      <c r="B10" s="808"/>
      <c r="C10" s="826" t="s">
        <v>864</v>
      </c>
      <c r="D10" s="809"/>
      <c r="E10" s="809"/>
      <c r="F10" s="809"/>
      <c r="G10" s="809">
        <v>0</v>
      </c>
      <c r="H10" s="809"/>
      <c r="I10" s="815"/>
      <c r="J10" s="1"/>
    </row>
    <row r="11" spans="2:10" ht="12.75">
      <c r="B11" s="808"/>
      <c r="C11" s="809"/>
      <c r="D11" s="809"/>
      <c r="E11" s="809"/>
      <c r="F11" s="809"/>
      <c r="G11" s="809"/>
      <c r="H11" s="809"/>
      <c r="I11" s="815"/>
      <c r="J11" s="1"/>
    </row>
    <row r="12" spans="2:10" ht="12.75">
      <c r="B12" s="808"/>
      <c r="C12" s="826" t="s">
        <v>865</v>
      </c>
      <c r="D12" s="809"/>
      <c r="E12" s="809"/>
      <c r="F12" s="809"/>
      <c r="G12" s="809">
        <v>0</v>
      </c>
      <c r="H12" s="809"/>
      <c r="I12" s="815"/>
      <c r="J12" s="1"/>
    </row>
    <row r="13" spans="2:10" ht="12.75">
      <c r="B13" s="808"/>
      <c r="C13" s="809"/>
      <c r="D13" s="809"/>
      <c r="E13" s="809"/>
      <c r="F13" s="809"/>
      <c r="G13" s="809"/>
      <c r="H13" s="809"/>
      <c r="I13" s="815"/>
      <c r="J13" s="1"/>
    </row>
    <row r="14" spans="2:10" ht="12.75">
      <c r="B14" s="808"/>
      <c r="C14" s="800" t="s">
        <v>866</v>
      </c>
      <c r="D14" s="800"/>
      <c r="E14" s="800"/>
      <c r="F14" s="800"/>
      <c r="G14" s="800">
        <f>G8+G10-G12</f>
        <v>0</v>
      </c>
      <c r="H14" s="809"/>
      <c r="I14" s="815"/>
      <c r="J14" s="1"/>
    </row>
    <row r="15" spans="2:10" ht="12.75">
      <c r="B15" s="808"/>
      <c r="C15" s="809"/>
      <c r="D15" s="809"/>
      <c r="E15" s="809"/>
      <c r="F15" s="809"/>
      <c r="G15" s="809"/>
      <c r="H15" s="809"/>
      <c r="I15" s="815"/>
      <c r="J15" s="1"/>
    </row>
    <row r="16" spans="2:10" ht="12.75">
      <c r="B16" s="808"/>
      <c r="C16" s="809"/>
      <c r="D16" s="809"/>
      <c r="E16" s="809"/>
      <c r="F16" s="809"/>
      <c r="G16" s="809"/>
      <c r="H16" s="809"/>
      <c r="I16" s="815"/>
      <c r="J16" s="1"/>
    </row>
    <row r="17" spans="2:10" ht="12.75">
      <c r="B17" s="808"/>
      <c r="C17" s="809"/>
      <c r="D17" s="809"/>
      <c r="E17" s="809"/>
      <c r="F17" s="809"/>
      <c r="G17" s="809"/>
      <c r="H17" s="809"/>
      <c r="I17" s="815"/>
      <c r="J17" s="1"/>
    </row>
    <row r="18" spans="2:10" ht="12.75">
      <c r="B18" s="808"/>
      <c r="C18" s="809"/>
      <c r="D18" s="809"/>
      <c r="E18" s="809"/>
      <c r="F18" s="809"/>
      <c r="G18" s="809"/>
      <c r="H18" s="809"/>
      <c r="I18" s="815"/>
      <c r="J18" s="1"/>
    </row>
    <row r="19" spans="2:10" ht="12.75">
      <c r="B19" s="808"/>
      <c r="C19" s="809"/>
      <c r="D19" s="809"/>
      <c r="E19" s="809"/>
      <c r="F19" s="809"/>
      <c r="G19" s="809"/>
      <c r="H19" s="809"/>
      <c r="I19" s="815"/>
      <c r="J19" s="1"/>
    </row>
    <row r="20" spans="2:10" ht="12.75">
      <c r="B20" s="808"/>
      <c r="C20" s="809"/>
      <c r="D20" s="809"/>
      <c r="E20" s="809"/>
      <c r="F20" s="809"/>
      <c r="G20" s="809"/>
      <c r="H20" s="809"/>
      <c r="I20" s="815"/>
      <c r="J20" s="1"/>
    </row>
    <row r="21" spans="2:10" ht="12.75">
      <c r="B21" s="808"/>
      <c r="C21" s="809"/>
      <c r="D21" s="809"/>
      <c r="E21" s="809"/>
      <c r="F21" s="809"/>
      <c r="G21" s="809"/>
      <c r="H21" s="809"/>
      <c r="I21" s="815"/>
      <c r="J21" s="1"/>
    </row>
    <row r="22" spans="2:10" ht="12.75">
      <c r="B22" s="808"/>
      <c r="C22" s="809"/>
      <c r="D22" s="809"/>
      <c r="E22" s="809"/>
      <c r="F22" s="809"/>
      <c r="G22" s="809"/>
      <c r="H22" s="809"/>
      <c r="I22" s="815"/>
      <c r="J22" s="1"/>
    </row>
    <row r="23" spans="2:10" ht="12.75">
      <c r="B23" s="808"/>
      <c r="C23" s="809"/>
      <c r="D23" s="809"/>
      <c r="E23" s="809"/>
      <c r="F23" s="809"/>
      <c r="G23" s="809"/>
      <c r="H23" s="809"/>
      <c r="I23" s="815"/>
      <c r="J23" s="1"/>
    </row>
    <row r="24" spans="2:10" ht="12.75">
      <c r="B24" s="808"/>
      <c r="C24" s="809"/>
      <c r="D24" s="809"/>
      <c r="E24" s="809"/>
      <c r="F24" s="809"/>
      <c r="G24" s="809"/>
      <c r="H24" s="809"/>
      <c r="I24" s="815"/>
      <c r="J24" s="1"/>
    </row>
    <row r="25" spans="2:10" ht="12.75">
      <c r="B25" s="808"/>
      <c r="C25" s="809"/>
      <c r="D25" s="809"/>
      <c r="E25" s="809"/>
      <c r="F25" s="809"/>
      <c r="G25" s="809"/>
      <c r="H25" s="809"/>
      <c r="I25" s="815"/>
      <c r="J25" s="1"/>
    </row>
    <row r="26" spans="2:10" ht="12.75">
      <c r="B26" s="808"/>
      <c r="C26" s="809"/>
      <c r="D26" s="809"/>
      <c r="E26" s="809"/>
      <c r="F26" s="809"/>
      <c r="G26" s="809"/>
      <c r="H26" s="809"/>
      <c r="I26" s="815"/>
      <c r="J26" s="1"/>
    </row>
    <row r="27" spans="2:10" ht="12.75">
      <c r="B27" s="808"/>
      <c r="C27" s="809"/>
      <c r="D27" s="809"/>
      <c r="E27" s="809"/>
      <c r="F27" s="809"/>
      <c r="G27" s="809"/>
      <c r="H27" s="809"/>
      <c r="I27" s="815"/>
      <c r="J27" s="1"/>
    </row>
    <row r="28" spans="2:10" ht="12.75">
      <c r="B28" s="808"/>
      <c r="C28" s="809"/>
      <c r="D28" s="809"/>
      <c r="E28" s="809"/>
      <c r="F28" s="809"/>
      <c r="G28" s="809"/>
      <c r="H28" s="809"/>
      <c r="I28" s="815"/>
      <c r="J28" s="1"/>
    </row>
    <row r="29" spans="2:10" ht="12.75">
      <c r="B29" s="808"/>
      <c r="C29" s="809"/>
      <c r="D29" s="809"/>
      <c r="E29" s="809"/>
      <c r="F29" s="809"/>
      <c r="G29" s="809"/>
      <c r="H29" s="809"/>
      <c r="I29" s="815"/>
      <c r="J29" s="1"/>
    </row>
    <row r="30" spans="2:10" ht="12.75">
      <c r="B30" s="808"/>
      <c r="C30" s="809"/>
      <c r="D30" s="809"/>
      <c r="E30" s="809"/>
      <c r="F30" s="809"/>
      <c r="G30" s="809"/>
      <c r="H30" s="809"/>
      <c r="I30" s="815"/>
      <c r="J30" s="1"/>
    </row>
    <row r="31" spans="2:10" ht="12.75">
      <c r="B31" s="808"/>
      <c r="C31" s="809"/>
      <c r="D31" s="809"/>
      <c r="E31" s="809"/>
      <c r="F31" s="809"/>
      <c r="G31" s="809"/>
      <c r="H31" s="809"/>
      <c r="I31" s="815"/>
      <c r="J31" s="1"/>
    </row>
    <row r="32" spans="2:10" ht="13.5" thickBot="1">
      <c r="B32" s="820"/>
      <c r="C32" s="821"/>
      <c r="D32" s="821"/>
      <c r="E32" s="821"/>
      <c r="F32" s="821"/>
      <c r="G32" s="821"/>
      <c r="H32" s="821"/>
      <c r="I32" s="822"/>
      <c r="J32" s="1"/>
    </row>
    <row r="33" spans="2:10" ht="12.75">
      <c r="B33" s="1"/>
      <c r="C33" s="1"/>
      <c r="D33" s="1"/>
      <c r="E33" s="1"/>
      <c r="F33" s="1"/>
      <c r="G33" s="1"/>
      <c r="H33" s="1"/>
      <c r="I33" s="1"/>
      <c r="J33" s="1"/>
    </row>
  </sheetData>
  <sheetProtection/>
  <mergeCells count="1">
    <mergeCell ref="C5:H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36"/>
  <sheetViews>
    <sheetView zoomScalePageLayoutView="0" workbookViewId="0" topLeftCell="A1">
      <selection activeCell="B20" sqref="B20"/>
    </sheetView>
  </sheetViews>
  <sheetFormatPr defaultColWidth="9.140625" defaultRowHeight="12.75"/>
  <cols>
    <col min="6" max="6" width="16.57421875" style="0" customWidth="1"/>
  </cols>
  <sheetData>
    <row r="2" spans="2:8" ht="12.75">
      <c r="B2" s="827"/>
      <c r="C2" s="827"/>
      <c r="D2" s="827"/>
      <c r="E2" s="827"/>
      <c r="F2" s="827"/>
      <c r="G2" s="827"/>
      <c r="H2" s="827"/>
    </row>
    <row r="3" spans="2:8" ht="12.75">
      <c r="B3" s="827"/>
      <c r="C3" s="827"/>
      <c r="D3" s="827"/>
      <c r="E3" s="827"/>
      <c r="F3" s="827"/>
      <c r="G3" s="827"/>
      <c r="H3" s="827"/>
    </row>
    <row r="4" spans="2:8" ht="12.75">
      <c r="B4" s="827"/>
      <c r="C4" s="827"/>
      <c r="D4" s="827"/>
      <c r="E4" s="827"/>
      <c r="F4" s="827"/>
      <c r="G4" s="827"/>
      <c r="H4" s="827"/>
    </row>
    <row r="5" spans="2:8" ht="12.75">
      <c r="B5" s="1370" t="s">
        <v>899</v>
      </c>
      <c r="C5" s="1370"/>
      <c r="D5" s="1370"/>
      <c r="E5" s="1370"/>
      <c r="F5" s="1370"/>
      <c r="G5" s="1370"/>
      <c r="H5" s="827"/>
    </row>
    <row r="6" spans="2:8" ht="12.75">
      <c r="B6" s="827"/>
      <c r="C6" s="827"/>
      <c r="D6" s="827"/>
      <c r="E6" s="827"/>
      <c r="F6" s="827"/>
      <c r="G6" s="827"/>
      <c r="H6" s="827"/>
    </row>
    <row r="7" spans="2:8" ht="12.75">
      <c r="B7" s="827"/>
      <c r="C7" s="827"/>
      <c r="D7" s="827"/>
      <c r="E7" s="827"/>
      <c r="F7" s="827"/>
      <c r="G7" s="827"/>
      <c r="H7" s="827"/>
    </row>
    <row r="8" spans="2:8" ht="12.75">
      <c r="B8" s="827"/>
      <c r="C8" s="827"/>
      <c r="D8" s="827"/>
      <c r="E8" s="827"/>
      <c r="F8" s="827"/>
      <c r="G8" s="827"/>
      <c r="H8" s="827"/>
    </row>
    <row r="9" spans="2:8" ht="12.75">
      <c r="B9" s="827"/>
      <c r="C9" s="827"/>
      <c r="D9" s="827"/>
      <c r="E9" s="827"/>
      <c r="F9" s="827"/>
      <c r="G9" s="827"/>
      <c r="H9" s="827"/>
    </row>
    <row r="10" spans="2:8" ht="12.75">
      <c r="B10" s="827"/>
      <c r="C10" s="827"/>
      <c r="D10" s="827"/>
      <c r="E10" s="827"/>
      <c r="F10" s="827"/>
      <c r="G10" s="827"/>
      <c r="H10" s="827"/>
    </row>
    <row r="11" spans="2:8" ht="12.75">
      <c r="B11" s="827"/>
      <c r="C11" s="827"/>
      <c r="D11" s="827"/>
      <c r="E11" s="827"/>
      <c r="F11" s="827"/>
      <c r="G11" s="827"/>
      <c r="H11" s="827"/>
    </row>
    <row r="12" spans="2:8" ht="12.75">
      <c r="B12" s="828" t="s">
        <v>957</v>
      </c>
      <c r="C12" s="829"/>
      <c r="D12" s="829"/>
      <c r="E12" s="827"/>
      <c r="F12" s="827">
        <v>0</v>
      </c>
      <c r="G12" s="827"/>
      <c r="H12" s="827"/>
    </row>
    <row r="13" spans="2:8" ht="12.75">
      <c r="B13" s="829"/>
      <c r="C13" s="829"/>
      <c r="D13" s="829"/>
      <c r="E13" s="827"/>
      <c r="F13" s="827"/>
      <c r="G13" s="827"/>
      <c r="H13" s="827"/>
    </row>
    <row r="14" spans="2:8" ht="12.75">
      <c r="B14" s="828" t="s">
        <v>864</v>
      </c>
      <c r="C14" s="829"/>
      <c r="D14" s="829"/>
      <c r="E14" s="827"/>
      <c r="F14" s="827">
        <v>0</v>
      </c>
      <c r="G14" s="827"/>
      <c r="H14" s="827"/>
    </row>
    <row r="15" spans="2:8" ht="12.75">
      <c r="B15" s="829"/>
      <c r="C15" s="829"/>
      <c r="D15" s="829"/>
      <c r="E15" s="827"/>
      <c r="F15" s="827"/>
      <c r="G15" s="827"/>
      <c r="H15" s="827"/>
    </row>
    <row r="16" spans="2:8" ht="12.75">
      <c r="B16" s="828" t="s">
        <v>865</v>
      </c>
      <c r="C16" s="829"/>
      <c r="D16" s="829"/>
      <c r="E16" s="827"/>
      <c r="F16" s="827">
        <v>0</v>
      </c>
      <c r="G16" s="827"/>
      <c r="H16" s="827"/>
    </row>
    <row r="17" spans="2:8" ht="12.75">
      <c r="B17" s="827"/>
      <c r="C17" s="827"/>
      <c r="D17" s="827"/>
      <c r="E17" s="827"/>
      <c r="F17" s="827"/>
      <c r="G17" s="827"/>
      <c r="H17" s="827"/>
    </row>
    <row r="18" spans="2:8" ht="12.75">
      <c r="B18" s="827"/>
      <c r="C18" s="827"/>
      <c r="D18" s="827"/>
      <c r="E18" s="827"/>
      <c r="F18" s="827"/>
      <c r="G18" s="827"/>
      <c r="H18" s="827"/>
    </row>
    <row r="19" spans="2:8" ht="12.75">
      <c r="B19" s="827"/>
      <c r="C19" s="827"/>
      <c r="D19" s="827"/>
      <c r="E19" s="827"/>
      <c r="F19" s="827"/>
      <c r="G19" s="827"/>
      <c r="H19" s="827"/>
    </row>
    <row r="20" spans="2:8" ht="12.75">
      <c r="B20" s="827"/>
      <c r="C20" s="827"/>
      <c r="D20" s="827"/>
      <c r="E20" s="827"/>
      <c r="F20" s="827"/>
      <c r="G20" s="827"/>
      <c r="H20" s="827"/>
    </row>
    <row r="21" spans="2:8" ht="12.75">
      <c r="B21" s="827"/>
      <c r="C21" s="827"/>
      <c r="D21" s="827"/>
      <c r="E21" s="827"/>
      <c r="F21" s="827"/>
      <c r="G21" s="827"/>
      <c r="H21" s="827"/>
    </row>
    <row r="22" spans="2:8" ht="12.75">
      <c r="B22" s="827"/>
      <c r="C22" s="827"/>
      <c r="D22" s="827"/>
      <c r="E22" s="827"/>
      <c r="F22" s="827"/>
      <c r="G22" s="827"/>
      <c r="H22" s="827"/>
    </row>
    <row r="23" spans="2:8" ht="12.75">
      <c r="B23" s="827"/>
      <c r="C23" s="827"/>
      <c r="D23" s="827"/>
      <c r="E23" s="827"/>
      <c r="F23" s="827"/>
      <c r="G23" s="827"/>
      <c r="H23" s="827"/>
    </row>
    <row r="24" spans="2:8" ht="12.75">
      <c r="B24" s="827"/>
      <c r="C24" s="827"/>
      <c r="D24" s="827"/>
      <c r="E24" s="827"/>
      <c r="F24" s="827"/>
      <c r="G24" s="827"/>
      <c r="H24" s="827"/>
    </row>
    <row r="25" spans="2:8" ht="12.75">
      <c r="B25" s="827"/>
      <c r="C25" s="827"/>
      <c r="D25" s="827"/>
      <c r="E25" s="827"/>
      <c r="F25" s="827"/>
      <c r="G25" s="827"/>
      <c r="H25" s="827"/>
    </row>
    <row r="26" spans="2:8" ht="12.75">
      <c r="B26" s="827"/>
      <c r="C26" s="827"/>
      <c r="D26" s="827"/>
      <c r="E26" s="827"/>
      <c r="F26" s="827"/>
      <c r="G26" s="827"/>
      <c r="H26" s="827"/>
    </row>
    <row r="27" spans="2:8" ht="12.75">
      <c r="B27" s="827"/>
      <c r="C27" s="827"/>
      <c r="D27" s="827"/>
      <c r="E27" s="827"/>
      <c r="F27" s="827"/>
      <c r="G27" s="827"/>
      <c r="H27" s="827"/>
    </row>
    <row r="28" spans="2:8" ht="12.75">
      <c r="B28" s="827"/>
      <c r="C28" s="827"/>
      <c r="D28" s="827"/>
      <c r="E28" s="827"/>
      <c r="F28" s="827"/>
      <c r="G28" s="827"/>
      <c r="H28" s="827"/>
    </row>
    <row r="29" spans="2:8" ht="12.75">
      <c r="B29" s="1370" t="s">
        <v>720</v>
      </c>
      <c r="C29" s="1370"/>
      <c r="D29" s="1370"/>
      <c r="E29" s="827"/>
      <c r="F29" s="830">
        <f>F12+F14-F16</f>
        <v>0</v>
      </c>
      <c r="G29" s="827"/>
      <c r="H29" s="827"/>
    </row>
    <row r="30" spans="2:8" ht="12.75">
      <c r="B30" s="827"/>
      <c r="C30" s="827"/>
      <c r="D30" s="827"/>
      <c r="E30" s="827"/>
      <c r="F30" s="827"/>
      <c r="G30" s="827"/>
      <c r="H30" s="827"/>
    </row>
    <row r="31" spans="2:8" ht="12.75">
      <c r="B31" s="827"/>
      <c r="C31" s="827"/>
      <c r="D31" s="827"/>
      <c r="E31" s="827"/>
      <c r="F31" s="827"/>
      <c r="G31" s="827"/>
      <c r="H31" s="827"/>
    </row>
    <row r="32" spans="2:8" ht="12.75">
      <c r="B32" s="827"/>
      <c r="C32" s="827"/>
      <c r="D32" s="827"/>
      <c r="E32" s="827"/>
      <c r="F32" s="827"/>
      <c r="G32" s="827"/>
      <c r="H32" s="827"/>
    </row>
    <row r="33" spans="2:8" ht="12.75">
      <c r="B33" s="827"/>
      <c r="C33" s="827"/>
      <c r="D33" s="827"/>
      <c r="E33" s="827"/>
      <c r="F33" s="827"/>
      <c r="G33" s="827"/>
      <c r="H33" s="827"/>
    </row>
    <row r="34" spans="2:8" ht="12.75">
      <c r="B34" s="827"/>
      <c r="C34" s="827"/>
      <c r="D34" s="827"/>
      <c r="E34" s="827"/>
      <c r="F34" s="827"/>
      <c r="G34" s="827"/>
      <c r="H34" s="827"/>
    </row>
    <row r="35" spans="2:8" ht="12.75">
      <c r="B35" s="827"/>
      <c r="C35" s="827"/>
      <c r="D35" s="827"/>
      <c r="E35" s="827"/>
      <c r="F35" s="827"/>
      <c r="G35" s="827"/>
      <c r="H35" s="827"/>
    </row>
    <row r="36" spans="2:8" ht="12.75">
      <c r="B36" s="827"/>
      <c r="C36" s="827"/>
      <c r="D36" s="827"/>
      <c r="E36" s="827"/>
      <c r="F36" s="827"/>
      <c r="G36" s="827"/>
      <c r="H36" s="827"/>
    </row>
  </sheetData>
  <sheetProtection/>
  <mergeCells count="2">
    <mergeCell ref="B5:G5"/>
    <mergeCell ref="B29:D29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3:K54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4.57421875" style="0" customWidth="1"/>
    <col min="2" max="2" width="7.421875" style="0" customWidth="1"/>
    <col min="5" max="5" width="7.421875" style="0" customWidth="1"/>
    <col min="6" max="6" width="11.00390625" style="0" customWidth="1"/>
    <col min="7" max="7" width="10.8515625" style="0" customWidth="1"/>
    <col min="8" max="9" width="7.57421875" style="0" customWidth="1"/>
    <col min="10" max="10" width="5.421875" style="0" customWidth="1"/>
    <col min="11" max="11" width="4.28125" style="0" customWidth="1"/>
    <col min="12" max="12" width="5.140625" style="0" customWidth="1"/>
    <col min="13" max="13" width="4.140625" style="0" customWidth="1"/>
  </cols>
  <sheetData>
    <row r="3" spans="2:8" ht="12.75">
      <c r="B3" s="2"/>
      <c r="C3" s="51"/>
      <c r="D3" s="51"/>
      <c r="E3" s="51"/>
      <c r="F3" s="51"/>
      <c r="G3" s="2"/>
      <c r="H3" s="2"/>
    </row>
    <row r="4" spans="2:8" ht="12.75">
      <c r="B4" s="2" t="s">
        <v>130</v>
      </c>
      <c r="C4" s="2" t="str">
        <f>'Kopertina '!F4</f>
        <v>FJORTES </v>
      </c>
      <c r="D4" s="2"/>
      <c r="E4" s="2"/>
      <c r="F4" s="2"/>
      <c r="G4" s="2"/>
      <c r="H4" s="2"/>
    </row>
    <row r="5" spans="2:11" ht="12.75">
      <c r="B5" s="1"/>
      <c r="C5" s="1"/>
      <c r="D5" s="1"/>
      <c r="E5" s="1"/>
      <c r="F5" s="1"/>
      <c r="G5" s="2"/>
      <c r="H5" s="2"/>
      <c r="I5" s="2"/>
      <c r="J5" s="2"/>
      <c r="K5" s="2" t="s">
        <v>137</v>
      </c>
    </row>
    <row r="6" spans="2:9" ht="12.75">
      <c r="B6" s="1"/>
      <c r="C6" s="1337" t="s">
        <v>153</v>
      </c>
      <c r="D6" s="1337"/>
      <c r="E6" s="1337"/>
      <c r="F6" s="1337"/>
      <c r="G6" s="1337"/>
      <c r="H6" s="1337"/>
      <c r="I6" s="1337"/>
    </row>
    <row r="7" spans="2:10" ht="12.75">
      <c r="B7" s="1"/>
      <c r="C7" s="1"/>
      <c r="D7" s="1"/>
      <c r="E7" s="1"/>
      <c r="F7" s="1"/>
      <c r="G7" s="1"/>
      <c r="H7" s="2" t="s">
        <v>131</v>
      </c>
      <c r="I7" s="19"/>
      <c r="J7" s="19">
        <f>'Kopertina '!F29</f>
        <v>2012</v>
      </c>
    </row>
    <row r="8" spans="2:8" ht="13.5" thickBot="1">
      <c r="B8" s="1"/>
      <c r="C8" s="1"/>
      <c r="D8" s="1"/>
      <c r="E8" s="1"/>
      <c r="F8" s="1"/>
      <c r="G8" s="1"/>
      <c r="H8" s="1"/>
    </row>
    <row r="9" spans="2:11" ht="12.75">
      <c r="B9" s="16"/>
      <c r="C9" s="17"/>
      <c r="D9" s="17"/>
      <c r="E9" s="17"/>
      <c r="F9" s="17"/>
      <c r="G9" s="17"/>
      <c r="H9" s="17"/>
      <c r="I9" s="17"/>
      <c r="J9" s="17"/>
      <c r="K9" s="18"/>
    </row>
    <row r="10" spans="2:11" ht="12.75">
      <c r="B10" s="5"/>
      <c r="C10" s="1"/>
      <c r="D10" s="1"/>
      <c r="E10" s="1"/>
      <c r="F10" s="1"/>
      <c r="G10" s="1"/>
      <c r="H10" s="1"/>
      <c r="I10" s="1"/>
      <c r="J10" s="1"/>
      <c r="K10" s="6"/>
    </row>
    <row r="11" spans="2:11" ht="12.75">
      <c r="B11" s="5"/>
      <c r="C11" s="1372" t="s">
        <v>983</v>
      </c>
      <c r="D11" s="1372"/>
      <c r="E11" s="1372"/>
      <c r="F11" s="1372"/>
      <c r="G11" s="934">
        <f>G14+G15+G16+G17+G18</f>
        <v>0</v>
      </c>
      <c r="H11" s="1"/>
      <c r="I11" s="1"/>
      <c r="J11" s="1"/>
      <c r="K11" s="6"/>
    </row>
    <row r="12" spans="2:11" ht="12.75">
      <c r="B12" s="5"/>
      <c r="C12" s="1"/>
      <c r="D12" s="1" t="s">
        <v>491</v>
      </c>
      <c r="E12" s="1"/>
      <c r="F12" s="1"/>
      <c r="G12" s="95"/>
      <c r="H12" s="1"/>
      <c r="I12" s="1"/>
      <c r="J12" s="1"/>
      <c r="K12" s="6"/>
    </row>
    <row r="13" spans="2:11" ht="12.75">
      <c r="B13" s="5"/>
      <c r="C13" s="1"/>
      <c r="D13" s="1"/>
      <c r="E13" s="1"/>
      <c r="F13" s="1"/>
      <c r="G13" s="95"/>
      <c r="H13" s="1"/>
      <c r="I13" s="1"/>
      <c r="J13" s="1"/>
      <c r="K13" s="6"/>
    </row>
    <row r="14" spans="2:11" ht="12.75">
      <c r="B14" s="5"/>
      <c r="C14" s="1" t="s">
        <v>492</v>
      </c>
      <c r="D14" s="1"/>
      <c r="E14" s="1"/>
      <c r="F14" s="1"/>
      <c r="G14" s="97"/>
      <c r="H14" s="1"/>
      <c r="I14" s="1"/>
      <c r="J14" s="1"/>
      <c r="K14" s="6"/>
    </row>
    <row r="15" spans="2:11" ht="12.75">
      <c r="B15" s="5"/>
      <c r="C15" s="1" t="s">
        <v>247</v>
      </c>
      <c r="D15" s="1"/>
      <c r="E15" s="1"/>
      <c r="F15" s="1"/>
      <c r="G15" s="97">
        <v>0</v>
      </c>
      <c r="H15" s="1"/>
      <c r="I15" s="1"/>
      <c r="J15" s="1"/>
      <c r="K15" s="6"/>
    </row>
    <row r="16" spans="2:11" ht="12.75">
      <c r="B16" s="5"/>
      <c r="C16" s="61" t="s">
        <v>493</v>
      </c>
      <c r="D16" s="1"/>
      <c r="E16" s="1"/>
      <c r="F16" s="1"/>
      <c r="G16" s="97">
        <v>0</v>
      </c>
      <c r="H16" s="1"/>
      <c r="I16" s="1"/>
      <c r="J16" s="1"/>
      <c r="K16" s="6"/>
    </row>
    <row r="17" spans="2:11" ht="12.75">
      <c r="B17" s="5"/>
      <c r="C17" s="61" t="s">
        <v>493</v>
      </c>
      <c r="D17" s="1"/>
      <c r="E17" s="1"/>
      <c r="F17" s="1"/>
      <c r="G17" s="95">
        <v>0</v>
      </c>
      <c r="H17" s="1"/>
      <c r="I17" s="1"/>
      <c r="J17" s="1"/>
      <c r="K17" s="6"/>
    </row>
    <row r="18" spans="2:11" ht="12.75">
      <c r="B18" s="5"/>
      <c r="C18" s="61" t="s">
        <v>493</v>
      </c>
      <c r="D18" s="1"/>
      <c r="E18" s="1"/>
      <c r="F18" s="1"/>
      <c r="G18" s="97">
        <v>0</v>
      </c>
      <c r="H18" s="1"/>
      <c r="I18" s="1"/>
      <c r="J18" s="1"/>
      <c r="K18" s="6"/>
    </row>
    <row r="19" spans="2:11" ht="12.75">
      <c r="B19" s="5"/>
      <c r="C19" s="1"/>
      <c r="D19" s="2" t="s">
        <v>984</v>
      </c>
      <c r="E19" s="1"/>
      <c r="F19" s="1"/>
      <c r="G19" s="1"/>
      <c r="H19" s="1"/>
      <c r="I19" s="1"/>
      <c r="J19" s="1"/>
      <c r="K19" s="6"/>
    </row>
    <row r="20" spans="2:11" ht="12.75">
      <c r="B20" s="5"/>
      <c r="C20" s="931" t="s">
        <v>989</v>
      </c>
      <c r="D20" s="931"/>
      <c r="E20" s="931"/>
      <c r="F20" s="931"/>
      <c r="G20" s="1">
        <f>G22+G23+G24+G25+G26+G27</f>
        <v>0</v>
      </c>
      <c r="H20" s="1"/>
      <c r="I20" s="1"/>
      <c r="J20" s="1"/>
      <c r="K20" s="6"/>
    </row>
    <row r="21" spans="2:11" ht="12.75">
      <c r="B21" s="5"/>
      <c r="C21" s="1"/>
      <c r="D21" s="1"/>
      <c r="E21" s="1"/>
      <c r="F21" s="1"/>
      <c r="G21" s="1"/>
      <c r="H21" s="1"/>
      <c r="I21" s="1"/>
      <c r="J21" s="1"/>
      <c r="K21" s="6"/>
    </row>
    <row r="22" spans="2:11" ht="12.75">
      <c r="B22" s="5"/>
      <c r="C22" s="1" t="s">
        <v>492</v>
      </c>
      <c r="D22" s="1"/>
      <c r="E22" s="1"/>
      <c r="F22" s="1"/>
      <c r="G22" s="1">
        <v>0</v>
      </c>
      <c r="H22" s="1"/>
      <c r="I22" s="1"/>
      <c r="J22" s="1"/>
      <c r="K22" s="6"/>
    </row>
    <row r="23" spans="2:11" ht="12.75">
      <c r="B23" s="5"/>
      <c r="C23" s="28" t="s">
        <v>988</v>
      </c>
      <c r="D23" s="1"/>
      <c r="E23" s="1"/>
      <c r="F23" s="1"/>
      <c r="G23" s="1">
        <v>0</v>
      </c>
      <c r="H23" s="1"/>
      <c r="I23" s="1"/>
      <c r="J23" s="1"/>
      <c r="K23" s="6"/>
    </row>
    <row r="24" spans="2:11" ht="12.75">
      <c r="B24" s="5"/>
      <c r="C24" s="28" t="s">
        <v>988</v>
      </c>
      <c r="D24" s="1"/>
      <c r="E24" s="1"/>
      <c r="F24" s="1"/>
      <c r="G24" s="1">
        <v>0</v>
      </c>
      <c r="H24" s="1"/>
      <c r="I24" s="1"/>
      <c r="J24" s="1"/>
      <c r="K24" s="6"/>
    </row>
    <row r="25" spans="2:11" ht="12.75">
      <c r="B25" s="5"/>
      <c r="C25" s="28" t="s">
        <v>988</v>
      </c>
      <c r="D25" s="1"/>
      <c r="E25" s="1"/>
      <c r="F25" s="1"/>
      <c r="G25" s="61">
        <v>0</v>
      </c>
      <c r="H25" s="1"/>
      <c r="I25" s="1"/>
      <c r="J25" s="1"/>
      <c r="K25" s="6"/>
    </row>
    <row r="26" spans="2:11" ht="12.75">
      <c r="B26" s="5"/>
      <c r="C26" s="28" t="s">
        <v>988</v>
      </c>
      <c r="D26" s="1"/>
      <c r="E26" s="1"/>
      <c r="F26" s="1"/>
      <c r="G26" s="61">
        <v>0</v>
      </c>
      <c r="H26" s="1"/>
      <c r="I26" s="1"/>
      <c r="J26" s="1"/>
      <c r="K26" s="6"/>
    </row>
    <row r="27" spans="2:11" ht="12.75">
      <c r="B27" s="5"/>
      <c r="C27" s="1"/>
      <c r="D27" s="1"/>
      <c r="E27" s="1"/>
      <c r="F27" s="1"/>
      <c r="G27" s="61">
        <v>0</v>
      </c>
      <c r="H27" s="1"/>
      <c r="I27" s="1"/>
      <c r="J27" s="1"/>
      <c r="K27" s="6"/>
    </row>
    <row r="28" spans="2:11" ht="12.75">
      <c r="B28" s="5"/>
      <c r="C28" s="1"/>
      <c r="D28" s="1337" t="s">
        <v>494</v>
      </c>
      <c r="E28" s="1337"/>
      <c r="F28" s="1"/>
      <c r="G28" s="934">
        <f>G11+G20</f>
        <v>0</v>
      </c>
      <c r="H28" s="1"/>
      <c r="I28" s="1"/>
      <c r="J28" s="1"/>
      <c r="K28" s="6"/>
    </row>
    <row r="29" spans="2:11" ht="12.75">
      <c r="B29" s="5"/>
      <c r="C29" s="1"/>
      <c r="D29" s="1"/>
      <c r="E29" s="1"/>
      <c r="F29" s="1"/>
      <c r="G29" s="1"/>
      <c r="H29" s="1"/>
      <c r="I29" s="1"/>
      <c r="J29" s="1"/>
      <c r="K29" s="6"/>
    </row>
    <row r="30" spans="2:11" ht="12.75">
      <c r="B30" s="5"/>
      <c r="C30" s="1"/>
      <c r="D30" s="1"/>
      <c r="E30" s="1"/>
      <c r="F30" s="1"/>
      <c r="G30" s="1"/>
      <c r="H30" s="1"/>
      <c r="I30" s="1"/>
      <c r="J30" s="1"/>
      <c r="K30" s="6"/>
    </row>
    <row r="31" spans="2:11" ht="12.75">
      <c r="B31" s="5"/>
      <c r="C31" s="1"/>
      <c r="D31" s="931" t="s">
        <v>985</v>
      </c>
      <c r="E31" s="931"/>
      <c r="F31" s="931"/>
      <c r="G31" s="931"/>
      <c r="H31" s="1"/>
      <c r="I31" s="1"/>
      <c r="J31" s="1"/>
      <c r="K31" s="6"/>
    </row>
    <row r="32" spans="2:11" ht="12.75">
      <c r="B32" s="5"/>
      <c r="C32" s="1"/>
      <c r="D32" s="1"/>
      <c r="E32" s="1"/>
      <c r="F32" s="1"/>
      <c r="G32" s="1"/>
      <c r="H32" s="1"/>
      <c r="I32" s="1"/>
      <c r="J32" s="1"/>
      <c r="K32" s="6"/>
    </row>
    <row r="33" spans="2:11" ht="12.75">
      <c r="B33" s="5"/>
      <c r="C33" s="1" t="s">
        <v>492</v>
      </c>
      <c r="D33" s="1"/>
      <c r="E33" s="1"/>
      <c r="F33" s="1"/>
      <c r="G33" s="1">
        <v>0</v>
      </c>
      <c r="H33" s="1"/>
      <c r="I33" s="1"/>
      <c r="J33" s="1"/>
      <c r="K33" s="6"/>
    </row>
    <row r="34" spans="2:11" ht="12.75">
      <c r="B34" s="5"/>
      <c r="C34" s="1" t="s">
        <v>495</v>
      </c>
      <c r="D34" s="1"/>
      <c r="E34" s="1"/>
      <c r="F34" s="1"/>
      <c r="G34" s="1">
        <v>0</v>
      </c>
      <c r="H34" s="1"/>
      <c r="I34" s="1"/>
      <c r="J34" s="1"/>
      <c r="K34" s="6"/>
    </row>
    <row r="35" spans="2:11" ht="12.75">
      <c r="B35" s="5"/>
      <c r="C35" s="61" t="s">
        <v>493</v>
      </c>
      <c r="D35" s="1"/>
      <c r="E35" s="1"/>
      <c r="F35" s="1"/>
      <c r="G35" s="1">
        <v>0</v>
      </c>
      <c r="H35" s="1"/>
      <c r="I35" s="1"/>
      <c r="J35" s="1"/>
      <c r="K35" s="6"/>
    </row>
    <row r="36" spans="2:11" ht="12.75">
      <c r="B36" s="5"/>
      <c r="C36" s="61" t="s">
        <v>493</v>
      </c>
      <c r="D36" s="1"/>
      <c r="E36" s="1"/>
      <c r="F36" s="1"/>
      <c r="G36" s="61">
        <v>0</v>
      </c>
      <c r="H36" s="1"/>
      <c r="I36" s="1"/>
      <c r="J36" s="1"/>
      <c r="K36" s="6"/>
    </row>
    <row r="37" spans="2:11" ht="12.75">
      <c r="B37" s="5"/>
      <c r="C37" s="61" t="s">
        <v>493</v>
      </c>
      <c r="D37" s="1"/>
      <c r="E37" s="1"/>
      <c r="F37" s="1"/>
      <c r="G37" s="61">
        <v>0</v>
      </c>
      <c r="H37" s="1"/>
      <c r="I37" s="1"/>
      <c r="J37" s="1"/>
      <c r="K37" s="6"/>
    </row>
    <row r="38" spans="2:11" ht="12.75">
      <c r="B38" s="5"/>
      <c r="C38" s="61" t="s">
        <v>493</v>
      </c>
      <c r="D38" s="1"/>
      <c r="E38" s="1"/>
      <c r="F38" s="1"/>
      <c r="G38" s="61">
        <v>0</v>
      </c>
      <c r="H38" s="1"/>
      <c r="I38" s="1"/>
      <c r="J38" s="1"/>
      <c r="K38" s="6"/>
    </row>
    <row r="39" spans="2:11" ht="12.75">
      <c r="B39" s="5"/>
      <c r="C39" s="1"/>
      <c r="D39" s="1"/>
      <c r="E39" s="1"/>
      <c r="F39" s="1"/>
      <c r="G39" s="1"/>
      <c r="H39" s="1"/>
      <c r="I39" s="1"/>
      <c r="J39" s="1"/>
      <c r="K39" s="6"/>
    </row>
    <row r="40" spans="2:11" ht="12.75">
      <c r="B40" s="5"/>
      <c r="C40" s="931" t="s">
        <v>986</v>
      </c>
      <c r="D40" s="931"/>
      <c r="E40" s="931"/>
      <c r="F40" s="931"/>
      <c r="G40" s="935">
        <f>G33+G34+G35+G36+G37+G38</f>
        <v>0</v>
      </c>
      <c r="H40" s="1"/>
      <c r="I40" s="1"/>
      <c r="J40" s="1"/>
      <c r="K40" s="6"/>
    </row>
    <row r="41" spans="2:11" ht="12.75">
      <c r="B41" s="5"/>
      <c r="C41" s="1"/>
      <c r="D41" s="1"/>
      <c r="E41" s="1"/>
      <c r="F41" s="1"/>
      <c r="G41" s="1"/>
      <c r="H41" s="1"/>
      <c r="I41" s="1"/>
      <c r="J41" s="1"/>
      <c r="K41" s="6"/>
    </row>
    <row r="42" spans="2:11" ht="12.75">
      <c r="B42" s="5"/>
      <c r="C42" s="1"/>
      <c r="D42" s="1"/>
      <c r="E42" s="1"/>
      <c r="F42" s="1"/>
      <c r="G42" s="1"/>
      <c r="H42" s="1"/>
      <c r="I42" s="1"/>
      <c r="J42" s="1"/>
      <c r="K42" s="6"/>
    </row>
    <row r="43" spans="2:11" ht="12.75">
      <c r="B43" s="1371" t="s">
        <v>987</v>
      </c>
      <c r="C43" s="1371"/>
      <c r="D43" s="1371"/>
      <c r="E43" s="1371"/>
      <c r="F43" s="1371"/>
      <c r="G43" s="933">
        <f>G28-G40</f>
        <v>0</v>
      </c>
      <c r="H43" s="1"/>
      <c r="I43" s="1"/>
      <c r="J43" s="1"/>
      <c r="K43" s="6"/>
    </row>
    <row r="44" spans="2:11" ht="12.75">
      <c r="B44" s="5"/>
      <c r="C44" s="1"/>
      <c r="D44" s="1"/>
      <c r="E44" s="1"/>
      <c r="F44" s="1"/>
      <c r="G44" s="1"/>
      <c r="H44" s="1"/>
      <c r="I44" s="1"/>
      <c r="J44" s="1"/>
      <c r="K44" s="6"/>
    </row>
    <row r="45" spans="2:11" ht="12.75">
      <c r="B45" s="5"/>
      <c r="C45" s="1" t="s">
        <v>492</v>
      </c>
      <c r="D45" s="1"/>
      <c r="E45" s="1"/>
      <c r="F45" s="1"/>
      <c r="G45" s="1">
        <v>0</v>
      </c>
      <c r="H45" s="1"/>
      <c r="I45" s="1"/>
      <c r="J45" s="1"/>
      <c r="K45" s="6"/>
    </row>
    <row r="46" spans="2:11" ht="12.75">
      <c r="B46" s="5"/>
      <c r="C46" s="1" t="s">
        <v>495</v>
      </c>
      <c r="D46" s="1"/>
      <c r="E46" s="1"/>
      <c r="F46" s="1"/>
      <c r="G46" s="1">
        <v>0</v>
      </c>
      <c r="H46" s="1"/>
      <c r="I46" s="1"/>
      <c r="J46" s="1"/>
      <c r="K46" s="6"/>
    </row>
    <row r="47" spans="2:11" ht="12.75">
      <c r="B47" s="5"/>
      <c r="C47" s="61" t="s">
        <v>493</v>
      </c>
      <c r="D47" s="1"/>
      <c r="E47" s="1"/>
      <c r="F47" s="1"/>
      <c r="G47" s="1">
        <v>0</v>
      </c>
      <c r="H47" s="1"/>
      <c r="I47" s="1"/>
      <c r="J47" s="1"/>
      <c r="K47" s="6"/>
    </row>
    <row r="48" spans="2:11" ht="12.75">
      <c r="B48" s="5"/>
      <c r="C48" s="61" t="s">
        <v>493</v>
      </c>
      <c r="D48" s="1"/>
      <c r="E48" s="1"/>
      <c r="F48" s="1"/>
      <c r="G48" s="61">
        <v>0</v>
      </c>
      <c r="H48" s="1"/>
      <c r="I48" s="1"/>
      <c r="J48" s="1"/>
      <c r="K48" s="6"/>
    </row>
    <row r="49" spans="2:11" ht="12.75">
      <c r="B49" s="5"/>
      <c r="C49" s="61" t="s">
        <v>493</v>
      </c>
      <c r="D49" s="1"/>
      <c r="E49" s="1"/>
      <c r="F49" s="1"/>
      <c r="G49" s="61">
        <v>0</v>
      </c>
      <c r="H49" s="1"/>
      <c r="I49" s="1"/>
      <c r="J49" s="1"/>
      <c r="K49" s="6"/>
    </row>
    <row r="50" spans="2:11" ht="12.75">
      <c r="B50" s="5"/>
      <c r="C50" s="1"/>
      <c r="D50" s="1"/>
      <c r="E50" s="932" t="s">
        <v>939</v>
      </c>
      <c r="F50" s="1"/>
      <c r="G50" s="2">
        <f>SUM(G45:G49)</f>
        <v>0</v>
      </c>
      <c r="H50" s="1"/>
      <c r="I50" s="1"/>
      <c r="J50" s="1"/>
      <c r="K50" s="6"/>
    </row>
    <row r="51" spans="2:11" ht="12.75">
      <c r="B51" s="5"/>
      <c r="C51" s="1"/>
      <c r="D51" s="1"/>
      <c r="E51" s="1"/>
      <c r="F51" s="1"/>
      <c r="G51" s="1"/>
      <c r="H51" s="1"/>
      <c r="I51" s="1"/>
      <c r="J51" s="1"/>
      <c r="K51" s="6"/>
    </row>
    <row r="52" spans="2:11" ht="12.75">
      <c r="B52" s="5"/>
      <c r="C52" s="1"/>
      <c r="D52" s="1"/>
      <c r="E52" s="1"/>
      <c r="F52" s="1"/>
      <c r="G52" s="1"/>
      <c r="H52" s="1"/>
      <c r="I52" s="1"/>
      <c r="J52" s="1"/>
      <c r="K52" s="6"/>
    </row>
    <row r="53" spans="2:11" ht="12.75">
      <c r="B53" s="5"/>
      <c r="C53" s="1"/>
      <c r="D53" s="1"/>
      <c r="E53" s="1"/>
      <c r="F53" s="1"/>
      <c r="G53" s="1"/>
      <c r="H53" s="1"/>
      <c r="I53" s="1"/>
      <c r="J53" s="1"/>
      <c r="K53" s="6"/>
    </row>
    <row r="54" spans="2:11" ht="13.5" thickBot="1">
      <c r="B54" s="7"/>
      <c r="C54" s="8"/>
      <c r="D54" s="8"/>
      <c r="E54" s="8"/>
      <c r="F54" s="8"/>
      <c r="G54" s="8"/>
      <c r="H54" s="8"/>
      <c r="I54" s="8"/>
      <c r="J54" s="8"/>
      <c r="K54" s="9"/>
    </row>
  </sheetData>
  <sheetProtection/>
  <mergeCells count="4">
    <mergeCell ref="C6:I6"/>
    <mergeCell ref="D28:E28"/>
    <mergeCell ref="B43:F43"/>
    <mergeCell ref="C11:F11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3:K57"/>
  <sheetViews>
    <sheetView zoomScalePageLayoutView="0" workbookViewId="0" topLeftCell="A31">
      <selection activeCell="K21" sqref="K21"/>
    </sheetView>
  </sheetViews>
  <sheetFormatPr defaultColWidth="9.140625" defaultRowHeight="12.75"/>
  <cols>
    <col min="1" max="1" width="1.57421875" style="101" customWidth="1"/>
    <col min="2" max="2" width="1.7109375" style="101" customWidth="1"/>
    <col min="3" max="3" width="5.28125" style="101" customWidth="1"/>
    <col min="4" max="4" width="24.57421875" style="101" customWidth="1"/>
    <col min="5" max="5" width="14.28125" style="101" customWidth="1"/>
    <col min="6" max="6" width="12.57421875" style="101" customWidth="1"/>
    <col min="7" max="7" width="14.00390625" style="101" customWidth="1"/>
    <col min="8" max="8" width="13.8515625" style="101" customWidth="1"/>
    <col min="9" max="9" width="11.28125" style="101" bestFit="1" customWidth="1"/>
    <col min="10" max="16384" width="9.140625" style="101" customWidth="1"/>
  </cols>
  <sheetData>
    <row r="3" spans="2:8" ht="12.75">
      <c r="B3" s="3"/>
      <c r="C3" s="155"/>
      <c r="D3" s="155"/>
      <c r="E3" s="155"/>
      <c r="F3" s="155"/>
      <c r="G3" s="3"/>
      <c r="H3" s="3"/>
    </row>
    <row r="4" spans="2:8" ht="12.75">
      <c r="B4" s="3"/>
      <c r="C4" s="3" t="str">
        <f>'Kopertina '!F4</f>
        <v>FJORTES </v>
      </c>
      <c r="D4" s="3"/>
      <c r="E4" s="3"/>
      <c r="F4" s="3"/>
      <c r="G4" s="3"/>
      <c r="H4" s="3" t="s">
        <v>138</v>
      </c>
    </row>
    <row r="5" spans="2:8" ht="12.75">
      <c r="B5" s="61"/>
      <c r="C5" s="61"/>
      <c r="D5" s="61"/>
      <c r="E5" s="61"/>
      <c r="F5" s="61"/>
      <c r="G5" s="3"/>
      <c r="H5" s="3"/>
    </row>
    <row r="6" spans="2:8" ht="12.75">
      <c r="B6" s="61"/>
      <c r="C6" s="1354" t="s">
        <v>155</v>
      </c>
      <c r="D6" s="1354"/>
      <c r="E6" s="1354"/>
      <c r="F6" s="1354"/>
      <c r="G6" s="1354"/>
      <c r="H6" s="1354"/>
    </row>
    <row r="7" spans="2:8" ht="12.75">
      <c r="B7" s="61"/>
      <c r="C7" s="61"/>
      <c r="D7" s="61"/>
      <c r="E7" s="61"/>
      <c r="F7" s="61"/>
      <c r="G7" s="61"/>
      <c r="H7" s="156">
        <f>'Kopertina '!F29</f>
        <v>2012</v>
      </c>
    </row>
    <row r="8" spans="2:8" ht="12.75">
      <c r="B8" s="61"/>
      <c r="C8" s="61"/>
      <c r="D8" s="61"/>
      <c r="E8" s="61"/>
      <c r="F8" s="61"/>
      <c r="G8" s="61"/>
      <c r="H8" s="61"/>
    </row>
    <row r="9" ht="13.5" thickBot="1"/>
    <row r="10" spans="3:8" ht="12.75">
      <c r="C10" s="1363" t="s">
        <v>199</v>
      </c>
      <c r="D10" s="1363" t="s">
        <v>388</v>
      </c>
      <c r="E10" s="1363" t="s">
        <v>1090</v>
      </c>
      <c r="F10" s="1363" t="s">
        <v>1091</v>
      </c>
      <c r="G10" s="1365" t="s">
        <v>1092</v>
      </c>
      <c r="H10" s="1363" t="s">
        <v>1093</v>
      </c>
    </row>
    <row r="11" spans="3:8" ht="13.5" thickBot="1">
      <c r="C11" s="1373"/>
      <c r="D11" s="1373"/>
      <c r="E11" s="1373"/>
      <c r="F11" s="1373"/>
      <c r="G11" s="1374"/>
      <c r="H11" s="1373"/>
    </row>
    <row r="12" spans="3:9" ht="12.75">
      <c r="C12" s="204">
        <v>1</v>
      </c>
      <c r="D12" s="83" t="s">
        <v>1084</v>
      </c>
      <c r="E12" s="327">
        <v>6400804</v>
      </c>
      <c r="F12" s="328">
        <v>0</v>
      </c>
      <c r="G12" s="328">
        <v>6400804</v>
      </c>
      <c r="H12" s="327">
        <f aca="true" t="shared" si="0" ref="H12:H53">+E12+F12-G12</f>
        <v>0</v>
      </c>
      <c r="I12" s="1271">
        <f>+E12+F12-K12</f>
        <v>6400804</v>
      </c>
    </row>
    <row r="13" spans="3:9" ht="12.75">
      <c r="C13" s="202">
        <v>2</v>
      </c>
      <c r="D13" s="83" t="s">
        <v>1085</v>
      </c>
      <c r="E13" s="327">
        <v>6040883</v>
      </c>
      <c r="F13" s="139">
        <v>49745245</v>
      </c>
      <c r="G13" s="139">
        <v>54011187</v>
      </c>
      <c r="H13" s="327">
        <f t="shared" si="0"/>
        <v>1774941</v>
      </c>
      <c r="I13" s="1271">
        <f>+E13+F13-K13</f>
        <v>55786128</v>
      </c>
    </row>
    <row r="14" spans="3:9" ht="12.75">
      <c r="C14" s="202">
        <v>3</v>
      </c>
      <c r="D14" s="84" t="s">
        <v>1086</v>
      </c>
      <c r="E14" s="327">
        <v>1767643</v>
      </c>
      <c r="F14" s="139">
        <v>0</v>
      </c>
      <c r="G14" s="139">
        <v>1767643</v>
      </c>
      <c r="H14" s="327">
        <f t="shared" si="0"/>
        <v>0</v>
      </c>
      <c r="I14" s="1271">
        <f aca="true" t="shared" si="1" ref="I14:I36">+E14+F14-K14</f>
        <v>1767643</v>
      </c>
    </row>
    <row r="15" spans="3:9" ht="12.75">
      <c r="C15" s="202">
        <v>4</v>
      </c>
      <c r="D15" s="460" t="s">
        <v>1087</v>
      </c>
      <c r="E15" s="327">
        <v>14810190</v>
      </c>
      <c r="F15" s="139">
        <v>8811475</v>
      </c>
      <c r="G15" s="139">
        <v>384147</v>
      </c>
      <c r="H15" s="327">
        <f t="shared" si="0"/>
        <v>23237518</v>
      </c>
      <c r="I15" s="1271">
        <f t="shared" si="1"/>
        <v>23621665</v>
      </c>
    </row>
    <row r="16" spans="3:9" ht="12.75">
      <c r="C16" s="202">
        <v>5</v>
      </c>
      <c r="D16" s="460" t="s">
        <v>1088</v>
      </c>
      <c r="E16" s="327">
        <v>349380</v>
      </c>
      <c r="F16" s="139"/>
      <c r="G16" s="139">
        <f>+E16+F16</f>
        <v>349380</v>
      </c>
      <c r="H16" s="327">
        <f t="shared" si="0"/>
        <v>0</v>
      </c>
      <c r="I16" s="1271">
        <f t="shared" si="1"/>
        <v>349380</v>
      </c>
    </row>
    <row r="17" spans="3:9" ht="12.75">
      <c r="C17" s="202">
        <v>6</v>
      </c>
      <c r="D17" s="460" t="s">
        <v>1089</v>
      </c>
      <c r="E17" s="327">
        <v>243885</v>
      </c>
      <c r="F17" s="139">
        <v>0</v>
      </c>
      <c r="G17" s="139">
        <f aca="true" t="shared" si="2" ref="G17:G33">+E17+F17</f>
        <v>243885</v>
      </c>
      <c r="H17" s="327">
        <f t="shared" si="0"/>
        <v>0</v>
      </c>
      <c r="I17" s="1271">
        <f t="shared" si="1"/>
        <v>243885</v>
      </c>
    </row>
    <row r="18" spans="3:9" ht="12.75">
      <c r="C18" s="202">
        <v>7</v>
      </c>
      <c r="D18" s="1270" t="s">
        <v>1255</v>
      </c>
      <c r="E18" s="139"/>
      <c r="F18" s="139">
        <v>126000</v>
      </c>
      <c r="G18" s="139">
        <f t="shared" si="2"/>
        <v>126000</v>
      </c>
      <c r="H18" s="327">
        <f t="shared" si="0"/>
        <v>0</v>
      </c>
      <c r="I18" s="1271">
        <f t="shared" si="1"/>
        <v>126000</v>
      </c>
    </row>
    <row r="19" spans="3:9" ht="12.75">
      <c r="C19" s="202">
        <v>8</v>
      </c>
      <c r="D19" s="1270" t="s">
        <v>1330</v>
      </c>
      <c r="E19" s="139"/>
      <c r="F19" s="139">
        <v>59000</v>
      </c>
      <c r="G19" s="139">
        <f t="shared" si="2"/>
        <v>59000</v>
      </c>
      <c r="H19" s="327">
        <f t="shared" si="0"/>
        <v>0</v>
      </c>
      <c r="I19" s="1271">
        <f t="shared" si="1"/>
        <v>59000</v>
      </c>
    </row>
    <row r="20" spans="3:9" ht="12.75">
      <c r="C20" s="202">
        <v>9</v>
      </c>
      <c r="D20" s="1270" t="s">
        <v>1252</v>
      </c>
      <c r="E20" s="139"/>
      <c r="F20" s="139">
        <v>15000</v>
      </c>
      <c r="G20" s="139">
        <f t="shared" si="2"/>
        <v>15000</v>
      </c>
      <c r="H20" s="327">
        <f t="shared" si="0"/>
        <v>0</v>
      </c>
      <c r="I20" s="1271">
        <f t="shared" si="1"/>
        <v>15000</v>
      </c>
    </row>
    <row r="21" spans="3:9" ht="12.75">
      <c r="C21" s="202">
        <v>10</v>
      </c>
      <c r="D21" s="1270" t="s">
        <v>1331</v>
      </c>
      <c r="E21" s="139"/>
      <c r="F21" s="139">
        <v>215720</v>
      </c>
      <c r="G21" s="139">
        <f t="shared" si="2"/>
        <v>215720</v>
      </c>
      <c r="H21" s="327">
        <f t="shared" si="0"/>
        <v>0</v>
      </c>
      <c r="I21" s="1271">
        <f t="shared" si="1"/>
        <v>215720</v>
      </c>
    </row>
    <row r="22" spans="3:9" ht="12.75">
      <c r="C22" s="202">
        <v>11</v>
      </c>
      <c r="D22" s="1270" t="s">
        <v>1098</v>
      </c>
      <c r="E22" s="139"/>
      <c r="F22" s="139">
        <v>230554</v>
      </c>
      <c r="G22" s="139">
        <f t="shared" si="2"/>
        <v>230554</v>
      </c>
      <c r="H22" s="327">
        <f t="shared" si="0"/>
        <v>0</v>
      </c>
      <c r="I22" s="1271">
        <f t="shared" si="1"/>
        <v>230554</v>
      </c>
    </row>
    <row r="23" spans="3:9" ht="12.75">
      <c r="C23" s="202">
        <v>12</v>
      </c>
      <c r="D23" s="1270" t="s">
        <v>1759</v>
      </c>
      <c r="E23" s="139"/>
      <c r="F23" s="139">
        <v>0</v>
      </c>
      <c r="G23" s="139">
        <f t="shared" si="2"/>
        <v>0</v>
      </c>
      <c r="H23" s="327">
        <f t="shared" si="0"/>
        <v>0</v>
      </c>
      <c r="I23" s="1271">
        <f t="shared" si="1"/>
        <v>0</v>
      </c>
    </row>
    <row r="24" spans="3:9" ht="12.75">
      <c r="C24" s="202">
        <v>13</v>
      </c>
      <c r="D24" s="1270" t="s">
        <v>1760</v>
      </c>
      <c r="E24" s="139"/>
      <c r="F24" s="139"/>
      <c r="G24" s="139">
        <f t="shared" si="2"/>
        <v>0</v>
      </c>
      <c r="H24" s="327">
        <f t="shared" si="0"/>
        <v>0</v>
      </c>
      <c r="I24" s="1271">
        <f t="shared" si="1"/>
        <v>0</v>
      </c>
    </row>
    <row r="25" spans="3:9" ht="12.75">
      <c r="C25" s="202">
        <v>14</v>
      </c>
      <c r="D25" s="1270" t="s">
        <v>1761</v>
      </c>
      <c r="E25" s="139"/>
      <c r="F25" s="139">
        <v>207000</v>
      </c>
      <c r="G25" s="139">
        <f t="shared" si="2"/>
        <v>207000</v>
      </c>
      <c r="H25" s="327">
        <f t="shared" si="0"/>
        <v>0</v>
      </c>
      <c r="I25" s="1271">
        <f t="shared" si="1"/>
        <v>207000</v>
      </c>
    </row>
    <row r="26" spans="3:9" ht="12.75">
      <c r="C26" s="202">
        <v>15</v>
      </c>
      <c r="D26" s="1270" t="s">
        <v>1338</v>
      </c>
      <c r="E26" s="139"/>
      <c r="F26" s="139">
        <v>1083882</v>
      </c>
      <c r="G26" s="139">
        <f t="shared" si="2"/>
        <v>1083882</v>
      </c>
      <c r="H26" s="327">
        <f t="shared" si="0"/>
        <v>0</v>
      </c>
      <c r="I26" s="1271">
        <f t="shared" si="1"/>
        <v>1083882</v>
      </c>
    </row>
    <row r="27" spans="3:9" ht="12.75">
      <c r="C27" s="202">
        <v>16</v>
      </c>
      <c r="D27" s="1270" t="s">
        <v>1762</v>
      </c>
      <c r="E27" s="139"/>
      <c r="F27" s="139">
        <v>132000</v>
      </c>
      <c r="G27" s="139">
        <f t="shared" si="2"/>
        <v>132000</v>
      </c>
      <c r="H27" s="327">
        <f t="shared" si="0"/>
        <v>0</v>
      </c>
      <c r="I27" s="1271">
        <f t="shared" si="1"/>
        <v>132000</v>
      </c>
    </row>
    <row r="28" spans="3:9" ht="12.75">
      <c r="C28" s="202">
        <v>17</v>
      </c>
      <c r="D28" s="1270" t="s">
        <v>1763</v>
      </c>
      <c r="E28" s="139"/>
      <c r="F28" s="139">
        <v>0</v>
      </c>
      <c r="G28" s="139">
        <f t="shared" si="2"/>
        <v>0</v>
      </c>
      <c r="H28" s="327">
        <f t="shared" si="0"/>
        <v>0</v>
      </c>
      <c r="I28" s="1271">
        <f t="shared" si="1"/>
        <v>0</v>
      </c>
    </row>
    <row r="29" spans="3:9" ht="12.75">
      <c r="C29" s="202">
        <v>18</v>
      </c>
      <c r="D29" s="1270" t="s">
        <v>1764</v>
      </c>
      <c r="E29" s="139"/>
      <c r="F29" s="139">
        <v>43200</v>
      </c>
      <c r="G29" s="139">
        <f t="shared" si="2"/>
        <v>43200</v>
      </c>
      <c r="H29" s="327">
        <f t="shared" si="0"/>
        <v>0</v>
      </c>
      <c r="I29" s="1271">
        <f t="shared" si="1"/>
        <v>43200</v>
      </c>
    </row>
    <row r="30" spans="3:9" ht="12.75">
      <c r="C30" s="202">
        <v>19</v>
      </c>
      <c r="D30" s="1270" t="s">
        <v>1524</v>
      </c>
      <c r="E30" s="139"/>
      <c r="F30" s="139">
        <v>1011996</v>
      </c>
      <c r="G30" s="139">
        <f t="shared" si="2"/>
        <v>1011996</v>
      </c>
      <c r="H30" s="327">
        <f t="shared" si="0"/>
        <v>0</v>
      </c>
      <c r="I30" s="1271">
        <f t="shared" si="1"/>
        <v>1011996</v>
      </c>
    </row>
    <row r="31" spans="3:9" ht="12.75">
      <c r="C31" s="202">
        <v>20</v>
      </c>
      <c r="D31" s="1270" t="s">
        <v>1742</v>
      </c>
      <c r="E31" s="329"/>
      <c r="F31" s="329">
        <v>0</v>
      </c>
      <c r="G31" s="139">
        <f t="shared" si="2"/>
        <v>0</v>
      </c>
      <c r="H31" s="327">
        <f t="shared" si="0"/>
        <v>0</v>
      </c>
      <c r="I31" s="1271">
        <f t="shared" si="1"/>
        <v>0</v>
      </c>
    </row>
    <row r="32" spans="3:9" ht="12.75">
      <c r="C32" s="202">
        <v>21</v>
      </c>
      <c r="D32" s="1270" t="s">
        <v>1437</v>
      </c>
      <c r="E32" s="139"/>
      <c r="F32" s="139">
        <v>1200000</v>
      </c>
      <c r="G32" s="139">
        <f t="shared" si="2"/>
        <v>1200000</v>
      </c>
      <c r="H32" s="327">
        <f t="shared" si="0"/>
        <v>0</v>
      </c>
      <c r="I32" s="1271">
        <f t="shared" si="1"/>
        <v>1200000</v>
      </c>
    </row>
    <row r="33" spans="3:9" ht="12.75">
      <c r="C33" s="202">
        <v>22</v>
      </c>
      <c r="D33" s="1270" t="s">
        <v>1765</v>
      </c>
      <c r="E33" s="139"/>
      <c r="F33" s="139">
        <v>30159</v>
      </c>
      <c r="G33" s="139">
        <f t="shared" si="2"/>
        <v>30159</v>
      </c>
      <c r="H33" s="327">
        <f t="shared" si="0"/>
        <v>0</v>
      </c>
      <c r="I33" s="1271">
        <f t="shared" si="1"/>
        <v>30159</v>
      </c>
    </row>
    <row r="34" spans="3:9" ht="12.75">
      <c r="C34" s="202">
        <v>23</v>
      </c>
      <c r="D34" s="1270" t="s">
        <v>1717</v>
      </c>
      <c r="E34" s="139"/>
      <c r="F34" s="139">
        <v>15376555</v>
      </c>
      <c r="G34" s="139"/>
      <c r="H34" s="327">
        <f t="shared" si="0"/>
        <v>15376555</v>
      </c>
      <c r="I34" s="1271">
        <f t="shared" si="1"/>
        <v>15376555</v>
      </c>
    </row>
    <row r="35" spans="3:9" ht="12.75">
      <c r="C35" s="202">
        <v>24</v>
      </c>
      <c r="D35" s="222" t="s">
        <v>1756</v>
      </c>
      <c r="E35" s="139"/>
      <c r="F35" s="139">
        <v>3821090</v>
      </c>
      <c r="G35" s="139"/>
      <c r="H35" s="327">
        <f t="shared" si="0"/>
        <v>3821090</v>
      </c>
      <c r="I35" s="1271">
        <f t="shared" si="1"/>
        <v>3821090</v>
      </c>
    </row>
    <row r="36" spans="3:11" ht="12.75">
      <c r="C36" s="202">
        <v>25</v>
      </c>
      <c r="D36" s="222" t="s">
        <v>1623</v>
      </c>
      <c r="E36" s="139"/>
      <c r="F36" s="139">
        <v>58317108</v>
      </c>
      <c r="G36" s="139">
        <v>50356643</v>
      </c>
      <c r="H36" s="327">
        <f t="shared" si="0"/>
        <v>7960465</v>
      </c>
      <c r="I36" s="1271">
        <f t="shared" si="1"/>
        <v>50356643</v>
      </c>
      <c r="K36" s="101">
        <v>7960465</v>
      </c>
    </row>
    <row r="37" spans="3:8" ht="12.75">
      <c r="C37" s="202">
        <v>26</v>
      </c>
      <c r="D37" s="222"/>
      <c r="E37" s="139"/>
      <c r="F37" s="139"/>
      <c r="G37" s="139"/>
      <c r="H37" s="327">
        <f t="shared" si="0"/>
        <v>0</v>
      </c>
    </row>
    <row r="38" spans="3:8" ht="12.75">
      <c r="C38" s="202">
        <v>27</v>
      </c>
      <c r="D38" s="222"/>
      <c r="E38" s="139"/>
      <c r="F38" s="139"/>
      <c r="G38" s="139"/>
      <c r="H38" s="327">
        <f t="shared" si="0"/>
        <v>0</v>
      </c>
    </row>
    <row r="39" spans="3:8" ht="12.75">
      <c r="C39" s="202">
        <v>28</v>
      </c>
      <c r="D39" s="222"/>
      <c r="E39" s="139"/>
      <c r="F39" s="139"/>
      <c r="G39" s="139"/>
      <c r="H39" s="327">
        <f t="shared" si="0"/>
        <v>0</v>
      </c>
    </row>
    <row r="40" spans="3:8" ht="12.75">
      <c r="C40" s="202">
        <v>29</v>
      </c>
      <c r="D40" s="222"/>
      <c r="E40" s="139"/>
      <c r="F40" s="139"/>
      <c r="G40" s="139"/>
      <c r="H40" s="327">
        <f t="shared" si="0"/>
        <v>0</v>
      </c>
    </row>
    <row r="41" spans="3:8" ht="12.75">
      <c r="C41" s="202">
        <v>30</v>
      </c>
      <c r="D41" s="222"/>
      <c r="E41" s="139"/>
      <c r="F41" s="139"/>
      <c r="G41" s="139"/>
      <c r="H41" s="327">
        <f t="shared" si="0"/>
        <v>0</v>
      </c>
    </row>
    <row r="42" spans="3:8" ht="12.75">
      <c r="C42" s="202">
        <v>31</v>
      </c>
      <c r="D42" s="222"/>
      <c r="E42" s="139"/>
      <c r="F42" s="139"/>
      <c r="G42" s="139"/>
      <c r="H42" s="327">
        <f t="shared" si="0"/>
        <v>0</v>
      </c>
    </row>
    <row r="43" spans="3:8" ht="12.75">
      <c r="C43" s="202">
        <v>32</v>
      </c>
      <c r="D43" s="222"/>
      <c r="E43" s="139"/>
      <c r="F43" s="139"/>
      <c r="G43" s="139"/>
      <c r="H43" s="327">
        <f t="shared" si="0"/>
        <v>0</v>
      </c>
    </row>
    <row r="44" spans="3:8" ht="12.75">
      <c r="C44" s="202">
        <v>33</v>
      </c>
      <c r="D44" s="222"/>
      <c r="E44" s="139"/>
      <c r="F44" s="139"/>
      <c r="G44" s="139"/>
      <c r="H44" s="327">
        <f t="shared" si="0"/>
        <v>0</v>
      </c>
    </row>
    <row r="45" spans="3:8" ht="12.75">
      <c r="C45" s="202">
        <v>34</v>
      </c>
      <c r="D45" s="222"/>
      <c r="E45" s="139"/>
      <c r="F45" s="139"/>
      <c r="G45" s="139"/>
      <c r="H45" s="327">
        <f t="shared" si="0"/>
        <v>0</v>
      </c>
    </row>
    <row r="46" spans="3:8" ht="12.75">
      <c r="C46" s="202">
        <v>35</v>
      </c>
      <c r="D46" s="222"/>
      <c r="E46" s="139"/>
      <c r="F46" s="139"/>
      <c r="G46" s="139"/>
      <c r="H46" s="327">
        <f t="shared" si="0"/>
        <v>0</v>
      </c>
    </row>
    <row r="47" spans="3:8" ht="12.75">
      <c r="C47" s="202">
        <v>36</v>
      </c>
      <c r="D47" s="222"/>
      <c r="E47" s="139"/>
      <c r="F47" s="139"/>
      <c r="G47" s="139"/>
      <c r="H47" s="327">
        <f t="shared" si="0"/>
        <v>0</v>
      </c>
    </row>
    <row r="48" spans="3:8" ht="12.75">
      <c r="C48" s="202">
        <v>37</v>
      </c>
      <c r="D48" s="222"/>
      <c r="E48" s="329"/>
      <c r="F48" s="329"/>
      <c r="G48" s="329"/>
      <c r="H48" s="327">
        <f t="shared" si="0"/>
        <v>0</v>
      </c>
    </row>
    <row r="49" spans="3:8" ht="12.75">
      <c r="C49" s="202">
        <v>38</v>
      </c>
      <c r="D49" s="222"/>
      <c r="E49" s="139"/>
      <c r="F49" s="139"/>
      <c r="G49" s="139"/>
      <c r="H49" s="327">
        <f t="shared" si="0"/>
        <v>0</v>
      </c>
    </row>
    <row r="50" spans="3:8" ht="12.75">
      <c r="C50" s="202">
        <v>39</v>
      </c>
      <c r="D50" s="222"/>
      <c r="E50" s="139"/>
      <c r="F50" s="139"/>
      <c r="G50" s="139"/>
      <c r="H50" s="327">
        <f t="shared" si="0"/>
        <v>0</v>
      </c>
    </row>
    <row r="51" spans="3:8" ht="12.75">
      <c r="C51" s="202">
        <v>40</v>
      </c>
      <c r="D51" s="222"/>
      <c r="E51" s="139"/>
      <c r="F51" s="139"/>
      <c r="G51" s="139"/>
      <c r="H51" s="327">
        <f t="shared" si="0"/>
        <v>0</v>
      </c>
    </row>
    <row r="52" spans="3:8" ht="12.75">
      <c r="C52" s="202">
        <v>41</v>
      </c>
      <c r="D52" s="222"/>
      <c r="E52" s="83"/>
      <c r="F52" s="83"/>
      <c r="G52" s="83"/>
      <c r="H52" s="327">
        <f t="shared" si="0"/>
        <v>0</v>
      </c>
    </row>
    <row r="53" spans="3:8" ht="13.5" thickBot="1">
      <c r="C53" s="202">
        <v>42</v>
      </c>
      <c r="D53" s="222"/>
      <c r="E53" s="84"/>
      <c r="F53" s="84"/>
      <c r="G53" s="84"/>
      <c r="H53" s="327">
        <f t="shared" si="0"/>
        <v>0</v>
      </c>
    </row>
    <row r="54" spans="3:8" ht="13.5" thickBot="1">
      <c r="C54" s="203">
        <v>43</v>
      </c>
      <c r="D54" s="205"/>
      <c r="E54" s="479">
        <f>SUM(E12:E53)</f>
        <v>29612785</v>
      </c>
      <c r="F54" s="479">
        <f>SUM(F12:F53)</f>
        <v>140425984</v>
      </c>
      <c r="G54" s="479">
        <f>SUM(G12:G53)</f>
        <v>117868200</v>
      </c>
      <c r="H54" s="479">
        <f>SUM(H12:H53)</f>
        <v>52170569</v>
      </c>
    </row>
    <row r="57" ht="12.75">
      <c r="F57" s="1271"/>
    </row>
  </sheetData>
  <sheetProtection/>
  <mergeCells count="7">
    <mergeCell ref="C6:H6"/>
    <mergeCell ref="C10:C11"/>
    <mergeCell ref="D10:D11"/>
    <mergeCell ref="E10:E11"/>
    <mergeCell ref="F10:F11"/>
    <mergeCell ref="G10:G11"/>
    <mergeCell ref="H10:H11"/>
  </mergeCells>
  <printOptions/>
  <pageMargins left="0" right="0" top="0" bottom="0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S810"/>
  <sheetViews>
    <sheetView zoomScalePageLayoutView="0" workbookViewId="0" topLeftCell="V58">
      <selection activeCell="AR67" sqref="AR67:AR72"/>
    </sheetView>
  </sheetViews>
  <sheetFormatPr defaultColWidth="9.140625" defaultRowHeight="12.75"/>
  <cols>
    <col min="2" max="2" width="10.28125" style="894" customWidth="1"/>
    <col min="3" max="3" width="9.140625" style="0" customWidth="1"/>
    <col min="4" max="4" width="19.140625" style="0" customWidth="1"/>
    <col min="5" max="5" width="10.421875" style="0" customWidth="1"/>
    <col min="6" max="6" width="11.28125" style="0" customWidth="1"/>
    <col min="7" max="7" width="10.57421875" style="0" customWidth="1"/>
    <col min="8" max="8" width="10.28125" style="0" customWidth="1"/>
    <col min="10" max="12" width="9.28125" style="0" bestFit="1" customWidth="1"/>
    <col min="13" max="13" width="12.8515625" style="0" customWidth="1"/>
    <col min="14" max="14" width="8.8515625" style="0" customWidth="1"/>
    <col min="15" max="15" width="12.28125" style="894" bestFit="1" customWidth="1"/>
    <col min="16" max="16" width="9.8515625" style="0" bestFit="1" customWidth="1"/>
    <col min="19" max="19" width="10.7109375" style="0" customWidth="1"/>
    <col min="20" max="20" width="12.00390625" style="0" bestFit="1" customWidth="1"/>
    <col min="21" max="23" width="9.28125" style="0" bestFit="1" customWidth="1"/>
    <col min="24" max="24" width="8.140625" style="0" customWidth="1"/>
    <col min="25" max="25" width="8.00390625" style="0" customWidth="1"/>
    <col min="27" max="31" width="8.57421875" style="0" customWidth="1"/>
    <col min="32" max="32" width="11.140625" style="0" customWidth="1"/>
    <col min="33" max="33" width="10.8515625" style="0" bestFit="1" customWidth="1"/>
    <col min="35" max="35" width="13.421875" style="0" customWidth="1"/>
    <col min="36" max="36" width="12.140625" style="0" customWidth="1"/>
    <col min="37" max="37" width="10.7109375" style="0" customWidth="1"/>
    <col min="40" max="40" width="12.140625" style="0" customWidth="1"/>
    <col min="41" max="41" width="11.28125" style="0" customWidth="1"/>
    <col min="42" max="42" width="14.00390625" style="0" customWidth="1"/>
    <col min="43" max="43" width="11.57421875" style="0" customWidth="1"/>
    <col min="44" max="44" width="10.8515625" style="0" customWidth="1"/>
    <col min="45" max="45" width="10.28125" style="0" bestFit="1" customWidth="1"/>
  </cols>
  <sheetData>
    <row r="1" spans="1:41" ht="19.5">
      <c r="A1" s="730" t="s">
        <v>794</v>
      </c>
      <c r="B1" s="1087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0" t="s">
        <v>795</v>
      </c>
      <c r="O1" s="1087"/>
      <c r="P1" s="731"/>
      <c r="Q1" s="731"/>
      <c r="R1" s="731"/>
      <c r="S1" s="731"/>
      <c r="T1" s="731"/>
      <c r="U1" s="731"/>
      <c r="V1" s="731"/>
      <c r="W1" s="731"/>
      <c r="X1" s="731"/>
      <c r="Y1" s="731"/>
      <c r="Z1" s="731"/>
      <c r="AA1" s="731"/>
      <c r="AB1" s="731"/>
      <c r="AC1" s="731"/>
      <c r="AD1" s="731"/>
      <c r="AE1" s="731"/>
      <c r="AG1" s="708"/>
      <c r="AH1" s="708"/>
      <c r="AI1" s="708"/>
      <c r="AJ1" s="708"/>
      <c r="AK1" s="732"/>
      <c r="AL1" s="732"/>
      <c r="AM1" s="732"/>
      <c r="AN1" s="732"/>
      <c r="AO1" s="732"/>
    </row>
    <row r="2" spans="1:42" ht="18.75">
      <c r="A2" s="733" t="s">
        <v>796</v>
      </c>
      <c r="B2" s="1088"/>
      <c r="C2" s="731" t="s">
        <v>1094</v>
      </c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3" t="s">
        <v>796</v>
      </c>
      <c r="O2" s="1088"/>
      <c r="P2" s="731" t="s">
        <v>1094</v>
      </c>
      <c r="Q2" s="731"/>
      <c r="R2" s="731"/>
      <c r="S2" s="731"/>
      <c r="T2" s="731"/>
      <c r="U2" s="731"/>
      <c r="V2" s="731"/>
      <c r="W2" s="731"/>
      <c r="X2" s="731"/>
      <c r="Y2" s="731"/>
      <c r="Z2" s="731"/>
      <c r="AA2" s="731"/>
      <c r="AB2" s="731"/>
      <c r="AC2" s="731"/>
      <c r="AD2" s="731"/>
      <c r="AE2" s="731"/>
      <c r="AG2" s="734"/>
      <c r="AH2" s="735"/>
      <c r="AI2" s="787"/>
      <c r="AJ2" s="787"/>
      <c r="AK2" s="787"/>
      <c r="AL2" s="787"/>
      <c r="AM2" s="732"/>
      <c r="AN2" s="732"/>
      <c r="AO2" s="732"/>
      <c r="AP2" s="732"/>
    </row>
    <row r="3" spans="1:42" ht="18.75">
      <c r="A3" s="733" t="s">
        <v>413</v>
      </c>
      <c r="B3" s="1088"/>
      <c r="C3" s="731" t="s">
        <v>1043</v>
      </c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3" t="s">
        <v>413</v>
      </c>
      <c r="O3" s="1088"/>
      <c r="P3" s="731" t="s">
        <v>1043</v>
      </c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G3" s="734"/>
      <c r="AH3" s="735"/>
      <c r="AI3" s="787"/>
      <c r="AJ3" s="787"/>
      <c r="AK3" s="787"/>
      <c r="AL3" s="787"/>
      <c r="AM3" s="732"/>
      <c r="AN3" s="732"/>
      <c r="AO3" s="732"/>
      <c r="AP3" s="732"/>
    </row>
    <row r="4" spans="1:42" ht="18">
      <c r="A4" s="733" t="s">
        <v>797</v>
      </c>
      <c r="B4" s="1088"/>
      <c r="C4" s="731">
        <v>2012</v>
      </c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3" t="s">
        <v>797</v>
      </c>
      <c r="O4" s="1088"/>
      <c r="P4" s="731">
        <v>2012</v>
      </c>
      <c r="Q4" s="731"/>
      <c r="R4" s="731"/>
      <c r="S4" s="731"/>
      <c r="T4" s="731"/>
      <c r="U4" s="731"/>
      <c r="V4" s="731"/>
      <c r="W4" s="731"/>
      <c r="X4" s="731"/>
      <c r="Y4" s="731"/>
      <c r="Z4" s="731"/>
      <c r="AA4" s="731"/>
      <c r="AB4" s="731"/>
      <c r="AC4" s="731"/>
      <c r="AD4" s="731"/>
      <c r="AE4" s="731"/>
      <c r="AG4" s="732"/>
      <c r="AH4" s="732"/>
      <c r="AI4" s="732"/>
      <c r="AJ4" s="732"/>
      <c r="AK4" s="732"/>
      <c r="AL4" s="732"/>
      <c r="AM4" s="732"/>
      <c r="AN4" s="732"/>
      <c r="AO4" s="732"/>
      <c r="AP4" s="732"/>
    </row>
    <row r="5" spans="1:42" ht="18">
      <c r="A5" s="733" t="s">
        <v>166</v>
      </c>
      <c r="B5" s="1088"/>
      <c r="C5" s="731">
        <v>1</v>
      </c>
      <c r="D5" s="731"/>
      <c r="E5" s="731"/>
      <c r="F5" s="731"/>
      <c r="G5" s="731"/>
      <c r="H5" s="731"/>
      <c r="I5" s="731"/>
      <c r="J5" s="731"/>
      <c r="K5" s="731"/>
      <c r="L5" s="731"/>
      <c r="M5" s="731"/>
      <c r="N5" s="733" t="s">
        <v>166</v>
      </c>
      <c r="O5" s="1088"/>
      <c r="P5" s="731">
        <v>1</v>
      </c>
      <c r="Q5" s="731"/>
      <c r="R5" s="731"/>
      <c r="S5" s="731"/>
      <c r="T5" s="731"/>
      <c r="U5" s="731"/>
      <c r="V5" s="731"/>
      <c r="W5" s="731"/>
      <c r="X5" s="731"/>
      <c r="Y5" s="731"/>
      <c r="Z5" s="731"/>
      <c r="AA5" s="731"/>
      <c r="AB5" s="731"/>
      <c r="AC5" s="731"/>
      <c r="AD5" s="731"/>
      <c r="AE5" s="731"/>
      <c r="AG5" s="708" t="s">
        <v>990</v>
      </c>
      <c r="AH5" s="708"/>
      <c r="AI5" s="708"/>
      <c r="AJ5" s="708"/>
      <c r="AK5" s="708"/>
      <c r="AL5" s="708"/>
      <c r="AM5" s="708"/>
      <c r="AN5" s="708"/>
      <c r="AO5" s="708"/>
      <c r="AP5" s="708"/>
    </row>
    <row r="6" spans="1:31" ht="16.5" thickBot="1">
      <c r="A6" s="733"/>
      <c r="B6" s="1088"/>
      <c r="C6" s="731"/>
      <c r="D6" s="731"/>
      <c r="E6" s="731"/>
      <c r="F6" s="731"/>
      <c r="G6" s="731"/>
      <c r="H6" s="731"/>
      <c r="I6" s="731"/>
      <c r="J6" s="731"/>
      <c r="K6" s="731"/>
      <c r="L6" s="731"/>
      <c r="M6" s="731"/>
      <c r="N6" s="733"/>
      <c r="O6" s="1088"/>
      <c r="P6" s="731"/>
      <c r="Q6" s="731"/>
      <c r="R6" s="731"/>
      <c r="S6" s="731"/>
      <c r="T6" s="731"/>
      <c r="U6" s="731"/>
      <c r="V6" s="731"/>
      <c r="W6" s="731"/>
      <c r="X6" s="731"/>
      <c r="Y6" s="731"/>
      <c r="Z6" s="731"/>
      <c r="AA6" s="731"/>
      <c r="AB6" s="731"/>
      <c r="AC6" s="731"/>
      <c r="AD6" s="731"/>
      <c r="AE6" s="731"/>
    </row>
    <row r="7" spans="1:44" ht="16.5" customHeight="1" thickBot="1">
      <c r="A7" s="731" t="s">
        <v>799</v>
      </c>
      <c r="B7" s="781"/>
      <c r="C7" s="731" t="s">
        <v>835</v>
      </c>
      <c r="D7" s="731"/>
      <c r="E7" s="731"/>
      <c r="F7" s="731"/>
      <c r="G7" s="731"/>
      <c r="H7" s="731"/>
      <c r="I7" s="731"/>
      <c r="J7" s="731"/>
      <c r="K7" s="731"/>
      <c r="L7" s="731"/>
      <c r="M7" s="731"/>
      <c r="N7" s="731" t="s">
        <v>799</v>
      </c>
      <c r="O7" s="781"/>
      <c r="P7" s="731" t="s">
        <v>835</v>
      </c>
      <c r="Q7" s="731"/>
      <c r="R7" s="731"/>
      <c r="S7" s="731"/>
      <c r="T7" s="731"/>
      <c r="U7" s="731"/>
      <c r="V7" s="731"/>
      <c r="W7" s="731"/>
      <c r="X7" s="731"/>
      <c r="Y7" s="731"/>
      <c r="Z7" s="731"/>
      <c r="AA7" s="731"/>
      <c r="AB7" s="731"/>
      <c r="AC7" s="731"/>
      <c r="AD7" s="731"/>
      <c r="AE7" s="731"/>
      <c r="AF7" s="1394" t="s">
        <v>166</v>
      </c>
      <c r="AG7" s="736" t="s">
        <v>167</v>
      </c>
      <c r="AH7" s="737"/>
      <c r="AI7" s="737"/>
      <c r="AJ7" s="738"/>
      <c r="AK7" s="739" t="s">
        <v>168</v>
      </c>
      <c r="AL7" s="739"/>
      <c r="AM7" s="739"/>
      <c r="AN7" s="739"/>
      <c r="AO7" s="739"/>
      <c r="AP7" s="740"/>
      <c r="AQ7" s="1377" t="s">
        <v>169</v>
      </c>
      <c r="AR7" s="1379" t="s">
        <v>170</v>
      </c>
    </row>
    <row r="8" spans="1:44" ht="16.5" customHeight="1" thickBot="1">
      <c r="A8" s="731"/>
      <c r="B8" s="1087"/>
      <c r="C8" s="731"/>
      <c r="D8" s="731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1087"/>
      <c r="P8" s="733"/>
      <c r="Q8" s="731"/>
      <c r="R8" s="731"/>
      <c r="S8" s="731"/>
      <c r="T8" s="731"/>
      <c r="U8" s="731"/>
      <c r="V8" s="731"/>
      <c r="W8" s="731"/>
      <c r="X8" s="731"/>
      <c r="Y8" s="731"/>
      <c r="Z8" s="731"/>
      <c r="AA8" s="731"/>
      <c r="AB8" s="731"/>
      <c r="AC8" s="731"/>
      <c r="AD8" s="731"/>
      <c r="AE8" s="731"/>
      <c r="AF8" s="1395"/>
      <c r="AG8" s="1377" t="s">
        <v>171</v>
      </c>
      <c r="AH8" s="1377" t="s">
        <v>172</v>
      </c>
      <c r="AI8" s="741" t="s">
        <v>173</v>
      </c>
      <c r="AJ8" s="742"/>
      <c r="AK8" s="1375" t="s">
        <v>174</v>
      </c>
      <c r="AL8" s="1382" t="s">
        <v>175</v>
      </c>
      <c r="AM8" s="1383"/>
      <c r="AN8" s="1383"/>
      <c r="AO8" s="1383"/>
      <c r="AP8" s="1384"/>
      <c r="AQ8" s="1378"/>
      <c r="AR8" s="1380"/>
    </row>
    <row r="9" spans="1:44" ht="16.5" customHeight="1" thickBot="1">
      <c r="A9" s="1401" t="s">
        <v>800</v>
      </c>
      <c r="B9" s="1409"/>
      <c r="C9" s="1402"/>
      <c r="D9" s="1401" t="s">
        <v>801</v>
      </c>
      <c r="E9" s="1409"/>
      <c r="F9" s="1402"/>
      <c r="G9" s="1398" t="s">
        <v>802</v>
      </c>
      <c r="H9" s="1398" t="s">
        <v>803</v>
      </c>
      <c r="I9" s="1398" t="s">
        <v>804</v>
      </c>
      <c r="J9" s="1401" t="s">
        <v>836</v>
      </c>
      <c r="K9" s="1402"/>
      <c r="L9" s="1401" t="s">
        <v>837</v>
      </c>
      <c r="M9" s="1402"/>
      <c r="N9" s="1405" t="s">
        <v>800</v>
      </c>
      <c r="O9" s="1406"/>
      <c r="P9" s="1407"/>
      <c r="Q9" s="1405" t="s">
        <v>805</v>
      </c>
      <c r="R9" s="1406"/>
      <c r="S9" s="1407"/>
      <c r="T9" s="1398" t="s">
        <v>806</v>
      </c>
      <c r="U9" s="1387" t="s">
        <v>807</v>
      </c>
      <c r="V9" s="1397"/>
      <c r="W9" s="1397"/>
      <c r="X9" s="1397"/>
      <c r="Y9" s="1397"/>
      <c r="Z9" s="1397"/>
      <c r="AA9" s="1397"/>
      <c r="AB9" s="1397"/>
      <c r="AC9" s="1397"/>
      <c r="AD9" s="1397"/>
      <c r="AE9" s="1388"/>
      <c r="AF9" s="1395"/>
      <c r="AG9" s="1378"/>
      <c r="AH9" s="1378"/>
      <c r="AI9" s="1375" t="s">
        <v>176</v>
      </c>
      <c r="AJ9" s="1375" t="s">
        <v>177</v>
      </c>
      <c r="AK9" s="1378"/>
      <c r="AL9" s="1385" t="s">
        <v>178</v>
      </c>
      <c r="AM9" s="1386"/>
      <c r="AN9" s="1385" t="s">
        <v>179</v>
      </c>
      <c r="AO9" s="1386"/>
      <c r="AP9" s="1375" t="s">
        <v>180</v>
      </c>
      <c r="AQ9" s="1378"/>
      <c r="AR9" s="1380"/>
    </row>
    <row r="10" spans="1:44" ht="16.5" customHeight="1" thickBot="1">
      <c r="A10" s="1403"/>
      <c r="B10" s="1410"/>
      <c r="C10" s="1404"/>
      <c r="D10" s="1403"/>
      <c r="E10" s="1410"/>
      <c r="F10" s="1404"/>
      <c r="G10" s="1408"/>
      <c r="H10" s="1408"/>
      <c r="I10" s="1408"/>
      <c r="J10" s="1403"/>
      <c r="K10" s="1404"/>
      <c r="L10" s="1403"/>
      <c r="M10" s="1404"/>
      <c r="N10" s="1398" t="s">
        <v>808</v>
      </c>
      <c r="O10" s="1398" t="s">
        <v>809</v>
      </c>
      <c r="P10" s="1398" t="s">
        <v>810</v>
      </c>
      <c r="Q10" s="1398" t="s">
        <v>811</v>
      </c>
      <c r="R10" s="1398" t="s">
        <v>812</v>
      </c>
      <c r="S10" s="1398" t="s">
        <v>813</v>
      </c>
      <c r="T10" s="1408"/>
      <c r="U10" s="1398" t="s">
        <v>814</v>
      </c>
      <c r="V10" s="1387" t="s">
        <v>838</v>
      </c>
      <c r="W10" s="1400"/>
      <c r="X10" s="1387" t="s">
        <v>839</v>
      </c>
      <c r="Y10" s="1400"/>
      <c r="Z10" s="1387" t="s">
        <v>840</v>
      </c>
      <c r="AA10" s="1388"/>
      <c r="AB10" s="1387" t="s">
        <v>841</v>
      </c>
      <c r="AC10" s="1388"/>
      <c r="AD10" s="1387" t="s">
        <v>815</v>
      </c>
      <c r="AE10" s="1388"/>
      <c r="AF10" s="1396"/>
      <c r="AG10" s="1376"/>
      <c r="AH10" s="1376"/>
      <c r="AI10" s="1376"/>
      <c r="AJ10" s="1376"/>
      <c r="AK10" s="1376"/>
      <c r="AL10" s="747" t="s">
        <v>181</v>
      </c>
      <c r="AM10" s="747" t="s">
        <v>182</v>
      </c>
      <c r="AN10" s="747" t="s">
        <v>181</v>
      </c>
      <c r="AO10" s="747" t="s">
        <v>182</v>
      </c>
      <c r="AP10" s="1376"/>
      <c r="AQ10" s="1376"/>
      <c r="AR10" s="1381"/>
    </row>
    <row r="11" spans="1:45" ht="33" customHeight="1" thickBot="1">
      <c r="A11" s="748" t="s">
        <v>808</v>
      </c>
      <c r="B11" s="749" t="s">
        <v>809</v>
      </c>
      <c r="C11" s="750" t="s">
        <v>810</v>
      </c>
      <c r="D11" s="743" t="s">
        <v>816</v>
      </c>
      <c r="E11" s="746" t="s">
        <v>812</v>
      </c>
      <c r="F11" s="751" t="s">
        <v>406</v>
      </c>
      <c r="G11" s="1399"/>
      <c r="H11" s="1399"/>
      <c r="I11" s="1399"/>
      <c r="J11" s="751" t="s">
        <v>817</v>
      </c>
      <c r="K11" s="744" t="s">
        <v>818</v>
      </c>
      <c r="L11" s="751" t="s">
        <v>817</v>
      </c>
      <c r="M11" s="744" t="s">
        <v>818</v>
      </c>
      <c r="N11" s="1399"/>
      <c r="O11" s="1399"/>
      <c r="P11" s="1399"/>
      <c r="Q11" s="1399"/>
      <c r="R11" s="1399"/>
      <c r="S11" s="1399"/>
      <c r="T11" s="1399"/>
      <c r="U11" s="1399"/>
      <c r="V11" s="745" t="s">
        <v>817</v>
      </c>
      <c r="W11" s="752" t="s">
        <v>818</v>
      </c>
      <c r="X11" s="745" t="s">
        <v>817</v>
      </c>
      <c r="Y11" s="752" t="s">
        <v>818</v>
      </c>
      <c r="Z11" s="744" t="s">
        <v>819</v>
      </c>
      <c r="AA11" s="744" t="s">
        <v>820</v>
      </c>
      <c r="AB11" s="744" t="s">
        <v>819</v>
      </c>
      <c r="AC11" s="744" t="s">
        <v>820</v>
      </c>
      <c r="AD11" s="744" t="s">
        <v>819</v>
      </c>
      <c r="AE11" s="744" t="s">
        <v>820</v>
      </c>
      <c r="AF11" s="278" t="s">
        <v>183</v>
      </c>
      <c r="AG11" s="194">
        <f>+H18</f>
        <v>0</v>
      </c>
      <c r="AH11" s="194">
        <f>+I18</f>
        <v>0</v>
      </c>
      <c r="AI11" s="194">
        <v>7632575</v>
      </c>
      <c r="AJ11" s="194">
        <v>1526515</v>
      </c>
      <c r="AK11" s="194">
        <f>+U19</f>
        <v>0</v>
      </c>
      <c r="AL11" s="194">
        <f>+V19</f>
        <v>0</v>
      </c>
      <c r="AM11" s="194">
        <f>+W19</f>
        <v>0</v>
      </c>
      <c r="AN11" s="194">
        <v>6024555</v>
      </c>
      <c r="AO11" s="194">
        <v>1204911</v>
      </c>
      <c r="AP11" s="194">
        <f>AM11+AO11</f>
        <v>1204911</v>
      </c>
      <c r="AQ11" s="194">
        <v>2136833</v>
      </c>
      <c r="AR11" s="753">
        <v>-1815229</v>
      </c>
      <c r="AS11" s="1278"/>
    </row>
    <row r="12" spans="1:45" ht="29.25" thickBot="1">
      <c r="A12" s="754" t="s">
        <v>510</v>
      </c>
      <c r="B12" s="755" t="s">
        <v>511</v>
      </c>
      <c r="C12" s="755" t="s">
        <v>598</v>
      </c>
      <c r="D12" s="755" t="s">
        <v>620</v>
      </c>
      <c r="E12" s="755" t="s">
        <v>622</v>
      </c>
      <c r="F12" s="755" t="s">
        <v>634</v>
      </c>
      <c r="G12" s="755" t="s">
        <v>842</v>
      </c>
      <c r="H12" s="755" t="s">
        <v>638</v>
      </c>
      <c r="I12" s="756" t="s">
        <v>640</v>
      </c>
      <c r="J12" s="755" t="s">
        <v>642</v>
      </c>
      <c r="K12" s="757" t="s">
        <v>644</v>
      </c>
      <c r="L12" s="755" t="s">
        <v>646</v>
      </c>
      <c r="M12" s="757" t="s">
        <v>650</v>
      </c>
      <c r="N12" s="777" t="s">
        <v>510</v>
      </c>
      <c r="O12" s="778" t="s">
        <v>511</v>
      </c>
      <c r="P12" s="778" t="s">
        <v>598</v>
      </c>
      <c r="Q12" s="778" t="s">
        <v>620</v>
      </c>
      <c r="R12" s="778" t="s">
        <v>622</v>
      </c>
      <c r="S12" s="778" t="s">
        <v>634</v>
      </c>
      <c r="T12" s="779" t="s">
        <v>843</v>
      </c>
      <c r="U12" s="778" t="s">
        <v>638</v>
      </c>
      <c r="V12" s="778" t="s">
        <v>640</v>
      </c>
      <c r="W12" s="778" t="s">
        <v>642</v>
      </c>
      <c r="X12" s="778" t="s">
        <v>644</v>
      </c>
      <c r="Y12" s="778" t="s">
        <v>646</v>
      </c>
      <c r="Z12" s="778" t="s">
        <v>650</v>
      </c>
      <c r="AA12" s="778" t="s">
        <v>821</v>
      </c>
      <c r="AB12" s="778" t="s">
        <v>844</v>
      </c>
      <c r="AC12" s="778" t="s">
        <v>845</v>
      </c>
      <c r="AD12" s="778" t="s">
        <v>846</v>
      </c>
      <c r="AE12" s="780" t="s">
        <v>847</v>
      </c>
      <c r="AF12" s="279" t="s">
        <v>184</v>
      </c>
      <c r="AG12" s="194"/>
      <c r="AH12" s="194"/>
      <c r="AI12" s="460">
        <v>5794225</v>
      </c>
      <c r="AJ12" s="460">
        <v>1158845</v>
      </c>
      <c r="AK12" s="194"/>
      <c r="AL12" s="194"/>
      <c r="AM12" s="194"/>
      <c r="AN12" s="194">
        <v>6663180</v>
      </c>
      <c r="AO12" s="194">
        <v>1332636</v>
      </c>
      <c r="AP12" s="194">
        <f aca="true" t="shared" si="0" ref="AP12:AP22">AM12+AO12</f>
        <v>1332636</v>
      </c>
      <c r="AQ12" s="195">
        <v>1815229</v>
      </c>
      <c r="AR12" s="753">
        <v>-1989020</v>
      </c>
      <c r="AS12" s="1278"/>
    </row>
    <row r="13" spans="1:45" ht="15.75">
      <c r="A13" s="758">
        <v>538601</v>
      </c>
      <c r="B13" s="1089">
        <v>1</v>
      </c>
      <c r="C13" s="1011">
        <v>40909</v>
      </c>
      <c r="D13" s="759" t="s">
        <v>1095</v>
      </c>
      <c r="E13" s="759" t="s">
        <v>1096</v>
      </c>
      <c r="F13" s="759" t="s">
        <v>1097</v>
      </c>
      <c r="G13" s="759">
        <f>J13+K13</f>
        <v>72000</v>
      </c>
      <c r="H13" s="759">
        <v>0</v>
      </c>
      <c r="I13" s="759">
        <v>0</v>
      </c>
      <c r="J13" s="759">
        <f aca="true" t="shared" si="1" ref="J13:J50">K13*5</f>
        <v>60000</v>
      </c>
      <c r="K13" s="782">
        <v>12000</v>
      </c>
      <c r="L13" s="759">
        <v>0</v>
      </c>
      <c r="M13" s="759">
        <v>0</v>
      </c>
      <c r="N13" s="758">
        <v>106929704</v>
      </c>
      <c r="O13" s="1100">
        <v>106929704</v>
      </c>
      <c r="P13" s="1011">
        <v>40879</v>
      </c>
      <c r="Q13" s="759" t="s">
        <v>1098</v>
      </c>
      <c r="R13" s="759" t="s">
        <v>1099</v>
      </c>
      <c r="S13" s="759" t="s">
        <v>1100</v>
      </c>
      <c r="T13" s="759">
        <f aca="true" t="shared" si="2" ref="T13:T19">AA13+Z13</f>
        <v>19614</v>
      </c>
      <c r="U13" s="759">
        <v>0</v>
      </c>
      <c r="V13" s="759">
        <v>0</v>
      </c>
      <c r="W13" s="759">
        <v>0</v>
      </c>
      <c r="X13" s="759">
        <v>0</v>
      </c>
      <c r="Y13" s="759">
        <v>0</v>
      </c>
      <c r="Z13" s="759">
        <f aca="true" t="shared" si="3" ref="Z13:Z18">AA13*5</f>
        <v>16345</v>
      </c>
      <c r="AA13" s="759">
        <v>3269</v>
      </c>
      <c r="AB13" s="759">
        <v>0</v>
      </c>
      <c r="AC13" s="759">
        <v>0</v>
      </c>
      <c r="AD13" s="759">
        <v>0</v>
      </c>
      <c r="AE13" s="759">
        <v>0</v>
      </c>
      <c r="AF13" s="279" t="s">
        <v>185</v>
      </c>
      <c r="AG13" s="194"/>
      <c r="AH13" s="194"/>
      <c r="AI13" s="460">
        <v>6560775</v>
      </c>
      <c r="AJ13" s="460">
        <v>1312155</v>
      </c>
      <c r="AK13" s="194"/>
      <c r="AL13" s="194"/>
      <c r="AM13" s="194"/>
      <c r="AN13" s="194">
        <v>5817335</v>
      </c>
      <c r="AO13" s="194">
        <v>1163467</v>
      </c>
      <c r="AP13" s="194">
        <f t="shared" si="0"/>
        <v>1163467</v>
      </c>
      <c r="AQ13" s="195">
        <v>1989020</v>
      </c>
      <c r="AR13" s="564">
        <v>-1840332</v>
      </c>
      <c r="AS13" s="1278"/>
    </row>
    <row r="14" spans="1:45" ht="15.75">
      <c r="A14" s="758">
        <v>538602</v>
      </c>
      <c r="B14" s="1089">
        <v>2</v>
      </c>
      <c r="C14" s="1011">
        <v>40910</v>
      </c>
      <c r="D14" s="759" t="s">
        <v>1101</v>
      </c>
      <c r="E14" s="759" t="s">
        <v>1096</v>
      </c>
      <c r="F14" s="759" t="s">
        <v>1102</v>
      </c>
      <c r="G14" s="759">
        <f>J14+K14</f>
        <v>49998</v>
      </c>
      <c r="H14" s="759">
        <v>0</v>
      </c>
      <c r="I14" s="759">
        <v>0</v>
      </c>
      <c r="J14" s="759">
        <f t="shared" si="1"/>
        <v>41665</v>
      </c>
      <c r="K14" s="782">
        <v>8333</v>
      </c>
      <c r="L14" s="759">
        <v>0</v>
      </c>
      <c r="M14" s="759">
        <v>0</v>
      </c>
      <c r="N14" s="758">
        <v>21</v>
      </c>
      <c r="O14" s="1089">
        <v>88778422</v>
      </c>
      <c r="P14" s="1011">
        <v>40912</v>
      </c>
      <c r="Q14" s="759" t="s">
        <v>1103</v>
      </c>
      <c r="R14" s="759" t="s">
        <v>1104</v>
      </c>
      <c r="S14" s="759" t="s">
        <v>1105</v>
      </c>
      <c r="T14" s="759">
        <f t="shared" si="2"/>
        <v>2138496</v>
      </c>
      <c r="U14" s="759">
        <v>0</v>
      </c>
      <c r="V14" s="759">
        <v>0</v>
      </c>
      <c r="W14" s="759">
        <v>0</v>
      </c>
      <c r="X14" s="759">
        <v>0</v>
      </c>
      <c r="Y14" s="759">
        <v>0</v>
      </c>
      <c r="Z14" s="759">
        <f t="shared" si="3"/>
        <v>1782080</v>
      </c>
      <c r="AA14" s="759">
        <v>356416</v>
      </c>
      <c r="AB14" s="759">
        <v>0</v>
      </c>
      <c r="AC14" s="759">
        <v>0</v>
      </c>
      <c r="AD14" s="759">
        <v>0</v>
      </c>
      <c r="AE14" s="759">
        <v>0</v>
      </c>
      <c r="AF14" s="279" t="s">
        <v>186</v>
      </c>
      <c r="AG14" s="194"/>
      <c r="AH14" s="194"/>
      <c r="AI14" s="194">
        <v>8743870</v>
      </c>
      <c r="AJ14" s="194">
        <v>1748774</v>
      </c>
      <c r="AK14" s="194"/>
      <c r="AL14" s="194"/>
      <c r="AM14" s="194"/>
      <c r="AN14" s="194">
        <v>8480525</v>
      </c>
      <c r="AO14" s="194">
        <v>1696105</v>
      </c>
      <c r="AP14" s="194">
        <f t="shared" si="0"/>
        <v>1696105</v>
      </c>
      <c r="AQ14" s="195">
        <v>1840332</v>
      </c>
      <c r="AR14" s="564">
        <v>-1787663</v>
      </c>
      <c r="AS14" s="1278"/>
    </row>
    <row r="15" spans="1:45" ht="15.75">
      <c r="A15" s="758">
        <v>538603</v>
      </c>
      <c r="B15" s="1089">
        <v>3</v>
      </c>
      <c r="C15" s="1011">
        <v>40911</v>
      </c>
      <c r="D15" s="759" t="s">
        <v>1106</v>
      </c>
      <c r="E15" s="759" t="s">
        <v>1096</v>
      </c>
      <c r="F15" s="759" t="s">
        <v>1107</v>
      </c>
      <c r="G15" s="759">
        <f>J15+K15</f>
        <v>7038</v>
      </c>
      <c r="H15" s="759">
        <v>0</v>
      </c>
      <c r="I15" s="759">
        <v>0</v>
      </c>
      <c r="J15" s="759">
        <f t="shared" si="1"/>
        <v>5865</v>
      </c>
      <c r="K15" s="782">
        <v>1173</v>
      </c>
      <c r="L15" s="759">
        <v>0</v>
      </c>
      <c r="M15" s="759">
        <v>0</v>
      </c>
      <c r="N15" s="758">
        <v>15</v>
      </c>
      <c r="O15" s="1089">
        <v>88778515</v>
      </c>
      <c r="P15" s="1011">
        <v>40918</v>
      </c>
      <c r="Q15" s="759" t="s">
        <v>1103</v>
      </c>
      <c r="R15" s="759" t="s">
        <v>1096</v>
      </c>
      <c r="S15" s="759" t="s">
        <v>1105</v>
      </c>
      <c r="T15" s="759">
        <f t="shared" si="2"/>
        <v>909918</v>
      </c>
      <c r="U15" s="759">
        <v>0</v>
      </c>
      <c r="V15" s="759">
        <v>0</v>
      </c>
      <c r="W15" s="759">
        <v>0</v>
      </c>
      <c r="X15" s="759">
        <v>0</v>
      </c>
      <c r="Y15" s="759">
        <v>0</v>
      </c>
      <c r="Z15" s="759">
        <f t="shared" si="3"/>
        <v>758265</v>
      </c>
      <c r="AA15" s="759">
        <v>151653</v>
      </c>
      <c r="AB15" s="759">
        <v>0</v>
      </c>
      <c r="AC15" s="759">
        <v>0</v>
      </c>
      <c r="AD15" s="759">
        <v>0</v>
      </c>
      <c r="AE15" s="759">
        <v>0</v>
      </c>
      <c r="AF15" s="279" t="s">
        <v>187</v>
      </c>
      <c r="AG15" s="194"/>
      <c r="AH15" s="194"/>
      <c r="AI15" s="194">
        <v>8796595</v>
      </c>
      <c r="AJ15" s="194">
        <f aca="true" t="shared" si="4" ref="AJ15:AJ22">AI15*0.2</f>
        <v>1759319</v>
      </c>
      <c r="AK15" s="194"/>
      <c r="AL15" s="194"/>
      <c r="AM15" s="194"/>
      <c r="AN15" s="194">
        <v>7247165</v>
      </c>
      <c r="AO15" s="194">
        <f>AN15*0.2</f>
        <v>1449433</v>
      </c>
      <c r="AP15" s="194">
        <f t="shared" si="0"/>
        <v>1449433</v>
      </c>
      <c r="AQ15" s="195">
        <v>1787663</v>
      </c>
      <c r="AR15" s="564">
        <f aca="true" t="shared" si="5" ref="AR15:AR23">AJ15-(AP15+AQ15)</f>
        <v>-1477777</v>
      </c>
      <c r="AS15" s="1278"/>
    </row>
    <row r="16" spans="1:45" ht="15.75">
      <c r="A16" s="758">
        <v>538604</v>
      </c>
      <c r="B16" s="1089">
        <v>4</v>
      </c>
      <c r="C16" s="1011">
        <v>40912</v>
      </c>
      <c r="D16" s="759" t="s">
        <v>1108</v>
      </c>
      <c r="E16" s="759" t="s">
        <v>1096</v>
      </c>
      <c r="F16" s="759" t="s">
        <v>1109</v>
      </c>
      <c r="G16" s="759">
        <f>J16+K16</f>
        <v>479502</v>
      </c>
      <c r="H16" s="759">
        <v>0</v>
      </c>
      <c r="I16" s="759">
        <v>0</v>
      </c>
      <c r="J16" s="759">
        <f t="shared" si="1"/>
        <v>399585</v>
      </c>
      <c r="K16" s="782">
        <v>79917</v>
      </c>
      <c r="L16" s="759">
        <v>0</v>
      </c>
      <c r="M16" s="759">
        <v>0</v>
      </c>
      <c r="N16" s="758">
        <v>22</v>
      </c>
      <c r="O16" s="1089">
        <v>88778522</v>
      </c>
      <c r="P16" s="1012" t="s">
        <v>1110</v>
      </c>
      <c r="Q16" s="759" t="s">
        <v>1103</v>
      </c>
      <c r="R16" s="759" t="s">
        <v>1096</v>
      </c>
      <c r="S16" s="759" t="s">
        <v>1105</v>
      </c>
      <c r="T16" s="759">
        <f t="shared" si="2"/>
        <v>1350540</v>
      </c>
      <c r="U16" s="759">
        <v>0</v>
      </c>
      <c r="V16" s="759">
        <v>0</v>
      </c>
      <c r="W16" s="759">
        <v>0</v>
      </c>
      <c r="X16" s="759">
        <v>0</v>
      </c>
      <c r="Y16" s="759">
        <v>0</v>
      </c>
      <c r="Z16" s="759">
        <f t="shared" si="3"/>
        <v>1125450</v>
      </c>
      <c r="AA16" s="759">
        <v>225090</v>
      </c>
      <c r="AB16" s="759">
        <v>0</v>
      </c>
      <c r="AC16" s="759">
        <v>0</v>
      </c>
      <c r="AD16" s="759">
        <v>0</v>
      </c>
      <c r="AE16" s="759">
        <v>0</v>
      </c>
      <c r="AF16" s="279" t="s">
        <v>188</v>
      </c>
      <c r="AG16" s="194"/>
      <c r="AH16" s="194"/>
      <c r="AI16" s="194">
        <v>8157600</v>
      </c>
      <c r="AJ16" s="194">
        <f t="shared" si="4"/>
        <v>1631520</v>
      </c>
      <c r="AK16" s="194">
        <v>100</v>
      </c>
      <c r="AL16" s="194"/>
      <c r="AM16" s="194"/>
      <c r="AN16" s="194">
        <v>6776713</v>
      </c>
      <c r="AO16" s="194">
        <f aca="true" t="shared" si="6" ref="AO16:AO24">AN16*0.2</f>
        <v>1355342.6</v>
      </c>
      <c r="AP16" s="194">
        <f t="shared" si="0"/>
        <v>1355342.6</v>
      </c>
      <c r="AQ16" s="195">
        <v>1477777</v>
      </c>
      <c r="AR16" s="564">
        <f t="shared" si="5"/>
        <v>-1201599.6</v>
      </c>
      <c r="AS16" s="1278"/>
    </row>
    <row r="17" spans="1:45" ht="15.75">
      <c r="A17" s="758">
        <v>538605</v>
      </c>
      <c r="B17" s="1089">
        <v>5</v>
      </c>
      <c r="C17" s="1011">
        <v>40914</v>
      </c>
      <c r="D17" s="1013" t="s">
        <v>1111</v>
      </c>
      <c r="E17" s="759" t="s">
        <v>1096</v>
      </c>
      <c r="F17" s="759"/>
      <c r="G17" s="759">
        <f>J17+K17</f>
        <v>877818</v>
      </c>
      <c r="H17" s="759">
        <v>0</v>
      </c>
      <c r="I17" s="759">
        <v>0</v>
      </c>
      <c r="J17" s="759">
        <f t="shared" si="1"/>
        <v>731515</v>
      </c>
      <c r="K17" s="782">
        <v>146303</v>
      </c>
      <c r="L17" s="759">
        <v>0</v>
      </c>
      <c r="M17" s="759">
        <v>0</v>
      </c>
      <c r="N17" s="758">
        <v>27</v>
      </c>
      <c r="O17" s="1089">
        <v>88778027</v>
      </c>
      <c r="P17" s="1012" t="s">
        <v>1112</v>
      </c>
      <c r="Q17" s="759" t="s">
        <v>1103</v>
      </c>
      <c r="R17" s="759" t="s">
        <v>1104</v>
      </c>
      <c r="S17" s="759" t="s">
        <v>1105</v>
      </c>
      <c r="T17" s="759">
        <f t="shared" si="2"/>
        <v>1082898</v>
      </c>
      <c r="U17" s="759">
        <v>0</v>
      </c>
      <c r="V17" s="759">
        <v>0</v>
      </c>
      <c r="W17" s="759">
        <v>0</v>
      </c>
      <c r="X17" s="759">
        <v>0</v>
      </c>
      <c r="Y17" s="759">
        <v>0</v>
      </c>
      <c r="Z17" s="759">
        <f t="shared" si="3"/>
        <v>902415</v>
      </c>
      <c r="AA17" s="759">
        <v>180483</v>
      </c>
      <c r="AB17" s="759">
        <v>0</v>
      </c>
      <c r="AC17" s="759">
        <v>0</v>
      </c>
      <c r="AD17" s="759">
        <v>0</v>
      </c>
      <c r="AE17" s="759">
        <v>0</v>
      </c>
      <c r="AF17" s="279" t="s">
        <v>189</v>
      </c>
      <c r="AG17" s="761"/>
      <c r="AH17" s="761"/>
      <c r="AI17" s="761">
        <v>8141470</v>
      </c>
      <c r="AJ17" s="194">
        <f t="shared" si="4"/>
        <v>1628294</v>
      </c>
      <c r="AK17" s="194"/>
      <c r="AL17" s="194"/>
      <c r="AM17" s="194"/>
      <c r="AN17" s="194">
        <v>10406500</v>
      </c>
      <c r="AO17" s="194">
        <f t="shared" si="6"/>
        <v>2081300</v>
      </c>
      <c r="AP17" s="194">
        <f t="shared" si="0"/>
        <v>2081300</v>
      </c>
      <c r="AQ17" s="195">
        <f aca="true" t="shared" si="7" ref="AQ17:AQ22">-AR16</f>
        <v>1201599.6</v>
      </c>
      <c r="AR17" s="564">
        <f t="shared" si="5"/>
        <v>-1654605.6</v>
      </c>
      <c r="AS17" s="1278"/>
    </row>
    <row r="18" spans="1:45" ht="16.5" thickBot="1">
      <c r="A18" s="758">
        <v>538606</v>
      </c>
      <c r="B18" s="1089">
        <v>6</v>
      </c>
      <c r="C18" s="1011">
        <v>40917</v>
      </c>
      <c r="D18" s="759" t="s">
        <v>1103</v>
      </c>
      <c r="E18" s="759" t="s">
        <v>1096</v>
      </c>
      <c r="F18" s="759" t="s">
        <v>1105</v>
      </c>
      <c r="G18" s="759">
        <f>K18+J18</f>
        <v>110382</v>
      </c>
      <c r="H18" s="759">
        <v>0</v>
      </c>
      <c r="I18" s="759">
        <v>0</v>
      </c>
      <c r="J18" s="759">
        <f t="shared" si="1"/>
        <v>91985</v>
      </c>
      <c r="K18" s="782">
        <v>18397</v>
      </c>
      <c r="L18" s="759">
        <v>0</v>
      </c>
      <c r="M18" s="759">
        <v>0</v>
      </c>
      <c r="N18" s="762">
        <v>1</v>
      </c>
      <c r="O18" s="1090">
        <v>455901</v>
      </c>
      <c r="P18" s="1014" t="s">
        <v>1113</v>
      </c>
      <c r="Q18" s="759" t="s">
        <v>1103</v>
      </c>
      <c r="R18" s="759" t="s">
        <v>1099</v>
      </c>
      <c r="S18" s="759" t="s">
        <v>1105</v>
      </c>
      <c r="T18" s="763">
        <f t="shared" si="2"/>
        <v>1728000</v>
      </c>
      <c r="U18" s="763">
        <v>0</v>
      </c>
      <c r="V18" s="763">
        <v>0</v>
      </c>
      <c r="W18" s="763">
        <v>0</v>
      </c>
      <c r="X18" s="763">
        <v>0</v>
      </c>
      <c r="Y18" s="763">
        <v>0</v>
      </c>
      <c r="Z18" s="763">
        <f t="shared" si="3"/>
        <v>1440000</v>
      </c>
      <c r="AA18" s="763">
        <v>288000</v>
      </c>
      <c r="AB18" s="763">
        <v>0</v>
      </c>
      <c r="AC18" s="763">
        <v>0</v>
      </c>
      <c r="AD18" s="763">
        <v>0</v>
      </c>
      <c r="AE18" s="763">
        <v>0</v>
      </c>
      <c r="AF18" s="279" t="s">
        <v>190</v>
      </c>
      <c r="AG18" s="761"/>
      <c r="AH18" s="761"/>
      <c r="AI18" s="761">
        <v>10676875</v>
      </c>
      <c r="AJ18" s="194">
        <f t="shared" si="4"/>
        <v>2135375</v>
      </c>
      <c r="AK18" s="194">
        <v>200</v>
      </c>
      <c r="AL18" s="194"/>
      <c r="AM18" s="194"/>
      <c r="AN18" s="194">
        <v>11287290</v>
      </c>
      <c r="AO18" s="194">
        <f t="shared" si="6"/>
        <v>2257458</v>
      </c>
      <c r="AP18" s="194">
        <f>AM18+AO18</f>
        <v>2257458</v>
      </c>
      <c r="AQ18" s="195">
        <f t="shared" si="7"/>
        <v>1654605.6</v>
      </c>
      <c r="AR18" s="564">
        <f t="shared" si="5"/>
        <v>-1776688.6</v>
      </c>
      <c r="AS18" s="1278"/>
    </row>
    <row r="19" spans="1:45" ht="16.5" thickBot="1">
      <c r="A19" s="758">
        <v>538607</v>
      </c>
      <c r="B19" s="1089">
        <v>7</v>
      </c>
      <c r="C19" s="1011">
        <v>40917</v>
      </c>
      <c r="D19" s="1013" t="s">
        <v>1111</v>
      </c>
      <c r="E19" s="759" t="s">
        <v>1096</v>
      </c>
      <c r="F19" s="759"/>
      <c r="G19" s="759">
        <f>K19+J19</f>
        <v>614238</v>
      </c>
      <c r="H19" s="759">
        <v>0</v>
      </c>
      <c r="I19" s="759">
        <v>0</v>
      </c>
      <c r="J19" s="759">
        <f t="shared" si="1"/>
        <v>511865</v>
      </c>
      <c r="K19" s="1015">
        <v>102373</v>
      </c>
      <c r="L19" s="759">
        <v>0</v>
      </c>
      <c r="M19" s="759">
        <v>0</v>
      </c>
      <c r="N19" s="1389" t="s">
        <v>822</v>
      </c>
      <c r="O19" s="1390"/>
      <c r="P19" s="1390"/>
      <c r="Q19" s="1390"/>
      <c r="R19" s="1390"/>
      <c r="S19" s="1391"/>
      <c r="T19" s="1016">
        <f t="shared" si="2"/>
        <v>7229466</v>
      </c>
      <c r="U19" s="1016">
        <v>0</v>
      </c>
      <c r="V19" s="1016">
        <v>0</v>
      </c>
      <c r="W19" s="1016">
        <v>0</v>
      </c>
      <c r="X19" s="1016">
        <v>0</v>
      </c>
      <c r="Y19" s="1016">
        <v>0</v>
      </c>
      <c r="Z19" s="1016">
        <f>SUM(Z13:Z18)</f>
        <v>6024555</v>
      </c>
      <c r="AA19" s="1016">
        <f>SUM(AA13:AA18)</f>
        <v>1204911</v>
      </c>
      <c r="AB19" s="1016">
        <v>0</v>
      </c>
      <c r="AC19" s="1016">
        <v>0</v>
      </c>
      <c r="AD19" s="1016">
        <v>0</v>
      </c>
      <c r="AE19" s="1016">
        <v>0</v>
      </c>
      <c r="AF19" s="279" t="s">
        <v>191</v>
      </c>
      <c r="AG19" s="761"/>
      <c r="AH19" s="761"/>
      <c r="AI19" s="761">
        <v>8794085</v>
      </c>
      <c r="AJ19" s="194">
        <f t="shared" si="4"/>
        <v>1758817</v>
      </c>
      <c r="AK19" s="194"/>
      <c r="AL19" s="194"/>
      <c r="AM19" s="194"/>
      <c r="AN19" s="194">
        <v>11452109</v>
      </c>
      <c r="AO19" s="194">
        <f t="shared" si="6"/>
        <v>2290421.8000000003</v>
      </c>
      <c r="AP19" s="194">
        <f>AM19+AO19</f>
        <v>2290421.8000000003</v>
      </c>
      <c r="AQ19" s="195">
        <f t="shared" si="7"/>
        <v>1776688.6</v>
      </c>
      <c r="AR19" s="564">
        <f t="shared" si="5"/>
        <v>-2308293.4000000004</v>
      </c>
      <c r="AS19" s="1278"/>
    </row>
    <row r="20" spans="1:45" ht="16.5" thickBot="1">
      <c r="A20" s="758">
        <v>538608</v>
      </c>
      <c r="B20" s="1089">
        <v>8</v>
      </c>
      <c r="C20" s="1011">
        <v>40918</v>
      </c>
      <c r="D20" s="759" t="s">
        <v>1114</v>
      </c>
      <c r="E20" s="759" t="s">
        <v>1115</v>
      </c>
      <c r="F20" s="759" t="s">
        <v>1116</v>
      </c>
      <c r="G20" s="759">
        <f>J20+K20</f>
        <v>64998</v>
      </c>
      <c r="H20" s="759">
        <v>0</v>
      </c>
      <c r="I20" s="759">
        <v>0</v>
      </c>
      <c r="J20" s="759">
        <f t="shared" si="1"/>
        <v>54165</v>
      </c>
      <c r="K20" s="782">
        <v>10833</v>
      </c>
      <c r="L20" s="759">
        <v>0</v>
      </c>
      <c r="M20" s="759">
        <v>0</v>
      </c>
      <c r="N20" s="1392" t="s">
        <v>823</v>
      </c>
      <c r="O20" s="1393"/>
      <c r="P20" s="1393"/>
      <c r="Q20" s="1393"/>
      <c r="R20" s="1393"/>
      <c r="S20" s="1393"/>
      <c r="T20" s="1393"/>
      <c r="U20" s="781" t="s">
        <v>830</v>
      </c>
      <c r="V20" s="781" t="s">
        <v>831</v>
      </c>
      <c r="W20" s="781" t="s">
        <v>832</v>
      </c>
      <c r="X20" s="781" t="s">
        <v>833</v>
      </c>
      <c r="Y20" s="781" t="s">
        <v>834</v>
      </c>
      <c r="Z20" s="781" t="s">
        <v>849</v>
      </c>
      <c r="AA20" s="781" t="s">
        <v>850</v>
      </c>
      <c r="AB20" s="781" t="s">
        <v>851</v>
      </c>
      <c r="AC20" s="781" t="s">
        <v>852</v>
      </c>
      <c r="AD20" s="781" t="s">
        <v>853</v>
      </c>
      <c r="AE20" s="766" t="s">
        <v>854</v>
      </c>
      <c r="AF20" s="279" t="s">
        <v>192</v>
      </c>
      <c r="AG20" s="761"/>
      <c r="AH20" s="761"/>
      <c r="AI20" s="761">
        <v>9723630</v>
      </c>
      <c r="AJ20" s="194">
        <f t="shared" si="4"/>
        <v>1944726</v>
      </c>
      <c r="AK20" s="194"/>
      <c r="AL20" s="194"/>
      <c r="AM20" s="194"/>
      <c r="AN20" s="194">
        <f>20147945+461066.67-4610667</f>
        <v>15998344.670000002</v>
      </c>
      <c r="AO20" s="194">
        <f t="shared" si="6"/>
        <v>3199668.9340000004</v>
      </c>
      <c r="AP20" s="194">
        <f>AM20+AO20</f>
        <v>3199668.9340000004</v>
      </c>
      <c r="AQ20" s="195">
        <f t="shared" si="7"/>
        <v>2308293.4000000004</v>
      </c>
      <c r="AR20" s="564">
        <f t="shared" si="5"/>
        <v>-3563236.3340000007</v>
      </c>
      <c r="AS20" s="1278"/>
    </row>
    <row r="21" spans="1:45" ht="15.75">
      <c r="A21" s="758">
        <v>538609</v>
      </c>
      <c r="B21" s="1089">
        <v>9</v>
      </c>
      <c r="C21" s="1011">
        <v>40919</v>
      </c>
      <c r="D21" s="1013" t="s">
        <v>1111</v>
      </c>
      <c r="E21" s="759" t="s">
        <v>1096</v>
      </c>
      <c r="F21" s="759"/>
      <c r="G21" s="759">
        <f>K21+J21</f>
        <v>446520</v>
      </c>
      <c r="H21" s="759">
        <v>0</v>
      </c>
      <c r="I21" s="759">
        <v>0</v>
      </c>
      <c r="J21" s="759">
        <f t="shared" si="1"/>
        <v>372100</v>
      </c>
      <c r="K21" s="782">
        <v>74420</v>
      </c>
      <c r="L21" s="759">
        <v>0</v>
      </c>
      <c r="M21" s="759">
        <v>0</v>
      </c>
      <c r="N21" s="731"/>
      <c r="O21" s="1087"/>
      <c r="P21" s="731"/>
      <c r="Q21" s="731"/>
      <c r="R21" s="731"/>
      <c r="S21" s="731"/>
      <c r="T21" s="731"/>
      <c r="U21" s="731"/>
      <c r="V21" s="731"/>
      <c r="W21" s="731"/>
      <c r="X21" s="731"/>
      <c r="Y21" s="731"/>
      <c r="Z21" s="731"/>
      <c r="AA21" s="731"/>
      <c r="AB21" s="731"/>
      <c r="AC21" s="731"/>
      <c r="AD21" s="731"/>
      <c r="AE21" s="731"/>
      <c r="AF21" s="279" t="s">
        <v>193</v>
      </c>
      <c r="AG21" s="761"/>
      <c r="AH21" s="767"/>
      <c r="AI21" s="767">
        <v>9664355</v>
      </c>
      <c r="AJ21" s="194">
        <f t="shared" si="4"/>
        <v>1932871</v>
      </c>
      <c r="AK21" s="194"/>
      <c r="AL21" s="194"/>
      <c r="AM21" s="194"/>
      <c r="AN21" s="194">
        <v>7155380</v>
      </c>
      <c r="AO21" s="194">
        <f t="shared" si="6"/>
        <v>1431076</v>
      </c>
      <c r="AP21" s="767">
        <f t="shared" si="0"/>
        <v>1431076</v>
      </c>
      <c r="AQ21" s="195">
        <f t="shared" si="7"/>
        <v>3563236.3340000007</v>
      </c>
      <c r="AR21" s="768">
        <f t="shared" si="5"/>
        <v>-3061441.3340000007</v>
      </c>
      <c r="AS21" s="1278"/>
    </row>
    <row r="22" spans="1:45" ht="15.75">
      <c r="A22" s="758">
        <v>538610</v>
      </c>
      <c r="B22" s="1089">
        <v>10</v>
      </c>
      <c r="C22" s="1011">
        <v>40920</v>
      </c>
      <c r="D22" s="759" t="s">
        <v>1103</v>
      </c>
      <c r="E22" s="759" t="s">
        <v>1096</v>
      </c>
      <c r="F22" s="759" t="s">
        <v>1105</v>
      </c>
      <c r="G22" s="759">
        <f>J22+K22</f>
        <v>206610</v>
      </c>
      <c r="H22" s="759">
        <v>0</v>
      </c>
      <c r="I22" s="759">
        <v>0</v>
      </c>
      <c r="J22" s="759">
        <f t="shared" si="1"/>
        <v>172175</v>
      </c>
      <c r="K22" s="782">
        <v>34435</v>
      </c>
      <c r="L22" s="759">
        <v>0</v>
      </c>
      <c r="M22" s="759">
        <v>0</v>
      </c>
      <c r="N22" s="731"/>
      <c r="O22" s="1087"/>
      <c r="P22" s="731"/>
      <c r="Q22" s="731"/>
      <c r="R22" s="731"/>
      <c r="S22" s="731"/>
      <c r="T22" s="731"/>
      <c r="U22" s="731"/>
      <c r="V22" s="731"/>
      <c r="W22" s="731"/>
      <c r="X22" s="731"/>
      <c r="Y22" s="731"/>
      <c r="Z22" s="731"/>
      <c r="AA22" s="731"/>
      <c r="AB22" s="731"/>
      <c r="AC22" s="731"/>
      <c r="AD22" s="731"/>
      <c r="AE22" s="731"/>
      <c r="AF22" s="279" t="s">
        <v>194</v>
      </c>
      <c r="AG22" s="761">
        <v>2000000</v>
      </c>
      <c r="AH22" s="761"/>
      <c r="AI22" s="761">
        <v>10873235</v>
      </c>
      <c r="AJ22" s="194">
        <f t="shared" si="4"/>
        <v>2174647</v>
      </c>
      <c r="AK22" s="194"/>
      <c r="AL22" s="194"/>
      <c r="AM22" s="194"/>
      <c r="AN22" s="194">
        <v>19972056</v>
      </c>
      <c r="AO22" s="194">
        <f t="shared" si="6"/>
        <v>3994411.2</v>
      </c>
      <c r="AP22" s="767">
        <f t="shared" si="0"/>
        <v>3994411.2</v>
      </c>
      <c r="AQ22" s="195">
        <f t="shared" si="7"/>
        <v>3061441.3340000007</v>
      </c>
      <c r="AR22" s="768">
        <f t="shared" si="5"/>
        <v>-4881205.534000001</v>
      </c>
      <c r="AS22" s="1278"/>
    </row>
    <row r="23" spans="1:44" ht="15.75">
      <c r="A23" s="758">
        <v>538611</v>
      </c>
      <c r="B23" s="1089">
        <v>11</v>
      </c>
      <c r="C23" s="1012" t="s">
        <v>1117</v>
      </c>
      <c r="D23" s="759" t="s">
        <v>1118</v>
      </c>
      <c r="E23" s="759" t="s">
        <v>1096</v>
      </c>
      <c r="F23" s="759" t="s">
        <v>1119</v>
      </c>
      <c r="G23" s="759">
        <f>J23+K23</f>
        <v>198594</v>
      </c>
      <c r="H23" s="759">
        <v>0</v>
      </c>
      <c r="I23" s="759">
        <v>0</v>
      </c>
      <c r="J23" s="759">
        <f t="shared" si="1"/>
        <v>165495</v>
      </c>
      <c r="K23" s="782">
        <v>33099</v>
      </c>
      <c r="L23" s="759">
        <v>0</v>
      </c>
      <c r="M23" s="759">
        <v>0</v>
      </c>
      <c r="N23" s="731"/>
      <c r="O23" s="1087"/>
      <c r="P23" s="731"/>
      <c r="Q23" s="731"/>
      <c r="R23" s="731"/>
      <c r="S23" s="731"/>
      <c r="T23" s="731"/>
      <c r="U23" s="731"/>
      <c r="V23" s="731"/>
      <c r="W23" s="731"/>
      <c r="X23" s="731"/>
      <c r="Y23" s="1017" t="s">
        <v>1120</v>
      </c>
      <c r="Z23" s="731"/>
      <c r="AA23" s="731"/>
      <c r="AB23" s="731"/>
      <c r="AC23" s="731"/>
      <c r="AD23" s="1017"/>
      <c r="AE23" s="731"/>
      <c r="AF23" s="279" t="s">
        <v>195</v>
      </c>
      <c r="AG23" s="195"/>
      <c r="AH23" s="195"/>
      <c r="AI23" s="195"/>
      <c r="AJ23" s="195"/>
      <c r="AK23" s="195"/>
      <c r="AL23" s="195"/>
      <c r="AM23" s="195"/>
      <c r="AN23" s="195"/>
      <c r="AO23" s="194">
        <f t="shared" si="6"/>
        <v>0</v>
      </c>
      <c r="AP23" s="195"/>
      <c r="AQ23" s="195"/>
      <c r="AR23" s="768">
        <f t="shared" si="5"/>
        <v>0</v>
      </c>
    </row>
    <row r="24" spans="1:44" ht="15.75">
      <c r="A24" s="758">
        <v>538612</v>
      </c>
      <c r="B24" s="1089">
        <v>12</v>
      </c>
      <c r="C24" s="1012" t="s">
        <v>1121</v>
      </c>
      <c r="D24" s="1013" t="s">
        <v>1111</v>
      </c>
      <c r="E24" s="759" t="s">
        <v>1096</v>
      </c>
      <c r="F24" s="759"/>
      <c r="G24" s="759">
        <f>K24+J24</f>
        <v>759450</v>
      </c>
      <c r="H24" s="759">
        <v>0</v>
      </c>
      <c r="I24" s="759">
        <v>0</v>
      </c>
      <c r="J24" s="759">
        <f t="shared" si="1"/>
        <v>632875</v>
      </c>
      <c r="K24" s="782">
        <v>126575</v>
      </c>
      <c r="L24" s="759">
        <v>0</v>
      </c>
      <c r="M24" s="759">
        <v>0</v>
      </c>
      <c r="N24" s="731"/>
      <c r="O24" s="1087"/>
      <c r="P24" s="731"/>
      <c r="Q24" s="731"/>
      <c r="R24" s="731"/>
      <c r="S24" s="731"/>
      <c r="T24" s="731"/>
      <c r="U24" s="731"/>
      <c r="V24" s="731"/>
      <c r="W24" s="731"/>
      <c r="X24" s="731"/>
      <c r="Y24" s="1017" t="s">
        <v>1122</v>
      </c>
      <c r="Z24" s="731"/>
      <c r="AA24" s="731"/>
      <c r="AB24" s="731"/>
      <c r="AC24" s="731"/>
      <c r="AD24" s="1017"/>
      <c r="AE24" s="731"/>
      <c r="AF24" s="279" t="s">
        <v>195</v>
      </c>
      <c r="AG24" s="195"/>
      <c r="AH24" s="195"/>
      <c r="AI24" s="195"/>
      <c r="AJ24" s="195"/>
      <c r="AK24" s="195"/>
      <c r="AL24" s="195"/>
      <c r="AM24" s="195"/>
      <c r="AN24" s="195"/>
      <c r="AO24" s="194">
        <f t="shared" si="6"/>
        <v>0</v>
      </c>
      <c r="AP24" s="195"/>
      <c r="AQ24" s="195"/>
      <c r="AR24" s="418"/>
    </row>
    <row r="25" spans="1:44" ht="16.5" thickBot="1">
      <c r="A25" s="758">
        <v>538613</v>
      </c>
      <c r="B25" s="1089">
        <v>13</v>
      </c>
      <c r="C25" s="1011">
        <v>40925</v>
      </c>
      <c r="D25" s="759" t="s">
        <v>1123</v>
      </c>
      <c r="E25" s="759" t="s">
        <v>1096</v>
      </c>
      <c r="F25" s="759" t="s">
        <v>1124</v>
      </c>
      <c r="G25" s="759">
        <f>J25+K25</f>
        <v>148704</v>
      </c>
      <c r="H25" s="759">
        <v>0</v>
      </c>
      <c r="I25" s="759">
        <v>0</v>
      </c>
      <c r="J25" s="759">
        <f t="shared" si="1"/>
        <v>123920</v>
      </c>
      <c r="K25" s="782">
        <v>24784</v>
      </c>
      <c r="L25" s="759">
        <v>0</v>
      </c>
      <c r="M25" s="759">
        <v>0</v>
      </c>
      <c r="N25" s="731" t="s">
        <v>856</v>
      </c>
      <c r="O25" s="1087"/>
      <c r="P25" s="731"/>
      <c r="Q25" s="731"/>
      <c r="R25" s="731"/>
      <c r="S25" s="731"/>
      <c r="T25" s="731"/>
      <c r="U25" s="731"/>
      <c r="V25" s="731"/>
      <c r="W25" s="731"/>
      <c r="X25" s="731"/>
      <c r="Y25" s="731"/>
      <c r="Z25" s="731"/>
      <c r="AA25" s="731"/>
      <c r="AB25" s="731"/>
      <c r="AC25" s="731"/>
      <c r="AD25" s="731"/>
      <c r="AE25" s="731"/>
      <c r="AF25" s="769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195"/>
      <c r="AR25" s="770"/>
    </row>
    <row r="26" spans="1:44" ht="16.5" thickBot="1">
      <c r="A26" s="758">
        <v>5386114</v>
      </c>
      <c r="B26" s="1089">
        <v>14</v>
      </c>
      <c r="C26" s="1012" t="s">
        <v>1125</v>
      </c>
      <c r="D26" s="1013" t="s">
        <v>1126</v>
      </c>
      <c r="E26" s="759" t="s">
        <v>1096</v>
      </c>
      <c r="F26" s="759" t="s">
        <v>1127</v>
      </c>
      <c r="G26" s="759">
        <f>K26+J26</f>
        <v>130128</v>
      </c>
      <c r="H26" s="759">
        <v>0</v>
      </c>
      <c r="I26" s="759">
        <v>0</v>
      </c>
      <c r="J26" s="759">
        <f t="shared" si="1"/>
        <v>108440</v>
      </c>
      <c r="K26" s="782">
        <v>21688</v>
      </c>
      <c r="L26" s="759">
        <v>0</v>
      </c>
      <c r="M26" s="759">
        <v>0</v>
      </c>
      <c r="N26" s="731" t="s">
        <v>848</v>
      </c>
      <c r="O26" s="1087"/>
      <c r="P26" s="731"/>
      <c r="Q26" s="731"/>
      <c r="R26" s="731"/>
      <c r="S26" s="731"/>
      <c r="T26" s="731"/>
      <c r="U26" s="731"/>
      <c r="V26" s="731"/>
      <c r="W26" s="731"/>
      <c r="X26" s="731"/>
      <c r="Y26" s="731"/>
      <c r="Z26" s="731"/>
      <c r="AA26" s="731"/>
      <c r="AB26" s="731"/>
      <c r="AC26" s="731"/>
      <c r="AD26" s="731"/>
      <c r="AE26" s="731"/>
      <c r="AF26" s="771" t="s">
        <v>196</v>
      </c>
      <c r="AG26" s="772">
        <f>SUM(AG11:AG25)</f>
        <v>2000000</v>
      </c>
      <c r="AH26" s="772">
        <f aca="true" t="shared" si="8" ref="AH26:AR26">SUM(AH11:AH25)</f>
        <v>0</v>
      </c>
      <c r="AI26" s="773">
        <f t="shared" si="8"/>
        <v>103559290</v>
      </c>
      <c r="AJ26" s="772">
        <f t="shared" si="8"/>
        <v>20711858</v>
      </c>
      <c r="AK26" s="772">
        <f t="shared" si="8"/>
        <v>300</v>
      </c>
      <c r="AL26" s="772">
        <f t="shared" si="8"/>
        <v>0</v>
      </c>
      <c r="AM26" s="772">
        <f t="shared" si="8"/>
        <v>0</v>
      </c>
      <c r="AN26" s="772">
        <f t="shared" si="8"/>
        <v>117281152.67</v>
      </c>
      <c r="AO26" s="772">
        <f t="shared" si="8"/>
        <v>23456230.533999998</v>
      </c>
      <c r="AP26" s="772">
        <f t="shared" si="8"/>
        <v>23456230.533999998</v>
      </c>
      <c r="AQ26" s="772">
        <f t="shared" si="8"/>
        <v>24612718.868</v>
      </c>
      <c r="AR26" s="772">
        <f t="shared" si="8"/>
        <v>-27357091.402000003</v>
      </c>
    </row>
    <row r="27" spans="1:44" ht="15.75">
      <c r="A27" s="758">
        <v>538615</v>
      </c>
      <c r="B27" s="1089">
        <v>15</v>
      </c>
      <c r="C27" s="1012" t="s">
        <v>1110</v>
      </c>
      <c r="D27" s="759" t="s">
        <v>1128</v>
      </c>
      <c r="E27" s="759" t="s">
        <v>1096</v>
      </c>
      <c r="F27" s="759" t="s">
        <v>1129</v>
      </c>
      <c r="G27" s="759">
        <f>J27+K27</f>
        <v>18300</v>
      </c>
      <c r="H27" s="759">
        <v>0</v>
      </c>
      <c r="I27" s="759">
        <v>0</v>
      </c>
      <c r="J27" s="759">
        <f t="shared" si="1"/>
        <v>15250</v>
      </c>
      <c r="K27" s="782">
        <v>3050</v>
      </c>
      <c r="L27" s="759">
        <v>0</v>
      </c>
      <c r="M27" s="759">
        <v>0</v>
      </c>
      <c r="AF27" s="731"/>
      <c r="AG27" s="731"/>
      <c r="AH27" s="731"/>
      <c r="AI27" s="731"/>
      <c r="AJ27" s="1278">
        <f>+AJ26+AI26</f>
        <v>124271148</v>
      </c>
      <c r="AO27" s="1278">
        <f>+AO26+AN26+AK26</f>
        <v>140737683.204</v>
      </c>
      <c r="AP27" s="774"/>
      <c r="AQ27" s="775"/>
      <c r="AR27" s="776"/>
    </row>
    <row r="28" spans="1:43" ht="15.75">
      <c r="A28" s="762">
        <v>538616</v>
      </c>
      <c r="B28" s="1090">
        <v>16</v>
      </c>
      <c r="C28" s="1012" t="s">
        <v>1110</v>
      </c>
      <c r="D28" s="1013" t="s">
        <v>1111</v>
      </c>
      <c r="E28" s="763" t="s">
        <v>1096</v>
      </c>
      <c r="F28" s="763"/>
      <c r="G28" s="763">
        <f>K28+J28</f>
        <v>498828</v>
      </c>
      <c r="H28" s="763">
        <v>0</v>
      </c>
      <c r="I28" s="763">
        <v>0</v>
      </c>
      <c r="J28" s="763">
        <f t="shared" si="1"/>
        <v>415690</v>
      </c>
      <c r="K28" s="783">
        <v>83138</v>
      </c>
      <c r="L28" s="763">
        <v>0</v>
      </c>
      <c r="M28" s="763">
        <v>0</v>
      </c>
      <c r="AF28" s="731"/>
      <c r="AG28" s="731"/>
      <c r="AH28" s="731"/>
      <c r="AP28" s="775"/>
      <c r="AQ28" s="776"/>
    </row>
    <row r="29" spans="1:42" ht="18.75">
      <c r="A29" s="762">
        <v>538617</v>
      </c>
      <c r="B29" s="1090">
        <v>17</v>
      </c>
      <c r="C29" s="1014" t="s">
        <v>1130</v>
      </c>
      <c r="D29" s="763" t="s">
        <v>1131</v>
      </c>
      <c r="E29" s="763" t="s">
        <v>1096</v>
      </c>
      <c r="F29" s="763" t="s">
        <v>1132</v>
      </c>
      <c r="G29" s="763">
        <f aca="true" t="shared" si="9" ref="G29:G37">J29+K29</f>
        <v>27300</v>
      </c>
      <c r="H29" s="763">
        <v>0</v>
      </c>
      <c r="I29" s="763">
        <v>0</v>
      </c>
      <c r="J29" s="763">
        <f t="shared" si="1"/>
        <v>22750</v>
      </c>
      <c r="K29" s="783">
        <v>4550</v>
      </c>
      <c r="L29" s="763">
        <v>0</v>
      </c>
      <c r="M29" s="763">
        <v>0</v>
      </c>
      <c r="AG29" s="734"/>
      <c r="AH29" s="735"/>
      <c r="AI29" s="787"/>
      <c r="AJ29" s="787"/>
      <c r="AK29" s="787"/>
      <c r="AL29" s="787"/>
      <c r="AM29" s="732"/>
      <c r="AN29" s="732"/>
      <c r="AO29" s="732"/>
      <c r="AP29" s="732"/>
    </row>
    <row r="30" spans="1:42" ht="18">
      <c r="A30" s="784">
        <v>538618</v>
      </c>
      <c r="B30" s="1091">
        <v>18</v>
      </c>
      <c r="C30" s="1018" t="s">
        <v>1133</v>
      </c>
      <c r="D30" s="785" t="s">
        <v>1134</v>
      </c>
      <c r="E30" s="785" t="s">
        <v>1096</v>
      </c>
      <c r="F30" s="785" t="s">
        <v>1135</v>
      </c>
      <c r="G30" s="785">
        <f t="shared" si="9"/>
        <v>100002</v>
      </c>
      <c r="H30" s="785">
        <v>0</v>
      </c>
      <c r="I30" s="785">
        <v>0</v>
      </c>
      <c r="J30" s="785">
        <f t="shared" si="1"/>
        <v>83335</v>
      </c>
      <c r="K30" s="786">
        <v>16667</v>
      </c>
      <c r="L30" s="785">
        <v>0</v>
      </c>
      <c r="M30" s="785">
        <v>0</v>
      </c>
      <c r="AG30" s="708" t="s">
        <v>1290</v>
      </c>
      <c r="AH30" s="732"/>
      <c r="AI30" s="732"/>
      <c r="AJ30" s="732"/>
      <c r="AK30" s="732"/>
      <c r="AL30" s="732"/>
      <c r="AM30" s="732"/>
      <c r="AN30" s="732"/>
      <c r="AO30" s="732"/>
      <c r="AP30" s="732"/>
    </row>
    <row r="31" spans="1:42" ht="18">
      <c r="A31" s="784">
        <v>538619</v>
      </c>
      <c r="B31" s="1091">
        <v>19</v>
      </c>
      <c r="C31" s="1018" t="s">
        <v>1136</v>
      </c>
      <c r="D31" s="785" t="s">
        <v>1137</v>
      </c>
      <c r="E31" s="785" t="s">
        <v>1096</v>
      </c>
      <c r="F31" s="785" t="s">
        <v>1138</v>
      </c>
      <c r="G31" s="785">
        <f t="shared" si="9"/>
        <v>26850</v>
      </c>
      <c r="H31" s="785">
        <v>0</v>
      </c>
      <c r="I31" s="785">
        <v>0</v>
      </c>
      <c r="J31" s="785">
        <f t="shared" si="1"/>
        <v>22375</v>
      </c>
      <c r="K31" s="786">
        <v>4475</v>
      </c>
      <c r="L31" s="785">
        <v>0</v>
      </c>
      <c r="M31" s="785">
        <v>0</v>
      </c>
      <c r="AG31" s="708" t="s">
        <v>990</v>
      </c>
      <c r="AH31" s="708"/>
      <c r="AI31" s="708"/>
      <c r="AJ31" s="708"/>
      <c r="AK31" s="708"/>
      <c r="AL31" s="708"/>
      <c r="AM31" s="708"/>
      <c r="AN31" s="708"/>
      <c r="AO31" s="708"/>
      <c r="AP31" s="708"/>
    </row>
    <row r="32" spans="1:13" ht="16.5" thickBot="1">
      <c r="A32" s="784">
        <v>538620</v>
      </c>
      <c r="B32" s="1091">
        <v>20</v>
      </c>
      <c r="C32" s="1019">
        <v>40928</v>
      </c>
      <c r="D32" s="785" t="s">
        <v>1139</v>
      </c>
      <c r="E32" s="785" t="s">
        <v>1096</v>
      </c>
      <c r="F32" s="785" t="s">
        <v>1140</v>
      </c>
      <c r="G32" s="785">
        <f t="shared" si="9"/>
        <v>63702</v>
      </c>
      <c r="H32" s="785">
        <v>0</v>
      </c>
      <c r="I32" s="785">
        <v>0</v>
      </c>
      <c r="J32" s="785">
        <f t="shared" si="1"/>
        <v>53085</v>
      </c>
      <c r="K32" s="786">
        <v>10617</v>
      </c>
      <c r="L32" s="785">
        <v>0</v>
      </c>
      <c r="M32" s="785">
        <v>0</v>
      </c>
    </row>
    <row r="33" spans="1:44" ht="16.5" thickBot="1">
      <c r="A33" s="784">
        <v>538621</v>
      </c>
      <c r="B33" s="1091">
        <v>21</v>
      </c>
      <c r="C33" s="1018" t="s">
        <v>1141</v>
      </c>
      <c r="D33" s="1013" t="s">
        <v>1111</v>
      </c>
      <c r="E33" s="785" t="s">
        <v>1096</v>
      </c>
      <c r="F33" s="785"/>
      <c r="G33" s="785">
        <f t="shared" si="9"/>
        <v>605730</v>
      </c>
      <c r="H33" s="785">
        <v>0</v>
      </c>
      <c r="I33" s="785">
        <v>0</v>
      </c>
      <c r="J33" s="785">
        <f t="shared" si="1"/>
        <v>504775</v>
      </c>
      <c r="K33" s="786">
        <v>100955</v>
      </c>
      <c r="L33" s="785">
        <v>0</v>
      </c>
      <c r="M33" s="785">
        <v>0</v>
      </c>
      <c r="AF33" s="1394" t="s">
        <v>166</v>
      </c>
      <c r="AG33" s="736" t="s">
        <v>167</v>
      </c>
      <c r="AH33" s="737"/>
      <c r="AI33" s="737"/>
      <c r="AJ33" s="738"/>
      <c r="AK33" s="739" t="s">
        <v>168</v>
      </c>
      <c r="AL33" s="739"/>
      <c r="AM33" s="739"/>
      <c r="AN33" s="739"/>
      <c r="AO33" s="739"/>
      <c r="AP33" s="740"/>
      <c r="AQ33" s="1377" t="s">
        <v>169</v>
      </c>
      <c r="AR33" s="1379" t="s">
        <v>170</v>
      </c>
    </row>
    <row r="34" spans="1:44" ht="15.75">
      <c r="A34" s="784">
        <v>538622</v>
      </c>
      <c r="B34" s="1091">
        <v>22</v>
      </c>
      <c r="C34" s="1018" t="s">
        <v>1142</v>
      </c>
      <c r="D34" s="785" t="s">
        <v>1103</v>
      </c>
      <c r="E34" s="785" t="s">
        <v>1104</v>
      </c>
      <c r="F34" s="785" t="s">
        <v>1105</v>
      </c>
      <c r="G34" s="785">
        <f t="shared" si="9"/>
        <v>122202</v>
      </c>
      <c r="H34" s="785">
        <v>0</v>
      </c>
      <c r="I34" s="785">
        <v>0</v>
      </c>
      <c r="J34" s="785">
        <f t="shared" si="1"/>
        <v>101835</v>
      </c>
      <c r="K34" s="786">
        <v>20367</v>
      </c>
      <c r="L34" s="785">
        <v>0</v>
      </c>
      <c r="M34" s="785">
        <v>0</v>
      </c>
      <c r="AF34" s="1395"/>
      <c r="AG34" s="1377" t="s">
        <v>171</v>
      </c>
      <c r="AH34" s="1377" t="s">
        <v>172</v>
      </c>
      <c r="AI34" s="741" t="s">
        <v>173</v>
      </c>
      <c r="AJ34" s="742"/>
      <c r="AK34" s="1375" t="s">
        <v>174</v>
      </c>
      <c r="AL34" s="1382" t="s">
        <v>175</v>
      </c>
      <c r="AM34" s="1383"/>
      <c r="AN34" s="1383"/>
      <c r="AO34" s="1383"/>
      <c r="AP34" s="1384"/>
      <c r="AQ34" s="1378"/>
      <c r="AR34" s="1380"/>
    </row>
    <row r="35" spans="1:44" ht="16.5" customHeight="1">
      <c r="A35" s="784">
        <v>538623</v>
      </c>
      <c r="B35" s="1091">
        <v>23</v>
      </c>
      <c r="C35" s="1018" t="s">
        <v>1143</v>
      </c>
      <c r="D35" s="785" t="s">
        <v>1128</v>
      </c>
      <c r="E35" s="785" t="s">
        <v>1096</v>
      </c>
      <c r="F35" s="785" t="s">
        <v>1129</v>
      </c>
      <c r="G35" s="785">
        <f t="shared" si="9"/>
        <v>27450</v>
      </c>
      <c r="H35" s="785">
        <v>0</v>
      </c>
      <c r="I35" s="785">
        <v>0</v>
      </c>
      <c r="J35" s="785">
        <f t="shared" si="1"/>
        <v>22875</v>
      </c>
      <c r="K35" s="786">
        <v>4575</v>
      </c>
      <c r="L35" s="785">
        <v>0</v>
      </c>
      <c r="M35" s="785">
        <v>0</v>
      </c>
      <c r="AF35" s="1395"/>
      <c r="AG35" s="1378"/>
      <c r="AH35" s="1378"/>
      <c r="AI35" s="1375" t="s">
        <v>176</v>
      </c>
      <c r="AJ35" s="1375" t="s">
        <v>177</v>
      </c>
      <c r="AK35" s="1378"/>
      <c r="AL35" s="1385" t="s">
        <v>178</v>
      </c>
      <c r="AM35" s="1386"/>
      <c r="AN35" s="1385" t="s">
        <v>179</v>
      </c>
      <c r="AO35" s="1386"/>
      <c r="AP35" s="1375" t="s">
        <v>180</v>
      </c>
      <c r="AQ35" s="1378"/>
      <c r="AR35" s="1380"/>
    </row>
    <row r="36" spans="1:44" ht="16.5" customHeight="1" thickBot="1">
      <c r="A36" s="784">
        <v>538624</v>
      </c>
      <c r="B36" s="1091">
        <v>24</v>
      </c>
      <c r="C36" s="1018" t="s">
        <v>1143</v>
      </c>
      <c r="D36" s="1013" t="s">
        <v>1111</v>
      </c>
      <c r="E36" s="785" t="s">
        <v>1096</v>
      </c>
      <c r="F36" s="785"/>
      <c r="G36" s="785">
        <f t="shared" si="9"/>
        <v>470310</v>
      </c>
      <c r="H36" s="785">
        <v>0</v>
      </c>
      <c r="I36" s="785">
        <v>0</v>
      </c>
      <c r="J36" s="785">
        <f t="shared" si="1"/>
        <v>391925</v>
      </c>
      <c r="K36" s="786">
        <v>78385</v>
      </c>
      <c r="L36" s="785">
        <v>0</v>
      </c>
      <c r="M36" s="785">
        <v>0</v>
      </c>
      <c r="AF36" s="1396"/>
      <c r="AG36" s="1376"/>
      <c r="AH36" s="1376"/>
      <c r="AI36" s="1376"/>
      <c r="AJ36" s="1376"/>
      <c r="AK36" s="1376"/>
      <c r="AL36" s="747" t="s">
        <v>181</v>
      </c>
      <c r="AM36" s="747" t="s">
        <v>182</v>
      </c>
      <c r="AN36" s="747" t="s">
        <v>181</v>
      </c>
      <c r="AO36" s="747" t="s">
        <v>182</v>
      </c>
      <c r="AP36" s="1376"/>
      <c r="AQ36" s="1376"/>
      <c r="AR36" s="1381"/>
    </row>
    <row r="37" spans="1:44" ht="15.75">
      <c r="A37" s="784">
        <v>538625</v>
      </c>
      <c r="B37" s="1091">
        <v>25</v>
      </c>
      <c r="C37" s="1018" t="s">
        <v>1143</v>
      </c>
      <c r="D37" s="785" t="s">
        <v>1103</v>
      </c>
      <c r="E37" s="785" t="s">
        <v>1096</v>
      </c>
      <c r="F37" s="785" t="s">
        <v>1105</v>
      </c>
      <c r="G37" s="785">
        <f t="shared" si="9"/>
        <v>103398</v>
      </c>
      <c r="H37" s="785">
        <v>0</v>
      </c>
      <c r="I37" s="785">
        <v>0</v>
      </c>
      <c r="J37" s="785">
        <f t="shared" si="1"/>
        <v>86165</v>
      </c>
      <c r="K37" s="786">
        <v>17233</v>
      </c>
      <c r="L37" s="785">
        <v>0</v>
      </c>
      <c r="M37" s="785">
        <v>0</v>
      </c>
      <c r="AF37" s="278" t="s">
        <v>183</v>
      </c>
      <c r="AG37" s="194">
        <f>+H44</f>
        <v>0</v>
      </c>
      <c r="AH37" s="194">
        <f>+I44</f>
        <v>0</v>
      </c>
      <c r="AI37" s="1072">
        <f>258278+424393</f>
        <v>682671</v>
      </c>
      <c r="AJ37" s="194">
        <f>AI37*0.2</f>
        <v>136534.2</v>
      </c>
      <c r="AK37" s="194">
        <f>+U45</f>
        <v>0</v>
      </c>
      <c r="AL37" s="194">
        <f>+V45</f>
        <v>0</v>
      </c>
      <c r="AM37" s="194">
        <f>+W45</f>
        <v>0</v>
      </c>
      <c r="AN37" s="194"/>
      <c r="AO37" s="194"/>
      <c r="AP37" s="194">
        <f>AM37+AO37</f>
        <v>0</v>
      </c>
      <c r="AQ37" s="194"/>
      <c r="AR37" s="753">
        <f>AJ37</f>
        <v>136534.2</v>
      </c>
    </row>
    <row r="38" spans="1:44" ht="15.75">
      <c r="A38" s="784">
        <v>538626</v>
      </c>
      <c r="B38" s="1091">
        <v>26</v>
      </c>
      <c r="C38" s="1018" t="s">
        <v>1113</v>
      </c>
      <c r="D38" s="785" t="s">
        <v>1144</v>
      </c>
      <c r="E38" s="785" t="s">
        <v>1096</v>
      </c>
      <c r="F38" s="785" t="s">
        <v>1145</v>
      </c>
      <c r="G38" s="785">
        <f>K38+J38</f>
        <v>14340</v>
      </c>
      <c r="H38" s="785">
        <v>0</v>
      </c>
      <c r="I38" s="785">
        <v>0</v>
      </c>
      <c r="J38" s="785">
        <f t="shared" si="1"/>
        <v>11950</v>
      </c>
      <c r="K38" s="786">
        <v>2390</v>
      </c>
      <c r="L38" s="785">
        <v>0</v>
      </c>
      <c r="M38" s="785">
        <v>0</v>
      </c>
      <c r="AF38" s="279" t="s">
        <v>184</v>
      </c>
      <c r="AG38" s="194"/>
      <c r="AH38" s="194"/>
      <c r="AI38" s="1072">
        <f>279210+489949</f>
        <v>769159</v>
      </c>
      <c r="AJ38" s="194">
        <f aca="true" t="shared" si="10" ref="AJ38:AJ48">AI38*0.2</f>
        <v>153831.80000000002</v>
      </c>
      <c r="AK38" s="194"/>
      <c r="AL38" s="194"/>
      <c r="AM38" s="194"/>
      <c r="AN38" s="194"/>
      <c r="AO38" s="194"/>
      <c r="AP38" s="194">
        <f aca="true" t="shared" si="11" ref="AP38:AP43">AM38+AO38</f>
        <v>0</v>
      </c>
      <c r="AQ38" s="195"/>
      <c r="AR38" s="753">
        <f>AJ38</f>
        <v>153831.80000000002</v>
      </c>
    </row>
    <row r="39" spans="1:44" ht="15.75">
      <c r="A39" s="784">
        <v>538627</v>
      </c>
      <c r="B39" s="1091">
        <v>27</v>
      </c>
      <c r="C39" s="1018" t="s">
        <v>1113</v>
      </c>
      <c r="D39" s="785" t="s">
        <v>1146</v>
      </c>
      <c r="E39" s="785" t="s">
        <v>1096</v>
      </c>
      <c r="F39" s="785" t="s">
        <v>1147</v>
      </c>
      <c r="G39" s="785">
        <f>K39+J39</f>
        <v>57360</v>
      </c>
      <c r="H39" s="785">
        <v>0</v>
      </c>
      <c r="I39" s="785">
        <v>0</v>
      </c>
      <c r="J39" s="785">
        <f t="shared" si="1"/>
        <v>47800</v>
      </c>
      <c r="K39" s="786">
        <v>9560</v>
      </c>
      <c r="L39" s="785">
        <v>0</v>
      </c>
      <c r="M39" s="785">
        <v>0</v>
      </c>
      <c r="AF39" s="279" t="s">
        <v>185</v>
      </c>
      <c r="AG39" s="194"/>
      <c r="AH39" s="194"/>
      <c r="AI39" s="1072">
        <f>234890+240826</f>
        <v>475716</v>
      </c>
      <c r="AJ39" s="194">
        <f t="shared" si="10"/>
        <v>95143.20000000001</v>
      </c>
      <c r="AK39" s="194"/>
      <c r="AL39" s="194"/>
      <c r="AM39" s="194"/>
      <c r="AN39" s="194"/>
      <c r="AO39" s="194"/>
      <c r="AP39" s="194">
        <f t="shared" si="11"/>
        <v>0</v>
      </c>
      <c r="AQ39" s="195"/>
      <c r="AR39" s="753">
        <f>AJ39</f>
        <v>95143.20000000001</v>
      </c>
    </row>
    <row r="40" spans="1:44" ht="15.75">
      <c r="A40" s="784">
        <v>538628</v>
      </c>
      <c r="B40" s="1091">
        <v>28</v>
      </c>
      <c r="C40" s="1018" t="s">
        <v>1113</v>
      </c>
      <c r="D40" s="785" t="s">
        <v>1103</v>
      </c>
      <c r="E40" s="785" t="s">
        <v>1096</v>
      </c>
      <c r="F40" s="785" t="s">
        <v>1105</v>
      </c>
      <c r="G40" s="785">
        <f>J40+K40</f>
        <v>199260</v>
      </c>
      <c r="H40" s="785">
        <v>0</v>
      </c>
      <c r="I40" s="785">
        <v>0</v>
      </c>
      <c r="J40" s="785">
        <f t="shared" si="1"/>
        <v>166050</v>
      </c>
      <c r="K40" s="786">
        <v>33210</v>
      </c>
      <c r="L40" s="785">
        <v>0</v>
      </c>
      <c r="M40" s="785">
        <v>0</v>
      </c>
      <c r="AF40" s="279" t="s">
        <v>186</v>
      </c>
      <c r="AG40" s="194"/>
      <c r="AH40" s="194"/>
      <c r="AI40" s="1072">
        <f>337283+429333</f>
        <v>766616</v>
      </c>
      <c r="AJ40" s="194">
        <f t="shared" si="10"/>
        <v>153323.2</v>
      </c>
      <c r="AK40" s="194"/>
      <c r="AL40" s="194"/>
      <c r="AM40" s="194"/>
      <c r="AN40" s="194"/>
      <c r="AO40" s="194"/>
      <c r="AP40" s="194">
        <f t="shared" si="11"/>
        <v>0</v>
      </c>
      <c r="AQ40" s="195"/>
      <c r="AR40" s="753">
        <f>AJ40</f>
        <v>153323.2</v>
      </c>
    </row>
    <row r="41" spans="1:44" ht="15.75">
      <c r="A41" s="784">
        <v>538629</v>
      </c>
      <c r="B41" s="1091">
        <v>29</v>
      </c>
      <c r="C41" s="1018" t="s">
        <v>1148</v>
      </c>
      <c r="D41" s="1013" t="s">
        <v>1111</v>
      </c>
      <c r="E41" s="785" t="s">
        <v>1096</v>
      </c>
      <c r="F41" s="785"/>
      <c r="G41" s="785">
        <f>K41+J41</f>
        <v>642330</v>
      </c>
      <c r="H41" s="785">
        <v>0</v>
      </c>
      <c r="I41" s="785">
        <v>0</v>
      </c>
      <c r="J41" s="785">
        <f t="shared" si="1"/>
        <v>535275</v>
      </c>
      <c r="K41" s="786">
        <v>107055</v>
      </c>
      <c r="L41" s="785">
        <v>0</v>
      </c>
      <c r="M41" s="785">
        <v>0</v>
      </c>
      <c r="AF41" s="279" t="s">
        <v>187</v>
      </c>
      <c r="AG41" s="194"/>
      <c r="AH41" s="194"/>
      <c r="AI41" s="194">
        <v>789890</v>
      </c>
      <c r="AJ41" s="194">
        <f t="shared" si="10"/>
        <v>157978</v>
      </c>
      <c r="AK41" s="194"/>
      <c r="AL41" s="194"/>
      <c r="AM41" s="194"/>
      <c r="AN41" s="194"/>
      <c r="AO41" s="194"/>
      <c r="AP41" s="194">
        <f t="shared" si="11"/>
        <v>0</v>
      </c>
      <c r="AQ41" s="195"/>
      <c r="AR41" s="564">
        <f aca="true" t="shared" si="12" ref="AR41:AR49">AJ41-(AP41+AQ41)</f>
        <v>157978</v>
      </c>
    </row>
    <row r="42" spans="1:44" ht="15.75">
      <c r="A42" s="784">
        <v>538630</v>
      </c>
      <c r="B42" s="1091">
        <v>30</v>
      </c>
      <c r="C42" s="1019">
        <v>40934</v>
      </c>
      <c r="D42" s="785" t="s">
        <v>1103</v>
      </c>
      <c r="E42" s="785" t="s">
        <v>1104</v>
      </c>
      <c r="F42" s="785" t="s">
        <v>1105</v>
      </c>
      <c r="G42" s="785">
        <f>K42+J42</f>
        <v>77352</v>
      </c>
      <c r="H42" s="785">
        <v>0</v>
      </c>
      <c r="I42" s="785">
        <v>0</v>
      </c>
      <c r="J42" s="785">
        <f t="shared" si="1"/>
        <v>64460</v>
      </c>
      <c r="K42" s="786">
        <v>12892</v>
      </c>
      <c r="L42" s="785">
        <v>0</v>
      </c>
      <c r="M42" s="785">
        <v>0</v>
      </c>
      <c r="AF42" s="279" t="s">
        <v>188</v>
      </c>
      <c r="AG42" s="194"/>
      <c r="AH42" s="194"/>
      <c r="AI42" s="194">
        <v>729796</v>
      </c>
      <c r="AJ42" s="194">
        <f t="shared" si="10"/>
        <v>145959.2</v>
      </c>
      <c r="AK42" s="194"/>
      <c r="AL42" s="194"/>
      <c r="AM42" s="194"/>
      <c r="AN42" s="194"/>
      <c r="AO42" s="194"/>
      <c r="AP42" s="194">
        <f t="shared" si="11"/>
        <v>0</v>
      </c>
      <c r="AQ42" s="195"/>
      <c r="AR42" s="564">
        <f t="shared" si="12"/>
        <v>145959.2</v>
      </c>
    </row>
    <row r="43" spans="1:44" ht="15.75">
      <c r="A43" s="784">
        <v>538631</v>
      </c>
      <c r="B43" s="1091">
        <v>31</v>
      </c>
      <c r="C43" s="1018" t="s">
        <v>1149</v>
      </c>
      <c r="D43" s="785" t="s">
        <v>1063</v>
      </c>
      <c r="E43" s="785" t="s">
        <v>1096</v>
      </c>
      <c r="F43" s="785" t="s">
        <v>1150</v>
      </c>
      <c r="G43" s="785">
        <f>K43+J43</f>
        <v>22920</v>
      </c>
      <c r="H43" s="785">
        <v>0</v>
      </c>
      <c r="I43" s="785">
        <v>0</v>
      </c>
      <c r="J43" s="785">
        <f t="shared" si="1"/>
        <v>19100</v>
      </c>
      <c r="K43" s="786">
        <v>3820</v>
      </c>
      <c r="L43" s="785">
        <v>0</v>
      </c>
      <c r="M43" s="785">
        <v>0</v>
      </c>
      <c r="AF43" s="279" t="s">
        <v>189</v>
      </c>
      <c r="AG43" s="761"/>
      <c r="AH43" s="761"/>
      <c r="AI43" s="761">
        <v>671000</v>
      </c>
      <c r="AJ43" s="194">
        <f t="shared" si="10"/>
        <v>134200</v>
      </c>
      <c r="AK43" s="194"/>
      <c r="AL43" s="194"/>
      <c r="AM43" s="194"/>
      <c r="AN43" s="194"/>
      <c r="AO43" s="194"/>
      <c r="AP43" s="194">
        <f t="shared" si="11"/>
        <v>0</v>
      </c>
      <c r="AQ43" s="195"/>
      <c r="AR43" s="564">
        <f t="shared" si="12"/>
        <v>134200</v>
      </c>
    </row>
    <row r="44" spans="1:44" ht="15.75">
      <c r="A44" s="784">
        <v>538632</v>
      </c>
      <c r="B44" s="1091">
        <v>32</v>
      </c>
      <c r="C44" s="1018" t="s">
        <v>1151</v>
      </c>
      <c r="D44" s="785" t="s">
        <v>1152</v>
      </c>
      <c r="E44" s="785" t="s">
        <v>1096</v>
      </c>
      <c r="F44" s="785" t="s">
        <v>1153</v>
      </c>
      <c r="G44" s="785">
        <f>J44+K44</f>
        <v>469560</v>
      </c>
      <c r="H44" s="785">
        <v>0</v>
      </c>
      <c r="I44" s="785">
        <v>0</v>
      </c>
      <c r="J44" s="785">
        <f t="shared" si="1"/>
        <v>391300</v>
      </c>
      <c r="K44" s="786">
        <v>78260</v>
      </c>
      <c r="L44" s="785">
        <v>0</v>
      </c>
      <c r="M44" s="785">
        <v>0</v>
      </c>
      <c r="AF44" s="279" t="s">
        <v>190</v>
      </c>
      <c r="AG44" s="761"/>
      <c r="AH44" s="761"/>
      <c r="AI44" s="761">
        <f>700081+369525</f>
        <v>1069606</v>
      </c>
      <c r="AJ44" s="194">
        <f t="shared" si="10"/>
        <v>213921.2</v>
      </c>
      <c r="AK44" s="194"/>
      <c r="AL44" s="194"/>
      <c r="AM44" s="194"/>
      <c r="AN44" s="194"/>
      <c r="AO44" s="194"/>
      <c r="AP44" s="194">
        <f>AM44+AO44</f>
        <v>0</v>
      </c>
      <c r="AQ44" s="195"/>
      <c r="AR44" s="564">
        <f t="shared" si="12"/>
        <v>213921.2</v>
      </c>
    </row>
    <row r="45" spans="1:44" ht="15.75">
      <c r="A45" s="784">
        <v>538633</v>
      </c>
      <c r="B45" s="1091">
        <v>33</v>
      </c>
      <c r="C45" s="1018" t="s">
        <v>1154</v>
      </c>
      <c r="D45" s="785" t="s">
        <v>1155</v>
      </c>
      <c r="E45" s="785" t="s">
        <v>1099</v>
      </c>
      <c r="F45" s="785" t="s">
        <v>1156</v>
      </c>
      <c r="G45" s="785">
        <f>J45+K46</f>
        <v>146583</v>
      </c>
      <c r="H45" s="785">
        <v>0</v>
      </c>
      <c r="I45" s="785">
        <v>0</v>
      </c>
      <c r="J45" s="785">
        <f t="shared" si="1"/>
        <v>111660</v>
      </c>
      <c r="K45" s="786">
        <v>22332</v>
      </c>
      <c r="L45" s="785">
        <v>0</v>
      </c>
      <c r="M45" s="785">
        <v>0</v>
      </c>
      <c r="AF45" s="279" t="s">
        <v>191</v>
      </c>
      <c r="AG45" s="761"/>
      <c r="AH45" s="761"/>
      <c r="AI45" s="761">
        <f>251515+476161</f>
        <v>727676</v>
      </c>
      <c r="AJ45" s="194">
        <f t="shared" si="10"/>
        <v>145535.2</v>
      </c>
      <c r="AK45" s="194"/>
      <c r="AL45" s="194"/>
      <c r="AM45" s="194"/>
      <c r="AN45" s="194"/>
      <c r="AO45" s="194"/>
      <c r="AP45" s="194">
        <f>AM45+AO45</f>
        <v>0</v>
      </c>
      <c r="AQ45" s="195"/>
      <c r="AR45" s="564">
        <f t="shared" si="12"/>
        <v>145535.2</v>
      </c>
    </row>
    <row r="46" spans="1:44" ht="15.75">
      <c r="A46" s="784">
        <v>538634</v>
      </c>
      <c r="B46" s="1091">
        <v>34</v>
      </c>
      <c r="C46" s="1018" t="s">
        <v>1154</v>
      </c>
      <c r="D46" s="785" t="s">
        <v>1157</v>
      </c>
      <c r="E46" s="785" t="s">
        <v>1096</v>
      </c>
      <c r="F46" s="785" t="s">
        <v>1158</v>
      </c>
      <c r="G46" s="785">
        <f>J46+K46</f>
        <v>209538</v>
      </c>
      <c r="H46" s="785">
        <v>0</v>
      </c>
      <c r="I46" s="785">
        <v>0</v>
      </c>
      <c r="J46" s="785">
        <f t="shared" si="1"/>
        <v>174615</v>
      </c>
      <c r="K46" s="786">
        <v>34923</v>
      </c>
      <c r="L46" s="785">
        <v>0</v>
      </c>
      <c r="M46" s="785">
        <v>0</v>
      </c>
      <c r="AF46" s="279" t="s">
        <v>192</v>
      </c>
      <c r="AG46" s="761"/>
      <c r="AH46" s="761"/>
      <c r="AI46" s="761">
        <f>415522+846155</f>
        <v>1261677</v>
      </c>
      <c r="AJ46" s="194">
        <f t="shared" si="10"/>
        <v>252335.40000000002</v>
      </c>
      <c r="AK46" s="194"/>
      <c r="AL46" s="194"/>
      <c r="AM46" s="194"/>
      <c r="AN46" s="194"/>
      <c r="AO46" s="194"/>
      <c r="AP46" s="194">
        <f>AM46+AO46</f>
        <v>0</v>
      </c>
      <c r="AQ46" s="195"/>
      <c r="AR46" s="564">
        <f t="shared" si="12"/>
        <v>252335.40000000002</v>
      </c>
    </row>
    <row r="47" spans="1:44" ht="15.75">
      <c r="A47" s="784">
        <v>538635</v>
      </c>
      <c r="B47" s="1091">
        <v>35</v>
      </c>
      <c r="C47" s="1018" t="s">
        <v>1154</v>
      </c>
      <c r="D47" s="785" t="s">
        <v>1159</v>
      </c>
      <c r="E47" s="785" t="s">
        <v>1096</v>
      </c>
      <c r="F47" s="785" t="s">
        <v>1160</v>
      </c>
      <c r="G47" s="785">
        <f>J47+K47</f>
        <v>181998</v>
      </c>
      <c r="H47" s="785">
        <v>0</v>
      </c>
      <c r="I47" s="785">
        <v>0</v>
      </c>
      <c r="J47" s="785">
        <f t="shared" si="1"/>
        <v>151665</v>
      </c>
      <c r="K47" s="786">
        <v>30333</v>
      </c>
      <c r="L47" s="785">
        <v>0</v>
      </c>
      <c r="M47" s="785">
        <v>0</v>
      </c>
      <c r="AF47" s="279" t="s">
        <v>193</v>
      </c>
      <c r="AG47" s="761"/>
      <c r="AH47" s="767"/>
      <c r="AI47" s="767">
        <f>505833+302343</f>
        <v>808176</v>
      </c>
      <c r="AJ47" s="194">
        <f t="shared" si="10"/>
        <v>161635.2</v>
      </c>
      <c r="AK47" s="194"/>
      <c r="AL47" s="194"/>
      <c r="AM47" s="194"/>
      <c r="AN47" s="194"/>
      <c r="AO47" s="194"/>
      <c r="AP47" s="767">
        <f>AM47+AO47</f>
        <v>0</v>
      </c>
      <c r="AQ47" s="195"/>
      <c r="AR47" s="768">
        <f t="shared" si="12"/>
        <v>161635.2</v>
      </c>
    </row>
    <row r="48" spans="1:44" ht="15.75">
      <c r="A48" s="784">
        <v>538636</v>
      </c>
      <c r="B48" s="1091">
        <v>36</v>
      </c>
      <c r="C48" s="1018" t="s">
        <v>1154</v>
      </c>
      <c r="D48" s="785" t="s">
        <v>1161</v>
      </c>
      <c r="E48" s="785" t="s">
        <v>1096</v>
      </c>
      <c r="F48" s="785" t="s">
        <v>1162</v>
      </c>
      <c r="G48" s="785">
        <f>J48+K48</f>
        <v>228018</v>
      </c>
      <c r="H48" s="785">
        <v>0</v>
      </c>
      <c r="I48" s="785">
        <v>0</v>
      </c>
      <c r="J48" s="785">
        <f t="shared" si="1"/>
        <v>190015</v>
      </c>
      <c r="K48" s="786">
        <v>38003</v>
      </c>
      <c r="L48" s="785">
        <v>0</v>
      </c>
      <c r="M48" s="785">
        <v>0</v>
      </c>
      <c r="AF48" s="279" t="s">
        <v>194</v>
      </c>
      <c r="AG48" s="761"/>
      <c r="AH48" s="761"/>
      <c r="AI48" s="761">
        <f>590566+908742</f>
        <v>1499308</v>
      </c>
      <c r="AJ48" s="194">
        <f t="shared" si="10"/>
        <v>299861.60000000003</v>
      </c>
      <c r="AK48" s="194"/>
      <c r="AL48" s="194"/>
      <c r="AM48" s="194"/>
      <c r="AN48" s="194"/>
      <c r="AO48" s="194"/>
      <c r="AP48" s="767">
        <f>AM48+AO48</f>
        <v>0</v>
      </c>
      <c r="AQ48" s="195"/>
      <c r="AR48" s="768">
        <f t="shared" si="12"/>
        <v>299861.60000000003</v>
      </c>
    </row>
    <row r="49" spans="1:44" ht="15.75">
      <c r="A49" s="784">
        <v>538637</v>
      </c>
      <c r="B49" s="1091">
        <v>37</v>
      </c>
      <c r="C49" s="1018" t="s">
        <v>1154</v>
      </c>
      <c r="D49" s="785" t="s">
        <v>1163</v>
      </c>
      <c r="E49" s="785" t="s">
        <v>1096</v>
      </c>
      <c r="F49" s="785" t="s">
        <v>1164</v>
      </c>
      <c r="G49" s="785">
        <f>J49+K49</f>
        <v>72000</v>
      </c>
      <c r="H49" s="785">
        <v>0</v>
      </c>
      <c r="I49" s="785">
        <v>0</v>
      </c>
      <c r="J49" s="785">
        <f t="shared" si="1"/>
        <v>60000</v>
      </c>
      <c r="K49" s="786">
        <v>12000</v>
      </c>
      <c r="L49" s="785">
        <v>0</v>
      </c>
      <c r="M49" s="785">
        <v>0</v>
      </c>
      <c r="AF49" s="279" t="s">
        <v>195</v>
      </c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768">
        <f t="shared" si="12"/>
        <v>0</v>
      </c>
    </row>
    <row r="50" spans="1:44" ht="16.5" thickBot="1">
      <c r="A50" s="784">
        <v>538629</v>
      </c>
      <c r="B50" s="1091">
        <v>38</v>
      </c>
      <c r="C50" s="1018" t="s">
        <v>1154</v>
      </c>
      <c r="D50" s="785" t="s">
        <v>1111</v>
      </c>
      <c r="E50" s="785" t="s">
        <v>1096</v>
      </c>
      <c r="F50" s="785"/>
      <c r="G50" s="785">
        <f>J50+K50</f>
        <v>620370</v>
      </c>
      <c r="H50" s="785">
        <v>0</v>
      </c>
      <c r="I50" s="785">
        <v>0</v>
      </c>
      <c r="J50" s="785">
        <f t="shared" si="1"/>
        <v>516975</v>
      </c>
      <c r="K50" s="786">
        <v>103395</v>
      </c>
      <c r="L50" s="785">
        <v>0</v>
      </c>
      <c r="M50" s="786">
        <v>0</v>
      </c>
      <c r="AF50" s="279" t="s">
        <v>195</v>
      </c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418"/>
    </row>
    <row r="51" spans="1:44" ht="16.5" thickBot="1">
      <c r="A51" s="1389" t="s">
        <v>822</v>
      </c>
      <c r="B51" s="1390"/>
      <c r="C51" s="1390"/>
      <c r="D51" s="1390"/>
      <c r="E51" s="1390"/>
      <c r="F51" s="1391"/>
      <c r="G51" s="1020">
        <f>K51+J51</f>
        <v>9159090</v>
      </c>
      <c r="H51" s="1020">
        <v>0</v>
      </c>
      <c r="I51" s="1020">
        <v>0</v>
      </c>
      <c r="J51" s="1020">
        <f>SUM(J13:J50)</f>
        <v>7632575</v>
      </c>
      <c r="K51" s="1021">
        <f>SUM(K13:K50)</f>
        <v>1526515</v>
      </c>
      <c r="L51" s="785">
        <v>0</v>
      </c>
      <c r="M51" s="786">
        <v>0</v>
      </c>
      <c r="AF51" s="769"/>
      <c r="AG51" s="326"/>
      <c r="AH51" s="326"/>
      <c r="AI51" s="326"/>
      <c r="AJ51" s="326"/>
      <c r="AK51" s="326"/>
      <c r="AL51" s="326"/>
      <c r="AM51" s="326"/>
      <c r="AN51" s="326"/>
      <c r="AO51" s="326"/>
      <c r="AP51" s="326"/>
      <c r="AQ51" s="195"/>
      <c r="AR51" s="770"/>
    </row>
    <row r="52" spans="1:44" ht="16.5" thickBot="1">
      <c r="A52" s="1392" t="s">
        <v>823</v>
      </c>
      <c r="B52" s="1393"/>
      <c r="C52" s="1393"/>
      <c r="D52" s="1393"/>
      <c r="E52" s="1393"/>
      <c r="F52" s="1393"/>
      <c r="G52" s="1393"/>
      <c r="H52" s="781" t="s">
        <v>824</v>
      </c>
      <c r="I52" s="765" t="s">
        <v>825</v>
      </c>
      <c r="J52" s="781" t="s">
        <v>826</v>
      </c>
      <c r="K52" s="766" t="s">
        <v>827</v>
      </c>
      <c r="L52" s="781" t="s">
        <v>828</v>
      </c>
      <c r="M52" s="766" t="s">
        <v>829</v>
      </c>
      <c r="AF52" s="771" t="s">
        <v>196</v>
      </c>
      <c r="AG52" s="772">
        <f>SUM(AG37:AG51)</f>
        <v>0</v>
      </c>
      <c r="AH52" s="772">
        <f aca="true" t="shared" si="13" ref="AH52:AR52">SUM(AH37:AH51)</f>
        <v>0</v>
      </c>
      <c r="AI52" s="773">
        <f t="shared" si="13"/>
        <v>10251291</v>
      </c>
      <c r="AJ52" s="772">
        <f t="shared" si="13"/>
        <v>2050258.2</v>
      </c>
      <c r="AK52" s="772">
        <f t="shared" si="13"/>
        <v>0</v>
      </c>
      <c r="AL52" s="772">
        <f t="shared" si="13"/>
        <v>0</v>
      </c>
      <c r="AM52" s="772">
        <f t="shared" si="13"/>
        <v>0</v>
      </c>
      <c r="AN52" s="772">
        <f t="shared" si="13"/>
        <v>0</v>
      </c>
      <c r="AO52" s="772">
        <f t="shared" si="13"/>
        <v>0</v>
      </c>
      <c r="AP52" s="772">
        <f t="shared" si="13"/>
        <v>0</v>
      </c>
      <c r="AQ52" s="772">
        <f t="shared" si="13"/>
        <v>0</v>
      </c>
      <c r="AR52" s="772">
        <f t="shared" si="13"/>
        <v>2050258.2</v>
      </c>
    </row>
    <row r="53" spans="1:36" ht="15.75">
      <c r="A53" s="731" t="s">
        <v>856</v>
      </c>
      <c r="B53" s="1087"/>
      <c r="C53" s="731"/>
      <c r="D53" s="731"/>
      <c r="E53" s="731"/>
      <c r="F53" s="731"/>
      <c r="G53" s="731"/>
      <c r="H53" s="731"/>
      <c r="I53" s="731"/>
      <c r="J53" s="731"/>
      <c r="K53" s="731"/>
      <c r="L53" s="731"/>
      <c r="M53" s="731"/>
      <c r="AJ53" s="1278">
        <f>+AJ52+AI52</f>
        <v>12301549.2</v>
      </c>
    </row>
    <row r="54" spans="1:42" ht="18">
      <c r="A54" s="731" t="s">
        <v>848</v>
      </c>
      <c r="B54" s="1087"/>
      <c r="C54" s="731"/>
      <c r="D54" s="731"/>
      <c r="E54" s="731"/>
      <c r="F54" s="731"/>
      <c r="G54" s="731"/>
      <c r="H54" s="731"/>
      <c r="I54" s="731"/>
      <c r="J54" s="731"/>
      <c r="K54" s="731"/>
      <c r="L54" s="731"/>
      <c r="M54" s="731"/>
      <c r="AG54" s="708" t="s">
        <v>1373</v>
      </c>
      <c r="AH54" s="732"/>
      <c r="AI54" s="1081"/>
      <c r="AJ54" s="732"/>
      <c r="AK54" s="732"/>
      <c r="AL54" s="732"/>
      <c r="AM54" s="732"/>
      <c r="AN54" s="732"/>
      <c r="AO54" s="732"/>
      <c r="AP54" s="732"/>
    </row>
    <row r="55" spans="1:42" ht="18">
      <c r="A55" s="731" t="s">
        <v>855</v>
      </c>
      <c r="B55" s="1087"/>
      <c r="C55" s="731"/>
      <c r="D55" s="731"/>
      <c r="E55" s="731"/>
      <c r="F55" s="731"/>
      <c r="G55" s="731"/>
      <c r="H55" s="731"/>
      <c r="I55" s="731"/>
      <c r="J55" s="731" t="s">
        <v>1165</v>
      </c>
      <c r="K55" s="731"/>
      <c r="L55" s="731"/>
      <c r="M55" s="731"/>
      <c r="AG55" s="708" t="s">
        <v>990</v>
      </c>
      <c r="AH55" s="708"/>
      <c r="AI55" s="708"/>
      <c r="AJ55" s="708"/>
      <c r="AK55" s="708"/>
      <c r="AL55" s="708"/>
      <c r="AM55" s="708"/>
      <c r="AN55" s="708"/>
      <c r="AO55" s="708"/>
      <c r="AP55" s="708"/>
    </row>
    <row r="56" spans="2:15" s="1082" customFormat="1" ht="10.5" customHeight="1" thickBot="1">
      <c r="B56" s="1092"/>
      <c r="O56" s="1092"/>
    </row>
    <row r="57" spans="1:44" ht="20.25" customHeight="1" thickBot="1">
      <c r="A57" s="730" t="s">
        <v>794</v>
      </c>
      <c r="B57" s="1087"/>
      <c r="C57" s="731"/>
      <c r="D57" s="731"/>
      <c r="E57" s="731"/>
      <c r="F57" s="731"/>
      <c r="G57" s="731"/>
      <c r="H57" s="731"/>
      <c r="I57" s="731"/>
      <c r="J57" s="731"/>
      <c r="K57" s="731"/>
      <c r="L57" s="731"/>
      <c r="M57" s="731"/>
      <c r="N57" s="730" t="s">
        <v>795</v>
      </c>
      <c r="O57" s="1087"/>
      <c r="P57" s="731"/>
      <c r="Q57" s="731"/>
      <c r="R57" s="731"/>
      <c r="S57" s="731"/>
      <c r="T57" s="731"/>
      <c r="U57" s="731"/>
      <c r="V57" s="731"/>
      <c r="W57" s="731"/>
      <c r="X57" s="731"/>
      <c r="Y57" s="731"/>
      <c r="Z57" s="731"/>
      <c r="AA57" s="731"/>
      <c r="AB57" s="731"/>
      <c r="AC57" s="731"/>
      <c r="AD57" s="731"/>
      <c r="AE57" s="731"/>
      <c r="AF57" s="1394" t="s">
        <v>166</v>
      </c>
      <c r="AG57" s="736" t="s">
        <v>167</v>
      </c>
      <c r="AH57" s="737"/>
      <c r="AI57" s="737"/>
      <c r="AJ57" s="738"/>
      <c r="AK57" s="739" t="s">
        <v>168</v>
      </c>
      <c r="AL57" s="739"/>
      <c r="AM57" s="739"/>
      <c r="AN57" s="739"/>
      <c r="AO57" s="739"/>
      <c r="AP57" s="740"/>
      <c r="AQ57" s="1377" t="s">
        <v>169</v>
      </c>
      <c r="AR57" s="1379" t="s">
        <v>170</v>
      </c>
    </row>
    <row r="58" spans="1:44" ht="15.75" customHeight="1">
      <c r="A58" s="733" t="s">
        <v>796</v>
      </c>
      <c r="B58" s="1088"/>
      <c r="C58" s="731" t="s">
        <v>1166</v>
      </c>
      <c r="D58" s="731"/>
      <c r="E58" s="731"/>
      <c r="F58" s="731"/>
      <c r="G58" s="731"/>
      <c r="H58" s="731"/>
      <c r="I58" s="731"/>
      <c r="J58" s="731"/>
      <c r="K58" s="731"/>
      <c r="L58" s="731"/>
      <c r="M58" s="731"/>
      <c r="N58" s="733" t="s">
        <v>796</v>
      </c>
      <c r="O58" s="1088"/>
      <c r="P58" s="731" t="s">
        <v>1166</v>
      </c>
      <c r="Q58" s="731"/>
      <c r="R58" s="731"/>
      <c r="S58" s="731"/>
      <c r="T58" s="731"/>
      <c r="U58" s="731"/>
      <c r="V58" s="731"/>
      <c r="W58" s="731"/>
      <c r="X58" s="731"/>
      <c r="Y58" s="731"/>
      <c r="Z58" s="731"/>
      <c r="AA58" s="731"/>
      <c r="AB58" s="731"/>
      <c r="AC58" s="731"/>
      <c r="AD58" s="731"/>
      <c r="AE58" s="731"/>
      <c r="AF58" s="1395"/>
      <c r="AG58" s="1377" t="s">
        <v>171</v>
      </c>
      <c r="AH58" s="1377" t="s">
        <v>172</v>
      </c>
      <c r="AI58" s="741" t="s">
        <v>173</v>
      </c>
      <c r="AJ58" s="742"/>
      <c r="AK58" s="1375" t="s">
        <v>174</v>
      </c>
      <c r="AL58" s="1382" t="s">
        <v>175</v>
      </c>
      <c r="AM58" s="1383"/>
      <c r="AN58" s="1383"/>
      <c r="AO58" s="1383"/>
      <c r="AP58" s="1384"/>
      <c r="AQ58" s="1378"/>
      <c r="AR58" s="1380"/>
    </row>
    <row r="59" spans="1:44" ht="15.75" customHeight="1">
      <c r="A59" s="733" t="s">
        <v>413</v>
      </c>
      <c r="B59" s="1088"/>
      <c r="C59" s="731" t="s">
        <v>1043</v>
      </c>
      <c r="D59" s="731"/>
      <c r="E59" s="731"/>
      <c r="F59" s="731"/>
      <c r="G59" s="731"/>
      <c r="H59" s="731"/>
      <c r="I59" s="731"/>
      <c r="J59" s="731"/>
      <c r="K59" s="731"/>
      <c r="L59" s="731"/>
      <c r="M59" s="731"/>
      <c r="N59" s="733" t="s">
        <v>413</v>
      </c>
      <c r="O59" s="1088"/>
      <c r="P59" s="731" t="s">
        <v>1043</v>
      </c>
      <c r="Q59" s="731"/>
      <c r="R59" s="731"/>
      <c r="S59" s="731"/>
      <c r="T59" s="731"/>
      <c r="U59" s="731"/>
      <c r="V59" s="731"/>
      <c r="W59" s="731"/>
      <c r="X59" s="731"/>
      <c r="Y59" s="731"/>
      <c r="Z59" s="731"/>
      <c r="AA59" s="731"/>
      <c r="AB59" s="731"/>
      <c r="AC59" s="731"/>
      <c r="AD59" s="731"/>
      <c r="AE59" s="731"/>
      <c r="AF59" s="1395"/>
      <c r="AG59" s="1378"/>
      <c r="AH59" s="1378"/>
      <c r="AI59" s="1375" t="s">
        <v>176</v>
      </c>
      <c r="AJ59" s="1375" t="s">
        <v>177</v>
      </c>
      <c r="AK59" s="1378"/>
      <c r="AL59" s="1385" t="s">
        <v>178</v>
      </c>
      <c r="AM59" s="1386"/>
      <c r="AN59" s="1385" t="s">
        <v>179</v>
      </c>
      <c r="AO59" s="1386"/>
      <c r="AP59" s="1375" t="s">
        <v>180</v>
      </c>
      <c r="AQ59" s="1378"/>
      <c r="AR59" s="1380"/>
    </row>
    <row r="60" spans="1:44" ht="16.5" thickBot="1">
      <c r="A60" s="733" t="s">
        <v>797</v>
      </c>
      <c r="B60" s="1088"/>
      <c r="C60" s="731">
        <v>2012</v>
      </c>
      <c r="D60" s="731"/>
      <c r="E60" s="731"/>
      <c r="F60" s="731"/>
      <c r="G60" s="731"/>
      <c r="H60" s="731"/>
      <c r="I60" s="731"/>
      <c r="J60" s="731"/>
      <c r="K60" s="731"/>
      <c r="L60" s="731"/>
      <c r="M60" s="731"/>
      <c r="N60" s="733" t="s">
        <v>797</v>
      </c>
      <c r="O60" s="1088"/>
      <c r="P60" s="731">
        <v>2012</v>
      </c>
      <c r="Q60" s="731"/>
      <c r="R60" s="731"/>
      <c r="S60" s="731"/>
      <c r="T60" s="731"/>
      <c r="U60" s="731"/>
      <c r="V60" s="731"/>
      <c r="W60" s="731"/>
      <c r="X60" s="731"/>
      <c r="Y60" s="731"/>
      <c r="Z60" s="731"/>
      <c r="AA60" s="731"/>
      <c r="AB60" s="731"/>
      <c r="AC60" s="731"/>
      <c r="AD60" s="731"/>
      <c r="AE60" s="731"/>
      <c r="AF60" s="1396"/>
      <c r="AG60" s="1376"/>
      <c r="AH60" s="1376"/>
      <c r="AI60" s="1376"/>
      <c r="AJ60" s="1376"/>
      <c r="AK60" s="1376"/>
      <c r="AL60" s="747" t="s">
        <v>181</v>
      </c>
      <c r="AM60" s="747" t="s">
        <v>182</v>
      </c>
      <c r="AN60" s="747" t="s">
        <v>181</v>
      </c>
      <c r="AO60" s="747" t="s">
        <v>182</v>
      </c>
      <c r="AP60" s="1376"/>
      <c r="AQ60" s="1376"/>
      <c r="AR60" s="1381"/>
    </row>
    <row r="61" spans="1:44" ht="15.75">
      <c r="A61" s="733" t="s">
        <v>166</v>
      </c>
      <c r="B61" s="1088"/>
      <c r="C61" s="731">
        <v>2</v>
      </c>
      <c r="D61" s="731"/>
      <c r="E61" s="731"/>
      <c r="F61" s="731"/>
      <c r="G61" s="731"/>
      <c r="H61" s="731"/>
      <c r="I61" s="731"/>
      <c r="J61" s="731"/>
      <c r="K61" s="731"/>
      <c r="L61" s="731"/>
      <c r="M61" s="731"/>
      <c r="N61" s="733" t="s">
        <v>166</v>
      </c>
      <c r="O61" s="1088"/>
      <c r="P61" s="731">
        <v>2</v>
      </c>
      <c r="Q61" s="731"/>
      <c r="R61" s="731"/>
      <c r="S61" s="731"/>
      <c r="T61" s="731"/>
      <c r="U61" s="731"/>
      <c r="V61" s="731"/>
      <c r="W61" s="731"/>
      <c r="X61" s="731"/>
      <c r="Y61" s="731"/>
      <c r="Z61" s="731"/>
      <c r="AA61" s="731"/>
      <c r="AB61" s="731"/>
      <c r="AC61" s="731"/>
      <c r="AD61" s="731"/>
      <c r="AE61" s="731"/>
      <c r="AF61" s="278" t="s">
        <v>183</v>
      </c>
      <c r="AG61" s="194" t="str">
        <f>+H68</f>
        <v>h</v>
      </c>
      <c r="AH61" s="194" t="str">
        <f>+I68</f>
        <v>i</v>
      </c>
      <c r="AI61" s="1281">
        <f>+AI11-AI37</f>
        <v>6949904</v>
      </c>
      <c r="AJ61" s="1281">
        <f aca="true" t="shared" si="14" ref="AJ61:AP61">+AJ11-AJ37</f>
        <v>1389980.8</v>
      </c>
      <c r="AK61" s="1281">
        <f t="shared" si="14"/>
        <v>0</v>
      </c>
      <c r="AL61" s="1281">
        <f t="shared" si="14"/>
        <v>0</v>
      </c>
      <c r="AM61" s="1281">
        <f t="shared" si="14"/>
        <v>0</v>
      </c>
      <c r="AN61" s="1281">
        <f t="shared" si="14"/>
        <v>6024555</v>
      </c>
      <c r="AO61" s="1281">
        <f t="shared" si="14"/>
        <v>1204911</v>
      </c>
      <c r="AP61" s="1281">
        <f t="shared" si="14"/>
        <v>1204911</v>
      </c>
      <c r="AQ61" s="194"/>
      <c r="AR61" s="753">
        <f>AJ61</f>
        <v>1389980.8</v>
      </c>
    </row>
    <row r="62" spans="1:44" ht="16.5" thickBot="1">
      <c r="A62" s="733"/>
      <c r="B62" s="1088"/>
      <c r="C62" s="731"/>
      <c r="D62" s="731"/>
      <c r="E62" s="731"/>
      <c r="F62" s="731"/>
      <c r="G62" s="731"/>
      <c r="H62" s="731"/>
      <c r="I62" s="731"/>
      <c r="J62" s="731"/>
      <c r="K62" s="731"/>
      <c r="L62" s="731"/>
      <c r="M62" s="731"/>
      <c r="N62" s="733"/>
      <c r="O62" s="1088"/>
      <c r="P62" s="731"/>
      <c r="Q62" s="731"/>
      <c r="R62" s="731"/>
      <c r="S62" s="731"/>
      <c r="T62" s="731"/>
      <c r="U62" s="731"/>
      <c r="V62" s="731"/>
      <c r="W62" s="731"/>
      <c r="X62" s="731"/>
      <c r="Y62" s="731"/>
      <c r="Z62" s="731"/>
      <c r="AA62" s="731"/>
      <c r="AB62" s="731"/>
      <c r="AC62" s="731"/>
      <c r="AD62" s="731"/>
      <c r="AE62" s="731"/>
      <c r="AF62" s="279" t="s">
        <v>184</v>
      </c>
      <c r="AG62" s="194"/>
      <c r="AH62" s="194"/>
      <c r="AI62" s="1281">
        <f aca="true" t="shared" si="15" ref="AI62:AP73">+AI12-AI38</f>
        <v>5025066</v>
      </c>
      <c r="AJ62" s="1281">
        <f t="shared" si="15"/>
        <v>1005013.2</v>
      </c>
      <c r="AK62" s="1281">
        <f t="shared" si="15"/>
        <v>0</v>
      </c>
      <c r="AL62" s="1281">
        <f t="shared" si="15"/>
        <v>0</v>
      </c>
      <c r="AM62" s="1281">
        <f t="shared" si="15"/>
        <v>0</v>
      </c>
      <c r="AN62" s="1281">
        <f t="shared" si="15"/>
        <v>6663180</v>
      </c>
      <c r="AO62" s="1281">
        <f t="shared" si="15"/>
        <v>1332636</v>
      </c>
      <c r="AP62" s="1281">
        <f t="shared" si="15"/>
        <v>1332636</v>
      </c>
      <c r="AQ62" s="195"/>
      <c r="AR62" s="753">
        <f>AJ62</f>
        <v>1005013.2</v>
      </c>
    </row>
    <row r="63" spans="1:44" ht="16.5" thickBot="1">
      <c r="A63" s="731" t="s">
        <v>799</v>
      </c>
      <c r="B63" s="781"/>
      <c r="C63" s="731" t="s">
        <v>835</v>
      </c>
      <c r="D63" s="731"/>
      <c r="E63" s="731"/>
      <c r="F63" s="731"/>
      <c r="G63" s="731"/>
      <c r="H63" s="731"/>
      <c r="I63" s="731"/>
      <c r="J63" s="731"/>
      <c r="K63" s="731"/>
      <c r="L63" s="731"/>
      <c r="M63" s="731"/>
      <c r="N63" s="731" t="s">
        <v>799</v>
      </c>
      <c r="O63" s="781"/>
      <c r="P63" s="731" t="s">
        <v>835</v>
      </c>
      <c r="Q63" s="731"/>
      <c r="R63" s="731"/>
      <c r="S63" s="731"/>
      <c r="T63" s="731"/>
      <c r="U63" s="731"/>
      <c r="V63" s="731"/>
      <c r="W63" s="731"/>
      <c r="X63" s="731"/>
      <c r="Y63" s="731"/>
      <c r="Z63" s="731"/>
      <c r="AA63" s="731"/>
      <c r="AB63" s="731"/>
      <c r="AC63" s="731"/>
      <c r="AD63" s="731"/>
      <c r="AE63" s="731"/>
      <c r="AF63" s="279" t="s">
        <v>185</v>
      </c>
      <c r="AG63" s="194"/>
      <c r="AH63" s="194"/>
      <c r="AI63" s="1281">
        <f t="shared" si="15"/>
        <v>6085059</v>
      </c>
      <c r="AJ63" s="1281">
        <f t="shared" si="15"/>
        <v>1217011.8</v>
      </c>
      <c r="AK63" s="1281">
        <f t="shared" si="15"/>
        <v>0</v>
      </c>
      <c r="AL63" s="1281">
        <f t="shared" si="15"/>
        <v>0</v>
      </c>
      <c r="AM63" s="1281">
        <f t="shared" si="15"/>
        <v>0</v>
      </c>
      <c r="AN63" s="1281">
        <f t="shared" si="15"/>
        <v>5817335</v>
      </c>
      <c r="AO63" s="1281">
        <f t="shared" si="15"/>
        <v>1163467</v>
      </c>
      <c r="AP63" s="1281">
        <f t="shared" si="15"/>
        <v>1163467</v>
      </c>
      <c r="AQ63" s="195"/>
      <c r="AR63" s="753">
        <f>AJ63</f>
        <v>1217011.8</v>
      </c>
    </row>
    <row r="64" spans="1:44" ht="16.5" thickBot="1">
      <c r="A64" s="731"/>
      <c r="B64" s="1087"/>
      <c r="C64" s="731"/>
      <c r="D64" s="731"/>
      <c r="E64" s="731"/>
      <c r="F64" s="731"/>
      <c r="G64" s="731"/>
      <c r="H64" s="731"/>
      <c r="I64" s="731"/>
      <c r="J64" s="731"/>
      <c r="K64" s="731"/>
      <c r="L64" s="731"/>
      <c r="M64" s="731"/>
      <c r="N64" s="731"/>
      <c r="O64" s="1087"/>
      <c r="P64" s="733"/>
      <c r="Q64" s="731"/>
      <c r="R64" s="731"/>
      <c r="S64" s="731"/>
      <c r="T64" s="731"/>
      <c r="U64" s="731"/>
      <c r="V64" s="731"/>
      <c r="W64" s="731"/>
      <c r="X64" s="731"/>
      <c r="Y64" s="731"/>
      <c r="Z64" s="731"/>
      <c r="AA64" s="731"/>
      <c r="AB64" s="731"/>
      <c r="AC64" s="731"/>
      <c r="AD64" s="731"/>
      <c r="AE64" s="731"/>
      <c r="AF64" s="279" t="s">
        <v>186</v>
      </c>
      <c r="AG64" s="194"/>
      <c r="AH64" s="194"/>
      <c r="AI64" s="1281">
        <f t="shared" si="15"/>
        <v>7977254</v>
      </c>
      <c r="AJ64" s="1281">
        <f t="shared" si="15"/>
        <v>1595450.8</v>
      </c>
      <c r="AK64" s="1281">
        <f t="shared" si="15"/>
        <v>0</v>
      </c>
      <c r="AL64" s="1281">
        <f t="shared" si="15"/>
        <v>0</v>
      </c>
      <c r="AM64" s="1281">
        <f t="shared" si="15"/>
        <v>0</v>
      </c>
      <c r="AN64" s="1281">
        <f t="shared" si="15"/>
        <v>8480525</v>
      </c>
      <c r="AO64" s="1281">
        <f t="shared" si="15"/>
        <v>1696105</v>
      </c>
      <c r="AP64" s="1281">
        <f t="shared" si="15"/>
        <v>1696105</v>
      </c>
      <c r="AQ64" s="195"/>
      <c r="AR64" s="753">
        <f>AJ64</f>
        <v>1595450.8</v>
      </c>
    </row>
    <row r="65" spans="1:44" ht="16.5" customHeight="1" thickBot="1">
      <c r="A65" s="1401" t="s">
        <v>800</v>
      </c>
      <c r="B65" s="1409"/>
      <c r="C65" s="1402"/>
      <c r="D65" s="1401" t="s">
        <v>801</v>
      </c>
      <c r="E65" s="1409"/>
      <c r="F65" s="1402"/>
      <c r="G65" s="1398" t="s">
        <v>802</v>
      </c>
      <c r="H65" s="1398" t="s">
        <v>803</v>
      </c>
      <c r="I65" s="1398" t="s">
        <v>804</v>
      </c>
      <c r="J65" s="1401" t="s">
        <v>836</v>
      </c>
      <c r="K65" s="1402"/>
      <c r="L65" s="1401" t="s">
        <v>837</v>
      </c>
      <c r="M65" s="1402"/>
      <c r="N65" s="1405" t="s">
        <v>800</v>
      </c>
      <c r="O65" s="1406"/>
      <c r="P65" s="1407"/>
      <c r="Q65" s="1405" t="s">
        <v>805</v>
      </c>
      <c r="R65" s="1406"/>
      <c r="S65" s="1407"/>
      <c r="T65" s="1398" t="s">
        <v>806</v>
      </c>
      <c r="U65" s="1387" t="s">
        <v>807</v>
      </c>
      <c r="V65" s="1397"/>
      <c r="W65" s="1397"/>
      <c r="X65" s="1397"/>
      <c r="Y65" s="1397"/>
      <c r="Z65" s="1397"/>
      <c r="AA65" s="1397"/>
      <c r="AB65" s="1397"/>
      <c r="AC65" s="1397"/>
      <c r="AD65" s="1397"/>
      <c r="AE65" s="1388"/>
      <c r="AF65" s="279" t="s">
        <v>187</v>
      </c>
      <c r="AG65" s="194"/>
      <c r="AH65" s="194"/>
      <c r="AI65" s="1281">
        <f t="shared" si="15"/>
        <v>8006705</v>
      </c>
      <c r="AJ65" s="1281">
        <f t="shared" si="15"/>
        <v>1601341</v>
      </c>
      <c r="AK65" s="1281">
        <f t="shared" si="15"/>
        <v>0</v>
      </c>
      <c r="AL65" s="1281">
        <f t="shared" si="15"/>
        <v>0</v>
      </c>
      <c r="AM65" s="1281">
        <f t="shared" si="15"/>
        <v>0</v>
      </c>
      <c r="AN65" s="1281">
        <f t="shared" si="15"/>
        <v>7247165</v>
      </c>
      <c r="AO65" s="1281">
        <f t="shared" si="15"/>
        <v>1449433</v>
      </c>
      <c r="AP65" s="1281">
        <f t="shared" si="15"/>
        <v>1449433</v>
      </c>
      <c r="AQ65" s="195"/>
      <c r="AR65" s="564">
        <f aca="true" t="shared" si="16" ref="AR65:AR73">AJ65-(AP65+AQ65)</f>
        <v>151908</v>
      </c>
    </row>
    <row r="66" spans="1:44" ht="29.25" customHeight="1" thickBot="1">
      <c r="A66" s="1403"/>
      <c r="B66" s="1410"/>
      <c r="C66" s="1404"/>
      <c r="D66" s="1403"/>
      <c r="E66" s="1410"/>
      <c r="F66" s="1404"/>
      <c r="G66" s="1408"/>
      <c r="H66" s="1408"/>
      <c r="I66" s="1408"/>
      <c r="J66" s="1403"/>
      <c r="K66" s="1404"/>
      <c r="L66" s="1403"/>
      <c r="M66" s="1404"/>
      <c r="N66" s="1398" t="s">
        <v>808</v>
      </c>
      <c r="O66" s="1398" t="s">
        <v>809</v>
      </c>
      <c r="P66" s="1398" t="s">
        <v>810</v>
      </c>
      <c r="Q66" s="1398" t="s">
        <v>811</v>
      </c>
      <c r="R66" s="1398" t="s">
        <v>812</v>
      </c>
      <c r="S66" s="1398" t="s">
        <v>813</v>
      </c>
      <c r="T66" s="1408"/>
      <c r="U66" s="1398" t="s">
        <v>814</v>
      </c>
      <c r="V66" s="1387" t="s">
        <v>838</v>
      </c>
      <c r="W66" s="1400"/>
      <c r="X66" s="1387" t="s">
        <v>839</v>
      </c>
      <c r="Y66" s="1400"/>
      <c r="Z66" s="1387" t="s">
        <v>840</v>
      </c>
      <c r="AA66" s="1388"/>
      <c r="AB66" s="1387" t="s">
        <v>841</v>
      </c>
      <c r="AC66" s="1388"/>
      <c r="AD66" s="1387" t="s">
        <v>815</v>
      </c>
      <c r="AE66" s="1388"/>
      <c r="AF66" s="279" t="s">
        <v>188</v>
      </c>
      <c r="AG66" s="194"/>
      <c r="AH66" s="194"/>
      <c r="AI66" s="1281">
        <f t="shared" si="15"/>
        <v>7427804</v>
      </c>
      <c r="AJ66" s="1281">
        <f t="shared" si="15"/>
        <v>1485560.8</v>
      </c>
      <c r="AK66" s="1281">
        <f t="shared" si="15"/>
        <v>100</v>
      </c>
      <c r="AL66" s="1281">
        <f t="shared" si="15"/>
        <v>0</v>
      </c>
      <c r="AM66" s="1281">
        <f t="shared" si="15"/>
        <v>0</v>
      </c>
      <c r="AN66" s="1281">
        <f t="shared" si="15"/>
        <v>6776713</v>
      </c>
      <c r="AO66" s="1281">
        <f t="shared" si="15"/>
        <v>1355342.6</v>
      </c>
      <c r="AP66" s="1281">
        <f t="shared" si="15"/>
        <v>1355342.6</v>
      </c>
      <c r="AQ66" s="195"/>
      <c r="AR66" s="564">
        <f t="shared" si="16"/>
        <v>130218.19999999995</v>
      </c>
    </row>
    <row r="67" spans="1:44" ht="30" customHeight="1" thickBot="1">
      <c r="A67" s="748" t="s">
        <v>808</v>
      </c>
      <c r="B67" s="749" t="s">
        <v>809</v>
      </c>
      <c r="C67" s="750" t="s">
        <v>810</v>
      </c>
      <c r="D67" s="743" t="s">
        <v>816</v>
      </c>
      <c r="E67" s="746" t="s">
        <v>812</v>
      </c>
      <c r="F67" s="751" t="s">
        <v>406</v>
      </c>
      <c r="G67" s="1399"/>
      <c r="H67" s="1399"/>
      <c r="I67" s="1399"/>
      <c r="J67" s="751" t="s">
        <v>817</v>
      </c>
      <c r="K67" s="744" t="s">
        <v>818</v>
      </c>
      <c r="L67" s="751" t="s">
        <v>817</v>
      </c>
      <c r="M67" s="744" t="s">
        <v>818</v>
      </c>
      <c r="N67" s="1399"/>
      <c r="O67" s="1399"/>
      <c r="P67" s="1399"/>
      <c r="Q67" s="1399"/>
      <c r="R67" s="1399"/>
      <c r="S67" s="1399"/>
      <c r="T67" s="1399"/>
      <c r="U67" s="1399"/>
      <c r="V67" s="745" t="s">
        <v>817</v>
      </c>
      <c r="W67" s="752" t="s">
        <v>818</v>
      </c>
      <c r="X67" s="745" t="s">
        <v>817</v>
      </c>
      <c r="Y67" s="752" t="s">
        <v>818</v>
      </c>
      <c r="Z67" s="744" t="s">
        <v>819</v>
      </c>
      <c r="AA67" s="744" t="s">
        <v>820</v>
      </c>
      <c r="AB67" s="744" t="s">
        <v>819</v>
      </c>
      <c r="AC67" s="744" t="s">
        <v>820</v>
      </c>
      <c r="AD67" s="744" t="s">
        <v>819</v>
      </c>
      <c r="AE67" s="744" t="s">
        <v>820</v>
      </c>
      <c r="AF67" s="279" t="s">
        <v>189</v>
      </c>
      <c r="AG67" s="761"/>
      <c r="AH67" s="761"/>
      <c r="AI67" s="1281">
        <f t="shared" si="15"/>
        <v>7470470</v>
      </c>
      <c r="AJ67" s="1281">
        <f t="shared" si="15"/>
        <v>1494094</v>
      </c>
      <c r="AK67" s="1281">
        <f t="shared" si="15"/>
        <v>0</v>
      </c>
      <c r="AL67" s="1281">
        <f t="shared" si="15"/>
        <v>0</v>
      </c>
      <c r="AM67" s="1281">
        <f t="shared" si="15"/>
        <v>0</v>
      </c>
      <c r="AN67" s="1281">
        <f t="shared" si="15"/>
        <v>10406500</v>
      </c>
      <c r="AO67" s="1281">
        <f t="shared" si="15"/>
        <v>2081300</v>
      </c>
      <c r="AP67" s="1281">
        <f t="shared" si="15"/>
        <v>2081300</v>
      </c>
      <c r="AQ67" s="195"/>
      <c r="AR67" s="564">
        <f t="shared" si="16"/>
        <v>-587206</v>
      </c>
    </row>
    <row r="68" spans="1:44" ht="29.25" thickBot="1">
      <c r="A68" s="754" t="s">
        <v>510</v>
      </c>
      <c r="B68" s="755" t="s">
        <v>511</v>
      </c>
      <c r="C68" s="755" t="s">
        <v>598</v>
      </c>
      <c r="D68" s="755" t="s">
        <v>620</v>
      </c>
      <c r="E68" s="755" t="s">
        <v>622</v>
      </c>
      <c r="F68" s="755" t="s">
        <v>634</v>
      </c>
      <c r="G68" s="755" t="s">
        <v>842</v>
      </c>
      <c r="H68" s="755" t="s">
        <v>638</v>
      </c>
      <c r="I68" s="756" t="s">
        <v>640</v>
      </c>
      <c r="J68" s="755" t="s">
        <v>642</v>
      </c>
      <c r="K68" s="757" t="s">
        <v>644</v>
      </c>
      <c r="L68" s="755" t="s">
        <v>646</v>
      </c>
      <c r="M68" s="757" t="s">
        <v>650</v>
      </c>
      <c r="N68" s="777" t="s">
        <v>510</v>
      </c>
      <c r="O68" s="778" t="s">
        <v>511</v>
      </c>
      <c r="P68" s="778" t="s">
        <v>598</v>
      </c>
      <c r="Q68" s="778" t="s">
        <v>620</v>
      </c>
      <c r="R68" s="778" t="s">
        <v>622</v>
      </c>
      <c r="S68" s="778" t="s">
        <v>634</v>
      </c>
      <c r="T68" s="779" t="s">
        <v>843</v>
      </c>
      <c r="U68" s="778" t="s">
        <v>638</v>
      </c>
      <c r="V68" s="778" t="s">
        <v>640</v>
      </c>
      <c r="W68" s="778" t="s">
        <v>642</v>
      </c>
      <c r="X68" s="778" t="s">
        <v>644</v>
      </c>
      <c r="Y68" s="778" t="s">
        <v>646</v>
      </c>
      <c r="Z68" s="778" t="s">
        <v>650</v>
      </c>
      <c r="AA68" s="778" t="s">
        <v>821</v>
      </c>
      <c r="AB68" s="778" t="s">
        <v>844</v>
      </c>
      <c r="AC68" s="778" t="s">
        <v>845</v>
      </c>
      <c r="AD68" s="778" t="s">
        <v>846</v>
      </c>
      <c r="AE68" s="780" t="s">
        <v>847</v>
      </c>
      <c r="AF68" s="279" t="s">
        <v>190</v>
      </c>
      <c r="AG68" s="761"/>
      <c r="AH68" s="761"/>
      <c r="AI68" s="1281">
        <f t="shared" si="15"/>
        <v>9607269</v>
      </c>
      <c r="AJ68" s="1281">
        <f t="shared" si="15"/>
        <v>1921453.8</v>
      </c>
      <c r="AK68" s="1281">
        <f t="shared" si="15"/>
        <v>200</v>
      </c>
      <c r="AL68" s="1281">
        <f t="shared" si="15"/>
        <v>0</v>
      </c>
      <c r="AM68" s="1281">
        <f t="shared" si="15"/>
        <v>0</v>
      </c>
      <c r="AN68" s="1281">
        <f t="shared" si="15"/>
        <v>11287290</v>
      </c>
      <c r="AO68" s="1281">
        <f t="shared" si="15"/>
        <v>2257458</v>
      </c>
      <c r="AP68" s="1281">
        <f t="shared" si="15"/>
        <v>2257458</v>
      </c>
      <c r="AQ68" s="195"/>
      <c r="AR68" s="564">
        <f t="shared" si="16"/>
        <v>-336004.19999999995</v>
      </c>
    </row>
    <row r="69" spans="1:44" ht="15.75">
      <c r="A69" s="758">
        <v>39</v>
      </c>
      <c r="B69" s="1089">
        <v>538639</v>
      </c>
      <c r="C69" s="1011">
        <v>40940</v>
      </c>
      <c r="D69" s="759" t="s">
        <v>1134</v>
      </c>
      <c r="E69" s="759" t="s">
        <v>1096</v>
      </c>
      <c r="F69" s="759" t="s">
        <v>1167</v>
      </c>
      <c r="G69" s="759">
        <f aca="true" t="shared" si="17" ref="G69:G113">J69+K69</f>
        <v>100098</v>
      </c>
      <c r="H69" s="759">
        <v>0</v>
      </c>
      <c r="I69" s="759">
        <v>0</v>
      </c>
      <c r="J69" s="759">
        <f aca="true" t="shared" si="18" ref="J69:J113">K69*5</f>
        <v>83415</v>
      </c>
      <c r="K69" s="782">
        <v>16683</v>
      </c>
      <c r="L69" s="759">
        <v>0</v>
      </c>
      <c r="M69" s="782">
        <v>0</v>
      </c>
      <c r="N69" s="758">
        <v>114460508</v>
      </c>
      <c r="O69" s="1100">
        <v>114460508</v>
      </c>
      <c r="P69" s="759" t="s">
        <v>1168</v>
      </c>
      <c r="Q69" s="759" t="s">
        <v>1169</v>
      </c>
      <c r="R69" s="759" t="s">
        <v>1099</v>
      </c>
      <c r="S69" s="759" t="s">
        <v>1170</v>
      </c>
      <c r="T69" s="759">
        <f aca="true" t="shared" si="19" ref="T69:T75">AA69+Z69</f>
        <v>22956</v>
      </c>
      <c r="U69" s="759">
        <v>0</v>
      </c>
      <c r="V69" s="759">
        <v>0</v>
      </c>
      <c r="W69" s="759">
        <v>0</v>
      </c>
      <c r="X69" s="759">
        <v>0</v>
      </c>
      <c r="Y69" s="759">
        <v>0</v>
      </c>
      <c r="Z69" s="759">
        <f aca="true" t="shared" si="20" ref="Z69:Z75">AA69*5</f>
        <v>19130</v>
      </c>
      <c r="AA69" s="759">
        <v>3826</v>
      </c>
      <c r="AB69" s="759">
        <v>0</v>
      </c>
      <c r="AC69" s="759">
        <v>0</v>
      </c>
      <c r="AD69" s="759">
        <v>0</v>
      </c>
      <c r="AE69" s="759">
        <v>0</v>
      </c>
      <c r="AF69" s="279" t="s">
        <v>191</v>
      </c>
      <c r="AG69" s="761"/>
      <c r="AH69" s="761"/>
      <c r="AI69" s="1281">
        <f t="shared" si="15"/>
        <v>8066409</v>
      </c>
      <c r="AJ69" s="1281">
        <f t="shared" si="15"/>
        <v>1613281.8</v>
      </c>
      <c r="AK69" s="1281">
        <f t="shared" si="15"/>
        <v>0</v>
      </c>
      <c r="AL69" s="1281">
        <f t="shared" si="15"/>
        <v>0</v>
      </c>
      <c r="AM69" s="1281">
        <f t="shared" si="15"/>
        <v>0</v>
      </c>
      <c r="AN69" s="1281">
        <f t="shared" si="15"/>
        <v>11452109</v>
      </c>
      <c r="AO69" s="1281">
        <f t="shared" si="15"/>
        <v>2290421.8000000003</v>
      </c>
      <c r="AP69" s="1281">
        <f t="shared" si="15"/>
        <v>2290421.8000000003</v>
      </c>
      <c r="AQ69" s="195"/>
      <c r="AR69" s="564">
        <f t="shared" si="16"/>
        <v>-677140.0000000002</v>
      </c>
    </row>
    <row r="70" spans="1:44" ht="15.75">
      <c r="A70" s="758">
        <v>40</v>
      </c>
      <c r="B70" s="1089">
        <v>538640</v>
      </c>
      <c r="C70" s="1011">
        <v>40941</v>
      </c>
      <c r="D70" s="759" t="s">
        <v>1171</v>
      </c>
      <c r="E70" s="759" t="s">
        <v>1096</v>
      </c>
      <c r="F70" s="759" t="s">
        <v>1172</v>
      </c>
      <c r="G70" s="759">
        <f t="shared" si="17"/>
        <v>30000</v>
      </c>
      <c r="H70" s="759">
        <v>0</v>
      </c>
      <c r="I70" s="759">
        <v>0</v>
      </c>
      <c r="J70" s="759">
        <f t="shared" si="18"/>
        <v>25000</v>
      </c>
      <c r="K70" s="782">
        <v>5000</v>
      </c>
      <c r="L70" s="759">
        <v>0</v>
      </c>
      <c r="M70" s="782">
        <v>0</v>
      </c>
      <c r="N70" s="758">
        <v>107552477</v>
      </c>
      <c r="O70" s="1100">
        <v>107552477</v>
      </c>
      <c r="P70" s="759" t="s">
        <v>1154</v>
      </c>
      <c r="Q70" s="759" t="s">
        <v>1098</v>
      </c>
      <c r="R70" s="759" t="s">
        <v>1099</v>
      </c>
      <c r="S70" s="759" t="s">
        <v>1100</v>
      </c>
      <c r="T70" s="759">
        <f t="shared" si="19"/>
        <v>17448</v>
      </c>
      <c r="U70" s="759">
        <v>0</v>
      </c>
      <c r="V70" s="759">
        <v>0</v>
      </c>
      <c r="W70" s="759">
        <v>0</v>
      </c>
      <c r="X70" s="759">
        <v>0</v>
      </c>
      <c r="Y70" s="759">
        <v>0</v>
      </c>
      <c r="Z70" s="759">
        <f t="shared" si="20"/>
        <v>14540</v>
      </c>
      <c r="AA70" s="759">
        <v>2908</v>
      </c>
      <c r="AB70" s="759">
        <v>0</v>
      </c>
      <c r="AC70" s="759">
        <v>0</v>
      </c>
      <c r="AD70" s="759">
        <v>0</v>
      </c>
      <c r="AE70" s="759">
        <v>0</v>
      </c>
      <c r="AF70" s="279" t="s">
        <v>192</v>
      </c>
      <c r="AG70" s="761"/>
      <c r="AH70" s="761"/>
      <c r="AI70" s="1281">
        <f t="shared" si="15"/>
        <v>8461953</v>
      </c>
      <c r="AJ70" s="1281">
        <f t="shared" si="15"/>
        <v>1692390.6</v>
      </c>
      <c r="AK70" s="1281">
        <f t="shared" si="15"/>
        <v>0</v>
      </c>
      <c r="AL70" s="1281">
        <f t="shared" si="15"/>
        <v>0</v>
      </c>
      <c r="AM70" s="1281">
        <f t="shared" si="15"/>
        <v>0</v>
      </c>
      <c r="AN70" s="1281">
        <f t="shared" si="15"/>
        <v>15998344.670000002</v>
      </c>
      <c r="AO70" s="1281">
        <f t="shared" si="15"/>
        <v>3199668.9340000004</v>
      </c>
      <c r="AP70" s="1281">
        <f t="shared" si="15"/>
        <v>3199668.9340000004</v>
      </c>
      <c r="AQ70" s="195"/>
      <c r="AR70" s="564">
        <f t="shared" si="16"/>
        <v>-1507278.3340000003</v>
      </c>
    </row>
    <row r="71" spans="1:44" ht="15.75">
      <c r="A71" s="758">
        <v>41</v>
      </c>
      <c r="B71" s="1089">
        <v>538641</v>
      </c>
      <c r="C71" s="1011">
        <v>40942</v>
      </c>
      <c r="D71" s="759" t="s">
        <v>1173</v>
      </c>
      <c r="E71" s="759" t="s">
        <v>1096</v>
      </c>
      <c r="F71" s="759" t="s">
        <v>1174</v>
      </c>
      <c r="G71" s="759">
        <f t="shared" si="17"/>
        <v>280278</v>
      </c>
      <c r="H71" s="759">
        <v>0</v>
      </c>
      <c r="I71" s="759">
        <v>0</v>
      </c>
      <c r="J71" s="759">
        <f t="shared" si="18"/>
        <v>233565</v>
      </c>
      <c r="K71" s="782">
        <v>46713</v>
      </c>
      <c r="L71" s="759">
        <v>0</v>
      </c>
      <c r="M71" s="782">
        <v>0</v>
      </c>
      <c r="N71" s="758">
        <v>16</v>
      </c>
      <c r="O71" s="1100">
        <v>455916</v>
      </c>
      <c r="P71" s="760">
        <v>40946</v>
      </c>
      <c r="Q71" s="759" t="s">
        <v>1103</v>
      </c>
      <c r="R71" s="759" t="s">
        <v>1104</v>
      </c>
      <c r="S71" s="759" t="s">
        <v>1105</v>
      </c>
      <c r="T71" s="759">
        <f t="shared" si="19"/>
        <v>3508962</v>
      </c>
      <c r="U71" s="759">
        <v>0</v>
      </c>
      <c r="V71" s="759">
        <v>0</v>
      </c>
      <c r="W71" s="759">
        <v>0</v>
      </c>
      <c r="X71" s="759">
        <v>0</v>
      </c>
      <c r="Y71" s="759">
        <v>0</v>
      </c>
      <c r="Z71" s="759">
        <f t="shared" si="20"/>
        <v>2924135</v>
      </c>
      <c r="AA71" s="759">
        <v>584827</v>
      </c>
      <c r="AB71" s="759">
        <v>0</v>
      </c>
      <c r="AC71" s="759">
        <v>0</v>
      </c>
      <c r="AD71" s="759">
        <v>0</v>
      </c>
      <c r="AE71" s="759">
        <v>0</v>
      </c>
      <c r="AF71" s="279" t="s">
        <v>193</v>
      </c>
      <c r="AG71" s="761"/>
      <c r="AH71" s="767"/>
      <c r="AI71" s="1281">
        <f t="shared" si="15"/>
        <v>8856179</v>
      </c>
      <c r="AJ71" s="1281">
        <f t="shared" si="15"/>
        <v>1771235.8</v>
      </c>
      <c r="AK71" s="1281">
        <f t="shared" si="15"/>
        <v>0</v>
      </c>
      <c r="AL71" s="1281">
        <f t="shared" si="15"/>
        <v>0</v>
      </c>
      <c r="AM71" s="1281">
        <f t="shared" si="15"/>
        <v>0</v>
      </c>
      <c r="AN71" s="1281">
        <f t="shared" si="15"/>
        <v>7155380</v>
      </c>
      <c r="AO71" s="1281">
        <f t="shared" si="15"/>
        <v>1431076</v>
      </c>
      <c r="AP71" s="1281">
        <f t="shared" si="15"/>
        <v>1431076</v>
      </c>
      <c r="AQ71" s="195"/>
      <c r="AR71" s="768">
        <f t="shared" si="16"/>
        <v>340159.80000000005</v>
      </c>
    </row>
    <row r="72" spans="1:44" ht="15.75">
      <c r="A72" s="758">
        <v>42</v>
      </c>
      <c r="B72" s="1089">
        <v>538642</v>
      </c>
      <c r="C72" s="1011">
        <v>40942</v>
      </c>
      <c r="D72" s="759" t="s">
        <v>1175</v>
      </c>
      <c r="E72" s="759" t="s">
        <v>1096</v>
      </c>
      <c r="F72" s="759" t="s">
        <v>1176</v>
      </c>
      <c r="G72" s="759">
        <f t="shared" si="17"/>
        <v>185394</v>
      </c>
      <c r="H72" s="759">
        <v>0</v>
      </c>
      <c r="I72" s="759">
        <v>0</v>
      </c>
      <c r="J72" s="759">
        <f t="shared" si="18"/>
        <v>154495</v>
      </c>
      <c r="K72" s="782">
        <v>30899</v>
      </c>
      <c r="L72" s="759">
        <v>0</v>
      </c>
      <c r="M72" s="782">
        <v>0</v>
      </c>
      <c r="N72" s="758">
        <v>25</v>
      </c>
      <c r="O72" s="1100">
        <v>455476</v>
      </c>
      <c r="P72" s="759" t="s">
        <v>1177</v>
      </c>
      <c r="Q72" s="759" t="s">
        <v>1103</v>
      </c>
      <c r="R72" s="759" t="s">
        <v>1104</v>
      </c>
      <c r="S72" s="759" t="s">
        <v>1105</v>
      </c>
      <c r="T72" s="759">
        <f t="shared" si="19"/>
        <v>1800000</v>
      </c>
      <c r="U72" s="759">
        <v>0</v>
      </c>
      <c r="V72" s="759">
        <v>0</v>
      </c>
      <c r="W72" s="759">
        <v>0</v>
      </c>
      <c r="X72" s="759">
        <v>0</v>
      </c>
      <c r="Y72" s="759">
        <v>0</v>
      </c>
      <c r="Z72" s="759">
        <f t="shared" si="20"/>
        <v>1500000</v>
      </c>
      <c r="AA72" s="759">
        <v>300000</v>
      </c>
      <c r="AB72" s="759">
        <v>0</v>
      </c>
      <c r="AC72" s="759">
        <v>0</v>
      </c>
      <c r="AD72" s="759">
        <v>0</v>
      </c>
      <c r="AE72" s="759">
        <v>0</v>
      </c>
      <c r="AF72" s="279" t="s">
        <v>194</v>
      </c>
      <c r="AG72" s="761"/>
      <c r="AH72" s="761"/>
      <c r="AI72" s="1281">
        <f t="shared" si="15"/>
        <v>9373927</v>
      </c>
      <c r="AJ72" s="1281">
        <f t="shared" si="15"/>
        <v>1874785.4</v>
      </c>
      <c r="AK72" s="1281">
        <f t="shared" si="15"/>
        <v>0</v>
      </c>
      <c r="AL72" s="1281">
        <f t="shared" si="15"/>
        <v>0</v>
      </c>
      <c r="AM72" s="1281">
        <f t="shared" si="15"/>
        <v>0</v>
      </c>
      <c r="AN72" s="1281">
        <f t="shared" si="15"/>
        <v>19972056</v>
      </c>
      <c r="AO72" s="1281">
        <f t="shared" si="15"/>
        <v>3994411.2</v>
      </c>
      <c r="AP72" s="1281">
        <f t="shared" si="15"/>
        <v>3994411.2</v>
      </c>
      <c r="AQ72" s="195"/>
      <c r="AR72" s="768">
        <f t="shared" si="16"/>
        <v>-2119625.8000000003</v>
      </c>
    </row>
    <row r="73" spans="1:44" ht="15.75">
      <c r="A73" s="758">
        <v>43</v>
      </c>
      <c r="B73" s="1089">
        <v>538643</v>
      </c>
      <c r="C73" s="1011">
        <v>40943</v>
      </c>
      <c r="D73" s="759" t="s">
        <v>1103</v>
      </c>
      <c r="E73" s="759" t="s">
        <v>1104</v>
      </c>
      <c r="F73" s="759" t="s">
        <v>1105</v>
      </c>
      <c r="G73" s="759">
        <f t="shared" si="17"/>
        <v>240000</v>
      </c>
      <c r="H73" s="759">
        <v>0</v>
      </c>
      <c r="I73" s="759">
        <v>0</v>
      </c>
      <c r="J73" s="759">
        <f t="shared" si="18"/>
        <v>200000</v>
      </c>
      <c r="K73" s="782">
        <v>40000</v>
      </c>
      <c r="L73" s="759">
        <v>0</v>
      </c>
      <c r="M73" s="782">
        <v>0</v>
      </c>
      <c r="N73" s="758">
        <v>14</v>
      </c>
      <c r="O73" s="1089">
        <v>455864</v>
      </c>
      <c r="P73" s="759" t="s">
        <v>1178</v>
      </c>
      <c r="Q73" s="759" t="s">
        <v>1103</v>
      </c>
      <c r="R73" s="759" t="s">
        <v>1104</v>
      </c>
      <c r="S73" s="759" t="s">
        <v>1105</v>
      </c>
      <c r="T73" s="759">
        <f t="shared" si="19"/>
        <v>950040</v>
      </c>
      <c r="U73" s="759">
        <v>0</v>
      </c>
      <c r="V73" s="759">
        <v>0</v>
      </c>
      <c r="W73" s="759">
        <v>0</v>
      </c>
      <c r="X73" s="759">
        <v>0</v>
      </c>
      <c r="Y73" s="759">
        <v>0</v>
      </c>
      <c r="Z73" s="759">
        <f t="shared" si="20"/>
        <v>791700</v>
      </c>
      <c r="AA73" s="759">
        <v>158340</v>
      </c>
      <c r="AB73" s="759">
        <v>0</v>
      </c>
      <c r="AC73" s="759">
        <v>0</v>
      </c>
      <c r="AD73" s="759">
        <v>0</v>
      </c>
      <c r="AE73" s="759">
        <v>0</v>
      </c>
      <c r="AF73" s="279" t="s">
        <v>195</v>
      </c>
      <c r="AG73" s="195"/>
      <c r="AH73" s="195"/>
      <c r="AI73" s="1281">
        <f t="shared" si="15"/>
        <v>0</v>
      </c>
      <c r="AJ73" s="1281">
        <f t="shared" si="15"/>
        <v>0</v>
      </c>
      <c r="AK73" s="1281">
        <f t="shared" si="15"/>
        <v>0</v>
      </c>
      <c r="AL73" s="1281">
        <f t="shared" si="15"/>
        <v>0</v>
      </c>
      <c r="AM73" s="1281">
        <f t="shared" si="15"/>
        <v>0</v>
      </c>
      <c r="AN73" s="1281">
        <f t="shared" si="15"/>
        <v>0</v>
      </c>
      <c r="AO73" s="1281">
        <f t="shared" si="15"/>
        <v>0</v>
      </c>
      <c r="AP73" s="1281">
        <f t="shared" si="15"/>
        <v>0</v>
      </c>
      <c r="AQ73" s="195"/>
      <c r="AR73" s="768">
        <f t="shared" si="16"/>
        <v>0</v>
      </c>
    </row>
    <row r="74" spans="1:44" ht="15.75">
      <c r="A74" s="758">
        <v>44</v>
      </c>
      <c r="B74" s="1089">
        <v>538644</v>
      </c>
      <c r="C74" s="1011">
        <v>40944</v>
      </c>
      <c r="D74" s="759" t="s">
        <v>1111</v>
      </c>
      <c r="E74" s="759" t="s">
        <v>1096</v>
      </c>
      <c r="F74" s="759"/>
      <c r="G74" s="759">
        <f t="shared" si="17"/>
        <v>452010</v>
      </c>
      <c r="H74" s="759">
        <v>0</v>
      </c>
      <c r="I74" s="759">
        <v>0</v>
      </c>
      <c r="J74" s="759">
        <f t="shared" si="18"/>
        <v>376675</v>
      </c>
      <c r="K74" s="782">
        <v>75335</v>
      </c>
      <c r="L74" s="759">
        <v>0</v>
      </c>
      <c r="M74" s="782">
        <v>0</v>
      </c>
      <c r="N74" s="762">
        <v>41</v>
      </c>
      <c r="O74" s="1090">
        <v>455492</v>
      </c>
      <c r="P74" s="763" t="s">
        <v>1178</v>
      </c>
      <c r="Q74" s="763" t="s">
        <v>1103</v>
      </c>
      <c r="R74" s="763" t="s">
        <v>1104</v>
      </c>
      <c r="S74" s="763" t="s">
        <v>1105</v>
      </c>
      <c r="T74" s="763">
        <f t="shared" si="19"/>
        <v>1147410</v>
      </c>
      <c r="U74" s="759">
        <v>0</v>
      </c>
      <c r="V74" s="759">
        <v>0</v>
      </c>
      <c r="W74" s="759">
        <v>0</v>
      </c>
      <c r="X74" s="759">
        <v>0</v>
      </c>
      <c r="Y74" s="759">
        <v>0</v>
      </c>
      <c r="Z74" s="763">
        <f t="shared" si="20"/>
        <v>956175</v>
      </c>
      <c r="AA74" s="763">
        <v>191235</v>
      </c>
      <c r="AB74" s="759">
        <v>0</v>
      </c>
      <c r="AC74" s="759">
        <v>0</v>
      </c>
      <c r="AD74" s="759">
        <v>0</v>
      </c>
      <c r="AE74" s="759">
        <v>0</v>
      </c>
      <c r="AF74" s="279" t="s">
        <v>195</v>
      </c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418"/>
    </row>
    <row r="75" spans="1:44" ht="16.5" thickBot="1">
      <c r="A75" s="758">
        <v>45</v>
      </c>
      <c r="B75" s="1089">
        <v>538645</v>
      </c>
      <c r="C75" s="1011">
        <v>40945</v>
      </c>
      <c r="D75" s="759" t="s">
        <v>1095</v>
      </c>
      <c r="E75" s="759" t="s">
        <v>1096</v>
      </c>
      <c r="F75" s="759" t="s">
        <v>1097</v>
      </c>
      <c r="G75" s="759">
        <f t="shared" si="17"/>
        <v>18498</v>
      </c>
      <c r="H75" s="759">
        <v>0</v>
      </c>
      <c r="I75" s="759">
        <v>0</v>
      </c>
      <c r="J75" s="759">
        <f t="shared" si="18"/>
        <v>15415</v>
      </c>
      <c r="K75" s="782">
        <v>3083</v>
      </c>
      <c r="L75" s="759">
        <v>0</v>
      </c>
      <c r="M75" s="782">
        <v>0</v>
      </c>
      <c r="N75" s="762">
        <v>27</v>
      </c>
      <c r="O75" s="1090">
        <v>455379</v>
      </c>
      <c r="P75" s="763" t="s">
        <v>1179</v>
      </c>
      <c r="Q75" s="763" t="s">
        <v>1103</v>
      </c>
      <c r="R75" s="763" t="s">
        <v>1104</v>
      </c>
      <c r="S75" s="763" t="s">
        <v>1105</v>
      </c>
      <c r="T75" s="763">
        <f t="shared" si="19"/>
        <v>549000</v>
      </c>
      <c r="U75" s="759">
        <v>0</v>
      </c>
      <c r="V75" s="759">
        <v>0</v>
      </c>
      <c r="W75" s="759">
        <v>0</v>
      </c>
      <c r="X75" s="759">
        <v>0</v>
      </c>
      <c r="Y75" s="759">
        <v>0</v>
      </c>
      <c r="Z75" s="763">
        <f t="shared" si="20"/>
        <v>457500</v>
      </c>
      <c r="AA75" s="763">
        <v>91500</v>
      </c>
      <c r="AB75" s="759">
        <v>0</v>
      </c>
      <c r="AC75" s="759">
        <v>0</v>
      </c>
      <c r="AD75" s="759">
        <v>0</v>
      </c>
      <c r="AE75" s="759">
        <v>0</v>
      </c>
      <c r="AF75" s="769"/>
      <c r="AG75" s="326"/>
      <c r="AH75" s="326"/>
      <c r="AI75" s="326"/>
      <c r="AJ75" s="326"/>
      <c r="AK75" s="326"/>
      <c r="AL75" s="326"/>
      <c r="AM75" s="326"/>
      <c r="AN75" s="326"/>
      <c r="AO75" s="326"/>
      <c r="AP75" s="326"/>
      <c r="AQ75" s="195"/>
      <c r="AR75" s="770"/>
    </row>
    <row r="76" spans="1:44" ht="16.5" thickBot="1">
      <c r="A76" s="762">
        <v>46</v>
      </c>
      <c r="B76" s="1090">
        <v>538646</v>
      </c>
      <c r="C76" s="1011">
        <v>40945</v>
      </c>
      <c r="D76" s="763" t="s">
        <v>1180</v>
      </c>
      <c r="E76" s="763" t="s">
        <v>1096</v>
      </c>
      <c r="F76" s="763" t="s">
        <v>1181</v>
      </c>
      <c r="G76" s="763">
        <f t="shared" si="17"/>
        <v>54900</v>
      </c>
      <c r="H76" s="763">
        <v>0</v>
      </c>
      <c r="I76" s="763">
        <v>0</v>
      </c>
      <c r="J76" s="763">
        <f t="shared" si="18"/>
        <v>45750</v>
      </c>
      <c r="K76" s="783">
        <v>9150</v>
      </c>
      <c r="L76" s="763">
        <v>0</v>
      </c>
      <c r="M76" s="783">
        <v>0</v>
      </c>
      <c r="N76" s="1389" t="s">
        <v>822</v>
      </c>
      <c r="O76" s="1390"/>
      <c r="P76" s="1390"/>
      <c r="Q76" s="1390"/>
      <c r="R76" s="1390"/>
      <c r="S76" s="1391"/>
      <c r="T76" s="1016">
        <f aca="true" t="shared" si="21" ref="T76:AE76">SUM(T69:T75)</f>
        <v>7995816</v>
      </c>
      <c r="U76" s="1016">
        <f t="shared" si="21"/>
        <v>0</v>
      </c>
      <c r="V76" s="1016">
        <f t="shared" si="21"/>
        <v>0</v>
      </c>
      <c r="W76" s="1016">
        <f t="shared" si="21"/>
        <v>0</v>
      </c>
      <c r="X76" s="1016">
        <f t="shared" si="21"/>
        <v>0</v>
      </c>
      <c r="Y76" s="1016">
        <f t="shared" si="21"/>
        <v>0</v>
      </c>
      <c r="Z76" s="1016">
        <f t="shared" si="21"/>
        <v>6663180</v>
      </c>
      <c r="AA76" s="1016">
        <f t="shared" si="21"/>
        <v>1332636</v>
      </c>
      <c r="AB76" s="1016">
        <f t="shared" si="21"/>
        <v>0</v>
      </c>
      <c r="AC76" s="1016">
        <f t="shared" si="21"/>
        <v>0</v>
      </c>
      <c r="AD76" s="1016">
        <f t="shared" si="21"/>
        <v>0</v>
      </c>
      <c r="AE76" s="1016">
        <f t="shared" si="21"/>
        <v>0</v>
      </c>
      <c r="AF76" s="771" t="s">
        <v>196</v>
      </c>
      <c r="AG76" s="772">
        <f>SUM(AG61:AG75)</f>
        <v>0</v>
      </c>
      <c r="AH76" s="772">
        <f aca="true" t="shared" si="22" ref="AH76:AR76">SUM(AH61:AH75)</f>
        <v>0</v>
      </c>
      <c r="AI76" s="773">
        <f t="shared" si="22"/>
        <v>93307999</v>
      </c>
      <c r="AJ76" s="772">
        <f t="shared" si="22"/>
        <v>18661599.799999997</v>
      </c>
      <c r="AK76" s="772">
        <f t="shared" si="22"/>
        <v>300</v>
      </c>
      <c r="AL76" s="772">
        <f t="shared" si="22"/>
        <v>0</v>
      </c>
      <c r="AM76" s="772">
        <f t="shared" si="22"/>
        <v>0</v>
      </c>
      <c r="AN76" s="772">
        <f t="shared" si="22"/>
        <v>117281152.67</v>
      </c>
      <c r="AO76" s="772">
        <f t="shared" si="22"/>
        <v>23456230.533999998</v>
      </c>
      <c r="AP76" s="772">
        <f t="shared" si="22"/>
        <v>23456230.533999998</v>
      </c>
      <c r="AQ76" s="772">
        <f t="shared" si="22"/>
        <v>0</v>
      </c>
      <c r="AR76" s="772">
        <f t="shared" si="22"/>
        <v>602488.2659999994</v>
      </c>
    </row>
    <row r="77" spans="1:31" ht="16.5" thickBot="1">
      <c r="A77" s="762">
        <v>47</v>
      </c>
      <c r="B77" s="1090">
        <v>538647</v>
      </c>
      <c r="C77" s="1022">
        <v>40946</v>
      </c>
      <c r="D77" s="763" t="s">
        <v>1118</v>
      </c>
      <c r="E77" s="763" t="s">
        <v>1096</v>
      </c>
      <c r="F77" s="763" t="s">
        <v>1182</v>
      </c>
      <c r="G77" s="763">
        <f t="shared" si="17"/>
        <v>113460</v>
      </c>
      <c r="H77" s="763">
        <v>0</v>
      </c>
      <c r="I77" s="763">
        <v>0</v>
      </c>
      <c r="J77" s="763">
        <f t="shared" si="18"/>
        <v>94550</v>
      </c>
      <c r="K77" s="783">
        <v>18910</v>
      </c>
      <c r="L77" s="763">
        <v>0</v>
      </c>
      <c r="M77" s="783">
        <v>0</v>
      </c>
      <c r="N77" s="1392" t="s">
        <v>823</v>
      </c>
      <c r="O77" s="1393"/>
      <c r="P77" s="1393"/>
      <c r="Q77" s="1393"/>
      <c r="R77" s="1393"/>
      <c r="S77" s="1393"/>
      <c r="T77" s="1393"/>
      <c r="U77" s="781" t="s">
        <v>830</v>
      </c>
      <c r="V77" s="781" t="s">
        <v>831</v>
      </c>
      <c r="W77" s="781" t="s">
        <v>832</v>
      </c>
      <c r="X77" s="781" t="s">
        <v>833</v>
      </c>
      <c r="Y77" s="781" t="s">
        <v>834</v>
      </c>
      <c r="Z77" s="781" t="s">
        <v>849</v>
      </c>
      <c r="AA77" s="781" t="s">
        <v>850</v>
      </c>
      <c r="AB77" s="781" t="s">
        <v>851</v>
      </c>
      <c r="AC77" s="781" t="s">
        <v>852</v>
      </c>
      <c r="AD77" s="781" t="s">
        <v>853</v>
      </c>
      <c r="AE77" s="766" t="s">
        <v>854</v>
      </c>
    </row>
    <row r="78" spans="1:31" ht="15.75">
      <c r="A78" s="762">
        <v>48</v>
      </c>
      <c r="B78" s="1090">
        <v>538648</v>
      </c>
      <c r="C78" s="1022">
        <v>40947</v>
      </c>
      <c r="D78" s="763" t="s">
        <v>1183</v>
      </c>
      <c r="E78" s="763" t="s">
        <v>1096</v>
      </c>
      <c r="F78" s="763" t="s">
        <v>1184</v>
      </c>
      <c r="G78" s="763">
        <f t="shared" si="17"/>
        <v>73200</v>
      </c>
      <c r="H78" s="763">
        <v>0</v>
      </c>
      <c r="I78" s="763">
        <v>0</v>
      </c>
      <c r="J78" s="763">
        <f t="shared" si="18"/>
        <v>61000</v>
      </c>
      <c r="K78" s="783">
        <v>12200</v>
      </c>
      <c r="L78" s="763">
        <v>0</v>
      </c>
      <c r="M78" s="783">
        <v>0</v>
      </c>
      <c r="N78" s="731"/>
      <c r="O78" s="1087"/>
      <c r="P78" s="731"/>
      <c r="Q78" s="731"/>
      <c r="R78" s="731"/>
      <c r="S78" s="731"/>
      <c r="T78" s="731"/>
      <c r="U78" s="731"/>
      <c r="V78" s="731"/>
      <c r="W78" s="731"/>
      <c r="X78" s="731"/>
      <c r="Y78" s="731"/>
      <c r="Z78" s="731"/>
      <c r="AA78" s="731"/>
      <c r="AB78" s="731"/>
      <c r="AC78" s="731"/>
      <c r="AD78" s="731"/>
      <c r="AE78" s="731"/>
    </row>
    <row r="79" spans="1:31" ht="15.75">
      <c r="A79" s="762">
        <v>49</v>
      </c>
      <c r="B79" s="1090">
        <v>538649</v>
      </c>
      <c r="C79" s="1022">
        <v>40947</v>
      </c>
      <c r="D79" s="763" t="s">
        <v>1106</v>
      </c>
      <c r="E79" s="763" t="s">
        <v>1096</v>
      </c>
      <c r="F79" s="763" t="s">
        <v>1107</v>
      </c>
      <c r="G79" s="763">
        <f t="shared" si="17"/>
        <v>7320</v>
      </c>
      <c r="H79" s="763">
        <v>0</v>
      </c>
      <c r="I79" s="763">
        <v>0</v>
      </c>
      <c r="J79" s="763">
        <f t="shared" si="18"/>
        <v>6100</v>
      </c>
      <c r="K79" s="783">
        <v>1220</v>
      </c>
      <c r="L79" s="763">
        <v>0</v>
      </c>
      <c r="M79" s="783">
        <v>0</v>
      </c>
      <c r="N79" s="731"/>
      <c r="O79" s="1087"/>
      <c r="P79" s="731"/>
      <c r="Q79" s="731"/>
      <c r="R79" s="731"/>
      <c r="S79" s="731"/>
      <c r="T79" s="731"/>
      <c r="U79" s="731"/>
      <c r="V79" s="731"/>
      <c r="W79" s="731"/>
      <c r="X79" s="731"/>
      <c r="Y79" s="731"/>
      <c r="Z79" s="731"/>
      <c r="AA79" s="731"/>
      <c r="AB79" s="731"/>
      <c r="AC79" s="731"/>
      <c r="AD79" s="731"/>
      <c r="AE79" s="731"/>
    </row>
    <row r="80" spans="1:31" ht="15.75">
      <c r="A80" s="762">
        <v>50</v>
      </c>
      <c r="B80" s="1090">
        <v>538650</v>
      </c>
      <c r="C80" s="1022">
        <v>40948</v>
      </c>
      <c r="D80" s="763" t="s">
        <v>1111</v>
      </c>
      <c r="E80" s="763" t="s">
        <v>1096</v>
      </c>
      <c r="F80" s="763"/>
      <c r="G80" s="763">
        <f t="shared" si="17"/>
        <v>375150</v>
      </c>
      <c r="H80" s="763">
        <v>0</v>
      </c>
      <c r="I80" s="763">
        <v>0</v>
      </c>
      <c r="J80" s="763">
        <f t="shared" si="18"/>
        <v>312625</v>
      </c>
      <c r="K80" s="783">
        <v>62525</v>
      </c>
      <c r="L80" s="763">
        <v>0</v>
      </c>
      <c r="M80" s="783">
        <v>0</v>
      </c>
      <c r="N80" s="731"/>
      <c r="O80" s="1087"/>
      <c r="P80" s="731"/>
      <c r="Q80" s="731"/>
      <c r="R80" s="731"/>
      <c r="S80" s="731"/>
      <c r="T80" s="731"/>
      <c r="U80" s="731"/>
      <c r="V80" s="731"/>
      <c r="W80" s="731"/>
      <c r="X80" s="731"/>
      <c r="Y80" s="731"/>
      <c r="Z80" s="731"/>
      <c r="AA80" s="731"/>
      <c r="AB80" s="731"/>
      <c r="AC80" s="731"/>
      <c r="AD80" s="1017" t="s">
        <v>1120</v>
      </c>
      <c r="AE80" s="731"/>
    </row>
    <row r="81" spans="1:31" ht="15.75">
      <c r="A81" s="762">
        <v>51</v>
      </c>
      <c r="B81" s="1090">
        <v>538651</v>
      </c>
      <c r="C81" s="1022">
        <v>40949</v>
      </c>
      <c r="D81" s="763" t="s">
        <v>1103</v>
      </c>
      <c r="E81" s="763" t="s">
        <v>1104</v>
      </c>
      <c r="F81" s="763" t="s">
        <v>1105</v>
      </c>
      <c r="G81" s="763">
        <f t="shared" si="17"/>
        <v>279558</v>
      </c>
      <c r="H81" s="763">
        <v>0</v>
      </c>
      <c r="I81" s="763">
        <v>0</v>
      </c>
      <c r="J81" s="763">
        <f t="shared" si="18"/>
        <v>232965</v>
      </c>
      <c r="K81" s="783">
        <v>46593</v>
      </c>
      <c r="L81" s="763">
        <v>0</v>
      </c>
      <c r="M81" s="783">
        <v>0</v>
      </c>
      <c r="N81" s="731"/>
      <c r="O81" s="1087"/>
      <c r="P81" s="731"/>
      <c r="Q81" s="731"/>
      <c r="R81" s="731"/>
      <c r="S81" s="731"/>
      <c r="T81" s="731"/>
      <c r="U81" s="731"/>
      <c r="V81" s="731"/>
      <c r="W81" s="731"/>
      <c r="X81" s="731"/>
      <c r="Y81" s="731"/>
      <c r="Z81" s="731"/>
      <c r="AA81" s="731"/>
      <c r="AB81" s="731"/>
      <c r="AC81" s="731"/>
      <c r="AD81" s="1017"/>
      <c r="AE81" s="731"/>
    </row>
    <row r="82" spans="1:31" ht="15.75">
      <c r="A82" s="762">
        <v>52</v>
      </c>
      <c r="B82" s="1090">
        <v>538652</v>
      </c>
      <c r="C82" s="1022">
        <v>40949</v>
      </c>
      <c r="D82" s="763" t="s">
        <v>1128</v>
      </c>
      <c r="E82" s="763" t="s">
        <v>1096</v>
      </c>
      <c r="F82" s="763" t="s">
        <v>1129</v>
      </c>
      <c r="G82" s="763">
        <f t="shared" si="17"/>
        <v>18300</v>
      </c>
      <c r="H82" s="763">
        <v>0</v>
      </c>
      <c r="I82" s="763">
        <v>0</v>
      </c>
      <c r="J82" s="763">
        <f t="shared" si="18"/>
        <v>15250</v>
      </c>
      <c r="K82" s="783">
        <v>3050</v>
      </c>
      <c r="L82" s="763">
        <v>0</v>
      </c>
      <c r="M82" s="783">
        <v>0</v>
      </c>
      <c r="N82" s="731" t="s">
        <v>856</v>
      </c>
      <c r="O82" s="1087"/>
      <c r="P82" s="731"/>
      <c r="Q82" s="731"/>
      <c r="R82" s="731"/>
      <c r="S82" s="731"/>
      <c r="T82" s="731"/>
      <c r="U82" s="731"/>
      <c r="V82" s="731"/>
      <c r="W82" s="731"/>
      <c r="X82" s="731"/>
      <c r="Y82" s="731"/>
      <c r="Z82" s="731"/>
      <c r="AA82" s="731"/>
      <c r="AB82" s="731"/>
      <c r="AC82" s="731"/>
      <c r="AD82" s="731"/>
      <c r="AE82" s="731"/>
    </row>
    <row r="83" spans="1:31" ht="15.75">
      <c r="A83" s="762">
        <v>53</v>
      </c>
      <c r="B83" s="1090">
        <v>538653</v>
      </c>
      <c r="C83" s="1022">
        <v>40950</v>
      </c>
      <c r="D83" s="763" t="s">
        <v>1180</v>
      </c>
      <c r="E83" s="763" t="s">
        <v>1096</v>
      </c>
      <c r="F83" s="763" t="s">
        <v>1181</v>
      </c>
      <c r="G83" s="763">
        <f t="shared" si="17"/>
        <v>168906</v>
      </c>
      <c r="H83" s="763">
        <v>0</v>
      </c>
      <c r="I83" s="763">
        <v>0</v>
      </c>
      <c r="J83" s="763">
        <f t="shared" si="18"/>
        <v>140755</v>
      </c>
      <c r="K83" s="783">
        <v>28151</v>
      </c>
      <c r="L83" s="763">
        <v>0</v>
      </c>
      <c r="M83" s="783">
        <v>0</v>
      </c>
      <c r="N83" s="731" t="s">
        <v>848</v>
      </c>
      <c r="O83" s="1087"/>
      <c r="P83" s="731"/>
      <c r="Q83" s="731"/>
      <c r="R83" s="731"/>
      <c r="S83" s="731"/>
      <c r="T83" s="731"/>
      <c r="U83" s="731"/>
      <c r="V83" s="731"/>
      <c r="W83" s="731"/>
      <c r="X83" s="731"/>
      <c r="Y83" s="731"/>
      <c r="Z83" s="731"/>
      <c r="AA83" s="731"/>
      <c r="AB83" s="731"/>
      <c r="AC83" s="731"/>
      <c r="AD83" s="731"/>
      <c r="AE83" s="731"/>
    </row>
    <row r="84" spans="1:14" ht="15.75">
      <c r="A84" s="762">
        <v>54</v>
      </c>
      <c r="B84" s="1090">
        <v>538654</v>
      </c>
      <c r="C84" s="1022">
        <v>40951</v>
      </c>
      <c r="D84" s="763" t="s">
        <v>1111</v>
      </c>
      <c r="E84" s="763" t="s">
        <v>1096</v>
      </c>
      <c r="F84" s="763"/>
      <c r="G84" s="763">
        <f t="shared" si="17"/>
        <v>316590</v>
      </c>
      <c r="H84" s="763">
        <v>0</v>
      </c>
      <c r="I84" s="763">
        <v>0</v>
      </c>
      <c r="J84" s="763">
        <f t="shared" si="18"/>
        <v>263825</v>
      </c>
      <c r="K84" s="783">
        <v>52765</v>
      </c>
      <c r="L84" s="763">
        <v>0</v>
      </c>
      <c r="M84" s="783">
        <v>0</v>
      </c>
      <c r="N84" s="731" t="s">
        <v>855</v>
      </c>
    </row>
    <row r="85" spans="1:13" ht="15.75">
      <c r="A85" s="762">
        <v>55</v>
      </c>
      <c r="B85" s="1090">
        <v>538655</v>
      </c>
      <c r="C85" s="1014" t="s">
        <v>1177</v>
      </c>
      <c r="D85" s="763" t="s">
        <v>1185</v>
      </c>
      <c r="E85" s="763" t="s">
        <v>1096</v>
      </c>
      <c r="F85" s="763" t="s">
        <v>1186</v>
      </c>
      <c r="G85" s="763">
        <f t="shared" si="17"/>
        <v>19998</v>
      </c>
      <c r="H85" s="763">
        <v>0</v>
      </c>
      <c r="I85" s="763">
        <v>0</v>
      </c>
      <c r="J85" s="763">
        <f t="shared" si="18"/>
        <v>16665</v>
      </c>
      <c r="K85" s="783">
        <v>3333</v>
      </c>
      <c r="L85" s="763">
        <v>0</v>
      </c>
      <c r="M85" s="783">
        <v>0</v>
      </c>
    </row>
    <row r="86" spans="1:13" ht="15.75">
      <c r="A86" s="762">
        <v>56</v>
      </c>
      <c r="B86" s="1090">
        <v>538656</v>
      </c>
      <c r="C86" s="1014" t="s">
        <v>1177</v>
      </c>
      <c r="D86" s="763" t="s">
        <v>1095</v>
      </c>
      <c r="E86" s="763" t="s">
        <v>1096</v>
      </c>
      <c r="F86" s="763" t="s">
        <v>1097</v>
      </c>
      <c r="G86" s="763">
        <f t="shared" si="17"/>
        <v>21594</v>
      </c>
      <c r="H86" s="763">
        <v>0</v>
      </c>
      <c r="I86" s="763">
        <v>0</v>
      </c>
      <c r="J86" s="763">
        <f t="shared" si="18"/>
        <v>17995</v>
      </c>
      <c r="K86" s="783">
        <v>3599</v>
      </c>
      <c r="L86" s="763">
        <v>0</v>
      </c>
      <c r="M86" s="783">
        <v>0</v>
      </c>
    </row>
    <row r="87" spans="1:13" ht="15.75">
      <c r="A87" s="784">
        <v>57</v>
      </c>
      <c r="B87" s="1091">
        <v>538657</v>
      </c>
      <c r="C87" s="1018" t="s">
        <v>1187</v>
      </c>
      <c r="D87" s="785" t="s">
        <v>1188</v>
      </c>
      <c r="E87" s="785" t="s">
        <v>1096</v>
      </c>
      <c r="F87" s="785" t="s">
        <v>1189</v>
      </c>
      <c r="G87" s="785">
        <f t="shared" si="17"/>
        <v>197832</v>
      </c>
      <c r="H87" s="785">
        <v>0</v>
      </c>
      <c r="I87" s="785">
        <v>0</v>
      </c>
      <c r="J87" s="785">
        <f t="shared" si="18"/>
        <v>164860</v>
      </c>
      <c r="K87" s="786">
        <v>32972</v>
      </c>
      <c r="L87" s="785">
        <v>0</v>
      </c>
      <c r="M87" s="786">
        <v>0</v>
      </c>
    </row>
    <row r="88" spans="1:13" ht="15.75">
      <c r="A88" s="784">
        <v>58</v>
      </c>
      <c r="B88" s="1091">
        <v>538658</v>
      </c>
      <c r="C88" s="1018" t="s">
        <v>1190</v>
      </c>
      <c r="D88" s="785" t="s">
        <v>1095</v>
      </c>
      <c r="E88" s="785" t="s">
        <v>1096</v>
      </c>
      <c r="F88" s="785" t="s">
        <v>1097</v>
      </c>
      <c r="G88" s="785">
        <f t="shared" si="17"/>
        <v>35682</v>
      </c>
      <c r="H88" s="785">
        <v>0</v>
      </c>
      <c r="I88" s="785">
        <v>0</v>
      </c>
      <c r="J88" s="785">
        <f t="shared" si="18"/>
        <v>29735</v>
      </c>
      <c r="K88" s="786">
        <v>5947</v>
      </c>
      <c r="L88" s="785">
        <v>0</v>
      </c>
      <c r="M88" s="786">
        <v>0</v>
      </c>
    </row>
    <row r="89" spans="1:13" ht="15.75">
      <c r="A89" s="784">
        <v>59</v>
      </c>
      <c r="B89" s="1091">
        <v>538659</v>
      </c>
      <c r="C89" s="1018" t="s">
        <v>1191</v>
      </c>
      <c r="D89" s="785" t="s">
        <v>1111</v>
      </c>
      <c r="E89" s="785" t="s">
        <v>1096</v>
      </c>
      <c r="F89" s="785"/>
      <c r="G89" s="785">
        <f t="shared" si="17"/>
        <v>325740</v>
      </c>
      <c r="H89" s="785">
        <v>0</v>
      </c>
      <c r="I89" s="785">
        <v>0</v>
      </c>
      <c r="J89" s="785">
        <f t="shared" si="18"/>
        <v>271450</v>
      </c>
      <c r="K89" s="786">
        <v>54290</v>
      </c>
      <c r="L89" s="785">
        <v>0</v>
      </c>
      <c r="M89" s="786">
        <v>0</v>
      </c>
    </row>
    <row r="90" spans="1:13" ht="15.75">
      <c r="A90" s="784">
        <v>60</v>
      </c>
      <c r="B90" s="1091">
        <v>538660</v>
      </c>
      <c r="C90" s="1018" t="s">
        <v>1191</v>
      </c>
      <c r="D90" s="785" t="s">
        <v>1095</v>
      </c>
      <c r="E90" s="785" t="s">
        <v>1096</v>
      </c>
      <c r="F90" s="785" t="s">
        <v>1097</v>
      </c>
      <c r="G90" s="785">
        <f t="shared" si="17"/>
        <v>72000</v>
      </c>
      <c r="H90" s="785">
        <v>0</v>
      </c>
      <c r="I90" s="785">
        <v>0</v>
      </c>
      <c r="J90" s="785">
        <f t="shared" si="18"/>
        <v>60000</v>
      </c>
      <c r="K90" s="786">
        <v>12000</v>
      </c>
      <c r="L90" s="785">
        <v>0</v>
      </c>
      <c r="M90" s="786">
        <v>0</v>
      </c>
    </row>
    <row r="91" spans="1:13" ht="15.75">
      <c r="A91" s="784">
        <v>61</v>
      </c>
      <c r="B91" s="1091">
        <v>538661</v>
      </c>
      <c r="C91" s="1018" t="s">
        <v>1192</v>
      </c>
      <c r="D91" s="785" t="s">
        <v>1103</v>
      </c>
      <c r="E91" s="785" t="s">
        <v>1104</v>
      </c>
      <c r="F91" s="785" t="s">
        <v>1105</v>
      </c>
      <c r="G91" s="785">
        <f t="shared" si="17"/>
        <v>210000</v>
      </c>
      <c r="H91" s="785">
        <v>0</v>
      </c>
      <c r="I91" s="785">
        <v>0</v>
      </c>
      <c r="J91" s="785">
        <f t="shared" si="18"/>
        <v>175000</v>
      </c>
      <c r="K91" s="786">
        <v>35000</v>
      </c>
      <c r="L91" s="785">
        <v>0</v>
      </c>
      <c r="M91" s="786">
        <v>0</v>
      </c>
    </row>
    <row r="92" spans="1:13" ht="15.75">
      <c r="A92" s="784">
        <v>62</v>
      </c>
      <c r="B92" s="1091">
        <v>538662</v>
      </c>
      <c r="C92" s="1018" t="s">
        <v>1178</v>
      </c>
      <c r="D92" s="785" t="s">
        <v>1193</v>
      </c>
      <c r="E92" s="785" t="s">
        <v>1096</v>
      </c>
      <c r="F92" s="785" t="s">
        <v>1194</v>
      </c>
      <c r="G92" s="785">
        <f t="shared" si="17"/>
        <v>63702</v>
      </c>
      <c r="H92" s="785">
        <v>0</v>
      </c>
      <c r="I92" s="785">
        <v>0</v>
      </c>
      <c r="J92" s="785">
        <f t="shared" si="18"/>
        <v>53085</v>
      </c>
      <c r="K92" s="786">
        <v>10617</v>
      </c>
      <c r="L92" s="785">
        <v>0</v>
      </c>
      <c r="M92" s="786">
        <v>0</v>
      </c>
    </row>
    <row r="93" spans="1:13" ht="15.75">
      <c r="A93" s="784">
        <v>63</v>
      </c>
      <c r="B93" s="1091">
        <v>538663</v>
      </c>
      <c r="C93" s="1018" t="s">
        <v>1195</v>
      </c>
      <c r="D93" s="785" t="s">
        <v>1196</v>
      </c>
      <c r="E93" s="785" t="s">
        <v>1096</v>
      </c>
      <c r="F93" s="785" t="s">
        <v>1197</v>
      </c>
      <c r="G93" s="785">
        <f t="shared" si="17"/>
        <v>30000</v>
      </c>
      <c r="H93" s="785">
        <v>0</v>
      </c>
      <c r="I93" s="785">
        <v>0</v>
      </c>
      <c r="J93" s="785">
        <f t="shared" si="18"/>
        <v>25000</v>
      </c>
      <c r="K93" s="786">
        <v>5000</v>
      </c>
      <c r="L93" s="785">
        <v>0</v>
      </c>
      <c r="M93" s="786">
        <v>0</v>
      </c>
    </row>
    <row r="94" spans="1:13" ht="15.75">
      <c r="A94" s="784">
        <v>64</v>
      </c>
      <c r="B94" s="1091">
        <v>538664</v>
      </c>
      <c r="C94" s="1018" t="s">
        <v>1195</v>
      </c>
      <c r="D94" s="785" t="s">
        <v>1128</v>
      </c>
      <c r="E94" s="785" t="s">
        <v>1096</v>
      </c>
      <c r="F94" s="785" t="s">
        <v>1129</v>
      </c>
      <c r="G94" s="785">
        <f t="shared" si="17"/>
        <v>27450</v>
      </c>
      <c r="H94" s="785">
        <v>0</v>
      </c>
      <c r="I94" s="785">
        <v>0</v>
      </c>
      <c r="J94" s="785">
        <f t="shared" si="18"/>
        <v>22875</v>
      </c>
      <c r="K94" s="786">
        <v>4575</v>
      </c>
      <c r="L94" s="785">
        <v>0</v>
      </c>
      <c r="M94" s="786">
        <v>0</v>
      </c>
    </row>
    <row r="95" spans="1:13" ht="15.75">
      <c r="A95" s="784">
        <v>65</v>
      </c>
      <c r="B95" s="1091">
        <v>538665</v>
      </c>
      <c r="C95" s="1018" t="s">
        <v>1195</v>
      </c>
      <c r="D95" s="785" t="s">
        <v>1111</v>
      </c>
      <c r="E95" s="785" t="s">
        <v>1096</v>
      </c>
      <c r="F95" s="785"/>
      <c r="G95" s="785">
        <f t="shared" si="17"/>
        <v>331230</v>
      </c>
      <c r="H95" s="785">
        <v>0</v>
      </c>
      <c r="I95" s="785">
        <v>0</v>
      </c>
      <c r="J95" s="785">
        <f t="shared" si="18"/>
        <v>276025</v>
      </c>
      <c r="K95" s="786">
        <v>55205</v>
      </c>
      <c r="L95" s="785">
        <v>0</v>
      </c>
      <c r="M95" s="786">
        <v>0</v>
      </c>
    </row>
    <row r="96" spans="1:13" ht="15.75">
      <c r="A96" s="784">
        <v>66</v>
      </c>
      <c r="B96" s="1091">
        <v>538666</v>
      </c>
      <c r="C96" s="1018" t="s">
        <v>1198</v>
      </c>
      <c r="D96" s="785" t="s">
        <v>1199</v>
      </c>
      <c r="E96" s="785" t="s">
        <v>1096</v>
      </c>
      <c r="F96" s="785" t="s">
        <v>1200</v>
      </c>
      <c r="G96" s="785">
        <f t="shared" si="17"/>
        <v>366000</v>
      </c>
      <c r="H96" s="785">
        <v>0</v>
      </c>
      <c r="I96" s="785">
        <v>0</v>
      </c>
      <c r="J96" s="785">
        <f t="shared" si="18"/>
        <v>305000</v>
      </c>
      <c r="K96" s="786">
        <v>61000</v>
      </c>
      <c r="L96" s="785">
        <v>0</v>
      </c>
      <c r="M96" s="786">
        <v>0</v>
      </c>
    </row>
    <row r="97" spans="1:13" ht="15.75">
      <c r="A97" s="784">
        <v>67</v>
      </c>
      <c r="B97" s="1091">
        <v>538667</v>
      </c>
      <c r="C97" s="1018" t="s">
        <v>1198</v>
      </c>
      <c r="D97" s="785" t="s">
        <v>1163</v>
      </c>
      <c r="E97" s="785" t="s">
        <v>1096</v>
      </c>
      <c r="F97" s="785" t="s">
        <v>1164</v>
      </c>
      <c r="G97" s="785">
        <f t="shared" si="17"/>
        <v>14400</v>
      </c>
      <c r="H97" s="785">
        <v>0</v>
      </c>
      <c r="I97" s="785">
        <v>0</v>
      </c>
      <c r="J97" s="785">
        <f t="shared" si="18"/>
        <v>12000</v>
      </c>
      <c r="K97" s="786">
        <v>2400</v>
      </c>
      <c r="L97" s="785">
        <v>0</v>
      </c>
      <c r="M97" s="786">
        <v>0</v>
      </c>
    </row>
    <row r="98" spans="1:13" ht="15.75">
      <c r="A98" s="784">
        <v>68</v>
      </c>
      <c r="B98" s="1091">
        <v>538668</v>
      </c>
      <c r="C98" s="1018" t="s">
        <v>1201</v>
      </c>
      <c r="D98" s="785" t="s">
        <v>1152</v>
      </c>
      <c r="E98" s="785" t="s">
        <v>1096</v>
      </c>
      <c r="F98" s="785" t="s">
        <v>1153</v>
      </c>
      <c r="G98" s="785">
        <f t="shared" si="17"/>
        <v>445902</v>
      </c>
      <c r="H98" s="785">
        <v>0</v>
      </c>
      <c r="I98" s="785">
        <v>0</v>
      </c>
      <c r="J98" s="785">
        <f t="shared" si="18"/>
        <v>371585</v>
      </c>
      <c r="K98" s="786">
        <v>74317</v>
      </c>
      <c r="L98" s="785">
        <v>0</v>
      </c>
      <c r="M98" s="786">
        <v>0</v>
      </c>
    </row>
    <row r="99" spans="1:13" ht="15.75">
      <c r="A99" s="784">
        <v>69</v>
      </c>
      <c r="B99" s="1091">
        <v>538669</v>
      </c>
      <c r="C99" s="1018" t="s">
        <v>1202</v>
      </c>
      <c r="D99" s="785" t="s">
        <v>1203</v>
      </c>
      <c r="E99" s="785" t="s">
        <v>1096</v>
      </c>
      <c r="F99" s="785" t="s">
        <v>1204</v>
      </c>
      <c r="G99" s="785">
        <f t="shared" si="17"/>
        <v>15000</v>
      </c>
      <c r="H99" s="785">
        <v>0</v>
      </c>
      <c r="I99" s="785">
        <v>0</v>
      </c>
      <c r="J99" s="785">
        <f t="shared" si="18"/>
        <v>12500</v>
      </c>
      <c r="K99" s="786">
        <v>2500</v>
      </c>
      <c r="L99" s="785">
        <v>0</v>
      </c>
      <c r="M99" s="786">
        <v>0</v>
      </c>
    </row>
    <row r="100" spans="1:13" ht="15.75">
      <c r="A100" s="784">
        <v>70</v>
      </c>
      <c r="B100" s="1091">
        <v>538670</v>
      </c>
      <c r="C100" s="1018" t="s">
        <v>1202</v>
      </c>
      <c r="D100" s="785" t="s">
        <v>1103</v>
      </c>
      <c r="E100" s="785" t="s">
        <v>1104</v>
      </c>
      <c r="F100" s="785" t="s">
        <v>1105</v>
      </c>
      <c r="G100" s="785">
        <f t="shared" si="17"/>
        <v>57420</v>
      </c>
      <c r="H100" s="785">
        <v>0</v>
      </c>
      <c r="I100" s="785">
        <v>0</v>
      </c>
      <c r="J100" s="785">
        <f t="shared" si="18"/>
        <v>47850</v>
      </c>
      <c r="K100" s="786">
        <v>9570</v>
      </c>
      <c r="L100" s="785">
        <v>0</v>
      </c>
      <c r="M100" s="786">
        <v>0</v>
      </c>
    </row>
    <row r="101" spans="1:13" ht="15.75">
      <c r="A101" s="784">
        <v>71</v>
      </c>
      <c r="B101" s="1091">
        <v>538671</v>
      </c>
      <c r="C101" s="1018" t="s">
        <v>1205</v>
      </c>
      <c r="D101" s="785" t="s">
        <v>1137</v>
      </c>
      <c r="E101" s="785" t="s">
        <v>1096</v>
      </c>
      <c r="F101" s="785" t="s">
        <v>1138</v>
      </c>
      <c r="G101" s="785">
        <f t="shared" si="17"/>
        <v>13722</v>
      </c>
      <c r="H101" s="785">
        <v>0</v>
      </c>
      <c r="I101" s="785">
        <v>0</v>
      </c>
      <c r="J101" s="785">
        <f t="shared" si="18"/>
        <v>11435</v>
      </c>
      <c r="K101" s="786">
        <v>2287</v>
      </c>
      <c r="L101" s="785">
        <v>0</v>
      </c>
      <c r="M101" s="786">
        <v>0</v>
      </c>
    </row>
    <row r="102" spans="1:13" ht="15.75">
      <c r="A102" s="784">
        <v>72</v>
      </c>
      <c r="B102" s="1091">
        <v>538672</v>
      </c>
      <c r="C102" s="1018" t="s">
        <v>1206</v>
      </c>
      <c r="D102" s="785" t="s">
        <v>1111</v>
      </c>
      <c r="E102" s="785" t="s">
        <v>1096</v>
      </c>
      <c r="F102" s="785"/>
      <c r="G102" s="785">
        <f t="shared" si="17"/>
        <v>340380</v>
      </c>
      <c r="H102" s="785">
        <v>0</v>
      </c>
      <c r="I102" s="785">
        <v>0</v>
      </c>
      <c r="J102" s="785">
        <f t="shared" si="18"/>
        <v>283650</v>
      </c>
      <c r="K102" s="786">
        <v>56730</v>
      </c>
      <c r="L102" s="785">
        <v>0</v>
      </c>
      <c r="M102" s="786">
        <v>0</v>
      </c>
    </row>
    <row r="103" spans="1:13" ht="15.75">
      <c r="A103" s="784">
        <v>73</v>
      </c>
      <c r="B103" s="1091">
        <v>538673</v>
      </c>
      <c r="C103" s="1018" t="s">
        <v>1207</v>
      </c>
      <c r="D103" s="785" t="s">
        <v>1103</v>
      </c>
      <c r="E103" s="785" t="s">
        <v>1104</v>
      </c>
      <c r="F103" s="785" t="s">
        <v>1105</v>
      </c>
      <c r="G103" s="785">
        <f t="shared" si="17"/>
        <v>137940</v>
      </c>
      <c r="H103" s="785">
        <v>0</v>
      </c>
      <c r="I103" s="785">
        <v>0</v>
      </c>
      <c r="J103" s="785">
        <f t="shared" si="18"/>
        <v>114950</v>
      </c>
      <c r="K103" s="786">
        <v>22990</v>
      </c>
      <c r="L103" s="785">
        <v>0</v>
      </c>
      <c r="M103" s="786">
        <v>0</v>
      </c>
    </row>
    <row r="104" spans="1:13" ht="15.75">
      <c r="A104" s="784">
        <v>74</v>
      </c>
      <c r="B104" s="1091">
        <v>538674</v>
      </c>
      <c r="C104" s="1018" t="s">
        <v>1207</v>
      </c>
      <c r="D104" s="785" t="s">
        <v>1208</v>
      </c>
      <c r="E104" s="785" t="s">
        <v>1096</v>
      </c>
      <c r="F104" s="785" t="s">
        <v>1209</v>
      </c>
      <c r="G104" s="785">
        <f t="shared" si="17"/>
        <v>36600</v>
      </c>
      <c r="H104" s="785">
        <v>0</v>
      </c>
      <c r="I104" s="785">
        <v>0</v>
      </c>
      <c r="J104" s="785">
        <f t="shared" si="18"/>
        <v>30500</v>
      </c>
      <c r="K104" s="786">
        <v>6100</v>
      </c>
      <c r="L104" s="785">
        <v>0</v>
      </c>
      <c r="M104" s="786">
        <v>0</v>
      </c>
    </row>
    <row r="105" spans="1:13" ht="15.75">
      <c r="A105" s="784">
        <v>75</v>
      </c>
      <c r="B105" s="1091">
        <v>538675</v>
      </c>
      <c r="C105" s="1018" t="s">
        <v>1210</v>
      </c>
      <c r="D105" s="785" t="s">
        <v>1180</v>
      </c>
      <c r="E105" s="785" t="s">
        <v>1096</v>
      </c>
      <c r="F105" s="785" t="s">
        <v>1181</v>
      </c>
      <c r="G105" s="785">
        <f t="shared" si="17"/>
        <v>155316</v>
      </c>
      <c r="H105" s="785">
        <v>0</v>
      </c>
      <c r="I105" s="785">
        <v>0</v>
      </c>
      <c r="J105" s="785">
        <f t="shared" si="18"/>
        <v>129430</v>
      </c>
      <c r="K105" s="786">
        <v>25886</v>
      </c>
      <c r="L105" s="785">
        <v>0</v>
      </c>
      <c r="M105" s="786">
        <v>0</v>
      </c>
    </row>
    <row r="106" spans="1:13" ht="15.75">
      <c r="A106" s="784">
        <v>76</v>
      </c>
      <c r="B106" s="1091">
        <v>538676</v>
      </c>
      <c r="C106" s="1018" t="s">
        <v>1210</v>
      </c>
      <c r="D106" s="785" t="s">
        <v>1152</v>
      </c>
      <c r="E106" s="785" t="s">
        <v>1096</v>
      </c>
      <c r="F106" s="785" t="s">
        <v>1153</v>
      </c>
      <c r="G106" s="785">
        <f t="shared" si="17"/>
        <v>433746</v>
      </c>
      <c r="H106" s="785">
        <v>0</v>
      </c>
      <c r="I106" s="785">
        <v>0</v>
      </c>
      <c r="J106" s="785">
        <f t="shared" si="18"/>
        <v>361455</v>
      </c>
      <c r="K106" s="786">
        <v>72291</v>
      </c>
      <c r="L106" s="785">
        <v>0</v>
      </c>
      <c r="M106" s="786">
        <v>0</v>
      </c>
    </row>
    <row r="107" spans="1:13" ht="15.75">
      <c r="A107" s="784">
        <v>77</v>
      </c>
      <c r="B107" s="1091">
        <v>538677</v>
      </c>
      <c r="C107" s="1018" t="s">
        <v>1210</v>
      </c>
      <c r="D107" s="785" t="s">
        <v>1146</v>
      </c>
      <c r="E107" s="785" t="s">
        <v>1096</v>
      </c>
      <c r="F107" s="785" t="s">
        <v>1147</v>
      </c>
      <c r="G107" s="785">
        <f t="shared" si="17"/>
        <v>91398</v>
      </c>
      <c r="H107" s="785">
        <v>0</v>
      </c>
      <c r="I107" s="785">
        <v>0</v>
      </c>
      <c r="J107" s="785">
        <f t="shared" si="18"/>
        <v>76165</v>
      </c>
      <c r="K107" s="786">
        <v>15233</v>
      </c>
      <c r="L107" s="785">
        <v>0</v>
      </c>
      <c r="M107" s="786">
        <v>0</v>
      </c>
    </row>
    <row r="108" spans="1:13" ht="15.75">
      <c r="A108" s="784">
        <v>78</v>
      </c>
      <c r="B108" s="1091">
        <v>538678</v>
      </c>
      <c r="C108" s="1018" t="s">
        <v>1210</v>
      </c>
      <c r="D108" s="785" t="s">
        <v>1111</v>
      </c>
      <c r="E108" s="785" t="s">
        <v>1096</v>
      </c>
      <c r="F108" s="785"/>
      <c r="G108" s="785">
        <f t="shared" si="17"/>
        <v>259860</v>
      </c>
      <c r="H108" s="785">
        <v>0</v>
      </c>
      <c r="I108" s="785">
        <v>0</v>
      </c>
      <c r="J108" s="785">
        <f t="shared" si="18"/>
        <v>216550</v>
      </c>
      <c r="K108" s="786">
        <v>43310</v>
      </c>
      <c r="L108" s="785">
        <v>0</v>
      </c>
      <c r="M108" s="786">
        <v>0</v>
      </c>
    </row>
    <row r="109" spans="1:13" ht="15.75">
      <c r="A109" s="784">
        <v>79</v>
      </c>
      <c r="B109" s="1091">
        <v>538679</v>
      </c>
      <c r="C109" s="1018" t="s">
        <v>1210</v>
      </c>
      <c r="D109" s="785" t="s">
        <v>1063</v>
      </c>
      <c r="E109" s="785" t="s">
        <v>1096</v>
      </c>
      <c r="F109" s="785" t="s">
        <v>1150</v>
      </c>
      <c r="G109" s="785">
        <f t="shared" si="17"/>
        <v>22998</v>
      </c>
      <c r="H109" s="785">
        <v>0</v>
      </c>
      <c r="I109" s="785">
        <v>0</v>
      </c>
      <c r="J109" s="785">
        <f t="shared" si="18"/>
        <v>19165</v>
      </c>
      <c r="K109" s="786">
        <v>3833</v>
      </c>
      <c r="L109" s="785">
        <v>0</v>
      </c>
      <c r="M109" s="786">
        <v>0</v>
      </c>
    </row>
    <row r="110" spans="1:13" ht="15.75">
      <c r="A110" s="784">
        <v>80</v>
      </c>
      <c r="B110" s="1091">
        <v>538680</v>
      </c>
      <c r="C110" s="1018" t="s">
        <v>1210</v>
      </c>
      <c r="D110" s="785" t="s">
        <v>1211</v>
      </c>
      <c r="E110" s="785" t="s">
        <v>1096</v>
      </c>
      <c r="F110" s="785" t="s">
        <v>1158</v>
      </c>
      <c r="G110" s="785">
        <f t="shared" si="17"/>
        <v>163842</v>
      </c>
      <c r="H110" s="785">
        <v>0</v>
      </c>
      <c r="I110" s="785">
        <v>0</v>
      </c>
      <c r="J110" s="785">
        <f t="shared" si="18"/>
        <v>136535</v>
      </c>
      <c r="K110" s="786">
        <v>27307</v>
      </c>
      <c r="L110" s="785">
        <v>0</v>
      </c>
      <c r="M110" s="786">
        <v>0</v>
      </c>
    </row>
    <row r="111" spans="1:13" ht="15.75">
      <c r="A111" s="784">
        <v>81</v>
      </c>
      <c r="B111" s="1091">
        <v>538681</v>
      </c>
      <c r="C111" s="1018" t="s">
        <v>1179</v>
      </c>
      <c r="D111" s="785" t="s">
        <v>1155</v>
      </c>
      <c r="E111" s="785" t="s">
        <v>1096</v>
      </c>
      <c r="F111" s="785" t="s">
        <v>1156</v>
      </c>
      <c r="G111" s="785">
        <f t="shared" si="17"/>
        <v>131166</v>
      </c>
      <c r="H111" s="785">
        <v>0</v>
      </c>
      <c r="I111" s="785">
        <v>0</v>
      </c>
      <c r="J111" s="785">
        <f t="shared" si="18"/>
        <v>109305</v>
      </c>
      <c r="K111" s="786">
        <v>21861</v>
      </c>
      <c r="L111" s="785">
        <v>0</v>
      </c>
      <c r="M111" s="786">
        <v>0</v>
      </c>
    </row>
    <row r="112" spans="1:13" ht="15.75">
      <c r="A112" s="784">
        <v>82</v>
      </c>
      <c r="B112" s="1091">
        <v>538682</v>
      </c>
      <c r="C112" s="1018" t="s">
        <v>1179</v>
      </c>
      <c r="D112" s="785" t="s">
        <v>1101</v>
      </c>
      <c r="E112" s="785" t="s">
        <v>1096</v>
      </c>
      <c r="F112" s="785" t="s">
        <v>1102</v>
      </c>
      <c r="G112" s="785">
        <f t="shared" si="17"/>
        <v>30000</v>
      </c>
      <c r="H112" s="785">
        <v>0</v>
      </c>
      <c r="I112" s="785">
        <v>0</v>
      </c>
      <c r="J112" s="785">
        <f t="shared" si="18"/>
        <v>25000</v>
      </c>
      <c r="K112" s="786">
        <v>5000</v>
      </c>
      <c r="L112" s="785">
        <v>0</v>
      </c>
      <c r="M112" s="786">
        <v>0</v>
      </c>
    </row>
    <row r="113" spans="1:13" ht="16.5" thickBot="1">
      <c r="A113" s="784">
        <v>83</v>
      </c>
      <c r="B113" s="1091">
        <v>538683</v>
      </c>
      <c r="C113" s="1018" t="s">
        <v>1179</v>
      </c>
      <c r="D113" s="785" t="s">
        <v>1111</v>
      </c>
      <c r="E113" s="785" t="s">
        <v>1096</v>
      </c>
      <c r="F113" s="785"/>
      <c r="G113" s="785">
        <f t="shared" si="17"/>
        <v>188490</v>
      </c>
      <c r="H113" s="785">
        <v>0</v>
      </c>
      <c r="I113" s="786">
        <v>0</v>
      </c>
      <c r="J113" s="785">
        <f t="shared" si="18"/>
        <v>157075</v>
      </c>
      <c r="K113" s="786">
        <v>31415</v>
      </c>
      <c r="L113" s="785">
        <v>0</v>
      </c>
      <c r="M113" s="786">
        <v>0</v>
      </c>
    </row>
    <row r="114" spans="1:13" ht="16.5" thickBot="1">
      <c r="A114" s="1389" t="s">
        <v>822</v>
      </c>
      <c r="B114" s="1390"/>
      <c r="C114" s="1390"/>
      <c r="D114" s="1390"/>
      <c r="E114" s="1390"/>
      <c r="F114" s="1391"/>
      <c r="G114" s="1020">
        <f aca="true" t="shared" si="23" ref="G114:M114">SUM(G69:G113)</f>
        <v>6953070</v>
      </c>
      <c r="H114" s="1020">
        <f t="shared" si="23"/>
        <v>0</v>
      </c>
      <c r="I114" s="1020">
        <f t="shared" si="23"/>
        <v>0</v>
      </c>
      <c r="J114" s="1020">
        <f t="shared" si="23"/>
        <v>5794225</v>
      </c>
      <c r="K114" s="1020">
        <f t="shared" si="23"/>
        <v>1158845</v>
      </c>
      <c r="L114" s="1020">
        <f t="shared" si="23"/>
        <v>0</v>
      </c>
      <c r="M114" s="1020">
        <f t="shared" si="23"/>
        <v>0</v>
      </c>
    </row>
    <row r="115" spans="1:13" ht="16.5" thickBot="1">
      <c r="A115" s="1392" t="s">
        <v>823</v>
      </c>
      <c r="B115" s="1393"/>
      <c r="C115" s="1393"/>
      <c r="D115" s="1393"/>
      <c r="E115" s="1393"/>
      <c r="F115" s="1393"/>
      <c r="G115" s="1393"/>
      <c r="H115" s="781" t="s">
        <v>824</v>
      </c>
      <c r="I115" s="765" t="s">
        <v>825</v>
      </c>
      <c r="J115" s="781" t="s">
        <v>826</v>
      </c>
      <c r="K115" s="766" t="s">
        <v>827</v>
      </c>
      <c r="L115" s="781" t="s">
        <v>828</v>
      </c>
      <c r="M115" s="766" t="s">
        <v>829</v>
      </c>
    </row>
    <row r="116" ht="15.75">
      <c r="A116" s="731" t="s">
        <v>856</v>
      </c>
    </row>
    <row r="117" ht="15.75">
      <c r="A117" s="731" t="s">
        <v>848</v>
      </c>
    </row>
    <row r="118" ht="15.75">
      <c r="A118" s="731" t="s">
        <v>855</v>
      </c>
    </row>
    <row r="119" spans="2:15" s="1082" customFormat="1" ht="12.75">
      <c r="B119" s="1092"/>
      <c r="O119" s="1092"/>
    </row>
    <row r="120" spans="1:31" ht="19.5">
      <c r="A120" s="730" t="s">
        <v>794</v>
      </c>
      <c r="B120" s="1087"/>
      <c r="C120" s="731"/>
      <c r="D120" s="731"/>
      <c r="E120" s="731"/>
      <c r="F120" s="731"/>
      <c r="G120" s="731"/>
      <c r="H120" s="731"/>
      <c r="I120" s="731"/>
      <c r="J120" s="731"/>
      <c r="K120" s="731"/>
      <c r="L120" s="731"/>
      <c r="M120" s="731"/>
      <c r="N120" s="730" t="s">
        <v>795</v>
      </c>
      <c r="O120" s="1087"/>
      <c r="P120" s="731"/>
      <c r="Q120" s="731"/>
      <c r="R120" s="731"/>
      <c r="S120" s="731"/>
      <c r="T120" s="731"/>
      <c r="U120" s="731"/>
      <c r="V120" s="731"/>
      <c r="W120" s="731"/>
      <c r="X120" s="731"/>
      <c r="Y120" s="731"/>
      <c r="Z120" s="731"/>
      <c r="AA120" s="731"/>
      <c r="AB120" s="731"/>
      <c r="AC120" s="731"/>
      <c r="AD120" s="731"/>
      <c r="AE120" s="731"/>
    </row>
    <row r="121" spans="1:31" ht="15.75">
      <c r="A121" s="733" t="s">
        <v>796</v>
      </c>
      <c r="B121" s="1088"/>
      <c r="C121" s="731" t="s">
        <v>1094</v>
      </c>
      <c r="D121" s="731"/>
      <c r="E121" s="731"/>
      <c r="F121" s="731"/>
      <c r="G121" s="731"/>
      <c r="H121" s="731"/>
      <c r="I121" s="731"/>
      <c r="J121" s="731"/>
      <c r="K121" s="731"/>
      <c r="L121" s="731"/>
      <c r="M121" s="731"/>
      <c r="N121" s="733" t="s">
        <v>796</v>
      </c>
      <c r="O121" s="1088"/>
      <c r="P121" s="731" t="s">
        <v>1094</v>
      </c>
      <c r="Q121" s="731"/>
      <c r="R121" s="731"/>
      <c r="S121" s="731"/>
      <c r="T121" s="731"/>
      <c r="U121" s="731"/>
      <c r="V121" s="731"/>
      <c r="W121" s="731"/>
      <c r="X121" s="731"/>
      <c r="Y121" s="731"/>
      <c r="Z121" s="731"/>
      <c r="AA121" s="731"/>
      <c r="AB121" s="731"/>
      <c r="AC121" s="731"/>
      <c r="AD121" s="731"/>
      <c r="AE121" s="731"/>
    </row>
    <row r="122" spans="1:31" ht="15.75">
      <c r="A122" s="733" t="s">
        <v>413</v>
      </c>
      <c r="B122" s="1088"/>
      <c r="C122" s="731" t="s">
        <v>1043</v>
      </c>
      <c r="D122" s="731"/>
      <c r="E122" s="731"/>
      <c r="F122" s="731"/>
      <c r="G122" s="731"/>
      <c r="H122" s="731"/>
      <c r="I122" s="731"/>
      <c r="J122" s="731"/>
      <c r="K122" s="731"/>
      <c r="L122" s="731"/>
      <c r="M122" s="731"/>
      <c r="N122" s="733" t="s">
        <v>413</v>
      </c>
      <c r="O122" s="1088"/>
      <c r="P122" s="731" t="s">
        <v>1043</v>
      </c>
      <c r="Q122" s="731"/>
      <c r="R122" s="731"/>
      <c r="S122" s="731"/>
      <c r="T122" s="731"/>
      <c r="U122" s="731"/>
      <c r="V122" s="731"/>
      <c r="W122" s="731"/>
      <c r="X122" s="731"/>
      <c r="Y122" s="731"/>
      <c r="Z122" s="731"/>
      <c r="AA122" s="731"/>
      <c r="AB122" s="731"/>
      <c r="AC122" s="731"/>
      <c r="AD122" s="731"/>
      <c r="AE122" s="731"/>
    </row>
    <row r="123" spans="1:31" ht="15.75">
      <c r="A123" s="733" t="s">
        <v>797</v>
      </c>
      <c r="B123" s="1088"/>
      <c r="C123" s="731">
        <v>2012</v>
      </c>
      <c r="D123" s="731"/>
      <c r="E123" s="731"/>
      <c r="F123" s="731"/>
      <c r="G123" s="731"/>
      <c r="H123" s="731"/>
      <c r="I123" s="731"/>
      <c r="J123" s="731"/>
      <c r="K123" s="731"/>
      <c r="L123" s="731"/>
      <c r="M123" s="731"/>
      <c r="N123" s="733" t="s">
        <v>797</v>
      </c>
      <c r="O123" s="1088"/>
      <c r="P123" s="731">
        <v>2012</v>
      </c>
      <c r="Q123" s="731"/>
      <c r="R123" s="731"/>
      <c r="S123" s="731"/>
      <c r="T123" s="731"/>
      <c r="U123" s="731"/>
      <c r="V123" s="731"/>
      <c r="W123" s="731"/>
      <c r="X123" s="731"/>
      <c r="Y123" s="731"/>
      <c r="Z123" s="731"/>
      <c r="AA123" s="731"/>
      <c r="AB123" s="731"/>
      <c r="AC123" s="731"/>
      <c r="AD123" s="731"/>
      <c r="AE123" s="731"/>
    </row>
    <row r="124" spans="1:31" ht="15.75">
      <c r="A124" s="733" t="s">
        <v>166</v>
      </c>
      <c r="B124" s="1088"/>
      <c r="C124" s="731">
        <v>3</v>
      </c>
      <c r="D124" s="731"/>
      <c r="E124" s="731"/>
      <c r="F124" s="731"/>
      <c r="G124" s="731"/>
      <c r="H124" s="731"/>
      <c r="I124" s="731"/>
      <c r="J124" s="731"/>
      <c r="K124" s="731"/>
      <c r="L124" s="731"/>
      <c r="M124" s="731"/>
      <c r="N124" s="733" t="s">
        <v>166</v>
      </c>
      <c r="O124" s="1088"/>
      <c r="P124" s="731">
        <v>3</v>
      </c>
      <c r="Q124" s="731"/>
      <c r="R124" s="731"/>
      <c r="S124" s="731"/>
      <c r="T124" s="731"/>
      <c r="U124" s="731"/>
      <c r="V124" s="731"/>
      <c r="W124" s="731"/>
      <c r="X124" s="731"/>
      <c r="Y124" s="731"/>
      <c r="Z124" s="731"/>
      <c r="AA124" s="731"/>
      <c r="AB124" s="731"/>
      <c r="AC124" s="731"/>
      <c r="AD124" s="731"/>
      <c r="AE124" s="731"/>
    </row>
    <row r="125" spans="1:31" ht="16.5" thickBot="1">
      <c r="A125" s="733"/>
      <c r="B125" s="1088"/>
      <c r="C125" s="731"/>
      <c r="D125" s="731"/>
      <c r="E125" s="731"/>
      <c r="F125" s="731"/>
      <c r="G125" s="731"/>
      <c r="H125" s="731"/>
      <c r="I125" s="731"/>
      <c r="J125" s="731"/>
      <c r="K125" s="731"/>
      <c r="L125" s="731"/>
      <c r="M125" s="731"/>
      <c r="N125" s="733"/>
      <c r="O125" s="1088"/>
      <c r="P125" s="731"/>
      <c r="Q125" s="731"/>
      <c r="R125" s="731"/>
      <c r="S125" s="731"/>
      <c r="T125" s="731"/>
      <c r="U125" s="731"/>
      <c r="V125" s="731"/>
      <c r="W125" s="731"/>
      <c r="X125" s="731"/>
      <c r="Y125" s="731"/>
      <c r="Z125" s="731"/>
      <c r="AA125" s="731"/>
      <c r="AB125" s="731"/>
      <c r="AC125" s="731"/>
      <c r="AD125" s="731"/>
      <c r="AE125" s="731"/>
    </row>
    <row r="126" spans="1:31" ht="16.5" thickBot="1">
      <c r="A126" s="731" t="s">
        <v>799</v>
      </c>
      <c r="B126" s="781"/>
      <c r="C126" s="731" t="s">
        <v>835</v>
      </c>
      <c r="D126" s="731"/>
      <c r="E126" s="731"/>
      <c r="F126" s="731"/>
      <c r="G126" s="731"/>
      <c r="H126" s="731"/>
      <c r="I126" s="731"/>
      <c r="J126" s="731"/>
      <c r="K126" s="731"/>
      <c r="L126" s="731"/>
      <c r="M126" s="731"/>
      <c r="N126" s="731" t="s">
        <v>799</v>
      </c>
      <c r="O126" s="781"/>
      <c r="P126" s="731" t="s">
        <v>835</v>
      </c>
      <c r="Q126" s="731"/>
      <c r="R126" s="731"/>
      <c r="S126" s="731"/>
      <c r="T126" s="731"/>
      <c r="U126" s="731"/>
      <c r="V126" s="731"/>
      <c r="W126" s="731"/>
      <c r="X126" s="731"/>
      <c r="Y126" s="731"/>
      <c r="Z126" s="731"/>
      <c r="AA126" s="731"/>
      <c r="AB126" s="731"/>
      <c r="AC126" s="731"/>
      <c r="AD126" s="731"/>
      <c r="AE126" s="731"/>
    </row>
    <row r="127" spans="1:31" ht="16.5" thickBot="1">
      <c r="A127" s="731"/>
      <c r="B127" s="1087"/>
      <c r="C127" s="731"/>
      <c r="D127" s="731"/>
      <c r="E127" s="731"/>
      <c r="F127" s="731"/>
      <c r="G127" s="731"/>
      <c r="H127" s="731"/>
      <c r="I127" s="731"/>
      <c r="J127" s="731"/>
      <c r="K127" s="731"/>
      <c r="L127" s="731"/>
      <c r="M127" s="731"/>
      <c r="N127" s="731"/>
      <c r="O127" s="1087"/>
      <c r="P127" s="733"/>
      <c r="Q127" s="731"/>
      <c r="R127" s="731"/>
      <c r="S127" s="731"/>
      <c r="T127" s="731"/>
      <c r="U127" s="731"/>
      <c r="V127" s="731"/>
      <c r="W127" s="731"/>
      <c r="X127" s="731"/>
      <c r="Y127" s="731"/>
      <c r="Z127" s="731"/>
      <c r="AA127" s="731"/>
      <c r="AB127" s="731"/>
      <c r="AC127" s="731"/>
      <c r="AD127" s="731"/>
      <c r="AE127" s="731"/>
    </row>
    <row r="128" spans="1:31" ht="16.5" thickBot="1">
      <c r="A128" s="1401" t="s">
        <v>800</v>
      </c>
      <c r="B128" s="1409"/>
      <c r="C128" s="1402"/>
      <c r="D128" s="1401" t="s">
        <v>801</v>
      </c>
      <c r="E128" s="1409"/>
      <c r="F128" s="1402"/>
      <c r="G128" s="1398" t="s">
        <v>802</v>
      </c>
      <c r="H128" s="1398" t="s">
        <v>803</v>
      </c>
      <c r="I128" s="1398" t="s">
        <v>804</v>
      </c>
      <c r="J128" s="1401" t="s">
        <v>836</v>
      </c>
      <c r="K128" s="1402"/>
      <c r="L128" s="1401" t="s">
        <v>837</v>
      </c>
      <c r="M128" s="1402"/>
      <c r="N128" s="1405" t="s">
        <v>800</v>
      </c>
      <c r="O128" s="1406"/>
      <c r="P128" s="1407"/>
      <c r="Q128" s="1405" t="s">
        <v>805</v>
      </c>
      <c r="R128" s="1406"/>
      <c r="S128" s="1407"/>
      <c r="T128" s="1398" t="s">
        <v>806</v>
      </c>
      <c r="U128" s="1387" t="s">
        <v>807</v>
      </c>
      <c r="V128" s="1397"/>
      <c r="W128" s="1397"/>
      <c r="X128" s="1397"/>
      <c r="Y128" s="1397"/>
      <c r="Z128" s="1397"/>
      <c r="AA128" s="1397"/>
      <c r="AB128" s="1397"/>
      <c r="AC128" s="1397"/>
      <c r="AD128" s="1397"/>
      <c r="AE128" s="1388"/>
    </row>
    <row r="129" spans="1:31" ht="16.5" thickBot="1">
      <c r="A129" s="1403"/>
      <c r="B129" s="1410"/>
      <c r="C129" s="1404"/>
      <c r="D129" s="1403"/>
      <c r="E129" s="1410"/>
      <c r="F129" s="1404"/>
      <c r="G129" s="1408"/>
      <c r="H129" s="1408"/>
      <c r="I129" s="1408"/>
      <c r="J129" s="1403"/>
      <c r="K129" s="1404"/>
      <c r="L129" s="1403"/>
      <c r="M129" s="1404"/>
      <c r="N129" s="1398" t="s">
        <v>808</v>
      </c>
      <c r="O129" s="1398" t="s">
        <v>809</v>
      </c>
      <c r="P129" s="1398" t="s">
        <v>810</v>
      </c>
      <c r="Q129" s="1398" t="s">
        <v>811</v>
      </c>
      <c r="R129" s="1398" t="s">
        <v>812</v>
      </c>
      <c r="S129" s="1398" t="s">
        <v>813</v>
      </c>
      <c r="T129" s="1408"/>
      <c r="U129" s="1398" t="s">
        <v>814</v>
      </c>
      <c r="V129" s="1387" t="s">
        <v>838</v>
      </c>
      <c r="W129" s="1400"/>
      <c r="X129" s="1387" t="s">
        <v>839</v>
      </c>
      <c r="Y129" s="1400"/>
      <c r="Z129" s="1387" t="s">
        <v>840</v>
      </c>
      <c r="AA129" s="1388"/>
      <c r="AB129" s="1387" t="s">
        <v>841</v>
      </c>
      <c r="AC129" s="1388"/>
      <c r="AD129" s="1387" t="s">
        <v>815</v>
      </c>
      <c r="AE129" s="1388"/>
    </row>
    <row r="130" spans="1:31" ht="48" thickBot="1">
      <c r="A130" s="748" t="s">
        <v>808</v>
      </c>
      <c r="B130" s="749" t="s">
        <v>809</v>
      </c>
      <c r="C130" s="750" t="s">
        <v>810</v>
      </c>
      <c r="D130" s="743" t="s">
        <v>816</v>
      </c>
      <c r="E130" s="746" t="s">
        <v>812</v>
      </c>
      <c r="F130" s="751" t="s">
        <v>406</v>
      </c>
      <c r="G130" s="1399"/>
      <c r="H130" s="1399"/>
      <c r="I130" s="1399"/>
      <c r="J130" s="751" t="s">
        <v>817</v>
      </c>
      <c r="K130" s="744" t="s">
        <v>818</v>
      </c>
      <c r="L130" s="751" t="s">
        <v>817</v>
      </c>
      <c r="M130" s="744" t="s">
        <v>818</v>
      </c>
      <c r="N130" s="1399"/>
      <c r="O130" s="1399"/>
      <c r="P130" s="1399"/>
      <c r="Q130" s="1399"/>
      <c r="R130" s="1399"/>
      <c r="S130" s="1399"/>
      <c r="T130" s="1399"/>
      <c r="U130" s="1399"/>
      <c r="V130" s="745" t="s">
        <v>817</v>
      </c>
      <c r="W130" s="752" t="s">
        <v>818</v>
      </c>
      <c r="X130" s="745" t="s">
        <v>817</v>
      </c>
      <c r="Y130" s="752" t="s">
        <v>818</v>
      </c>
      <c r="Z130" s="744" t="s">
        <v>819</v>
      </c>
      <c r="AA130" s="744" t="s">
        <v>820</v>
      </c>
      <c r="AB130" s="744" t="s">
        <v>819</v>
      </c>
      <c r="AC130" s="744" t="s">
        <v>820</v>
      </c>
      <c r="AD130" s="744" t="s">
        <v>819</v>
      </c>
      <c r="AE130" s="744" t="s">
        <v>820</v>
      </c>
    </row>
    <row r="131" spans="1:31" ht="29.25" thickBot="1">
      <c r="A131" s="754" t="s">
        <v>510</v>
      </c>
      <c r="B131" s="755" t="s">
        <v>511</v>
      </c>
      <c r="C131" s="755" t="s">
        <v>598</v>
      </c>
      <c r="D131" s="755" t="s">
        <v>620</v>
      </c>
      <c r="E131" s="755" t="s">
        <v>622</v>
      </c>
      <c r="F131" s="755" t="s">
        <v>634</v>
      </c>
      <c r="G131" s="755" t="s">
        <v>842</v>
      </c>
      <c r="H131" s="755" t="s">
        <v>638</v>
      </c>
      <c r="I131" s="756" t="s">
        <v>640</v>
      </c>
      <c r="J131" s="755" t="s">
        <v>642</v>
      </c>
      <c r="K131" s="757" t="s">
        <v>644</v>
      </c>
      <c r="L131" s="755" t="s">
        <v>646</v>
      </c>
      <c r="M131" s="757" t="s">
        <v>650</v>
      </c>
      <c r="N131" s="777" t="s">
        <v>510</v>
      </c>
      <c r="O131" s="778" t="s">
        <v>511</v>
      </c>
      <c r="P131" s="778" t="s">
        <v>598</v>
      </c>
      <c r="Q131" s="778" t="s">
        <v>620</v>
      </c>
      <c r="R131" s="778" t="s">
        <v>622</v>
      </c>
      <c r="S131" s="778" t="s">
        <v>634</v>
      </c>
      <c r="T131" s="779" t="s">
        <v>843</v>
      </c>
      <c r="U131" s="778" t="s">
        <v>638</v>
      </c>
      <c r="V131" s="778" t="s">
        <v>640</v>
      </c>
      <c r="W131" s="778" t="s">
        <v>642</v>
      </c>
      <c r="X131" s="778" t="s">
        <v>644</v>
      </c>
      <c r="Y131" s="778" t="s">
        <v>646</v>
      </c>
      <c r="Z131" s="778" t="s">
        <v>650</v>
      </c>
      <c r="AA131" s="778" t="s">
        <v>821</v>
      </c>
      <c r="AB131" s="778" t="s">
        <v>844</v>
      </c>
      <c r="AC131" s="778" t="s">
        <v>845</v>
      </c>
      <c r="AD131" s="778" t="s">
        <v>846</v>
      </c>
      <c r="AE131" s="780" t="s">
        <v>847</v>
      </c>
    </row>
    <row r="132" spans="1:31" ht="15.75">
      <c r="A132" s="758">
        <v>84</v>
      </c>
      <c r="B132" s="1089">
        <v>538684</v>
      </c>
      <c r="C132" s="760">
        <v>40969</v>
      </c>
      <c r="D132" s="759" t="s">
        <v>1171</v>
      </c>
      <c r="E132" s="759" t="s">
        <v>1096</v>
      </c>
      <c r="F132" s="759" t="s">
        <v>1172</v>
      </c>
      <c r="G132" s="759">
        <f aca="true" t="shared" si="24" ref="G132:G145">J132+K132</f>
        <v>30000</v>
      </c>
      <c r="H132" s="759">
        <v>0</v>
      </c>
      <c r="I132" s="759">
        <v>0</v>
      </c>
      <c r="J132" s="759">
        <f aca="true" t="shared" si="25" ref="J132:J145">K132*5</f>
        <v>25000</v>
      </c>
      <c r="K132" s="782">
        <v>5000</v>
      </c>
      <c r="L132" s="759">
        <v>0</v>
      </c>
      <c r="M132" s="782">
        <v>0</v>
      </c>
      <c r="N132" s="758">
        <v>115521634</v>
      </c>
      <c r="O132" s="1089">
        <v>115521634</v>
      </c>
      <c r="P132" s="759" t="s">
        <v>1177</v>
      </c>
      <c r="Q132" s="759" t="s">
        <v>1169</v>
      </c>
      <c r="R132" s="759" t="s">
        <v>1099</v>
      </c>
      <c r="S132" s="759" t="s">
        <v>1170</v>
      </c>
      <c r="T132" s="759">
        <f aca="true" t="shared" si="26" ref="T132:T139">AA132+Z132</f>
        <v>26076</v>
      </c>
      <c r="U132" s="759">
        <v>0</v>
      </c>
      <c r="V132" s="759">
        <v>0</v>
      </c>
      <c r="W132" s="759">
        <v>0</v>
      </c>
      <c r="X132" s="759">
        <v>0</v>
      </c>
      <c r="Y132" s="759">
        <v>0</v>
      </c>
      <c r="Z132" s="759">
        <f aca="true" t="shared" si="27" ref="Z132:Z139">AA132*5</f>
        <v>21730</v>
      </c>
      <c r="AA132" s="759">
        <v>4346</v>
      </c>
      <c r="AB132" s="759">
        <v>0</v>
      </c>
      <c r="AC132" s="759">
        <v>0</v>
      </c>
      <c r="AD132" s="759">
        <v>0</v>
      </c>
      <c r="AE132" s="759">
        <v>0</v>
      </c>
    </row>
    <row r="133" spans="1:31" ht="15.75">
      <c r="A133" s="758">
        <v>85</v>
      </c>
      <c r="B133" s="1089">
        <v>538685</v>
      </c>
      <c r="C133" s="760">
        <v>40970</v>
      </c>
      <c r="D133" s="759" t="s">
        <v>1212</v>
      </c>
      <c r="E133" s="759" t="s">
        <v>1096</v>
      </c>
      <c r="F133" s="759" t="s">
        <v>1213</v>
      </c>
      <c r="G133" s="759">
        <f t="shared" si="24"/>
        <v>60000</v>
      </c>
      <c r="H133" s="759">
        <v>0</v>
      </c>
      <c r="I133" s="759">
        <v>0</v>
      </c>
      <c r="J133" s="759">
        <f t="shared" si="25"/>
        <v>50000</v>
      </c>
      <c r="K133" s="782">
        <v>10000</v>
      </c>
      <c r="L133" s="759">
        <v>0</v>
      </c>
      <c r="M133" s="759">
        <v>0</v>
      </c>
      <c r="N133" s="758">
        <v>107582022</v>
      </c>
      <c r="O133" s="1100">
        <v>107582022</v>
      </c>
      <c r="P133" s="759" t="s">
        <v>1179</v>
      </c>
      <c r="Q133" s="759" t="s">
        <v>1098</v>
      </c>
      <c r="R133" s="759" t="s">
        <v>1099</v>
      </c>
      <c r="S133" s="759" t="s">
        <v>1100</v>
      </c>
      <c r="T133" s="759">
        <f t="shared" si="26"/>
        <v>16824</v>
      </c>
      <c r="U133" s="759">
        <v>0</v>
      </c>
      <c r="V133" s="759">
        <v>0</v>
      </c>
      <c r="W133" s="759">
        <v>0</v>
      </c>
      <c r="X133" s="759">
        <v>0</v>
      </c>
      <c r="Y133" s="759">
        <v>0</v>
      </c>
      <c r="Z133" s="759">
        <f t="shared" si="27"/>
        <v>14020</v>
      </c>
      <c r="AA133" s="759">
        <v>2804</v>
      </c>
      <c r="AB133" s="759">
        <v>0</v>
      </c>
      <c r="AC133" s="759">
        <v>0</v>
      </c>
      <c r="AD133" s="759">
        <v>0</v>
      </c>
      <c r="AE133" s="759">
        <v>0</v>
      </c>
    </row>
    <row r="134" spans="1:31" ht="15.75">
      <c r="A134" s="758">
        <v>86</v>
      </c>
      <c r="B134" s="1089">
        <v>538686</v>
      </c>
      <c r="C134" s="760">
        <v>40970</v>
      </c>
      <c r="D134" s="759" t="s">
        <v>1139</v>
      </c>
      <c r="E134" s="759" t="s">
        <v>1096</v>
      </c>
      <c r="F134" s="759" t="s">
        <v>1140</v>
      </c>
      <c r="G134" s="759">
        <f t="shared" si="24"/>
        <v>56400</v>
      </c>
      <c r="H134" s="759">
        <v>0</v>
      </c>
      <c r="I134" s="759">
        <v>0</v>
      </c>
      <c r="J134" s="759">
        <f t="shared" si="25"/>
        <v>47000</v>
      </c>
      <c r="K134" s="782">
        <v>9400</v>
      </c>
      <c r="L134" s="759">
        <v>0</v>
      </c>
      <c r="M134" s="759">
        <v>0</v>
      </c>
      <c r="N134" s="758">
        <v>29</v>
      </c>
      <c r="O134" s="1089">
        <v>455879</v>
      </c>
      <c r="P134" s="760">
        <v>40942</v>
      </c>
      <c r="Q134" s="759" t="s">
        <v>1103</v>
      </c>
      <c r="R134" s="759" t="s">
        <v>1104</v>
      </c>
      <c r="S134" s="759" t="s">
        <v>1105</v>
      </c>
      <c r="T134" s="759">
        <f t="shared" si="26"/>
        <v>1207800</v>
      </c>
      <c r="U134" s="759">
        <v>0</v>
      </c>
      <c r="V134" s="759">
        <v>0</v>
      </c>
      <c r="W134" s="759">
        <v>0</v>
      </c>
      <c r="X134" s="759">
        <v>0</v>
      </c>
      <c r="Y134" s="759">
        <v>0</v>
      </c>
      <c r="Z134" s="759">
        <f t="shared" si="27"/>
        <v>1006500</v>
      </c>
      <c r="AA134" s="759">
        <v>201300</v>
      </c>
      <c r="AB134" s="759">
        <v>0</v>
      </c>
      <c r="AC134" s="759">
        <v>0</v>
      </c>
      <c r="AD134" s="759">
        <v>0</v>
      </c>
      <c r="AE134" s="759">
        <v>0</v>
      </c>
    </row>
    <row r="135" spans="1:31" ht="15.75">
      <c r="A135" s="758">
        <v>87</v>
      </c>
      <c r="B135" s="1089">
        <v>538687</v>
      </c>
      <c r="C135" s="760">
        <v>40971</v>
      </c>
      <c r="D135" s="759" t="s">
        <v>1095</v>
      </c>
      <c r="E135" s="759" t="s">
        <v>1096</v>
      </c>
      <c r="F135" s="759" t="s">
        <v>1097</v>
      </c>
      <c r="G135" s="759">
        <f t="shared" si="24"/>
        <v>62220</v>
      </c>
      <c r="H135" s="759">
        <v>0</v>
      </c>
      <c r="I135" s="759">
        <v>0</v>
      </c>
      <c r="J135" s="759">
        <f t="shared" si="25"/>
        <v>51850</v>
      </c>
      <c r="K135" s="782">
        <v>10370</v>
      </c>
      <c r="L135" s="759">
        <v>0</v>
      </c>
      <c r="M135" s="759">
        <v>0</v>
      </c>
      <c r="N135" s="758">
        <v>36</v>
      </c>
      <c r="O135" s="1089">
        <v>88778536</v>
      </c>
      <c r="P135" s="760">
        <v>40973</v>
      </c>
      <c r="Q135" s="759" t="s">
        <v>1103</v>
      </c>
      <c r="R135" s="759" t="s">
        <v>1096</v>
      </c>
      <c r="S135" s="759" t="s">
        <v>1105</v>
      </c>
      <c r="T135" s="759">
        <f t="shared" si="26"/>
        <v>1237080</v>
      </c>
      <c r="U135" s="759">
        <v>0</v>
      </c>
      <c r="V135" s="759">
        <v>0</v>
      </c>
      <c r="W135" s="759">
        <v>0</v>
      </c>
      <c r="X135" s="759">
        <v>0</v>
      </c>
      <c r="Y135" s="759">
        <v>0</v>
      </c>
      <c r="Z135" s="759">
        <f t="shared" si="27"/>
        <v>1030900</v>
      </c>
      <c r="AA135" s="759">
        <v>206180</v>
      </c>
      <c r="AB135" s="759">
        <v>0</v>
      </c>
      <c r="AC135" s="759">
        <v>0</v>
      </c>
      <c r="AD135" s="759">
        <v>0</v>
      </c>
      <c r="AE135" s="759">
        <v>0</v>
      </c>
    </row>
    <row r="136" spans="1:31" ht="15.75">
      <c r="A136" s="758">
        <v>88</v>
      </c>
      <c r="B136" s="1089">
        <v>538688</v>
      </c>
      <c r="C136" s="760">
        <v>40972</v>
      </c>
      <c r="D136" s="759" t="s">
        <v>1214</v>
      </c>
      <c r="E136" s="759" t="s">
        <v>1104</v>
      </c>
      <c r="F136" s="759" t="s">
        <v>1105</v>
      </c>
      <c r="G136" s="759">
        <f t="shared" si="24"/>
        <v>57000</v>
      </c>
      <c r="H136" s="759">
        <v>0</v>
      </c>
      <c r="I136" s="759">
        <v>0</v>
      </c>
      <c r="J136" s="759">
        <f t="shared" si="25"/>
        <v>47500</v>
      </c>
      <c r="K136" s="782">
        <v>9500</v>
      </c>
      <c r="L136" s="759">
        <v>0</v>
      </c>
      <c r="M136" s="759">
        <v>0</v>
      </c>
      <c r="N136" s="758">
        <v>272</v>
      </c>
      <c r="O136" s="1089">
        <v>1884272</v>
      </c>
      <c r="P136" s="760">
        <v>40976</v>
      </c>
      <c r="Q136" s="759" t="s">
        <v>1215</v>
      </c>
      <c r="R136" s="759" t="s">
        <v>1099</v>
      </c>
      <c r="S136" s="759" t="s">
        <v>1216</v>
      </c>
      <c r="T136" s="759">
        <f t="shared" si="26"/>
        <v>21000</v>
      </c>
      <c r="U136" s="759">
        <v>0</v>
      </c>
      <c r="V136" s="759">
        <v>0</v>
      </c>
      <c r="W136" s="759">
        <v>0</v>
      </c>
      <c r="X136" s="759">
        <v>0</v>
      </c>
      <c r="Y136" s="759">
        <v>0</v>
      </c>
      <c r="Z136" s="759">
        <f t="shared" si="27"/>
        <v>17500</v>
      </c>
      <c r="AA136" s="759">
        <v>3500</v>
      </c>
      <c r="AB136" s="759">
        <v>0</v>
      </c>
      <c r="AC136" s="759">
        <v>0</v>
      </c>
      <c r="AD136" s="759">
        <v>0</v>
      </c>
      <c r="AE136" s="759">
        <v>0</v>
      </c>
    </row>
    <row r="137" spans="1:31" ht="15.75">
      <c r="A137" s="758">
        <v>89</v>
      </c>
      <c r="B137" s="1089">
        <v>538689</v>
      </c>
      <c r="C137" s="760">
        <v>40973</v>
      </c>
      <c r="D137" s="759" t="s">
        <v>1106</v>
      </c>
      <c r="E137" s="759" t="s">
        <v>1096</v>
      </c>
      <c r="F137" s="759" t="s">
        <v>1107</v>
      </c>
      <c r="G137" s="759">
        <f t="shared" si="24"/>
        <v>7320</v>
      </c>
      <c r="H137" s="759">
        <v>0</v>
      </c>
      <c r="I137" s="759">
        <v>0</v>
      </c>
      <c r="J137" s="759">
        <f t="shared" si="25"/>
        <v>6100</v>
      </c>
      <c r="K137" s="782">
        <v>1220</v>
      </c>
      <c r="L137" s="759">
        <v>0</v>
      </c>
      <c r="M137" s="759">
        <v>0</v>
      </c>
      <c r="N137" s="762">
        <v>59</v>
      </c>
      <c r="O137" s="1090">
        <v>455259</v>
      </c>
      <c r="P137" s="763" t="s">
        <v>1217</v>
      </c>
      <c r="Q137" s="759" t="s">
        <v>1103</v>
      </c>
      <c r="R137" s="759" t="s">
        <v>1096</v>
      </c>
      <c r="S137" s="759" t="s">
        <v>1105</v>
      </c>
      <c r="T137" s="763">
        <f t="shared" si="26"/>
        <v>2448510</v>
      </c>
      <c r="U137" s="759">
        <v>0</v>
      </c>
      <c r="V137" s="759">
        <v>0</v>
      </c>
      <c r="W137" s="759">
        <v>0</v>
      </c>
      <c r="X137" s="759">
        <v>0</v>
      </c>
      <c r="Y137" s="759">
        <v>0</v>
      </c>
      <c r="Z137" s="763">
        <f t="shared" si="27"/>
        <v>2040425</v>
      </c>
      <c r="AA137" s="763">
        <v>408085</v>
      </c>
      <c r="AB137" s="759">
        <v>0</v>
      </c>
      <c r="AC137" s="759">
        <v>0</v>
      </c>
      <c r="AD137" s="759">
        <v>0</v>
      </c>
      <c r="AE137" s="759">
        <v>0</v>
      </c>
    </row>
    <row r="138" spans="1:31" ht="15.75">
      <c r="A138" s="758">
        <v>90</v>
      </c>
      <c r="B138" s="1089">
        <v>538690</v>
      </c>
      <c r="C138" s="760">
        <v>40973</v>
      </c>
      <c r="D138" s="759" t="s">
        <v>1111</v>
      </c>
      <c r="E138" s="759" t="s">
        <v>1096</v>
      </c>
      <c r="F138" s="759"/>
      <c r="G138" s="759">
        <f t="shared" si="24"/>
        <v>461160</v>
      </c>
      <c r="H138" s="759">
        <v>0</v>
      </c>
      <c r="I138" s="759">
        <v>0</v>
      </c>
      <c r="J138" s="759">
        <f t="shared" si="25"/>
        <v>384300</v>
      </c>
      <c r="K138" s="782">
        <v>76860</v>
      </c>
      <c r="L138" s="759">
        <v>0</v>
      </c>
      <c r="M138" s="759">
        <v>0</v>
      </c>
      <c r="N138" s="762">
        <v>10</v>
      </c>
      <c r="O138" s="1090">
        <v>455210</v>
      </c>
      <c r="P138" s="763" t="s">
        <v>1218</v>
      </c>
      <c r="Q138" s="759" t="s">
        <v>1103</v>
      </c>
      <c r="R138" s="759" t="s">
        <v>1104</v>
      </c>
      <c r="S138" s="759" t="s">
        <v>1105</v>
      </c>
      <c r="T138" s="763">
        <f t="shared" si="26"/>
        <v>1185030</v>
      </c>
      <c r="U138" s="759">
        <v>0</v>
      </c>
      <c r="V138" s="759">
        <v>0</v>
      </c>
      <c r="W138" s="759">
        <v>0</v>
      </c>
      <c r="X138" s="759">
        <v>0</v>
      </c>
      <c r="Y138" s="759">
        <v>0</v>
      </c>
      <c r="Z138" s="763">
        <f t="shared" si="27"/>
        <v>987525</v>
      </c>
      <c r="AA138" s="763">
        <v>197505</v>
      </c>
      <c r="AB138" s="759">
        <v>0</v>
      </c>
      <c r="AC138" s="759">
        <v>0</v>
      </c>
      <c r="AD138" s="759">
        <v>0</v>
      </c>
      <c r="AE138" s="759">
        <v>0</v>
      </c>
    </row>
    <row r="139" spans="1:31" ht="16.5" thickBot="1">
      <c r="A139" s="758">
        <v>91</v>
      </c>
      <c r="B139" s="1089">
        <v>538691</v>
      </c>
      <c r="C139" s="760">
        <v>40974</v>
      </c>
      <c r="D139" s="759" t="s">
        <v>1095</v>
      </c>
      <c r="E139" s="759" t="s">
        <v>1096</v>
      </c>
      <c r="F139" s="759" t="s">
        <v>1097</v>
      </c>
      <c r="G139" s="759">
        <f t="shared" si="24"/>
        <v>25752</v>
      </c>
      <c r="H139" s="759">
        <v>0</v>
      </c>
      <c r="I139" s="759">
        <v>0</v>
      </c>
      <c r="J139" s="759">
        <f t="shared" si="25"/>
        <v>21460</v>
      </c>
      <c r="K139" s="782">
        <v>4292</v>
      </c>
      <c r="L139" s="759">
        <v>0</v>
      </c>
      <c r="M139" s="759">
        <v>0</v>
      </c>
      <c r="N139" s="762">
        <v>61</v>
      </c>
      <c r="O139" s="1090">
        <v>455261</v>
      </c>
      <c r="P139" s="763" t="s">
        <v>1219</v>
      </c>
      <c r="Q139" s="759" t="s">
        <v>1103</v>
      </c>
      <c r="R139" s="759" t="s">
        <v>1096</v>
      </c>
      <c r="S139" s="759" t="s">
        <v>1105</v>
      </c>
      <c r="T139" s="763">
        <f t="shared" si="26"/>
        <v>838482</v>
      </c>
      <c r="U139" s="759">
        <v>0</v>
      </c>
      <c r="V139" s="759">
        <v>0</v>
      </c>
      <c r="W139" s="759">
        <v>0</v>
      </c>
      <c r="X139" s="759">
        <v>0</v>
      </c>
      <c r="Y139" s="759">
        <v>0</v>
      </c>
      <c r="Z139" s="763">
        <f t="shared" si="27"/>
        <v>698735</v>
      </c>
      <c r="AA139" s="763">
        <v>139747</v>
      </c>
      <c r="AB139" s="759">
        <v>0</v>
      </c>
      <c r="AC139" s="759">
        <v>0</v>
      </c>
      <c r="AD139" s="759">
        <v>0</v>
      </c>
      <c r="AE139" s="759">
        <v>0</v>
      </c>
    </row>
    <row r="140" spans="1:31" ht="16.5" thickBot="1">
      <c r="A140" s="758">
        <v>92</v>
      </c>
      <c r="B140" s="1089">
        <v>538692</v>
      </c>
      <c r="C140" s="760">
        <v>40974</v>
      </c>
      <c r="D140" s="759" t="s">
        <v>1214</v>
      </c>
      <c r="E140" s="759" t="s">
        <v>1096</v>
      </c>
      <c r="F140" s="759" t="s">
        <v>1105</v>
      </c>
      <c r="G140" s="759">
        <f t="shared" si="24"/>
        <v>125400</v>
      </c>
      <c r="H140" s="759">
        <v>0</v>
      </c>
      <c r="I140" s="759">
        <v>0</v>
      </c>
      <c r="J140" s="759">
        <f t="shared" si="25"/>
        <v>104500</v>
      </c>
      <c r="K140" s="782">
        <v>20900</v>
      </c>
      <c r="L140" s="759">
        <v>0</v>
      </c>
      <c r="M140" s="759">
        <v>0</v>
      </c>
      <c r="N140" s="1389" t="s">
        <v>822</v>
      </c>
      <c r="O140" s="1390"/>
      <c r="P140" s="1390"/>
      <c r="Q140" s="1390"/>
      <c r="R140" s="1390"/>
      <c r="S140" s="1391"/>
      <c r="T140" s="1016">
        <f>SUM(T132:T139)</f>
        <v>6980802</v>
      </c>
      <c r="U140" s="759">
        <v>0</v>
      </c>
      <c r="V140" s="759">
        <v>0</v>
      </c>
      <c r="W140" s="759">
        <v>0</v>
      </c>
      <c r="X140" s="759">
        <v>0</v>
      </c>
      <c r="Y140" s="759">
        <v>0</v>
      </c>
      <c r="Z140" s="1016">
        <f>SUM(Z132:Z139)</f>
        <v>5817335</v>
      </c>
      <c r="AA140" s="1016">
        <f>SUM(AA132:AA139)</f>
        <v>1163467</v>
      </c>
      <c r="AB140" s="759">
        <v>0</v>
      </c>
      <c r="AC140" s="759">
        <v>0</v>
      </c>
      <c r="AD140" s="759">
        <v>0</v>
      </c>
      <c r="AE140" s="759">
        <v>0</v>
      </c>
    </row>
    <row r="141" spans="1:31" ht="16.5" thickBot="1">
      <c r="A141" s="758">
        <v>93</v>
      </c>
      <c r="B141" s="1089">
        <v>538693</v>
      </c>
      <c r="C141" s="760">
        <v>40975</v>
      </c>
      <c r="D141" s="759" t="s">
        <v>1193</v>
      </c>
      <c r="E141" s="759" t="s">
        <v>1096</v>
      </c>
      <c r="F141" s="759" t="s">
        <v>1194</v>
      </c>
      <c r="G141" s="759">
        <f t="shared" si="24"/>
        <v>45750</v>
      </c>
      <c r="H141" s="759">
        <v>0</v>
      </c>
      <c r="I141" s="759">
        <v>0</v>
      </c>
      <c r="J141" s="759">
        <f t="shared" si="25"/>
        <v>38125</v>
      </c>
      <c r="K141" s="782">
        <v>7625</v>
      </c>
      <c r="L141" s="759">
        <v>0</v>
      </c>
      <c r="M141" s="759">
        <v>0</v>
      </c>
      <c r="N141" s="1392" t="s">
        <v>823</v>
      </c>
      <c r="O141" s="1393"/>
      <c r="P141" s="1393"/>
      <c r="Q141" s="1393"/>
      <c r="R141" s="1393"/>
      <c r="S141" s="1393"/>
      <c r="T141" s="1393"/>
      <c r="U141" s="781" t="s">
        <v>830</v>
      </c>
      <c r="V141" s="781" t="s">
        <v>831</v>
      </c>
      <c r="W141" s="781" t="s">
        <v>832</v>
      </c>
      <c r="X141" s="781" t="s">
        <v>833</v>
      </c>
      <c r="Y141" s="781" t="s">
        <v>834</v>
      </c>
      <c r="Z141" s="781" t="s">
        <v>849</v>
      </c>
      <c r="AA141" s="781" t="s">
        <v>850</v>
      </c>
      <c r="AB141" s="781" t="s">
        <v>851</v>
      </c>
      <c r="AC141" s="781" t="s">
        <v>852</v>
      </c>
      <c r="AD141" s="781" t="s">
        <v>853</v>
      </c>
      <c r="AE141" s="766" t="s">
        <v>854</v>
      </c>
    </row>
    <row r="142" spans="1:31" ht="15.75">
      <c r="A142" s="758">
        <v>94</v>
      </c>
      <c r="B142" s="1089">
        <v>538694</v>
      </c>
      <c r="C142" s="760">
        <v>40975</v>
      </c>
      <c r="D142" s="759" t="s">
        <v>1134</v>
      </c>
      <c r="E142" s="759" t="s">
        <v>1096</v>
      </c>
      <c r="F142" s="759" t="s">
        <v>1135</v>
      </c>
      <c r="G142" s="759">
        <f t="shared" si="24"/>
        <v>100002</v>
      </c>
      <c r="H142" s="759">
        <v>0</v>
      </c>
      <c r="I142" s="759">
        <v>0</v>
      </c>
      <c r="J142" s="759">
        <f t="shared" si="25"/>
        <v>83335</v>
      </c>
      <c r="K142" s="782">
        <v>16667</v>
      </c>
      <c r="L142" s="759">
        <v>0</v>
      </c>
      <c r="M142" s="759">
        <v>0</v>
      </c>
      <c r="N142" s="731"/>
      <c r="O142" s="1087"/>
      <c r="P142" s="731"/>
      <c r="Q142" s="731"/>
      <c r="R142" s="731"/>
      <c r="S142" s="731"/>
      <c r="T142" s="731"/>
      <c r="U142" s="731"/>
      <c r="V142" s="731"/>
      <c r="W142" s="731"/>
      <c r="X142" s="731"/>
      <c r="Y142" s="731"/>
      <c r="Z142" s="731"/>
      <c r="AA142" s="731"/>
      <c r="AB142" s="731"/>
      <c r="AC142" s="731"/>
      <c r="AD142" s="731"/>
      <c r="AE142" s="731"/>
    </row>
    <row r="143" spans="1:31" ht="15.75">
      <c r="A143" s="758">
        <v>95</v>
      </c>
      <c r="B143" s="1089">
        <v>538695</v>
      </c>
      <c r="C143" s="760">
        <v>40976</v>
      </c>
      <c r="D143" s="759" t="s">
        <v>1220</v>
      </c>
      <c r="E143" s="759" t="s">
        <v>1096</v>
      </c>
      <c r="F143" s="759" t="s">
        <v>1221</v>
      </c>
      <c r="G143" s="759">
        <f t="shared" si="24"/>
        <v>22878</v>
      </c>
      <c r="H143" s="759">
        <v>0</v>
      </c>
      <c r="I143" s="759">
        <v>0</v>
      </c>
      <c r="J143" s="759">
        <f t="shared" si="25"/>
        <v>19065</v>
      </c>
      <c r="K143" s="782">
        <v>3813</v>
      </c>
      <c r="L143" s="759">
        <v>0</v>
      </c>
      <c r="M143" s="759">
        <v>0</v>
      </c>
      <c r="N143" s="731"/>
      <c r="O143" s="1087"/>
      <c r="P143" s="731"/>
      <c r="Q143" s="731"/>
      <c r="R143" s="731"/>
      <c r="S143" s="731"/>
      <c r="T143" s="731"/>
      <c r="U143" s="731"/>
      <c r="V143" s="731"/>
      <c r="W143" s="731"/>
      <c r="X143" s="731"/>
      <c r="Y143" s="731"/>
      <c r="Z143" s="731"/>
      <c r="AA143" s="731"/>
      <c r="AB143" s="731"/>
      <c r="AC143" s="731"/>
      <c r="AD143" s="731"/>
      <c r="AE143" s="731"/>
    </row>
    <row r="144" spans="1:31" ht="15.75">
      <c r="A144" s="758">
        <v>96</v>
      </c>
      <c r="B144" s="1089">
        <v>538696</v>
      </c>
      <c r="C144" s="760">
        <v>40977</v>
      </c>
      <c r="D144" s="759" t="s">
        <v>1108</v>
      </c>
      <c r="E144" s="759" t="s">
        <v>1096</v>
      </c>
      <c r="F144" s="759" t="s">
        <v>1109</v>
      </c>
      <c r="G144" s="759">
        <f t="shared" si="24"/>
        <v>1319976</v>
      </c>
      <c r="H144" s="759">
        <v>0</v>
      </c>
      <c r="I144" s="759">
        <v>0</v>
      </c>
      <c r="J144" s="759">
        <f t="shared" si="25"/>
        <v>1099980</v>
      </c>
      <c r="K144" s="782">
        <v>219996</v>
      </c>
      <c r="L144" s="759">
        <v>0</v>
      </c>
      <c r="M144" s="759">
        <v>0</v>
      </c>
      <c r="N144" s="731"/>
      <c r="O144" s="1087"/>
      <c r="P144" s="731"/>
      <c r="Q144" s="731"/>
      <c r="R144" s="731"/>
      <c r="S144" s="731"/>
      <c r="T144" s="731"/>
      <c r="U144" s="731"/>
      <c r="V144" s="731"/>
      <c r="W144" s="731"/>
      <c r="X144" s="731"/>
      <c r="Y144" s="731"/>
      <c r="Z144" s="731"/>
      <c r="AA144" s="1017" t="s">
        <v>1120</v>
      </c>
      <c r="AB144" s="731"/>
      <c r="AC144" s="731"/>
      <c r="AD144" s="1017"/>
      <c r="AE144" s="731"/>
    </row>
    <row r="145" spans="1:31" ht="15.75">
      <c r="A145" s="758">
        <v>97</v>
      </c>
      <c r="B145" s="1089">
        <v>538697</v>
      </c>
      <c r="C145" s="760">
        <v>40977</v>
      </c>
      <c r="D145" s="759" t="s">
        <v>1111</v>
      </c>
      <c r="E145" s="763" t="s">
        <v>1096</v>
      </c>
      <c r="F145" s="759"/>
      <c r="G145" s="759">
        <f t="shared" si="24"/>
        <v>534360</v>
      </c>
      <c r="H145" s="759">
        <v>0</v>
      </c>
      <c r="I145" s="759">
        <v>0</v>
      </c>
      <c r="J145" s="759">
        <f t="shared" si="25"/>
        <v>445300</v>
      </c>
      <c r="K145" s="782">
        <v>89060</v>
      </c>
      <c r="L145" s="759">
        <v>0</v>
      </c>
      <c r="M145" s="759">
        <v>0</v>
      </c>
      <c r="N145" s="731"/>
      <c r="O145" s="1087"/>
      <c r="P145" s="731"/>
      <c r="Q145" s="731"/>
      <c r="R145" s="731"/>
      <c r="S145" s="731"/>
      <c r="T145" s="731"/>
      <c r="U145" s="731"/>
      <c r="V145" s="731"/>
      <c r="W145" s="731"/>
      <c r="X145" s="731"/>
      <c r="Y145" s="731"/>
      <c r="Z145" s="731"/>
      <c r="AA145" s="731" t="s">
        <v>1122</v>
      </c>
      <c r="AB145" s="731"/>
      <c r="AC145" s="731"/>
      <c r="AD145" s="1017"/>
      <c r="AE145" s="731"/>
    </row>
    <row r="146" spans="1:31" ht="15.75">
      <c r="A146" s="758">
        <v>98</v>
      </c>
      <c r="B146" s="1089">
        <v>538698</v>
      </c>
      <c r="C146" s="760">
        <v>40979</v>
      </c>
      <c r="D146" s="759" t="s">
        <v>1146</v>
      </c>
      <c r="E146" s="759" t="s">
        <v>1096</v>
      </c>
      <c r="F146" s="759" t="s">
        <v>1147</v>
      </c>
      <c r="G146" s="759">
        <f>J146+K146</f>
        <v>89922</v>
      </c>
      <c r="H146" s="759">
        <v>0</v>
      </c>
      <c r="I146" s="759">
        <v>0</v>
      </c>
      <c r="J146" s="759">
        <f>K146*5</f>
        <v>74935</v>
      </c>
      <c r="K146" s="782">
        <v>14987</v>
      </c>
      <c r="L146" s="759">
        <v>0</v>
      </c>
      <c r="M146" s="759">
        <v>0</v>
      </c>
      <c r="N146" s="731" t="s">
        <v>856</v>
      </c>
      <c r="O146" s="1087"/>
      <c r="P146" s="731"/>
      <c r="Q146" s="731"/>
      <c r="R146" s="731"/>
      <c r="S146" s="731"/>
      <c r="T146" s="731"/>
      <c r="U146" s="731"/>
      <c r="V146" s="731"/>
      <c r="W146" s="731"/>
      <c r="X146" s="731"/>
      <c r="Y146" s="731"/>
      <c r="Z146" s="731"/>
      <c r="AA146" s="731"/>
      <c r="AB146" s="731"/>
      <c r="AC146" s="731"/>
      <c r="AD146" s="731"/>
      <c r="AE146" s="731"/>
    </row>
    <row r="147" spans="1:31" ht="15.75">
      <c r="A147" s="758">
        <v>99</v>
      </c>
      <c r="B147" s="1089">
        <v>538699</v>
      </c>
      <c r="C147" s="760">
        <v>40980</v>
      </c>
      <c r="D147" s="759" t="s">
        <v>1163</v>
      </c>
      <c r="E147" s="759" t="s">
        <v>1096</v>
      </c>
      <c r="F147" s="759" t="s">
        <v>1164</v>
      </c>
      <c r="G147" s="759">
        <f>J147+K147</f>
        <v>91002</v>
      </c>
      <c r="H147" s="759">
        <v>0</v>
      </c>
      <c r="I147" s="759">
        <v>0</v>
      </c>
      <c r="J147" s="759">
        <f>K147*5</f>
        <v>75835</v>
      </c>
      <c r="K147" s="782">
        <v>15167</v>
      </c>
      <c r="L147" s="759">
        <v>0</v>
      </c>
      <c r="M147" s="759">
        <v>0</v>
      </c>
      <c r="N147" s="731" t="s">
        <v>848</v>
      </c>
      <c r="O147" s="1087"/>
      <c r="P147" s="731"/>
      <c r="Q147" s="731"/>
      <c r="R147" s="731"/>
      <c r="S147" s="731"/>
      <c r="T147" s="731"/>
      <c r="U147" s="731"/>
      <c r="V147" s="731"/>
      <c r="W147" s="731"/>
      <c r="X147" s="731"/>
      <c r="Y147" s="731"/>
      <c r="Z147" s="731"/>
      <c r="AA147" s="731"/>
      <c r="AB147" s="731"/>
      <c r="AC147" s="731"/>
      <c r="AD147" s="731"/>
      <c r="AE147" s="731"/>
    </row>
    <row r="148" spans="1:14" ht="15.75">
      <c r="A148" s="758">
        <v>100</v>
      </c>
      <c r="B148" s="1089">
        <v>538700</v>
      </c>
      <c r="C148" s="759" t="s">
        <v>1222</v>
      </c>
      <c r="D148" s="759" t="s">
        <v>1111</v>
      </c>
      <c r="E148" s="759"/>
      <c r="F148" s="759"/>
      <c r="G148" s="759">
        <f>J148+K148</f>
        <v>241560</v>
      </c>
      <c r="H148" s="759">
        <v>0</v>
      </c>
      <c r="I148" s="759">
        <v>0</v>
      </c>
      <c r="J148" s="759">
        <f>K148*5</f>
        <v>201300</v>
      </c>
      <c r="K148" s="782">
        <v>40260</v>
      </c>
      <c r="L148" s="759">
        <v>0</v>
      </c>
      <c r="M148" s="759">
        <v>0</v>
      </c>
      <c r="N148" s="731" t="s">
        <v>855</v>
      </c>
    </row>
    <row r="149" spans="1:13" ht="15.75">
      <c r="A149" s="762">
        <v>101</v>
      </c>
      <c r="B149" s="1090">
        <v>1323001</v>
      </c>
      <c r="C149" s="763" t="s">
        <v>1223</v>
      </c>
      <c r="D149" s="763" t="s">
        <v>1196</v>
      </c>
      <c r="E149" s="763" t="s">
        <v>1096</v>
      </c>
      <c r="F149" s="763" t="s">
        <v>1224</v>
      </c>
      <c r="G149" s="763">
        <f aca="true" t="shared" si="28" ref="G149:G176">J149+K149</f>
        <v>23790</v>
      </c>
      <c r="H149" s="759">
        <v>0</v>
      </c>
      <c r="I149" s="759">
        <v>0</v>
      </c>
      <c r="J149" s="763">
        <f aca="true" t="shared" si="29" ref="J149:J176">K149*5</f>
        <v>19825</v>
      </c>
      <c r="K149" s="783">
        <v>3965</v>
      </c>
      <c r="L149" s="759">
        <v>0</v>
      </c>
      <c r="M149" s="759">
        <v>0</v>
      </c>
    </row>
    <row r="150" spans="1:13" ht="15.75">
      <c r="A150" s="762">
        <v>102</v>
      </c>
      <c r="B150" s="1090">
        <v>1323002</v>
      </c>
      <c r="C150" s="763" t="s">
        <v>1225</v>
      </c>
      <c r="D150" s="763" t="s">
        <v>1118</v>
      </c>
      <c r="E150" s="763" t="s">
        <v>1096</v>
      </c>
      <c r="F150" s="763" t="s">
        <v>1119</v>
      </c>
      <c r="G150" s="763">
        <f t="shared" si="28"/>
        <v>247500</v>
      </c>
      <c r="H150" s="759">
        <v>0</v>
      </c>
      <c r="I150" s="759">
        <v>0</v>
      </c>
      <c r="J150" s="763">
        <f t="shared" si="29"/>
        <v>206250</v>
      </c>
      <c r="K150" s="783">
        <v>41250</v>
      </c>
      <c r="L150" s="759">
        <v>0</v>
      </c>
      <c r="M150" s="759">
        <v>0</v>
      </c>
    </row>
    <row r="151" spans="1:13" ht="15.75">
      <c r="A151" s="762">
        <v>103</v>
      </c>
      <c r="B151" s="1090">
        <v>1323003</v>
      </c>
      <c r="C151" s="763" t="s">
        <v>1226</v>
      </c>
      <c r="D151" s="763" t="s">
        <v>1227</v>
      </c>
      <c r="E151" s="763" t="s">
        <v>1096</v>
      </c>
      <c r="F151" s="763" t="s">
        <v>1153</v>
      </c>
      <c r="G151" s="763">
        <f t="shared" si="28"/>
        <v>366000</v>
      </c>
      <c r="H151" s="759">
        <v>0</v>
      </c>
      <c r="I151" s="759">
        <v>0</v>
      </c>
      <c r="J151" s="763">
        <f t="shared" si="29"/>
        <v>305000</v>
      </c>
      <c r="K151" s="783">
        <v>61000</v>
      </c>
      <c r="L151" s="759">
        <v>0</v>
      </c>
      <c r="M151" s="759">
        <v>0</v>
      </c>
    </row>
    <row r="152" spans="1:13" ht="15.75">
      <c r="A152" s="762">
        <v>104</v>
      </c>
      <c r="B152" s="1090">
        <v>1323004</v>
      </c>
      <c r="C152" s="763" t="s">
        <v>1228</v>
      </c>
      <c r="D152" s="763" t="s">
        <v>1161</v>
      </c>
      <c r="E152" s="763" t="s">
        <v>1096</v>
      </c>
      <c r="F152" s="763" t="s">
        <v>1162</v>
      </c>
      <c r="G152" s="763">
        <f t="shared" si="28"/>
        <v>28002</v>
      </c>
      <c r="H152" s="759">
        <v>0</v>
      </c>
      <c r="I152" s="759">
        <v>0</v>
      </c>
      <c r="J152" s="763">
        <f t="shared" si="29"/>
        <v>23335</v>
      </c>
      <c r="K152" s="783">
        <v>4667</v>
      </c>
      <c r="L152" s="759">
        <v>0</v>
      </c>
      <c r="M152" s="759">
        <v>0</v>
      </c>
    </row>
    <row r="153" spans="1:13" ht="15.75">
      <c r="A153" s="762">
        <v>105</v>
      </c>
      <c r="B153" s="1090">
        <v>1323005</v>
      </c>
      <c r="C153" s="763" t="s">
        <v>1229</v>
      </c>
      <c r="D153" s="763" t="s">
        <v>1128</v>
      </c>
      <c r="E153" s="763" t="s">
        <v>1096</v>
      </c>
      <c r="F153" s="763" t="s">
        <v>1129</v>
      </c>
      <c r="G153" s="763">
        <f t="shared" si="28"/>
        <v>18900</v>
      </c>
      <c r="H153" s="759">
        <v>0</v>
      </c>
      <c r="I153" s="759">
        <v>0</v>
      </c>
      <c r="J153" s="763">
        <f t="shared" si="29"/>
        <v>15750</v>
      </c>
      <c r="K153" s="783">
        <v>3150</v>
      </c>
      <c r="L153" s="759">
        <v>0</v>
      </c>
      <c r="M153" s="759">
        <v>0</v>
      </c>
    </row>
    <row r="154" spans="1:13" ht="15.75">
      <c r="A154" s="762">
        <v>106</v>
      </c>
      <c r="B154" s="1090">
        <v>1323006</v>
      </c>
      <c r="C154" s="763" t="s">
        <v>1217</v>
      </c>
      <c r="D154" s="763" t="s">
        <v>1063</v>
      </c>
      <c r="E154" s="763" t="s">
        <v>1096</v>
      </c>
      <c r="F154" s="763" t="s">
        <v>1150</v>
      </c>
      <c r="G154" s="763">
        <f t="shared" si="28"/>
        <v>18798</v>
      </c>
      <c r="H154" s="759">
        <v>0</v>
      </c>
      <c r="I154" s="759">
        <v>0</v>
      </c>
      <c r="J154" s="763">
        <f t="shared" si="29"/>
        <v>15665</v>
      </c>
      <c r="K154" s="783">
        <v>3133</v>
      </c>
      <c r="L154" s="759">
        <v>0</v>
      </c>
      <c r="M154" s="759">
        <v>0</v>
      </c>
    </row>
    <row r="155" spans="1:13" ht="15.75">
      <c r="A155" s="762">
        <v>107</v>
      </c>
      <c r="B155" s="1090">
        <v>1323007</v>
      </c>
      <c r="C155" s="763" t="s">
        <v>1218</v>
      </c>
      <c r="D155" s="763" t="s">
        <v>1230</v>
      </c>
      <c r="E155" s="763" t="s">
        <v>1096</v>
      </c>
      <c r="F155" s="763" t="s">
        <v>1231</v>
      </c>
      <c r="G155" s="763">
        <f t="shared" si="28"/>
        <v>187998</v>
      </c>
      <c r="H155" s="759">
        <v>0</v>
      </c>
      <c r="I155" s="759">
        <v>0</v>
      </c>
      <c r="J155" s="763">
        <f t="shared" si="29"/>
        <v>156665</v>
      </c>
      <c r="K155" s="783">
        <v>31333</v>
      </c>
      <c r="L155" s="759">
        <v>0</v>
      </c>
      <c r="M155" s="759">
        <v>0</v>
      </c>
    </row>
    <row r="156" spans="1:13" ht="15.75">
      <c r="A156" s="762">
        <v>108</v>
      </c>
      <c r="B156" s="1090">
        <v>1323008</v>
      </c>
      <c r="C156" s="763" t="s">
        <v>1218</v>
      </c>
      <c r="D156" s="763" t="s">
        <v>1111</v>
      </c>
      <c r="E156" s="763" t="s">
        <v>1096</v>
      </c>
      <c r="F156" s="763"/>
      <c r="G156" s="763">
        <f t="shared" si="28"/>
        <v>466830</v>
      </c>
      <c r="H156" s="759">
        <v>0</v>
      </c>
      <c r="I156" s="759">
        <v>0</v>
      </c>
      <c r="J156" s="763">
        <f t="shared" si="29"/>
        <v>389025</v>
      </c>
      <c r="K156" s="783">
        <v>77805</v>
      </c>
      <c r="L156" s="759">
        <v>0</v>
      </c>
      <c r="M156" s="759">
        <v>0</v>
      </c>
    </row>
    <row r="157" spans="1:13" ht="15.75">
      <c r="A157" s="762">
        <v>109</v>
      </c>
      <c r="B157" s="1090">
        <v>1323009</v>
      </c>
      <c r="C157" s="763" t="s">
        <v>1232</v>
      </c>
      <c r="D157" s="763" t="s">
        <v>1128</v>
      </c>
      <c r="E157" s="763" t="s">
        <v>1096</v>
      </c>
      <c r="F157" s="763" t="s">
        <v>1129</v>
      </c>
      <c r="G157" s="763">
        <f t="shared" si="28"/>
        <v>28200</v>
      </c>
      <c r="H157" s="759">
        <v>0</v>
      </c>
      <c r="I157" s="759">
        <v>0</v>
      </c>
      <c r="J157" s="763">
        <f t="shared" si="29"/>
        <v>23500</v>
      </c>
      <c r="K157" s="783">
        <v>4700</v>
      </c>
      <c r="L157" s="759">
        <v>0</v>
      </c>
      <c r="M157" s="759">
        <v>0</v>
      </c>
    </row>
    <row r="158" spans="1:13" ht="15.75">
      <c r="A158" s="762">
        <v>110</v>
      </c>
      <c r="B158" s="1090">
        <v>1323010</v>
      </c>
      <c r="C158" s="763" t="s">
        <v>1233</v>
      </c>
      <c r="D158" s="763" t="s">
        <v>1214</v>
      </c>
      <c r="E158" s="763" t="s">
        <v>1096</v>
      </c>
      <c r="F158" s="763" t="s">
        <v>1105</v>
      </c>
      <c r="G158" s="763">
        <f t="shared" si="28"/>
        <v>67602</v>
      </c>
      <c r="H158" s="759">
        <v>0</v>
      </c>
      <c r="I158" s="759">
        <v>0</v>
      </c>
      <c r="J158" s="763">
        <f t="shared" si="29"/>
        <v>56335</v>
      </c>
      <c r="K158" s="783">
        <v>11267</v>
      </c>
      <c r="L158" s="759">
        <v>0</v>
      </c>
      <c r="M158" s="759">
        <v>0</v>
      </c>
    </row>
    <row r="159" spans="1:13" ht="15.75">
      <c r="A159" s="762">
        <v>111</v>
      </c>
      <c r="B159" s="1090">
        <v>1323011</v>
      </c>
      <c r="C159" s="763" t="s">
        <v>1219</v>
      </c>
      <c r="D159" s="763" t="s">
        <v>1188</v>
      </c>
      <c r="E159" s="763" t="s">
        <v>1096</v>
      </c>
      <c r="F159" s="763" t="s">
        <v>1189</v>
      </c>
      <c r="G159" s="763">
        <f t="shared" si="28"/>
        <v>56100</v>
      </c>
      <c r="H159" s="759">
        <v>0</v>
      </c>
      <c r="I159" s="759">
        <v>0</v>
      </c>
      <c r="J159" s="763">
        <f t="shared" si="29"/>
        <v>46750</v>
      </c>
      <c r="K159" s="783">
        <v>9350</v>
      </c>
      <c r="L159" s="759">
        <v>0</v>
      </c>
      <c r="M159" s="759">
        <v>0</v>
      </c>
    </row>
    <row r="160" spans="1:13" ht="15.75">
      <c r="A160" s="762">
        <v>112</v>
      </c>
      <c r="B160" s="1090">
        <v>1323012</v>
      </c>
      <c r="C160" s="763" t="s">
        <v>1234</v>
      </c>
      <c r="D160" s="763" t="s">
        <v>1199</v>
      </c>
      <c r="E160" s="763" t="s">
        <v>1096</v>
      </c>
      <c r="F160" s="763" t="s">
        <v>1200</v>
      </c>
      <c r="G160" s="763">
        <f t="shared" si="28"/>
        <v>376002</v>
      </c>
      <c r="H160" s="759">
        <v>0</v>
      </c>
      <c r="I160" s="759">
        <v>0</v>
      </c>
      <c r="J160" s="763">
        <f t="shared" si="29"/>
        <v>313335</v>
      </c>
      <c r="K160" s="783">
        <v>62667</v>
      </c>
      <c r="L160" s="759">
        <v>0</v>
      </c>
      <c r="M160" s="759">
        <v>0</v>
      </c>
    </row>
    <row r="161" spans="1:13" ht="15.75">
      <c r="A161" s="762">
        <v>113</v>
      </c>
      <c r="B161" s="1090">
        <v>1323013</v>
      </c>
      <c r="C161" s="763" t="s">
        <v>1234</v>
      </c>
      <c r="D161" s="763" t="s">
        <v>1235</v>
      </c>
      <c r="E161" s="763" t="s">
        <v>1096</v>
      </c>
      <c r="F161" s="763" t="s">
        <v>1236</v>
      </c>
      <c r="G161" s="763">
        <f t="shared" si="28"/>
        <v>10002</v>
      </c>
      <c r="H161" s="759">
        <v>0</v>
      </c>
      <c r="I161" s="759">
        <v>0</v>
      </c>
      <c r="J161" s="763">
        <f t="shared" si="29"/>
        <v>8335</v>
      </c>
      <c r="K161" s="783">
        <v>1667</v>
      </c>
      <c r="L161" s="759">
        <v>0</v>
      </c>
      <c r="M161" s="759">
        <v>0</v>
      </c>
    </row>
    <row r="162" spans="1:13" ht="15.75">
      <c r="A162" s="762">
        <v>114</v>
      </c>
      <c r="B162" s="1090">
        <v>1323014</v>
      </c>
      <c r="C162" s="763" t="s">
        <v>1234</v>
      </c>
      <c r="D162" s="763" t="s">
        <v>1237</v>
      </c>
      <c r="E162" s="763" t="s">
        <v>1096</v>
      </c>
      <c r="F162" s="763" t="s">
        <v>1138</v>
      </c>
      <c r="G162" s="763">
        <f t="shared" si="28"/>
        <v>27726</v>
      </c>
      <c r="H162" s="759">
        <v>0</v>
      </c>
      <c r="I162" s="759">
        <v>0</v>
      </c>
      <c r="J162" s="763">
        <f t="shared" si="29"/>
        <v>23105</v>
      </c>
      <c r="K162" s="783">
        <v>4621</v>
      </c>
      <c r="L162" s="759">
        <v>0</v>
      </c>
      <c r="M162" s="759">
        <v>0</v>
      </c>
    </row>
    <row r="163" spans="1:13" ht="15.75">
      <c r="A163" s="762">
        <v>115</v>
      </c>
      <c r="B163" s="1090">
        <v>1323015</v>
      </c>
      <c r="C163" s="763" t="s">
        <v>1234</v>
      </c>
      <c r="D163" s="763" t="s">
        <v>1214</v>
      </c>
      <c r="E163" s="763" t="s">
        <v>1096</v>
      </c>
      <c r="F163" s="763" t="s">
        <v>1105</v>
      </c>
      <c r="G163" s="763">
        <f t="shared" si="28"/>
        <v>156288</v>
      </c>
      <c r="H163" s="759">
        <v>0</v>
      </c>
      <c r="I163" s="759">
        <v>0</v>
      </c>
      <c r="J163" s="763">
        <f t="shared" si="29"/>
        <v>130240</v>
      </c>
      <c r="K163" s="783">
        <v>26048</v>
      </c>
      <c r="L163" s="759">
        <v>0</v>
      </c>
      <c r="M163" s="759">
        <v>0</v>
      </c>
    </row>
    <row r="164" spans="1:13" ht="15.75">
      <c r="A164" s="762">
        <v>116</v>
      </c>
      <c r="B164" s="1090">
        <v>1323016</v>
      </c>
      <c r="C164" s="763" t="s">
        <v>1238</v>
      </c>
      <c r="D164" s="763" t="s">
        <v>1239</v>
      </c>
      <c r="E164" s="763" t="s">
        <v>1096</v>
      </c>
      <c r="F164" s="763" t="s">
        <v>1240</v>
      </c>
      <c r="G164" s="763">
        <f t="shared" si="28"/>
        <v>74802</v>
      </c>
      <c r="H164" s="759">
        <v>0</v>
      </c>
      <c r="I164" s="759">
        <v>0</v>
      </c>
      <c r="J164" s="763">
        <f t="shared" si="29"/>
        <v>62335</v>
      </c>
      <c r="K164" s="783">
        <v>12467</v>
      </c>
      <c r="L164" s="759">
        <v>0</v>
      </c>
      <c r="M164" s="759">
        <v>0</v>
      </c>
    </row>
    <row r="165" spans="1:13" ht="15.75">
      <c r="A165" s="762">
        <v>117</v>
      </c>
      <c r="B165" s="1090">
        <v>1323017</v>
      </c>
      <c r="C165" s="763" t="s">
        <v>1238</v>
      </c>
      <c r="D165" s="763" t="s">
        <v>1203</v>
      </c>
      <c r="E165" s="763" t="s">
        <v>1096</v>
      </c>
      <c r="F165" s="763" t="s">
        <v>1204</v>
      </c>
      <c r="G165" s="763">
        <f t="shared" si="28"/>
        <v>28200</v>
      </c>
      <c r="H165" s="759">
        <v>0</v>
      </c>
      <c r="I165" s="759">
        <v>0</v>
      </c>
      <c r="J165" s="763">
        <f t="shared" si="29"/>
        <v>23500</v>
      </c>
      <c r="K165" s="783">
        <v>4700</v>
      </c>
      <c r="L165" s="759">
        <v>0</v>
      </c>
      <c r="M165" s="759">
        <v>0</v>
      </c>
    </row>
    <row r="166" spans="1:13" ht="15.75">
      <c r="A166" s="762">
        <v>118</v>
      </c>
      <c r="B166" s="1090">
        <v>1323018</v>
      </c>
      <c r="C166" s="763" t="s">
        <v>1238</v>
      </c>
      <c r="D166" s="763" t="s">
        <v>1111</v>
      </c>
      <c r="E166" s="763" t="s">
        <v>1096</v>
      </c>
      <c r="F166" s="763"/>
      <c r="G166" s="763">
        <f t="shared" si="28"/>
        <v>526548</v>
      </c>
      <c r="H166" s="759">
        <v>0</v>
      </c>
      <c r="I166" s="759">
        <v>0</v>
      </c>
      <c r="J166" s="763">
        <f t="shared" si="29"/>
        <v>438790</v>
      </c>
      <c r="K166" s="783">
        <v>87758</v>
      </c>
      <c r="L166" s="759">
        <v>0</v>
      </c>
      <c r="M166" s="759">
        <v>0</v>
      </c>
    </row>
    <row r="167" spans="1:13" ht="15.75">
      <c r="A167" s="762">
        <v>119</v>
      </c>
      <c r="B167" s="1090">
        <v>1323019</v>
      </c>
      <c r="C167" s="763" t="s">
        <v>1241</v>
      </c>
      <c r="D167" s="763" t="s">
        <v>1242</v>
      </c>
      <c r="E167" s="763" t="s">
        <v>1096</v>
      </c>
      <c r="F167" s="763" t="s">
        <v>1243</v>
      </c>
      <c r="G167" s="763">
        <f t="shared" si="28"/>
        <v>37800</v>
      </c>
      <c r="H167" s="759">
        <v>0</v>
      </c>
      <c r="I167" s="759">
        <v>0</v>
      </c>
      <c r="J167" s="763">
        <f t="shared" si="29"/>
        <v>31500</v>
      </c>
      <c r="K167" s="783">
        <v>6300</v>
      </c>
      <c r="L167" s="759">
        <v>0</v>
      </c>
      <c r="M167" s="759">
        <v>0</v>
      </c>
    </row>
    <row r="168" spans="1:13" ht="15.75">
      <c r="A168" s="762">
        <v>120</v>
      </c>
      <c r="B168" s="1090">
        <v>1323020</v>
      </c>
      <c r="C168" s="763" t="s">
        <v>1244</v>
      </c>
      <c r="D168" s="763" t="s">
        <v>1101</v>
      </c>
      <c r="E168" s="763" t="s">
        <v>1096</v>
      </c>
      <c r="F168" s="763" t="s">
        <v>1102</v>
      </c>
      <c r="G168" s="763">
        <f t="shared" si="28"/>
        <v>30000</v>
      </c>
      <c r="H168" s="759">
        <v>0</v>
      </c>
      <c r="I168" s="759">
        <v>0</v>
      </c>
      <c r="J168" s="763">
        <f t="shared" si="29"/>
        <v>25000</v>
      </c>
      <c r="K168" s="783">
        <v>5000</v>
      </c>
      <c r="L168" s="759">
        <v>0</v>
      </c>
      <c r="M168" s="759">
        <v>0</v>
      </c>
    </row>
    <row r="169" spans="1:13" ht="15.75">
      <c r="A169" s="762">
        <v>121</v>
      </c>
      <c r="B169" s="1090">
        <v>1323021</v>
      </c>
      <c r="C169" s="763" t="s">
        <v>1244</v>
      </c>
      <c r="D169" s="763" t="s">
        <v>1214</v>
      </c>
      <c r="E169" s="763" t="s">
        <v>1104</v>
      </c>
      <c r="F169" s="763" t="s">
        <v>1105</v>
      </c>
      <c r="G169" s="763">
        <f t="shared" si="28"/>
        <v>106590</v>
      </c>
      <c r="H169" s="759">
        <v>0</v>
      </c>
      <c r="I169" s="759">
        <v>0</v>
      </c>
      <c r="J169" s="763">
        <f t="shared" si="29"/>
        <v>88825</v>
      </c>
      <c r="K169" s="783">
        <v>17765</v>
      </c>
      <c r="L169" s="759">
        <v>0</v>
      </c>
      <c r="M169" s="759">
        <v>0</v>
      </c>
    </row>
    <row r="170" spans="1:13" ht="15.75">
      <c r="A170" s="762">
        <v>122</v>
      </c>
      <c r="B170" s="1090">
        <v>1323022</v>
      </c>
      <c r="C170" s="763" t="s">
        <v>1245</v>
      </c>
      <c r="D170" s="763" t="s">
        <v>1227</v>
      </c>
      <c r="E170" s="763" t="s">
        <v>1096</v>
      </c>
      <c r="F170" s="763" t="s">
        <v>1153</v>
      </c>
      <c r="G170" s="763">
        <f t="shared" si="28"/>
        <v>453834</v>
      </c>
      <c r="H170" s="759">
        <v>0</v>
      </c>
      <c r="I170" s="759">
        <v>0</v>
      </c>
      <c r="J170" s="763">
        <f t="shared" si="29"/>
        <v>378195</v>
      </c>
      <c r="K170" s="783">
        <v>75639</v>
      </c>
      <c r="L170" s="759">
        <v>0</v>
      </c>
      <c r="M170" s="759">
        <v>0</v>
      </c>
    </row>
    <row r="171" spans="1:13" ht="15.75">
      <c r="A171" s="762">
        <v>123</v>
      </c>
      <c r="B171" s="1090">
        <v>1323023</v>
      </c>
      <c r="C171" s="763" t="s">
        <v>1246</v>
      </c>
      <c r="D171" s="763" t="s">
        <v>1063</v>
      </c>
      <c r="E171" s="763" t="s">
        <v>1096</v>
      </c>
      <c r="F171" s="763" t="s">
        <v>1150</v>
      </c>
      <c r="G171" s="763">
        <f t="shared" si="28"/>
        <v>26184</v>
      </c>
      <c r="H171" s="759">
        <v>0</v>
      </c>
      <c r="I171" s="759">
        <v>0</v>
      </c>
      <c r="J171" s="763">
        <f t="shared" si="29"/>
        <v>21820</v>
      </c>
      <c r="K171" s="783">
        <v>4364</v>
      </c>
      <c r="L171" s="759">
        <v>0</v>
      </c>
      <c r="M171" s="759">
        <v>0</v>
      </c>
    </row>
    <row r="172" spans="1:13" ht="15.75">
      <c r="A172" s="762">
        <v>124</v>
      </c>
      <c r="B172" s="1090">
        <v>1323024</v>
      </c>
      <c r="C172" s="763" t="s">
        <v>1246</v>
      </c>
      <c r="D172" s="763" t="s">
        <v>1161</v>
      </c>
      <c r="E172" s="763" t="s">
        <v>1096</v>
      </c>
      <c r="F172" s="763" t="s">
        <v>1162</v>
      </c>
      <c r="G172" s="763">
        <f t="shared" si="28"/>
        <v>113520</v>
      </c>
      <c r="H172" s="759">
        <v>0</v>
      </c>
      <c r="I172" s="759">
        <v>0</v>
      </c>
      <c r="J172" s="763">
        <f t="shared" si="29"/>
        <v>94600</v>
      </c>
      <c r="K172" s="783">
        <v>18920</v>
      </c>
      <c r="L172" s="759">
        <v>0</v>
      </c>
      <c r="M172" s="759">
        <v>0</v>
      </c>
    </row>
    <row r="173" spans="1:13" ht="15.75">
      <c r="A173" s="762">
        <v>125</v>
      </c>
      <c r="B173" s="1090">
        <v>1323025</v>
      </c>
      <c r="C173" s="763" t="s">
        <v>1247</v>
      </c>
      <c r="D173" s="763" t="s">
        <v>1211</v>
      </c>
      <c r="E173" s="763" t="s">
        <v>1096</v>
      </c>
      <c r="F173" s="763" t="s">
        <v>1158</v>
      </c>
      <c r="G173" s="763">
        <f t="shared" si="28"/>
        <v>330870</v>
      </c>
      <c r="H173" s="759">
        <v>0</v>
      </c>
      <c r="I173" s="759">
        <v>0</v>
      </c>
      <c r="J173" s="763">
        <f t="shared" si="29"/>
        <v>275725</v>
      </c>
      <c r="K173" s="783">
        <v>55145</v>
      </c>
      <c r="L173" s="759">
        <v>0</v>
      </c>
      <c r="M173" s="759">
        <v>0</v>
      </c>
    </row>
    <row r="174" spans="1:13" ht="15.75">
      <c r="A174" s="762">
        <v>126</v>
      </c>
      <c r="B174" s="1090">
        <v>1323026</v>
      </c>
      <c r="C174" s="763" t="s">
        <v>1247</v>
      </c>
      <c r="D174" s="763" t="s">
        <v>1155</v>
      </c>
      <c r="E174" s="763" t="s">
        <v>1099</v>
      </c>
      <c r="F174" s="763" t="s">
        <v>1156</v>
      </c>
      <c r="G174" s="763">
        <f t="shared" si="28"/>
        <v>160464</v>
      </c>
      <c r="H174" s="759">
        <v>0</v>
      </c>
      <c r="I174" s="759">
        <v>0</v>
      </c>
      <c r="J174" s="763">
        <f t="shared" si="29"/>
        <v>133720</v>
      </c>
      <c r="K174" s="783">
        <v>26744</v>
      </c>
      <c r="L174" s="759">
        <v>0</v>
      </c>
      <c r="M174" s="759">
        <v>0</v>
      </c>
    </row>
    <row r="175" spans="1:13" ht="15.75">
      <c r="A175" s="762">
        <v>127</v>
      </c>
      <c r="B175" s="1090">
        <v>1323027</v>
      </c>
      <c r="C175" s="763" t="s">
        <v>1247</v>
      </c>
      <c r="D175" s="763" t="s">
        <v>1214</v>
      </c>
      <c r="E175" s="763" t="s">
        <v>1096</v>
      </c>
      <c r="F175" s="763" t="s">
        <v>1105</v>
      </c>
      <c r="G175" s="763">
        <f t="shared" si="28"/>
        <v>57978</v>
      </c>
      <c r="H175" s="759">
        <v>0</v>
      </c>
      <c r="I175" s="759">
        <v>0</v>
      </c>
      <c r="J175" s="763">
        <f t="shared" si="29"/>
        <v>48315</v>
      </c>
      <c r="K175" s="783">
        <v>9663</v>
      </c>
      <c r="L175" s="759">
        <v>0</v>
      </c>
      <c r="M175" s="759">
        <v>0</v>
      </c>
    </row>
    <row r="176" spans="1:13" ht="16.5" thickBot="1">
      <c r="A176" s="784">
        <v>128</v>
      </c>
      <c r="B176" s="1091">
        <v>1323028</v>
      </c>
      <c r="C176" s="785" t="s">
        <v>1248</v>
      </c>
      <c r="D176" s="785" t="s">
        <v>1111</v>
      </c>
      <c r="E176" s="785" t="s">
        <v>1096</v>
      </c>
      <c r="F176" s="785"/>
      <c r="G176" s="785">
        <f t="shared" si="28"/>
        <v>515700</v>
      </c>
      <c r="H176" s="1104">
        <v>0</v>
      </c>
      <c r="I176" s="1104">
        <v>0</v>
      </c>
      <c r="J176" s="785">
        <f t="shared" si="29"/>
        <v>429750</v>
      </c>
      <c r="K176" s="786">
        <v>85950</v>
      </c>
      <c r="L176" s="1104">
        <v>0</v>
      </c>
      <c r="M176" s="1104">
        <v>0</v>
      </c>
    </row>
    <row r="177" spans="1:13" ht="16.5" thickBot="1">
      <c r="A177" s="1389" t="s">
        <v>822</v>
      </c>
      <c r="B177" s="1390"/>
      <c r="C177" s="1390"/>
      <c r="D177" s="1390"/>
      <c r="E177" s="1390"/>
      <c r="F177" s="1391"/>
      <c r="G177" s="1020">
        <f>SUM(G132:G176)</f>
        <v>7872930</v>
      </c>
      <c r="H177" s="1105">
        <v>0</v>
      </c>
      <c r="I177" s="1105">
        <v>0</v>
      </c>
      <c r="J177" s="1020">
        <f>SUM(J132:J176)</f>
        <v>6560775</v>
      </c>
      <c r="K177" s="1021">
        <f>SUM(K132:K176)</f>
        <v>1312155</v>
      </c>
      <c r="L177" s="1105">
        <v>0</v>
      </c>
      <c r="M177" s="1106">
        <v>0</v>
      </c>
    </row>
    <row r="178" spans="1:13" ht="16.5" thickBot="1">
      <c r="A178" s="1392" t="s">
        <v>823</v>
      </c>
      <c r="B178" s="1393"/>
      <c r="C178" s="1393"/>
      <c r="D178" s="1393"/>
      <c r="E178" s="1393"/>
      <c r="F178" s="1393"/>
      <c r="G178" s="1393"/>
      <c r="H178" s="781" t="s">
        <v>824</v>
      </c>
      <c r="I178" s="765" t="s">
        <v>825</v>
      </c>
      <c r="J178" s="781" t="s">
        <v>826</v>
      </c>
      <c r="K178" s="766" t="s">
        <v>827</v>
      </c>
      <c r="L178" s="781" t="s">
        <v>828</v>
      </c>
      <c r="M178" s="766" t="s">
        <v>829</v>
      </c>
    </row>
    <row r="179" spans="1:13" ht="15.75">
      <c r="A179" s="731"/>
      <c r="B179" s="1087"/>
      <c r="C179" s="731"/>
      <c r="D179" s="731"/>
      <c r="E179" s="731"/>
      <c r="F179" s="731"/>
      <c r="G179" s="731"/>
      <c r="H179" s="731"/>
      <c r="I179" s="731"/>
      <c r="J179" s="731"/>
      <c r="K179" s="731"/>
      <c r="L179" s="731"/>
      <c r="M179" s="731"/>
    </row>
    <row r="180" spans="1:13" ht="15.75">
      <c r="A180" s="731"/>
      <c r="B180" s="1087"/>
      <c r="C180" s="731"/>
      <c r="D180" s="731"/>
      <c r="E180" s="731"/>
      <c r="F180" s="731"/>
      <c r="G180" s="731"/>
      <c r="H180" s="731"/>
      <c r="I180" s="731"/>
      <c r="J180" s="731"/>
      <c r="K180" s="731"/>
      <c r="L180" s="731"/>
      <c r="M180" s="731"/>
    </row>
    <row r="181" spans="1:13" ht="15.75">
      <c r="A181" s="731"/>
      <c r="B181" s="1087"/>
      <c r="C181" s="731"/>
      <c r="D181" s="731"/>
      <c r="E181" s="731"/>
      <c r="F181" s="731"/>
      <c r="G181" s="731"/>
      <c r="H181" s="731"/>
      <c r="I181" s="731"/>
      <c r="J181" s="1017" t="s">
        <v>1249</v>
      </c>
      <c r="K181" s="731"/>
      <c r="L181" s="731"/>
      <c r="M181" s="731"/>
    </row>
    <row r="182" spans="1:13" ht="15.75">
      <c r="A182" s="731"/>
      <c r="B182" s="1087"/>
      <c r="C182" s="731"/>
      <c r="D182" s="731"/>
      <c r="E182" s="731"/>
      <c r="F182" s="731"/>
      <c r="G182" s="731"/>
      <c r="H182" s="731"/>
      <c r="I182" s="731"/>
      <c r="J182" s="731" t="s">
        <v>1122</v>
      </c>
      <c r="K182" s="731"/>
      <c r="L182" s="731"/>
      <c r="M182" s="731"/>
    </row>
    <row r="183" spans="1:13" ht="15.75">
      <c r="A183" s="731" t="s">
        <v>856</v>
      </c>
      <c r="B183" s="1087"/>
      <c r="C183" s="731"/>
      <c r="D183" s="731"/>
      <c r="E183" s="731"/>
      <c r="F183" s="731"/>
      <c r="G183" s="731"/>
      <c r="H183" s="731"/>
      <c r="I183" s="731"/>
      <c r="J183" s="731"/>
      <c r="K183" s="731"/>
      <c r="L183" s="731"/>
      <c r="M183" s="731"/>
    </row>
    <row r="184" spans="1:13" ht="15.75">
      <c r="A184" s="731" t="s">
        <v>848</v>
      </c>
      <c r="B184" s="1087"/>
      <c r="C184" s="731"/>
      <c r="D184" s="731"/>
      <c r="E184" s="731"/>
      <c r="F184" s="731"/>
      <c r="G184" s="731"/>
      <c r="H184" s="731"/>
      <c r="I184" s="731"/>
      <c r="J184" s="731"/>
      <c r="K184" s="731"/>
      <c r="L184" s="731"/>
      <c r="M184" s="731"/>
    </row>
    <row r="185" spans="1:13" ht="15.75">
      <c r="A185" s="731" t="s">
        <v>855</v>
      </c>
      <c r="B185" s="1087"/>
      <c r="K185" s="731"/>
      <c r="L185" s="731"/>
      <c r="M185" s="731"/>
    </row>
    <row r="186" spans="1:15" s="1082" customFormat="1" ht="11.25" customHeight="1">
      <c r="A186" s="1083"/>
      <c r="B186" s="1093"/>
      <c r="C186" s="1083"/>
      <c r="D186" s="1083"/>
      <c r="E186" s="1083"/>
      <c r="F186" s="1083"/>
      <c r="G186" s="1083"/>
      <c r="H186" s="1083"/>
      <c r="I186" s="1083"/>
      <c r="J186" s="1083"/>
      <c r="K186" s="1083"/>
      <c r="L186" s="1083"/>
      <c r="M186" s="1083"/>
      <c r="O186" s="1092"/>
    </row>
    <row r="187" spans="1:31" ht="19.5">
      <c r="A187" s="730" t="s">
        <v>794</v>
      </c>
      <c r="B187" s="1087"/>
      <c r="C187" s="731"/>
      <c r="D187" s="731"/>
      <c r="E187" s="731"/>
      <c r="F187" s="731"/>
      <c r="G187" s="731"/>
      <c r="H187" s="731"/>
      <c r="I187" s="731"/>
      <c r="J187" s="731"/>
      <c r="K187" s="731"/>
      <c r="L187" s="731"/>
      <c r="M187" s="731"/>
      <c r="N187" s="730" t="s">
        <v>795</v>
      </c>
      <c r="O187" s="1087"/>
      <c r="P187" s="731"/>
      <c r="Q187" s="731"/>
      <c r="R187" s="731"/>
      <c r="S187" s="731"/>
      <c r="T187" s="731"/>
      <c r="U187" s="731"/>
      <c r="V187" s="731"/>
      <c r="W187" s="731"/>
      <c r="X187" s="731"/>
      <c r="Y187" s="731"/>
      <c r="Z187" s="731"/>
      <c r="AA187" s="731"/>
      <c r="AB187" s="731"/>
      <c r="AC187" s="731"/>
      <c r="AD187" s="731"/>
      <c r="AE187" s="731"/>
    </row>
    <row r="188" spans="1:31" ht="15.75">
      <c r="A188" s="733" t="s">
        <v>796</v>
      </c>
      <c r="B188" s="1088"/>
      <c r="C188" s="731" t="s">
        <v>1042</v>
      </c>
      <c r="D188" s="731"/>
      <c r="E188" s="731"/>
      <c r="F188" s="731"/>
      <c r="G188" s="731"/>
      <c r="H188" s="731"/>
      <c r="I188" s="731"/>
      <c r="J188" s="731"/>
      <c r="K188" s="731"/>
      <c r="L188" s="731"/>
      <c r="M188" s="731"/>
      <c r="N188" s="733" t="s">
        <v>796</v>
      </c>
      <c r="O188" s="1088"/>
      <c r="P188" s="731" t="s">
        <v>1166</v>
      </c>
      <c r="Q188" s="731"/>
      <c r="R188" s="731"/>
      <c r="S188" s="731"/>
      <c r="T188" s="731"/>
      <c r="U188" s="731"/>
      <c r="V188" s="731"/>
      <c r="W188" s="731"/>
      <c r="X188" s="731"/>
      <c r="Y188" s="731"/>
      <c r="Z188" s="731"/>
      <c r="AA188" s="731"/>
      <c r="AB188" s="731"/>
      <c r="AC188" s="731"/>
      <c r="AD188" s="731"/>
      <c r="AE188" s="731"/>
    </row>
    <row r="189" spans="1:31" ht="15.75">
      <c r="A189" s="733" t="s">
        <v>413</v>
      </c>
      <c r="B189" s="1088"/>
      <c r="C189" s="731" t="s">
        <v>1043</v>
      </c>
      <c r="D189" s="731"/>
      <c r="E189" s="731"/>
      <c r="F189" s="731"/>
      <c r="G189" s="731"/>
      <c r="H189" s="731"/>
      <c r="I189" s="731"/>
      <c r="J189" s="731"/>
      <c r="K189" s="731"/>
      <c r="L189" s="731"/>
      <c r="M189" s="731"/>
      <c r="N189" s="733" t="s">
        <v>413</v>
      </c>
      <c r="O189" s="1088"/>
      <c r="P189" s="731" t="s">
        <v>1043</v>
      </c>
      <c r="Q189" s="731"/>
      <c r="R189" s="731"/>
      <c r="S189" s="731"/>
      <c r="T189" s="731"/>
      <c r="U189" s="731"/>
      <c r="V189" s="731"/>
      <c r="W189" s="731"/>
      <c r="X189" s="731"/>
      <c r="Y189" s="731"/>
      <c r="Z189" s="731"/>
      <c r="AA189" s="731"/>
      <c r="AB189" s="731"/>
      <c r="AC189" s="731"/>
      <c r="AD189" s="731"/>
      <c r="AE189" s="731"/>
    </row>
    <row r="190" spans="1:31" ht="15.75">
      <c r="A190" s="733" t="s">
        <v>797</v>
      </c>
      <c r="B190" s="1088"/>
      <c r="C190" s="731">
        <v>2012</v>
      </c>
      <c r="D190" s="731"/>
      <c r="E190" s="731"/>
      <c r="F190" s="731"/>
      <c r="G190" s="731"/>
      <c r="H190" s="731"/>
      <c r="I190" s="731"/>
      <c r="J190" s="731"/>
      <c r="K190" s="731"/>
      <c r="L190" s="731"/>
      <c r="M190" s="731"/>
      <c r="N190" s="733" t="s">
        <v>797</v>
      </c>
      <c r="O190" s="1088"/>
      <c r="P190" s="731">
        <v>2012</v>
      </c>
      <c r="Q190" s="731"/>
      <c r="R190" s="731"/>
      <c r="S190" s="731"/>
      <c r="T190" s="731"/>
      <c r="U190" s="731"/>
      <c r="V190" s="731"/>
      <c r="W190" s="731"/>
      <c r="X190" s="731"/>
      <c r="Y190" s="731"/>
      <c r="Z190" s="731"/>
      <c r="AA190" s="731"/>
      <c r="AB190" s="731"/>
      <c r="AC190" s="731"/>
      <c r="AD190" s="731"/>
      <c r="AE190" s="731"/>
    </row>
    <row r="191" spans="1:31" ht="15.75">
      <c r="A191" s="733" t="s">
        <v>166</v>
      </c>
      <c r="B191" s="1088"/>
      <c r="C191" s="731">
        <v>4</v>
      </c>
      <c r="D191" s="731"/>
      <c r="E191" s="731"/>
      <c r="F191" s="731"/>
      <c r="G191" s="731"/>
      <c r="H191" s="731"/>
      <c r="I191" s="731"/>
      <c r="J191" s="731"/>
      <c r="K191" s="731"/>
      <c r="L191" s="731"/>
      <c r="M191" s="731"/>
      <c r="N191" s="733" t="s">
        <v>166</v>
      </c>
      <c r="O191" s="1088"/>
      <c r="P191" s="731">
        <v>4</v>
      </c>
      <c r="Q191" s="731"/>
      <c r="R191" s="731"/>
      <c r="S191" s="731"/>
      <c r="T191" s="731"/>
      <c r="U191" s="731"/>
      <c r="V191" s="731"/>
      <c r="W191" s="731"/>
      <c r="X191" s="731"/>
      <c r="Y191" s="731"/>
      <c r="Z191" s="731"/>
      <c r="AA191" s="731"/>
      <c r="AB191" s="731"/>
      <c r="AC191" s="731"/>
      <c r="AD191" s="731"/>
      <c r="AE191" s="731"/>
    </row>
    <row r="192" spans="1:31" ht="16.5" thickBot="1">
      <c r="A192" s="733"/>
      <c r="B192" s="1088"/>
      <c r="C192" s="731"/>
      <c r="D192" s="731"/>
      <c r="E192" s="731"/>
      <c r="F192" s="731"/>
      <c r="G192" s="731"/>
      <c r="H192" s="731"/>
      <c r="I192" s="731"/>
      <c r="J192" s="731"/>
      <c r="K192" s="731"/>
      <c r="L192" s="731"/>
      <c r="M192" s="731"/>
      <c r="N192" s="733"/>
      <c r="O192" s="1088"/>
      <c r="P192" s="731"/>
      <c r="Q192" s="731"/>
      <c r="R192" s="731"/>
      <c r="S192" s="731"/>
      <c r="T192" s="731"/>
      <c r="U192" s="731"/>
      <c r="V192" s="731"/>
      <c r="W192" s="731"/>
      <c r="X192" s="731"/>
      <c r="Y192" s="731"/>
      <c r="Z192" s="731"/>
      <c r="AA192" s="731"/>
      <c r="AB192" s="731"/>
      <c r="AC192" s="731"/>
      <c r="AD192" s="731"/>
      <c r="AE192" s="731"/>
    </row>
    <row r="193" spans="1:31" ht="16.5" thickBot="1">
      <c r="A193" s="731" t="s">
        <v>799</v>
      </c>
      <c r="B193" s="781"/>
      <c r="C193" s="731" t="s">
        <v>835</v>
      </c>
      <c r="D193" s="731"/>
      <c r="E193" s="731"/>
      <c r="F193" s="731"/>
      <c r="G193" s="731"/>
      <c r="H193" s="731"/>
      <c r="I193" s="731"/>
      <c r="J193" s="731"/>
      <c r="K193" s="731"/>
      <c r="L193" s="731"/>
      <c r="M193" s="731"/>
      <c r="N193" s="731" t="s">
        <v>799</v>
      </c>
      <c r="O193" s="781"/>
      <c r="P193" s="731" t="s">
        <v>835</v>
      </c>
      <c r="Q193" s="731"/>
      <c r="R193" s="731"/>
      <c r="S193" s="731"/>
      <c r="T193" s="731"/>
      <c r="U193" s="731"/>
      <c r="V193" s="731"/>
      <c r="W193" s="731"/>
      <c r="X193" s="731"/>
      <c r="Y193" s="731"/>
      <c r="Z193" s="731"/>
      <c r="AA193" s="731"/>
      <c r="AB193" s="731"/>
      <c r="AC193" s="731"/>
      <c r="AD193" s="731"/>
      <c r="AE193" s="731"/>
    </row>
    <row r="194" spans="1:31" ht="16.5" thickBot="1">
      <c r="A194" s="731"/>
      <c r="B194" s="1087"/>
      <c r="C194" s="731"/>
      <c r="D194" s="731"/>
      <c r="E194" s="731"/>
      <c r="F194" s="731"/>
      <c r="G194" s="731"/>
      <c r="H194" s="731"/>
      <c r="I194" s="731"/>
      <c r="J194" s="731"/>
      <c r="K194" s="731"/>
      <c r="L194" s="731"/>
      <c r="M194" s="731"/>
      <c r="N194" s="731"/>
      <c r="O194" s="1087"/>
      <c r="P194" s="733"/>
      <c r="Q194" s="731"/>
      <c r="R194" s="731"/>
      <c r="S194" s="731"/>
      <c r="T194" s="731"/>
      <c r="U194" s="731"/>
      <c r="V194" s="731"/>
      <c r="W194" s="731"/>
      <c r="X194" s="731"/>
      <c r="Y194" s="731"/>
      <c r="Z194" s="731"/>
      <c r="AA194" s="731"/>
      <c r="AB194" s="731"/>
      <c r="AC194" s="731"/>
      <c r="AD194" s="731"/>
      <c r="AE194" s="731"/>
    </row>
    <row r="195" spans="1:31" ht="16.5" thickBot="1">
      <c r="A195" s="1401" t="s">
        <v>800</v>
      </c>
      <c r="B195" s="1409"/>
      <c r="C195" s="1402"/>
      <c r="D195" s="1401" t="s">
        <v>801</v>
      </c>
      <c r="E195" s="1409"/>
      <c r="F195" s="1402"/>
      <c r="G195" s="1398" t="s">
        <v>802</v>
      </c>
      <c r="H195" s="1398" t="s">
        <v>803</v>
      </c>
      <c r="I195" s="1398" t="s">
        <v>804</v>
      </c>
      <c r="J195" s="1401" t="s">
        <v>836</v>
      </c>
      <c r="K195" s="1402"/>
      <c r="L195" s="1401" t="s">
        <v>837</v>
      </c>
      <c r="M195" s="1402"/>
      <c r="N195" s="1405" t="s">
        <v>800</v>
      </c>
      <c r="O195" s="1406"/>
      <c r="P195" s="1407"/>
      <c r="Q195" s="1405" t="s">
        <v>805</v>
      </c>
      <c r="R195" s="1406"/>
      <c r="S195" s="1407"/>
      <c r="T195" s="1398" t="s">
        <v>806</v>
      </c>
      <c r="U195" s="1387" t="s">
        <v>807</v>
      </c>
      <c r="V195" s="1397"/>
      <c r="W195" s="1397"/>
      <c r="X195" s="1397"/>
      <c r="Y195" s="1397"/>
      <c r="Z195" s="1397"/>
      <c r="AA195" s="1397"/>
      <c r="AB195" s="1397"/>
      <c r="AC195" s="1397"/>
      <c r="AD195" s="1397"/>
      <c r="AE195" s="1388"/>
    </row>
    <row r="196" spans="1:31" ht="16.5" thickBot="1">
      <c r="A196" s="1403"/>
      <c r="B196" s="1410"/>
      <c r="C196" s="1404"/>
      <c r="D196" s="1403"/>
      <c r="E196" s="1410"/>
      <c r="F196" s="1404"/>
      <c r="G196" s="1408"/>
      <c r="H196" s="1408"/>
      <c r="I196" s="1408"/>
      <c r="J196" s="1403"/>
      <c r="K196" s="1404"/>
      <c r="L196" s="1403"/>
      <c r="M196" s="1404"/>
      <c r="N196" s="1398" t="s">
        <v>808</v>
      </c>
      <c r="O196" s="1398" t="s">
        <v>809</v>
      </c>
      <c r="P196" s="1398" t="s">
        <v>810</v>
      </c>
      <c r="Q196" s="1398" t="s">
        <v>811</v>
      </c>
      <c r="R196" s="1398" t="s">
        <v>812</v>
      </c>
      <c r="S196" s="1398" t="s">
        <v>813</v>
      </c>
      <c r="T196" s="1408"/>
      <c r="U196" s="1398" t="s">
        <v>814</v>
      </c>
      <c r="V196" s="1387" t="s">
        <v>838</v>
      </c>
      <c r="W196" s="1400"/>
      <c r="X196" s="1387" t="s">
        <v>839</v>
      </c>
      <c r="Y196" s="1400"/>
      <c r="Z196" s="1387" t="s">
        <v>840</v>
      </c>
      <c r="AA196" s="1388"/>
      <c r="AB196" s="1387" t="s">
        <v>841</v>
      </c>
      <c r="AC196" s="1388"/>
      <c r="AD196" s="1387" t="s">
        <v>815</v>
      </c>
      <c r="AE196" s="1388"/>
    </row>
    <row r="197" spans="1:31" ht="29.25" customHeight="1" thickBot="1">
      <c r="A197" s="748" t="s">
        <v>808</v>
      </c>
      <c r="B197" s="749" t="s">
        <v>809</v>
      </c>
      <c r="C197" s="750" t="s">
        <v>810</v>
      </c>
      <c r="D197" s="743" t="s">
        <v>816</v>
      </c>
      <c r="E197" s="746" t="s">
        <v>812</v>
      </c>
      <c r="F197" s="751" t="s">
        <v>406</v>
      </c>
      <c r="G197" s="1399"/>
      <c r="H197" s="1399"/>
      <c r="I197" s="1399"/>
      <c r="J197" s="751" t="s">
        <v>817</v>
      </c>
      <c r="K197" s="744" t="s">
        <v>818</v>
      </c>
      <c r="L197" s="751" t="s">
        <v>817</v>
      </c>
      <c r="M197" s="744" t="s">
        <v>818</v>
      </c>
      <c r="N197" s="1399"/>
      <c r="O197" s="1399"/>
      <c r="P197" s="1399"/>
      <c r="Q197" s="1399"/>
      <c r="R197" s="1399"/>
      <c r="S197" s="1399"/>
      <c r="T197" s="1399"/>
      <c r="U197" s="1399"/>
      <c r="V197" s="745" t="s">
        <v>817</v>
      </c>
      <c r="W197" s="752" t="s">
        <v>818</v>
      </c>
      <c r="X197" s="745" t="s">
        <v>817</v>
      </c>
      <c r="Y197" s="752" t="s">
        <v>818</v>
      </c>
      <c r="Z197" s="744" t="s">
        <v>819</v>
      </c>
      <c r="AA197" s="744" t="s">
        <v>820</v>
      </c>
      <c r="AB197" s="744" t="s">
        <v>819</v>
      </c>
      <c r="AC197" s="744" t="s">
        <v>820</v>
      </c>
      <c r="AD197" s="744" t="s">
        <v>819</v>
      </c>
      <c r="AE197" s="744" t="s">
        <v>820</v>
      </c>
    </row>
    <row r="198" spans="1:31" ht="20.25" customHeight="1" thickBot="1">
      <c r="A198" s="754" t="s">
        <v>510</v>
      </c>
      <c r="B198" s="755" t="s">
        <v>511</v>
      </c>
      <c r="C198" s="755" t="s">
        <v>598</v>
      </c>
      <c r="D198" s="755" t="s">
        <v>620</v>
      </c>
      <c r="E198" s="755" t="s">
        <v>622</v>
      </c>
      <c r="F198" s="755" t="s">
        <v>634</v>
      </c>
      <c r="G198" s="755" t="s">
        <v>842</v>
      </c>
      <c r="H198" s="755" t="s">
        <v>638</v>
      </c>
      <c r="I198" s="756" t="s">
        <v>640</v>
      </c>
      <c r="J198" s="755" t="s">
        <v>642</v>
      </c>
      <c r="K198" s="757" t="s">
        <v>644</v>
      </c>
      <c r="L198" s="755" t="s">
        <v>646</v>
      </c>
      <c r="M198" s="757" t="s">
        <v>650</v>
      </c>
      <c r="N198" s="777" t="s">
        <v>510</v>
      </c>
      <c r="O198" s="778" t="s">
        <v>511</v>
      </c>
      <c r="P198" s="778" t="s">
        <v>598</v>
      </c>
      <c r="Q198" s="778" t="s">
        <v>620</v>
      </c>
      <c r="R198" s="778" t="s">
        <v>622</v>
      </c>
      <c r="S198" s="778" t="s">
        <v>634</v>
      </c>
      <c r="T198" s="779" t="s">
        <v>843</v>
      </c>
      <c r="U198" s="778" t="s">
        <v>638</v>
      </c>
      <c r="V198" s="778" t="s">
        <v>640</v>
      </c>
      <c r="W198" s="778" t="s">
        <v>642</v>
      </c>
      <c r="X198" s="778" t="s">
        <v>644</v>
      </c>
      <c r="Y198" s="778" t="s">
        <v>646</v>
      </c>
      <c r="Z198" s="778" t="s">
        <v>650</v>
      </c>
      <c r="AA198" s="778" t="s">
        <v>821</v>
      </c>
      <c r="AB198" s="778" t="s">
        <v>844</v>
      </c>
      <c r="AC198" s="778" t="s">
        <v>845</v>
      </c>
      <c r="AD198" s="778" t="s">
        <v>846</v>
      </c>
      <c r="AE198" s="780" t="s">
        <v>847</v>
      </c>
    </row>
    <row r="199" spans="1:31" ht="15.75">
      <c r="A199" s="758">
        <v>129</v>
      </c>
      <c r="B199" s="1089">
        <v>1323029</v>
      </c>
      <c r="C199" s="760">
        <v>41000</v>
      </c>
      <c r="D199" s="759" t="s">
        <v>1250</v>
      </c>
      <c r="E199" s="759" t="s">
        <v>1096</v>
      </c>
      <c r="F199" s="759" t="s">
        <v>1251</v>
      </c>
      <c r="G199" s="759">
        <f>J199+K199</f>
        <v>18798</v>
      </c>
      <c r="H199" s="759">
        <v>0</v>
      </c>
      <c r="I199" s="759">
        <v>0</v>
      </c>
      <c r="J199" s="759">
        <f aca="true" t="shared" si="30" ref="J199:J215">K199*5</f>
        <v>15665</v>
      </c>
      <c r="K199" s="782">
        <v>3133</v>
      </c>
      <c r="L199" s="759">
        <v>0</v>
      </c>
      <c r="M199" s="782">
        <v>0</v>
      </c>
      <c r="N199" s="758">
        <v>13</v>
      </c>
      <c r="O199" s="1089">
        <v>1329713</v>
      </c>
      <c r="P199" s="759" t="s">
        <v>1225</v>
      </c>
      <c r="Q199" s="759" t="s">
        <v>1252</v>
      </c>
      <c r="R199" s="759" t="s">
        <v>1096</v>
      </c>
      <c r="S199" s="759" t="s">
        <v>1253</v>
      </c>
      <c r="T199" s="759">
        <f aca="true" t="shared" si="31" ref="T199:T208">AA199+Z199</f>
        <v>15000</v>
      </c>
      <c r="U199" s="759">
        <v>0</v>
      </c>
      <c r="V199" s="759">
        <v>0</v>
      </c>
      <c r="W199" s="759">
        <v>0</v>
      </c>
      <c r="X199" s="759">
        <v>0</v>
      </c>
      <c r="Y199" s="759">
        <v>0</v>
      </c>
      <c r="Z199" s="759">
        <f aca="true" t="shared" si="32" ref="Z199:Z208">AA199*5</f>
        <v>12500</v>
      </c>
      <c r="AA199" s="759">
        <v>2500</v>
      </c>
      <c r="AB199" s="759">
        <v>0</v>
      </c>
      <c r="AC199" s="759">
        <v>0</v>
      </c>
      <c r="AD199" s="759">
        <v>0</v>
      </c>
      <c r="AE199" s="759">
        <v>0</v>
      </c>
    </row>
    <row r="200" spans="1:31" ht="15.75">
      <c r="A200" s="758">
        <v>130</v>
      </c>
      <c r="B200" s="1089">
        <v>1323030</v>
      </c>
      <c r="C200" s="760">
        <v>41002</v>
      </c>
      <c r="D200" s="759" t="s">
        <v>1171</v>
      </c>
      <c r="E200" s="759" t="s">
        <v>1096</v>
      </c>
      <c r="F200" s="759" t="s">
        <v>1172</v>
      </c>
      <c r="G200" s="759">
        <f>J200+K200</f>
        <v>30000</v>
      </c>
      <c r="H200" s="759">
        <v>0</v>
      </c>
      <c r="I200" s="759">
        <v>0</v>
      </c>
      <c r="J200" s="759">
        <f t="shared" si="30"/>
        <v>25000</v>
      </c>
      <c r="K200" s="782">
        <v>5000</v>
      </c>
      <c r="L200" s="759">
        <v>0</v>
      </c>
      <c r="M200" s="782">
        <v>0</v>
      </c>
      <c r="N200" s="759">
        <v>116602094</v>
      </c>
      <c r="O200" s="1089">
        <v>116602094</v>
      </c>
      <c r="P200" s="759" t="s">
        <v>1246</v>
      </c>
      <c r="Q200" s="759" t="s">
        <v>1254</v>
      </c>
      <c r="R200" s="759" t="s">
        <v>1099</v>
      </c>
      <c r="S200" s="759" t="s">
        <v>1170</v>
      </c>
      <c r="T200" s="759">
        <f t="shared" si="31"/>
        <v>20130</v>
      </c>
      <c r="U200" s="759">
        <v>0</v>
      </c>
      <c r="V200" s="759">
        <v>0</v>
      </c>
      <c r="W200" s="759">
        <v>0</v>
      </c>
      <c r="X200" s="759">
        <v>0</v>
      </c>
      <c r="Y200" s="759">
        <v>0</v>
      </c>
      <c r="Z200" s="759">
        <f t="shared" si="32"/>
        <v>16775</v>
      </c>
      <c r="AA200" s="759">
        <v>3355</v>
      </c>
      <c r="AB200" s="759">
        <v>0</v>
      </c>
      <c r="AC200" s="759">
        <v>0</v>
      </c>
      <c r="AD200" s="759">
        <v>0</v>
      </c>
      <c r="AE200" s="759">
        <v>0</v>
      </c>
    </row>
    <row r="201" spans="1:31" ht="15.75">
      <c r="A201" s="758">
        <v>131</v>
      </c>
      <c r="B201" s="1089">
        <v>1323031</v>
      </c>
      <c r="C201" s="760">
        <v>41003</v>
      </c>
      <c r="D201" s="759" t="s">
        <v>1111</v>
      </c>
      <c r="E201" s="759" t="s">
        <v>1096</v>
      </c>
      <c r="F201" s="759"/>
      <c r="G201" s="759">
        <f>K201+J201</f>
        <v>707580</v>
      </c>
      <c r="H201" s="759">
        <v>0</v>
      </c>
      <c r="I201" s="759">
        <v>0</v>
      </c>
      <c r="J201" s="759">
        <f t="shared" si="30"/>
        <v>589650</v>
      </c>
      <c r="K201" s="782">
        <v>117930</v>
      </c>
      <c r="L201" s="759">
        <v>0</v>
      </c>
      <c r="M201" s="782">
        <v>0</v>
      </c>
      <c r="N201" s="759">
        <v>109057143</v>
      </c>
      <c r="O201" s="1089">
        <v>109057143</v>
      </c>
      <c r="P201" s="760" t="s">
        <v>1248</v>
      </c>
      <c r="Q201" s="759" t="s">
        <v>1098</v>
      </c>
      <c r="R201" s="759" t="s">
        <v>1099</v>
      </c>
      <c r="S201" s="759" t="s">
        <v>1100</v>
      </c>
      <c r="T201" s="759">
        <f t="shared" si="31"/>
        <v>18564</v>
      </c>
      <c r="U201" s="759">
        <v>0</v>
      </c>
      <c r="V201" s="759">
        <v>0</v>
      </c>
      <c r="W201" s="759">
        <v>0</v>
      </c>
      <c r="X201" s="759">
        <v>0</v>
      </c>
      <c r="Y201" s="759">
        <v>0</v>
      </c>
      <c r="Z201" s="759">
        <f t="shared" si="32"/>
        <v>15470</v>
      </c>
      <c r="AA201" s="759">
        <v>3094</v>
      </c>
      <c r="AB201" s="759">
        <v>0</v>
      </c>
      <c r="AC201" s="759">
        <v>0</v>
      </c>
      <c r="AD201" s="759">
        <v>0</v>
      </c>
      <c r="AE201" s="759">
        <v>0</v>
      </c>
    </row>
    <row r="202" spans="1:31" ht="15.75">
      <c r="A202" s="758">
        <v>132</v>
      </c>
      <c r="B202" s="1089">
        <v>1323032</v>
      </c>
      <c r="C202" s="760">
        <v>41004</v>
      </c>
      <c r="D202" s="759" t="s">
        <v>1095</v>
      </c>
      <c r="E202" s="759" t="s">
        <v>1096</v>
      </c>
      <c r="F202" s="759" t="s">
        <v>1097</v>
      </c>
      <c r="G202" s="759">
        <f aca="true" t="shared" si="33" ref="G202:G215">J202+K202</f>
        <v>66930</v>
      </c>
      <c r="H202" s="759">
        <v>0</v>
      </c>
      <c r="I202" s="759">
        <v>0</v>
      </c>
      <c r="J202" s="759">
        <f t="shared" si="30"/>
        <v>55775</v>
      </c>
      <c r="K202" s="782">
        <v>11155</v>
      </c>
      <c r="L202" s="759">
        <v>0</v>
      </c>
      <c r="M202" s="782">
        <v>0</v>
      </c>
      <c r="N202" s="758">
        <v>13</v>
      </c>
      <c r="O202" s="1089">
        <v>455163</v>
      </c>
      <c r="P202" s="760">
        <v>41001</v>
      </c>
      <c r="Q202" s="759" t="s">
        <v>1103</v>
      </c>
      <c r="R202" s="759" t="s">
        <v>1104</v>
      </c>
      <c r="S202" s="759" t="s">
        <v>1105</v>
      </c>
      <c r="T202" s="759">
        <f t="shared" si="31"/>
        <v>1178760</v>
      </c>
      <c r="U202" s="759">
        <v>0</v>
      </c>
      <c r="V202" s="759">
        <v>0</v>
      </c>
      <c r="W202" s="759">
        <v>0</v>
      </c>
      <c r="X202" s="759">
        <v>0</v>
      </c>
      <c r="Y202" s="759">
        <v>0</v>
      </c>
      <c r="Z202" s="759">
        <f t="shared" si="32"/>
        <v>982300</v>
      </c>
      <c r="AA202" s="759">
        <v>196460</v>
      </c>
      <c r="AB202" s="759">
        <v>0</v>
      </c>
      <c r="AC202" s="759">
        <v>0</v>
      </c>
      <c r="AD202" s="759">
        <v>0</v>
      </c>
      <c r="AE202" s="759">
        <v>0</v>
      </c>
    </row>
    <row r="203" spans="1:31" ht="15.75">
      <c r="A203" s="758">
        <v>133</v>
      </c>
      <c r="B203" s="1089">
        <v>1320333</v>
      </c>
      <c r="C203" s="760">
        <v>41005</v>
      </c>
      <c r="D203" s="759" t="s">
        <v>1131</v>
      </c>
      <c r="E203" s="759" t="s">
        <v>1096</v>
      </c>
      <c r="F203" s="759" t="s">
        <v>1132</v>
      </c>
      <c r="G203" s="759">
        <f t="shared" si="33"/>
        <v>75198</v>
      </c>
      <c r="H203" s="759">
        <v>0</v>
      </c>
      <c r="I203" s="759">
        <v>0</v>
      </c>
      <c r="J203" s="759">
        <f t="shared" si="30"/>
        <v>62665</v>
      </c>
      <c r="K203" s="782">
        <v>12533</v>
      </c>
      <c r="L203" s="759">
        <v>0</v>
      </c>
      <c r="M203" s="782">
        <v>0</v>
      </c>
      <c r="N203" s="758">
        <v>64</v>
      </c>
      <c r="O203" s="1089">
        <v>455264</v>
      </c>
      <c r="P203" s="760">
        <v>41002</v>
      </c>
      <c r="Q203" s="759" t="s">
        <v>1103</v>
      </c>
      <c r="R203" s="759" t="s">
        <v>1096</v>
      </c>
      <c r="S203" s="759" t="s">
        <v>1105</v>
      </c>
      <c r="T203" s="759">
        <f t="shared" si="31"/>
        <v>1992798</v>
      </c>
      <c r="U203" s="759">
        <v>0</v>
      </c>
      <c r="V203" s="759">
        <v>0</v>
      </c>
      <c r="W203" s="759">
        <v>0</v>
      </c>
      <c r="X203" s="759">
        <v>0</v>
      </c>
      <c r="Y203" s="759">
        <v>0</v>
      </c>
      <c r="Z203" s="759">
        <f t="shared" si="32"/>
        <v>1660665</v>
      </c>
      <c r="AA203" s="759">
        <v>332133</v>
      </c>
      <c r="AB203" s="759">
        <v>0</v>
      </c>
      <c r="AC203" s="759">
        <v>0</v>
      </c>
      <c r="AD203" s="759">
        <v>0</v>
      </c>
      <c r="AE203" s="759">
        <v>0</v>
      </c>
    </row>
    <row r="204" spans="1:31" ht="15.75">
      <c r="A204" s="758">
        <v>134</v>
      </c>
      <c r="B204" s="1089">
        <v>1323034</v>
      </c>
      <c r="C204" s="760">
        <v>41005</v>
      </c>
      <c r="D204" s="759" t="s">
        <v>1131</v>
      </c>
      <c r="E204" s="759" t="s">
        <v>1096</v>
      </c>
      <c r="F204" s="759" t="s">
        <v>1132</v>
      </c>
      <c r="G204" s="759">
        <f t="shared" si="33"/>
        <v>28200</v>
      </c>
      <c r="H204" s="759">
        <v>0</v>
      </c>
      <c r="I204" s="759">
        <v>0</v>
      </c>
      <c r="J204" s="759">
        <f t="shared" si="30"/>
        <v>23500</v>
      </c>
      <c r="K204" s="782">
        <v>4700</v>
      </c>
      <c r="L204" s="759">
        <v>0</v>
      </c>
      <c r="M204" s="782">
        <v>0</v>
      </c>
      <c r="N204" s="758">
        <v>50</v>
      </c>
      <c r="O204" s="1089">
        <v>1607600</v>
      </c>
      <c r="P204" s="760">
        <v>41005</v>
      </c>
      <c r="Q204" s="759" t="s">
        <v>1255</v>
      </c>
      <c r="R204" s="759" t="s">
        <v>1096</v>
      </c>
      <c r="S204" s="759" t="s">
        <v>1256</v>
      </c>
      <c r="T204" s="759">
        <f t="shared" si="31"/>
        <v>126000</v>
      </c>
      <c r="U204" s="759">
        <v>0</v>
      </c>
      <c r="V204" s="759">
        <v>0</v>
      </c>
      <c r="W204" s="759">
        <v>0</v>
      </c>
      <c r="X204" s="759">
        <v>0</v>
      </c>
      <c r="Y204" s="759">
        <v>0</v>
      </c>
      <c r="Z204" s="759">
        <f t="shared" si="32"/>
        <v>105000</v>
      </c>
      <c r="AA204" s="759">
        <v>21000</v>
      </c>
      <c r="AB204" s="759">
        <v>0</v>
      </c>
      <c r="AC204" s="759">
        <v>0</v>
      </c>
      <c r="AD204" s="759">
        <v>0</v>
      </c>
      <c r="AE204" s="759">
        <v>0</v>
      </c>
    </row>
    <row r="205" spans="1:31" ht="15.75">
      <c r="A205" s="758">
        <v>135</v>
      </c>
      <c r="B205" s="1089">
        <v>1323035</v>
      </c>
      <c r="C205" s="760">
        <v>41007</v>
      </c>
      <c r="D205" s="759" t="s">
        <v>1111</v>
      </c>
      <c r="E205" s="759" t="s">
        <v>1096</v>
      </c>
      <c r="F205" s="759"/>
      <c r="G205" s="759">
        <f t="shared" si="33"/>
        <v>802842</v>
      </c>
      <c r="H205" s="759">
        <v>0</v>
      </c>
      <c r="I205" s="759">
        <v>0</v>
      </c>
      <c r="J205" s="759">
        <f t="shared" si="30"/>
        <v>669035</v>
      </c>
      <c r="K205" s="782">
        <v>133807</v>
      </c>
      <c r="L205" s="759">
        <v>0</v>
      </c>
      <c r="M205" s="782">
        <v>0</v>
      </c>
      <c r="N205" s="762">
        <v>67</v>
      </c>
      <c r="O205" s="1090">
        <v>45567</v>
      </c>
      <c r="P205" s="763" t="s">
        <v>1257</v>
      </c>
      <c r="Q205" s="759" t="s">
        <v>1103</v>
      </c>
      <c r="R205" s="759" t="s">
        <v>1096</v>
      </c>
      <c r="S205" s="759" t="s">
        <v>1105</v>
      </c>
      <c r="T205" s="763">
        <f t="shared" si="31"/>
        <v>838482</v>
      </c>
      <c r="U205" s="759">
        <v>0</v>
      </c>
      <c r="V205" s="759">
        <v>0</v>
      </c>
      <c r="W205" s="759">
        <v>0</v>
      </c>
      <c r="X205" s="759">
        <v>0</v>
      </c>
      <c r="Y205" s="759">
        <v>0</v>
      </c>
      <c r="Z205" s="763">
        <f t="shared" si="32"/>
        <v>698735</v>
      </c>
      <c r="AA205" s="763">
        <v>139747</v>
      </c>
      <c r="AB205" s="759">
        <v>0</v>
      </c>
      <c r="AC205" s="759">
        <v>0</v>
      </c>
      <c r="AD205" s="759">
        <v>0</v>
      </c>
      <c r="AE205" s="759">
        <v>0</v>
      </c>
    </row>
    <row r="206" spans="1:31" ht="15.75">
      <c r="A206" s="762">
        <v>136</v>
      </c>
      <c r="B206" s="1090">
        <v>1323036</v>
      </c>
      <c r="C206" s="764">
        <v>41008</v>
      </c>
      <c r="D206" s="763" t="s">
        <v>1103</v>
      </c>
      <c r="E206" s="763" t="s">
        <v>1104</v>
      </c>
      <c r="F206" s="763" t="s">
        <v>1105</v>
      </c>
      <c r="G206" s="763">
        <f t="shared" si="33"/>
        <v>87780</v>
      </c>
      <c r="H206" s="763">
        <v>0</v>
      </c>
      <c r="I206" s="763">
        <v>0</v>
      </c>
      <c r="J206" s="763">
        <f t="shared" si="30"/>
        <v>73150</v>
      </c>
      <c r="K206" s="783">
        <v>14630</v>
      </c>
      <c r="L206" s="763">
        <v>0</v>
      </c>
      <c r="M206" s="783">
        <v>0</v>
      </c>
      <c r="N206" s="762">
        <v>68</v>
      </c>
      <c r="O206" s="1090">
        <v>455268</v>
      </c>
      <c r="P206" s="763" t="s">
        <v>1258</v>
      </c>
      <c r="Q206" s="759" t="s">
        <v>1103</v>
      </c>
      <c r="R206" s="759" t="s">
        <v>1096</v>
      </c>
      <c r="S206" s="759" t="s">
        <v>1105</v>
      </c>
      <c r="T206" s="763">
        <f t="shared" si="31"/>
        <v>1355520</v>
      </c>
      <c r="U206" s="759">
        <v>0</v>
      </c>
      <c r="V206" s="759">
        <v>0</v>
      </c>
      <c r="W206" s="759">
        <v>0</v>
      </c>
      <c r="X206" s="759">
        <v>0</v>
      </c>
      <c r="Y206" s="759">
        <v>0</v>
      </c>
      <c r="Z206" s="763">
        <f t="shared" si="32"/>
        <v>1129600</v>
      </c>
      <c r="AA206" s="763">
        <v>225920</v>
      </c>
      <c r="AB206" s="759">
        <v>0</v>
      </c>
      <c r="AC206" s="759">
        <v>0</v>
      </c>
      <c r="AD206" s="759">
        <v>0</v>
      </c>
      <c r="AE206" s="759">
        <v>0</v>
      </c>
    </row>
    <row r="207" spans="1:31" ht="15.75">
      <c r="A207" s="762">
        <v>137</v>
      </c>
      <c r="B207" s="1090">
        <v>1323037</v>
      </c>
      <c r="C207" s="764">
        <v>41009</v>
      </c>
      <c r="D207" s="763" t="s">
        <v>1259</v>
      </c>
      <c r="E207" s="763" t="s">
        <v>1096</v>
      </c>
      <c r="F207" s="763" t="s">
        <v>1162</v>
      </c>
      <c r="G207" s="763">
        <f t="shared" si="33"/>
        <v>112800</v>
      </c>
      <c r="H207" s="763">
        <v>0</v>
      </c>
      <c r="I207" s="763">
        <v>0</v>
      </c>
      <c r="J207" s="763">
        <f t="shared" si="30"/>
        <v>94000</v>
      </c>
      <c r="K207" s="783">
        <v>18800</v>
      </c>
      <c r="L207" s="763">
        <v>0</v>
      </c>
      <c r="M207" s="783">
        <v>0</v>
      </c>
      <c r="N207" s="762">
        <v>23</v>
      </c>
      <c r="O207" s="1090">
        <v>455723</v>
      </c>
      <c r="P207" s="763" t="s">
        <v>1260</v>
      </c>
      <c r="Q207" s="763" t="s">
        <v>1103</v>
      </c>
      <c r="R207" s="763" t="s">
        <v>1261</v>
      </c>
      <c r="S207" s="763" t="s">
        <v>1105</v>
      </c>
      <c r="T207" s="763">
        <f t="shared" si="31"/>
        <v>2285136</v>
      </c>
      <c r="U207" s="759">
        <v>0</v>
      </c>
      <c r="V207" s="759">
        <v>0</v>
      </c>
      <c r="W207" s="759">
        <v>0</v>
      </c>
      <c r="X207" s="759">
        <v>0</v>
      </c>
      <c r="Y207" s="759">
        <v>0</v>
      </c>
      <c r="Z207" s="763">
        <f t="shared" si="32"/>
        <v>1904280</v>
      </c>
      <c r="AA207" s="763">
        <v>380856</v>
      </c>
      <c r="AB207" s="759">
        <v>0</v>
      </c>
      <c r="AC207" s="759">
        <v>0</v>
      </c>
      <c r="AD207" s="759">
        <v>0</v>
      </c>
      <c r="AE207" s="759">
        <v>0</v>
      </c>
    </row>
    <row r="208" spans="1:31" ht="16.5" thickBot="1">
      <c r="A208" s="784">
        <v>138</v>
      </c>
      <c r="B208" s="1091">
        <v>1323038</v>
      </c>
      <c r="C208" s="764">
        <v>41009</v>
      </c>
      <c r="D208" s="785" t="s">
        <v>1111</v>
      </c>
      <c r="E208" s="785" t="s">
        <v>1096</v>
      </c>
      <c r="F208" s="785"/>
      <c r="G208" s="785">
        <f t="shared" si="33"/>
        <v>740994</v>
      </c>
      <c r="H208" s="785">
        <v>0</v>
      </c>
      <c r="I208" s="785">
        <v>0</v>
      </c>
      <c r="J208" s="785">
        <f t="shared" si="30"/>
        <v>617495</v>
      </c>
      <c r="K208" s="786">
        <v>123499</v>
      </c>
      <c r="L208" s="785">
        <v>0</v>
      </c>
      <c r="M208" s="786">
        <v>0</v>
      </c>
      <c r="N208" s="784">
        <v>77</v>
      </c>
      <c r="O208" s="1091">
        <v>455277</v>
      </c>
      <c r="P208" s="785" t="s">
        <v>1262</v>
      </c>
      <c r="Q208" s="759" t="s">
        <v>1103</v>
      </c>
      <c r="R208" s="759" t="s">
        <v>1096</v>
      </c>
      <c r="S208" s="759" t="s">
        <v>1105</v>
      </c>
      <c r="T208" s="763">
        <f t="shared" si="31"/>
        <v>2346240</v>
      </c>
      <c r="U208" s="759">
        <v>0</v>
      </c>
      <c r="V208" s="759">
        <v>0</v>
      </c>
      <c r="W208" s="759">
        <v>0</v>
      </c>
      <c r="X208" s="759">
        <v>0</v>
      </c>
      <c r="Y208" s="759">
        <v>0</v>
      </c>
      <c r="Z208" s="763">
        <f t="shared" si="32"/>
        <v>1955200</v>
      </c>
      <c r="AA208" s="763">
        <v>391040</v>
      </c>
      <c r="AB208" s="759">
        <v>0</v>
      </c>
      <c r="AC208" s="759">
        <v>0</v>
      </c>
      <c r="AD208" s="759">
        <v>0</v>
      </c>
      <c r="AE208" s="759">
        <v>0</v>
      </c>
    </row>
    <row r="209" spans="1:31" ht="16.5" thickBot="1">
      <c r="A209" s="784">
        <v>139</v>
      </c>
      <c r="B209" s="1091">
        <v>1323039</v>
      </c>
      <c r="C209" s="1023">
        <v>41010</v>
      </c>
      <c r="D209" s="785" t="s">
        <v>1128</v>
      </c>
      <c r="E209" s="785" t="s">
        <v>1096</v>
      </c>
      <c r="F209" s="785" t="s">
        <v>1129</v>
      </c>
      <c r="G209" s="785">
        <f t="shared" si="33"/>
        <v>28200</v>
      </c>
      <c r="H209" s="785">
        <v>0</v>
      </c>
      <c r="I209" s="785">
        <v>0</v>
      </c>
      <c r="J209" s="785">
        <f t="shared" si="30"/>
        <v>23500</v>
      </c>
      <c r="K209" s="786">
        <v>4700</v>
      </c>
      <c r="L209" s="785">
        <v>0</v>
      </c>
      <c r="M209" s="786">
        <v>0</v>
      </c>
      <c r="N209" s="1389" t="s">
        <v>822</v>
      </c>
      <c r="O209" s="1390"/>
      <c r="P209" s="1390"/>
      <c r="Q209" s="1390"/>
      <c r="R209" s="1390"/>
      <c r="S209" s="1391"/>
      <c r="T209" s="1016">
        <f>SUM(T199:T208)</f>
        <v>10176630</v>
      </c>
      <c r="U209" s="759">
        <v>0</v>
      </c>
      <c r="V209" s="759">
        <v>0</v>
      </c>
      <c r="W209" s="759">
        <v>0</v>
      </c>
      <c r="X209" s="759">
        <v>0</v>
      </c>
      <c r="Y209" s="759">
        <v>0</v>
      </c>
      <c r="Z209" s="1016">
        <f>SUM(Z199:Z208)</f>
        <v>8480525</v>
      </c>
      <c r="AA209" s="1016">
        <f>SUM(AA199:AA208)</f>
        <v>1696105</v>
      </c>
      <c r="AB209" s="759">
        <v>0</v>
      </c>
      <c r="AC209" s="759">
        <v>0</v>
      </c>
      <c r="AD209" s="759">
        <v>0</v>
      </c>
      <c r="AE209" s="759">
        <v>0</v>
      </c>
    </row>
    <row r="210" spans="1:31" ht="16.5" thickBot="1">
      <c r="A210" s="784">
        <v>140</v>
      </c>
      <c r="B210" s="1091">
        <v>1323040</v>
      </c>
      <c r="C210" s="1023">
        <v>41010</v>
      </c>
      <c r="D210" s="785" t="s">
        <v>1118</v>
      </c>
      <c r="E210" s="785" t="s">
        <v>1096</v>
      </c>
      <c r="F210" s="785" t="s">
        <v>1263</v>
      </c>
      <c r="G210" s="785">
        <f t="shared" si="33"/>
        <v>198432</v>
      </c>
      <c r="H210" s="785">
        <v>0</v>
      </c>
      <c r="I210" s="785">
        <v>0</v>
      </c>
      <c r="J210" s="785">
        <f t="shared" si="30"/>
        <v>165360</v>
      </c>
      <c r="K210" s="786">
        <v>33072</v>
      </c>
      <c r="L210" s="785">
        <v>0</v>
      </c>
      <c r="M210" s="786">
        <v>0</v>
      </c>
      <c r="N210" s="1392" t="s">
        <v>823</v>
      </c>
      <c r="O210" s="1393"/>
      <c r="P210" s="1393"/>
      <c r="Q210" s="1393"/>
      <c r="R210" s="1393"/>
      <c r="S210" s="1393"/>
      <c r="T210" s="1393"/>
      <c r="U210" s="781" t="s">
        <v>830</v>
      </c>
      <c r="V210" s="781" t="s">
        <v>831</v>
      </c>
      <c r="W210" s="781" t="s">
        <v>832</v>
      </c>
      <c r="X210" s="781" t="s">
        <v>833</v>
      </c>
      <c r="Y210" s="781" t="s">
        <v>834</v>
      </c>
      <c r="Z210" s="781" t="s">
        <v>849</v>
      </c>
      <c r="AA210" s="781" t="s">
        <v>850</v>
      </c>
      <c r="AB210" s="781" t="s">
        <v>851</v>
      </c>
      <c r="AC210" s="781" t="s">
        <v>852</v>
      </c>
      <c r="AD210" s="781" t="s">
        <v>853</v>
      </c>
      <c r="AE210" s="766" t="s">
        <v>854</v>
      </c>
    </row>
    <row r="211" spans="1:31" ht="15.75">
      <c r="A211" s="784">
        <v>141</v>
      </c>
      <c r="B211" s="1091">
        <v>1323041</v>
      </c>
      <c r="C211" s="1023">
        <v>41011</v>
      </c>
      <c r="D211" s="785" t="s">
        <v>1103</v>
      </c>
      <c r="E211" s="785" t="s">
        <v>1096</v>
      </c>
      <c r="F211" s="785" t="s">
        <v>1105</v>
      </c>
      <c r="G211" s="785">
        <f t="shared" si="33"/>
        <v>159000</v>
      </c>
      <c r="H211" s="785">
        <v>0</v>
      </c>
      <c r="I211" s="785">
        <v>0</v>
      </c>
      <c r="J211" s="785">
        <f t="shared" si="30"/>
        <v>132500</v>
      </c>
      <c r="K211" s="786">
        <v>26500</v>
      </c>
      <c r="L211" s="785">
        <v>0</v>
      </c>
      <c r="M211" s="786">
        <v>0</v>
      </c>
      <c r="N211" s="731"/>
      <c r="O211" s="1087"/>
      <c r="P211" s="731"/>
      <c r="Q211" s="731"/>
      <c r="R211" s="731"/>
      <c r="S211" s="731"/>
      <c r="T211" s="731"/>
      <c r="U211" s="731"/>
      <c r="V211" s="731"/>
      <c r="W211" s="731"/>
      <c r="X211" s="731"/>
      <c r="Y211" s="731"/>
      <c r="Z211" s="731"/>
      <c r="AA211" s="731"/>
      <c r="AB211" s="731"/>
      <c r="AC211" s="731"/>
      <c r="AD211" s="731"/>
      <c r="AE211" s="731"/>
    </row>
    <row r="212" spans="1:31" ht="15.75">
      <c r="A212" s="784">
        <v>142</v>
      </c>
      <c r="B212" s="1091">
        <v>1323042</v>
      </c>
      <c r="C212" s="785" t="s">
        <v>1257</v>
      </c>
      <c r="D212" s="785" t="s">
        <v>1264</v>
      </c>
      <c r="E212" s="785" t="s">
        <v>1096</v>
      </c>
      <c r="F212" s="785" t="s">
        <v>1265</v>
      </c>
      <c r="G212" s="785">
        <f t="shared" si="33"/>
        <v>373998</v>
      </c>
      <c r="H212" s="785">
        <v>0</v>
      </c>
      <c r="I212" s="785">
        <v>0</v>
      </c>
      <c r="J212" s="785">
        <f t="shared" si="30"/>
        <v>311665</v>
      </c>
      <c r="K212" s="786">
        <v>62333</v>
      </c>
      <c r="L212" s="785">
        <v>0</v>
      </c>
      <c r="M212" s="786">
        <v>0</v>
      </c>
      <c r="N212" s="731"/>
      <c r="O212" s="1087"/>
      <c r="P212" s="731"/>
      <c r="Q212" s="731"/>
      <c r="R212" s="731"/>
      <c r="S212" s="731"/>
      <c r="T212" s="731"/>
      <c r="U212" s="731"/>
      <c r="V212" s="731"/>
      <c r="W212" s="731"/>
      <c r="X212" s="731"/>
      <c r="Y212" s="731"/>
      <c r="Z212" s="731"/>
      <c r="AA212" s="731"/>
      <c r="AB212" s="731"/>
      <c r="AC212" s="731"/>
      <c r="AD212" s="731"/>
      <c r="AE212" s="731"/>
    </row>
    <row r="213" spans="1:31" ht="15.75">
      <c r="A213" s="784">
        <v>143</v>
      </c>
      <c r="B213" s="1091">
        <v>1323043</v>
      </c>
      <c r="C213" s="785" t="s">
        <v>1257</v>
      </c>
      <c r="D213" s="785" t="s">
        <v>1193</v>
      </c>
      <c r="E213" s="785" t="s">
        <v>1096</v>
      </c>
      <c r="F213" s="785" t="s">
        <v>1266</v>
      </c>
      <c r="G213" s="785">
        <f t="shared" si="33"/>
        <v>37602</v>
      </c>
      <c r="H213" s="785">
        <v>0</v>
      </c>
      <c r="I213" s="785">
        <v>0</v>
      </c>
      <c r="J213" s="785">
        <f t="shared" si="30"/>
        <v>31335</v>
      </c>
      <c r="K213" s="786">
        <v>6267</v>
      </c>
      <c r="L213" s="785">
        <v>0</v>
      </c>
      <c r="M213" s="786">
        <v>0</v>
      </c>
      <c r="N213" s="731"/>
      <c r="O213" s="1087"/>
      <c r="P213" s="731"/>
      <c r="Q213" s="731"/>
      <c r="R213" s="731"/>
      <c r="S213" s="731"/>
      <c r="T213" s="731"/>
      <c r="U213" s="731"/>
      <c r="V213" s="731"/>
      <c r="W213" s="731"/>
      <c r="X213" s="1017" t="s">
        <v>1120</v>
      </c>
      <c r="Y213" s="731"/>
      <c r="Z213" s="731"/>
      <c r="AA213" s="731"/>
      <c r="AB213" s="731"/>
      <c r="AC213" s="731"/>
      <c r="AD213" s="1017"/>
      <c r="AE213" s="731"/>
    </row>
    <row r="214" spans="1:31" ht="15.75">
      <c r="A214" s="784">
        <v>144</v>
      </c>
      <c r="B214" s="1091">
        <v>1323044</v>
      </c>
      <c r="C214" s="785" t="s">
        <v>1267</v>
      </c>
      <c r="D214" s="785" t="s">
        <v>1268</v>
      </c>
      <c r="E214" s="785" t="s">
        <v>1096</v>
      </c>
      <c r="F214" s="785" t="s">
        <v>1269</v>
      </c>
      <c r="G214" s="785">
        <f t="shared" si="33"/>
        <v>93498</v>
      </c>
      <c r="H214" s="785">
        <v>0</v>
      </c>
      <c r="I214" s="785">
        <v>0</v>
      </c>
      <c r="J214" s="785">
        <f t="shared" si="30"/>
        <v>77915</v>
      </c>
      <c r="K214" s="786">
        <v>15583</v>
      </c>
      <c r="L214" s="785">
        <v>0</v>
      </c>
      <c r="M214" s="786">
        <v>0</v>
      </c>
      <c r="N214" s="731"/>
      <c r="O214" s="1087"/>
      <c r="P214" s="731"/>
      <c r="Q214" s="731"/>
      <c r="R214" s="731"/>
      <c r="S214" s="731"/>
      <c r="T214" s="731"/>
      <c r="U214" s="731"/>
      <c r="V214" s="731"/>
      <c r="W214" s="731"/>
      <c r="X214" s="731" t="s">
        <v>1270</v>
      </c>
      <c r="Y214" s="731"/>
      <c r="Z214" s="731"/>
      <c r="AA214" s="731"/>
      <c r="AB214" s="731"/>
      <c r="AC214" s="731"/>
      <c r="AD214" s="1017"/>
      <c r="AE214" s="731"/>
    </row>
    <row r="215" spans="1:31" ht="15.75">
      <c r="A215" s="784">
        <v>145</v>
      </c>
      <c r="B215" s="1091">
        <v>1323045</v>
      </c>
      <c r="C215" s="785" t="s">
        <v>1271</v>
      </c>
      <c r="D215" s="785" t="s">
        <v>1111</v>
      </c>
      <c r="E215" s="785" t="s">
        <v>1096</v>
      </c>
      <c r="F215" s="785"/>
      <c r="G215" s="785">
        <f t="shared" si="33"/>
        <v>1069680</v>
      </c>
      <c r="H215" s="785">
        <v>0</v>
      </c>
      <c r="I215" s="785">
        <v>0</v>
      </c>
      <c r="J215" s="785">
        <f t="shared" si="30"/>
        <v>891400</v>
      </c>
      <c r="K215" s="786">
        <v>178280</v>
      </c>
      <c r="L215" s="785">
        <v>0</v>
      </c>
      <c r="M215" s="786">
        <v>0</v>
      </c>
      <c r="N215" s="731" t="s">
        <v>856</v>
      </c>
      <c r="O215" s="1087"/>
      <c r="P215" s="731"/>
      <c r="Q215" s="731"/>
      <c r="R215" s="731"/>
      <c r="S215" s="731"/>
      <c r="T215" s="731"/>
      <c r="U215" s="731"/>
      <c r="V215" s="731"/>
      <c r="W215" s="731"/>
      <c r="X215" s="731"/>
      <c r="Y215" s="731"/>
      <c r="Z215" s="731"/>
      <c r="AA215" s="731"/>
      <c r="AB215" s="731"/>
      <c r="AC215" s="731"/>
      <c r="AD215" s="731"/>
      <c r="AE215" s="731"/>
    </row>
    <row r="216" spans="1:31" ht="15.75">
      <c r="A216" s="784">
        <v>146</v>
      </c>
      <c r="B216" s="1091">
        <v>1323046</v>
      </c>
      <c r="C216" s="785" t="s">
        <v>1258</v>
      </c>
      <c r="D216" s="785" t="s">
        <v>1188</v>
      </c>
      <c r="E216" s="785" t="s">
        <v>1096</v>
      </c>
      <c r="F216" s="785" t="s">
        <v>1189</v>
      </c>
      <c r="G216" s="785">
        <f>J216+K216</f>
        <v>74802</v>
      </c>
      <c r="H216" s="785">
        <v>0</v>
      </c>
      <c r="I216" s="785">
        <v>0</v>
      </c>
      <c r="J216" s="785">
        <f>K216*5</f>
        <v>62335</v>
      </c>
      <c r="K216" s="786">
        <v>12467</v>
      </c>
      <c r="L216" s="785">
        <v>0</v>
      </c>
      <c r="M216" s="786">
        <v>0</v>
      </c>
      <c r="N216" s="731" t="s">
        <v>848</v>
      </c>
      <c r="O216" s="1087"/>
      <c r="P216" s="731"/>
      <c r="Q216" s="731"/>
      <c r="R216" s="731"/>
      <c r="S216" s="731"/>
      <c r="T216" s="731"/>
      <c r="U216" s="731"/>
      <c r="V216" s="731"/>
      <c r="W216" s="731"/>
      <c r="X216" s="731"/>
      <c r="Y216" s="731"/>
      <c r="Z216" s="731"/>
      <c r="AA216" s="731"/>
      <c r="AB216" s="731"/>
      <c r="AC216" s="731"/>
      <c r="AD216" s="731"/>
      <c r="AE216" s="731"/>
    </row>
    <row r="217" spans="1:14" ht="15.75">
      <c r="A217" s="784">
        <v>147</v>
      </c>
      <c r="B217" s="1091">
        <v>1323047</v>
      </c>
      <c r="C217" s="785" t="s">
        <v>1258</v>
      </c>
      <c r="D217" s="785" t="s">
        <v>1103</v>
      </c>
      <c r="E217" s="785" t="s">
        <v>1096</v>
      </c>
      <c r="F217" s="785" t="s">
        <v>1105</v>
      </c>
      <c r="G217" s="785">
        <f>J217+K217</f>
        <v>62442</v>
      </c>
      <c r="H217" s="785">
        <v>0</v>
      </c>
      <c r="I217" s="785">
        <v>0</v>
      </c>
      <c r="J217" s="785">
        <f>K217*5</f>
        <v>52035</v>
      </c>
      <c r="K217" s="786">
        <v>10407</v>
      </c>
      <c r="L217" s="785">
        <v>0</v>
      </c>
      <c r="M217" s="786">
        <v>0</v>
      </c>
      <c r="N217" s="731" t="s">
        <v>855</v>
      </c>
    </row>
    <row r="218" spans="1:13" ht="15.75">
      <c r="A218" s="784">
        <v>148</v>
      </c>
      <c r="B218" s="1091">
        <v>1323048</v>
      </c>
      <c r="C218" s="785" t="s">
        <v>1272</v>
      </c>
      <c r="D218" s="785" t="s">
        <v>1152</v>
      </c>
      <c r="E218" s="785" t="s">
        <v>1096</v>
      </c>
      <c r="F218" s="785" t="s">
        <v>1153</v>
      </c>
      <c r="G218" s="785">
        <f>J218+K218</f>
        <v>198366</v>
      </c>
      <c r="H218" s="785">
        <v>0</v>
      </c>
      <c r="I218" s="785">
        <v>0</v>
      </c>
      <c r="J218" s="785">
        <f>K218*5</f>
        <v>165305</v>
      </c>
      <c r="K218" s="786">
        <v>33061</v>
      </c>
      <c r="L218" s="785">
        <v>0</v>
      </c>
      <c r="M218" s="786">
        <v>0</v>
      </c>
    </row>
    <row r="219" spans="1:13" ht="15.75">
      <c r="A219" s="784">
        <v>149</v>
      </c>
      <c r="B219" s="1091">
        <v>1323049</v>
      </c>
      <c r="C219" s="785" t="s">
        <v>1272</v>
      </c>
      <c r="D219" s="785" t="s">
        <v>1196</v>
      </c>
      <c r="E219" s="785" t="s">
        <v>1096</v>
      </c>
      <c r="F219" s="785" t="s">
        <v>1197</v>
      </c>
      <c r="G219" s="785">
        <f>J219+K219</f>
        <v>32526</v>
      </c>
      <c r="H219" s="785">
        <v>0</v>
      </c>
      <c r="I219" s="785">
        <v>0</v>
      </c>
      <c r="J219" s="785">
        <f>K219*5</f>
        <v>27105</v>
      </c>
      <c r="K219" s="786">
        <v>5421</v>
      </c>
      <c r="L219" s="785">
        <v>0</v>
      </c>
      <c r="M219" s="786">
        <v>0</v>
      </c>
    </row>
    <row r="220" spans="1:13" ht="15.75">
      <c r="A220" s="784">
        <v>150</v>
      </c>
      <c r="B220" s="1091">
        <v>1323050</v>
      </c>
      <c r="C220" s="785" t="s">
        <v>1273</v>
      </c>
      <c r="D220" s="785" t="s">
        <v>1199</v>
      </c>
      <c r="E220" s="785" t="s">
        <v>1096</v>
      </c>
      <c r="F220" s="785" t="s">
        <v>1200</v>
      </c>
      <c r="G220" s="785">
        <f>J220+K220</f>
        <v>564000</v>
      </c>
      <c r="H220" s="785">
        <v>0</v>
      </c>
      <c r="I220" s="785">
        <v>0</v>
      </c>
      <c r="J220" s="785">
        <f>K220*5</f>
        <v>470000</v>
      </c>
      <c r="K220" s="786">
        <v>94000</v>
      </c>
      <c r="L220" s="785">
        <v>0</v>
      </c>
      <c r="M220" s="786">
        <v>0</v>
      </c>
    </row>
    <row r="221" spans="1:13" ht="15.75">
      <c r="A221" s="784">
        <v>151</v>
      </c>
      <c r="B221" s="1091">
        <v>1323051</v>
      </c>
      <c r="C221" s="785" t="s">
        <v>1274</v>
      </c>
      <c r="D221" s="785" t="s">
        <v>1275</v>
      </c>
      <c r="E221" s="785">
        <v>0</v>
      </c>
      <c r="F221" s="785">
        <v>0</v>
      </c>
      <c r="G221" s="785">
        <v>0</v>
      </c>
      <c r="H221" s="785">
        <v>0</v>
      </c>
      <c r="I221" s="785">
        <v>0</v>
      </c>
      <c r="J221" s="785">
        <v>0</v>
      </c>
      <c r="K221" s="786">
        <v>0</v>
      </c>
      <c r="L221" s="785">
        <v>0</v>
      </c>
      <c r="M221" s="786">
        <v>0</v>
      </c>
    </row>
    <row r="222" spans="1:13" ht="15.75">
      <c r="A222" s="784">
        <v>152</v>
      </c>
      <c r="B222" s="1091">
        <v>1323052</v>
      </c>
      <c r="C222" s="785" t="s">
        <v>1274</v>
      </c>
      <c r="D222" s="785" t="s">
        <v>1128</v>
      </c>
      <c r="E222" s="785" t="s">
        <v>1096</v>
      </c>
      <c r="F222" s="785" t="s">
        <v>1129</v>
      </c>
      <c r="G222" s="785">
        <f aca="true" t="shared" si="34" ref="G222:G242">J222+K222</f>
        <v>19200</v>
      </c>
      <c r="H222" s="785">
        <v>0</v>
      </c>
      <c r="I222" s="785">
        <v>0</v>
      </c>
      <c r="J222" s="785">
        <f aca="true" t="shared" si="35" ref="J222:J242">K222*5</f>
        <v>16000</v>
      </c>
      <c r="K222" s="786">
        <v>3200</v>
      </c>
      <c r="L222" s="785">
        <v>0</v>
      </c>
      <c r="M222" s="786">
        <v>0</v>
      </c>
    </row>
    <row r="223" spans="1:13" ht="15.75">
      <c r="A223" s="784">
        <v>153</v>
      </c>
      <c r="B223" s="1091">
        <v>1323053</v>
      </c>
      <c r="C223" s="785" t="s">
        <v>1276</v>
      </c>
      <c r="D223" s="785" t="s">
        <v>1277</v>
      </c>
      <c r="E223" s="785" t="s">
        <v>1096</v>
      </c>
      <c r="F223" s="785" t="s">
        <v>1107</v>
      </c>
      <c r="G223" s="785">
        <f t="shared" si="34"/>
        <v>7518</v>
      </c>
      <c r="H223" s="785">
        <v>0</v>
      </c>
      <c r="I223" s="785">
        <v>0</v>
      </c>
      <c r="J223" s="785">
        <f t="shared" si="35"/>
        <v>6265</v>
      </c>
      <c r="K223" s="786">
        <v>1253</v>
      </c>
      <c r="L223" s="785">
        <v>0</v>
      </c>
      <c r="M223" s="786">
        <v>0</v>
      </c>
    </row>
    <row r="224" spans="1:13" ht="15.75">
      <c r="A224" s="784">
        <v>154</v>
      </c>
      <c r="B224" s="1091">
        <v>1323054</v>
      </c>
      <c r="C224" s="785" t="s">
        <v>1276</v>
      </c>
      <c r="D224" s="785" t="s">
        <v>1134</v>
      </c>
      <c r="E224" s="785" t="s">
        <v>1096</v>
      </c>
      <c r="F224" s="785" t="s">
        <v>1135</v>
      </c>
      <c r="G224" s="785">
        <f t="shared" si="34"/>
        <v>100044</v>
      </c>
      <c r="H224" s="785">
        <v>0</v>
      </c>
      <c r="I224" s="785">
        <v>0</v>
      </c>
      <c r="J224" s="785">
        <f t="shared" si="35"/>
        <v>83370</v>
      </c>
      <c r="K224" s="786">
        <v>16674</v>
      </c>
      <c r="L224" s="785">
        <v>0</v>
      </c>
      <c r="M224" s="786">
        <v>0</v>
      </c>
    </row>
    <row r="225" spans="1:13" ht="15.75">
      <c r="A225" s="784">
        <v>155</v>
      </c>
      <c r="B225" s="1091">
        <v>1323055</v>
      </c>
      <c r="C225" s="785" t="s">
        <v>1276</v>
      </c>
      <c r="D225" s="785" t="s">
        <v>1111</v>
      </c>
      <c r="E225" s="785" t="s">
        <v>1096</v>
      </c>
      <c r="F225" s="785"/>
      <c r="G225" s="785">
        <f t="shared" si="34"/>
        <v>869652</v>
      </c>
      <c r="H225" s="785">
        <v>0</v>
      </c>
      <c r="I225" s="785">
        <v>0</v>
      </c>
      <c r="J225" s="785">
        <f t="shared" si="35"/>
        <v>724710</v>
      </c>
      <c r="K225" s="786">
        <v>144942</v>
      </c>
      <c r="L225" s="785">
        <v>0</v>
      </c>
      <c r="M225" s="786">
        <v>0</v>
      </c>
    </row>
    <row r="226" spans="1:13" ht="15.75">
      <c r="A226" s="784">
        <v>156</v>
      </c>
      <c r="B226" s="1091">
        <v>1323056</v>
      </c>
      <c r="C226" s="785" t="s">
        <v>1278</v>
      </c>
      <c r="D226" s="785" t="s">
        <v>1103</v>
      </c>
      <c r="E226" s="785" t="s">
        <v>1096</v>
      </c>
      <c r="F226" s="785" t="s">
        <v>1105</v>
      </c>
      <c r="G226" s="785">
        <f t="shared" si="34"/>
        <v>134142</v>
      </c>
      <c r="H226" s="785">
        <v>0</v>
      </c>
      <c r="I226" s="785">
        <v>0</v>
      </c>
      <c r="J226" s="785">
        <f t="shared" si="35"/>
        <v>111785</v>
      </c>
      <c r="K226" s="786">
        <v>22357</v>
      </c>
      <c r="L226" s="785">
        <v>0</v>
      </c>
      <c r="M226" s="786">
        <v>0</v>
      </c>
    </row>
    <row r="227" spans="1:13" ht="15.75">
      <c r="A227" s="784">
        <v>157</v>
      </c>
      <c r="B227" s="1091">
        <v>1323057</v>
      </c>
      <c r="C227" s="785" t="s">
        <v>1260</v>
      </c>
      <c r="D227" s="785" t="s">
        <v>1101</v>
      </c>
      <c r="E227" s="785" t="s">
        <v>1096</v>
      </c>
      <c r="F227" s="785" t="s">
        <v>1102</v>
      </c>
      <c r="G227" s="785">
        <f t="shared" si="34"/>
        <v>30000</v>
      </c>
      <c r="H227" s="785">
        <v>0</v>
      </c>
      <c r="I227" s="785">
        <v>0</v>
      </c>
      <c r="J227" s="785">
        <f t="shared" si="35"/>
        <v>25000</v>
      </c>
      <c r="K227" s="786">
        <v>5000</v>
      </c>
      <c r="L227" s="785">
        <v>0</v>
      </c>
      <c r="M227" s="786">
        <v>0</v>
      </c>
    </row>
    <row r="228" spans="1:13" ht="15.75">
      <c r="A228" s="784">
        <v>158</v>
      </c>
      <c r="B228" s="1091">
        <v>1323058</v>
      </c>
      <c r="C228" s="785" t="s">
        <v>1260</v>
      </c>
      <c r="D228" s="785" t="s">
        <v>1111</v>
      </c>
      <c r="E228" s="785" t="s">
        <v>1096</v>
      </c>
      <c r="F228" s="785"/>
      <c r="G228" s="785">
        <f t="shared" si="34"/>
        <v>185280</v>
      </c>
      <c r="H228" s="785">
        <v>0</v>
      </c>
      <c r="I228" s="785">
        <v>0</v>
      </c>
      <c r="J228" s="785">
        <f t="shared" si="35"/>
        <v>154400</v>
      </c>
      <c r="K228" s="786">
        <v>30880</v>
      </c>
      <c r="L228" s="785">
        <v>0</v>
      </c>
      <c r="M228" s="786">
        <v>0</v>
      </c>
    </row>
    <row r="229" spans="1:13" ht="15.75">
      <c r="A229" s="784">
        <v>159</v>
      </c>
      <c r="B229" s="1091">
        <v>1323059</v>
      </c>
      <c r="C229" s="785" t="s">
        <v>1262</v>
      </c>
      <c r="D229" s="785" t="s">
        <v>1146</v>
      </c>
      <c r="E229" s="785" t="s">
        <v>1096</v>
      </c>
      <c r="F229" s="785" t="s">
        <v>1147</v>
      </c>
      <c r="G229" s="785">
        <f t="shared" si="34"/>
        <v>100650</v>
      </c>
      <c r="H229" s="785">
        <v>0</v>
      </c>
      <c r="I229" s="785">
        <v>0</v>
      </c>
      <c r="J229" s="785">
        <f t="shared" si="35"/>
        <v>83875</v>
      </c>
      <c r="K229" s="786">
        <v>16775</v>
      </c>
      <c r="L229" s="785">
        <v>0</v>
      </c>
      <c r="M229" s="786">
        <v>0</v>
      </c>
    </row>
    <row r="230" spans="1:13" ht="15.75">
      <c r="A230" s="784">
        <v>160</v>
      </c>
      <c r="B230" s="1091">
        <v>1323060</v>
      </c>
      <c r="C230" s="785" t="s">
        <v>1279</v>
      </c>
      <c r="D230" s="785" t="s">
        <v>1103</v>
      </c>
      <c r="E230" s="785" t="s">
        <v>1261</v>
      </c>
      <c r="F230" s="785" t="s">
        <v>1105</v>
      </c>
      <c r="G230" s="785">
        <f t="shared" si="34"/>
        <v>183300</v>
      </c>
      <c r="H230" s="785">
        <v>0</v>
      </c>
      <c r="I230" s="785">
        <v>0</v>
      </c>
      <c r="J230" s="785">
        <f t="shared" si="35"/>
        <v>152750</v>
      </c>
      <c r="K230" s="786">
        <v>30550</v>
      </c>
      <c r="L230" s="785">
        <v>0</v>
      </c>
      <c r="M230" s="786">
        <v>0</v>
      </c>
    </row>
    <row r="231" spans="1:13" ht="15.75">
      <c r="A231" s="784">
        <v>161</v>
      </c>
      <c r="B231" s="1091">
        <v>1323061</v>
      </c>
      <c r="C231" s="785" t="s">
        <v>1280</v>
      </c>
      <c r="D231" s="785" t="s">
        <v>1111</v>
      </c>
      <c r="E231" s="785" t="s">
        <v>1096</v>
      </c>
      <c r="F231" s="785"/>
      <c r="G231" s="785">
        <f t="shared" si="34"/>
        <v>686442</v>
      </c>
      <c r="H231" s="785">
        <v>0</v>
      </c>
      <c r="I231" s="785">
        <v>0</v>
      </c>
      <c r="J231" s="785">
        <f t="shared" si="35"/>
        <v>572035</v>
      </c>
      <c r="K231" s="786">
        <v>114407</v>
      </c>
      <c r="L231" s="785">
        <v>0</v>
      </c>
      <c r="M231" s="786">
        <v>0</v>
      </c>
    </row>
    <row r="232" spans="1:13" ht="15.75">
      <c r="A232" s="784">
        <v>162</v>
      </c>
      <c r="B232" s="1091">
        <v>1323062</v>
      </c>
      <c r="C232" s="785" t="s">
        <v>1280</v>
      </c>
      <c r="D232" s="785" t="s">
        <v>1281</v>
      </c>
      <c r="E232" s="785" t="s">
        <v>1096</v>
      </c>
      <c r="F232" s="785" t="s">
        <v>1282</v>
      </c>
      <c r="G232" s="785">
        <f t="shared" si="34"/>
        <v>56400</v>
      </c>
      <c r="H232" s="785">
        <v>0</v>
      </c>
      <c r="I232" s="785">
        <v>0</v>
      </c>
      <c r="J232" s="785">
        <f t="shared" si="35"/>
        <v>47000</v>
      </c>
      <c r="K232" s="786">
        <v>9400</v>
      </c>
      <c r="L232" s="785">
        <v>0</v>
      </c>
      <c r="M232" s="786">
        <v>0</v>
      </c>
    </row>
    <row r="233" spans="1:13" ht="15.75">
      <c r="A233" s="784">
        <v>163</v>
      </c>
      <c r="B233" s="1091">
        <v>1323063</v>
      </c>
      <c r="C233" s="785" t="s">
        <v>1280</v>
      </c>
      <c r="D233" s="785" t="s">
        <v>1283</v>
      </c>
      <c r="E233" s="785" t="s">
        <v>1096</v>
      </c>
      <c r="F233" s="785" t="s">
        <v>1204</v>
      </c>
      <c r="G233" s="785">
        <f t="shared" si="34"/>
        <v>28050</v>
      </c>
      <c r="H233" s="785">
        <v>0</v>
      </c>
      <c r="I233" s="785">
        <v>0</v>
      </c>
      <c r="J233" s="785">
        <f t="shared" si="35"/>
        <v>23375</v>
      </c>
      <c r="K233" s="786">
        <v>4675</v>
      </c>
      <c r="L233" s="785">
        <v>0</v>
      </c>
      <c r="M233" s="786">
        <v>0</v>
      </c>
    </row>
    <row r="234" spans="1:13" ht="15.75">
      <c r="A234" s="784">
        <v>164</v>
      </c>
      <c r="B234" s="1091">
        <v>1323064</v>
      </c>
      <c r="C234" s="785" t="s">
        <v>1284</v>
      </c>
      <c r="D234" s="785" t="s">
        <v>1152</v>
      </c>
      <c r="E234" s="785" t="s">
        <v>1096</v>
      </c>
      <c r="F234" s="785" t="s">
        <v>1153</v>
      </c>
      <c r="G234" s="785">
        <f t="shared" si="34"/>
        <v>467502</v>
      </c>
      <c r="H234" s="785">
        <v>0</v>
      </c>
      <c r="I234" s="785">
        <v>0</v>
      </c>
      <c r="J234" s="785">
        <f t="shared" si="35"/>
        <v>389585</v>
      </c>
      <c r="K234" s="786">
        <v>77917</v>
      </c>
      <c r="L234" s="785">
        <v>0</v>
      </c>
      <c r="M234" s="786">
        <v>0</v>
      </c>
    </row>
    <row r="235" spans="1:13" ht="15.75">
      <c r="A235" s="784">
        <v>165</v>
      </c>
      <c r="B235" s="1091">
        <v>1323065</v>
      </c>
      <c r="C235" s="785" t="s">
        <v>1284</v>
      </c>
      <c r="D235" s="785" t="s">
        <v>1137</v>
      </c>
      <c r="E235" s="785" t="s">
        <v>1096</v>
      </c>
      <c r="F235" s="785" t="s">
        <v>1138</v>
      </c>
      <c r="G235" s="785">
        <f t="shared" si="34"/>
        <v>28200</v>
      </c>
      <c r="H235" s="785">
        <v>0</v>
      </c>
      <c r="I235" s="785">
        <v>0</v>
      </c>
      <c r="J235" s="785">
        <f t="shared" si="35"/>
        <v>23500</v>
      </c>
      <c r="K235" s="786">
        <v>4700</v>
      </c>
      <c r="L235" s="785">
        <v>0</v>
      </c>
      <c r="M235" s="786">
        <v>0</v>
      </c>
    </row>
    <row r="236" spans="1:13" ht="15.75">
      <c r="A236" s="784">
        <v>166</v>
      </c>
      <c r="B236" s="1091">
        <v>1323066</v>
      </c>
      <c r="C236" s="785" t="s">
        <v>1285</v>
      </c>
      <c r="D236" s="785" t="s">
        <v>1111</v>
      </c>
      <c r="E236" s="785" t="s">
        <v>1096</v>
      </c>
      <c r="F236" s="785"/>
      <c r="G236" s="785">
        <f t="shared" si="34"/>
        <v>563868</v>
      </c>
      <c r="H236" s="785">
        <v>0</v>
      </c>
      <c r="I236" s="785">
        <v>0</v>
      </c>
      <c r="J236" s="785">
        <f t="shared" si="35"/>
        <v>469890</v>
      </c>
      <c r="K236" s="786">
        <v>93978</v>
      </c>
      <c r="L236" s="785">
        <v>0</v>
      </c>
      <c r="M236" s="786">
        <v>0</v>
      </c>
    </row>
    <row r="237" spans="1:13" ht="15.75">
      <c r="A237" s="784">
        <v>167</v>
      </c>
      <c r="B237" s="1091">
        <v>1323067</v>
      </c>
      <c r="C237" s="785" t="s">
        <v>1285</v>
      </c>
      <c r="D237" s="785" t="s">
        <v>1103</v>
      </c>
      <c r="E237" s="785" t="s">
        <v>1096</v>
      </c>
      <c r="F237" s="785" t="s">
        <v>1105</v>
      </c>
      <c r="G237" s="785">
        <f t="shared" si="34"/>
        <v>293280</v>
      </c>
      <c r="H237" s="785">
        <v>0</v>
      </c>
      <c r="I237" s="785">
        <v>0</v>
      </c>
      <c r="J237" s="785">
        <f t="shared" si="35"/>
        <v>244400</v>
      </c>
      <c r="K237" s="786">
        <v>48880</v>
      </c>
      <c r="L237" s="785">
        <v>0</v>
      </c>
      <c r="M237" s="786">
        <v>0</v>
      </c>
    </row>
    <row r="238" spans="1:13" ht="15.75">
      <c r="A238" s="784">
        <v>168</v>
      </c>
      <c r="B238" s="1091">
        <v>1323068</v>
      </c>
      <c r="C238" s="785" t="s">
        <v>1286</v>
      </c>
      <c r="D238" s="785" t="s">
        <v>1139</v>
      </c>
      <c r="E238" s="785" t="s">
        <v>1096</v>
      </c>
      <c r="F238" s="785" t="s">
        <v>1140</v>
      </c>
      <c r="G238" s="785">
        <f t="shared" si="34"/>
        <v>56100</v>
      </c>
      <c r="H238" s="785">
        <v>0</v>
      </c>
      <c r="I238" s="785">
        <v>0</v>
      </c>
      <c r="J238" s="785">
        <f t="shared" si="35"/>
        <v>46750</v>
      </c>
      <c r="K238" s="786">
        <v>9350</v>
      </c>
      <c r="L238" s="785">
        <v>0</v>
      </c>
      <c r="M238" s="786">
        <v>0</v>
      </c>
    </row>
    <row r="239" spans="1:13" ht="15.75">
      <c r="A239" s="784">
        <v>169</v>
      </c>
      <c r="B239" s="1091">
        <v>1323069</v>
      </c>
      <c r="C239" s="785" t="s">
        <v>1286</v>
      </c>
      <c r="D239" s="785" t="s">
        <v>1287</v>
      </c>
      <c r="E239" s="785" t="s">
        <v>1096</v>
      </c>
      <c r="F239" s="785" t="s">
        <v>1150</v>
      </c>
      <c r="G239" s="785">
        <f t="shared" si="34"/>
        <v>24192</v>
      </c>
      <c r="H239" s="785">
        <v>0</v>
      </c>
      <c r="I239" s="785">
        <v>0</v>
      </c>
      <c r="J239" s="785">
        <f t="shared" si="35"/>
        <v>20160</v>
      </c>
      <c r="K239" s="786">
        <v>4032</v>
      </c>
      <c r="L239" s="785">
        <v>0</v>
      </c>
      <c r="M239" s="786">
        <v>0</v>
      </c>
    </row>
    <row r="240" spans="1:13" ht="15.75">
      <c r="A240" s="784">
        <v>170</v>
      </c>
      <c r="B240" s="1091">
        <v>1323070</v>
      </c>
      <c r="C240" s="785" t="s">
        <v>1288</v>
      </c>
      <c r="D240" s="785" t="s">
        <v>1211</v>
      </c>
      <c r="E240" s="785" t="s">
        <v>1096</v>
      </c>
      <c r="F240" s="785" t="s">
        <v>1158</v>
      </c>
      <c r="G240" s="785">
        <f t="shared" si="34"/>
        <v>310326</v>
      </c>
      <c r="H240" s="785">
        <v>0</v>
      </c>
      <c r="I240" s="785">
        <v>0</v>
      </c>
      <c r="J240" s="785">
        <f t="shared" si="35"/>
        <v>258605</v>
      </c>
      <c r="K240" s="786">
        <v>51721</v>
      </c>
      <c r="L240" s="785">
        <v>0</v>
      </c>
      <c r="M240" s="786">
        <v>0</v>
      </c>
    </row>
    <row r="241" spans="1:13" ht="15.75">
      <c r="A241" s="784">
        <v>171</v>
      </c>
      <c r="B241" s="1091">
        <v>1323071</v>
      </c>
      <c r="C241" s="785" t="s">
        <v>1288</v>
      </c>
      <c r="D241" s="785" t="s">
        <v>1155</v>
      </c>
      <c r="E241" s="785" t="s">
        <v>1289</v>
      </c>
      <c r="F241" s="785" t="s">
        <v>1156</v>
      </c>
      <c r="G241" s="785">
        <f t="shared" si="34"/>
        <v>166512</v>
      </c>
      <c r="H241" s="785">
        <v>0</v>
      </c>
      <c r="I241" s="785">
        <v>0</v>
      </c>
      <c r="J241" s="785">
        <f t="shared" si="35"/>
        <v>138760</v>
      </c>
      <c r="K241" s="786">
        <v>27752</v>
      </c>
      <c r="L241" s="785">
        <v>0</v>
      </c>
      <c r="M241" s="786">
        <v>0</v>
      </c>
    </row>
    <row r="242" spans="1:13" ht="16.5" thickBot="1">
      <c r="A242" s="784">
        <v>172</v>
      </c>
      <c r="B242" s="1091">
        <v>1323072</v>
      </c>
      <c r="C242" s="785" t="s">
        <v>1288</v>
      </c>
      <c r="D242" s="785" t="s">
        <v>1111</v>
      </c>
      <c r="E242" s="785" t="s">
        <v>1096</v>
      </c>
      <c r="F242" s="785"/>
      <c r="G242" s="785">
        <f t="shared" si="34"/>
        <v>618318</v>
      </c>
      <c r="H242" s="785">
        <v>0</v>
      </c>
      <c r="I242" s="785">
        <v>0</v>
      </c>
      <c r="J242" s="785">
        <f t="shared" si="35"/>
        <v>515265</v>
      </c>
      <c r="K242" s="786">
        <v>103053</v>
      </c>
      <c r="L242" s="785">
        <v>0</v>
      </c>
      <c r="M242" s="786">
        <v>0</v>
      </c>
    </row>
    <row r="243" spans="1:13" ht="16.5" thickBot="1">
      <c r="A243" s="1389" t="s">
        <v>822</v>
      </c>
      <c r="B243" s="1390"/>
      <c r="C243" s="1390"/>
      <c r="D243" s="1390"/>
      <c r="E243" s="1390"/>
      <c r="F243" s="1391"/>
      <c r="G243" s="1020">
        <f>SUM(G199:G242)</f>
        <v>10492644</v>
      </c>
      <c r="H243" s="785">
        <v>0</v>
      </c>
      <c r="I243" s="785">
        <v>0</v>
      </c>
      <c r="J243" s="1020">
        <f>SUM(J199:J242)</f>
        <v>8743870</v>
      </c>
      <c r="K243" s="1021">
        <f>SUM(K199:K242)</f>
        <v>1748774</v>
      </c>
      <c r="L243" s="785">
        <v>0</v>
      </c>
      <c r="M243" s="785">
        <v>0</v>
      </c>
    </row>
    <row r="244" spans="1:13" ht="16.5" thickBot="1">
      <c r="A244" s="1392" t="s">
        <v>823</v>
      </c>
      <c r="B244" s="1393"/>
      <c r="C244" s="1393"/>
      <c r="D244" s="1393"/>
      <c r="E244" s="1393"/>
      <c r="F244" s="1393"/>
      <c r="G244" s="1393"/>
      <c r="H244" s="781" t="s">
        <v>824</v>
      </c>
      <c r="I244" s="765" t="s">
        <v>825</v>
      </c>
      <c r="J244" s="781" t="s">
        <v>826</v>
      </c>
      <c r="K244" s="766" t="s">
        <v>827</v>
      </c>
      <c r="L244" s="781" t="s">
        <v>828</v>
      </c>
      <c r="M244" s="766" t="s">
        <v>829</v>
      </c>
    </row>
    <row r="247" spans="2:15" s="1082" customFormat="1" ht="12" customHeight="1">
      <c r="B247" s="1092"/>
      <c r="O247" s="1092"/>
    </row>
    <row r="248" spans="1:31" ht="19.5">
      <c r="A248" s="730" t="s">
        <v>794</v>
      </c>
      <c r="B248" s="1087"/>
      <c r="C248" s="731"/>
      <c r="D248" s="731"/>
      <c r="E248" s="731"/>
      <c r="F248" s="731"/>
      <c r="G248" s="731"/>
      <c r="H248" s="731"/>
      <c r="I248" s="731"/>
      <c r="J248" s="731"/>
      <c r="K248" s="731"/>
      <c r="L248" s="731"/>
      <c r="M248" s="731"/>
      <c r="N248" s="730" t="s">
        <v>795</v>
      </c>
      <c r="O248" s="1087"/>
      <c r="P248" s="731"/>
      <c r="Q248" s="731"/>
      <c r="R248" s="731"/>
      <c r="S248" s="731"/>
      <c r="T248" s="731"/>
      <c r="U248" s="731"/>
      <c r="V248" s="731"/>
      <c r="W248" s="731"/>
      <c r="X248" s="731"/>
      <c r="Y248" s="731"/>
      <c r="Z248" s="731"/>
      <c r="AA248" s="731"/>
      <c r="AB248" s="731"/>
      <c r="AC248" s="731"/>
      <c r="AD248" s="731"/>
      <c r="AE248" s="731"/>
    </row>
    <row r="249" spans="1:31" ht="15.75">
      <c r="A249" s="733" t="s">
        <v>796</v>
      </c>
      <c r="B249" s="1088"/>
      <c r="C249" s="731" t="s">
        <v>1042</v>
      </c>
      <c r="D249" s="731"/>
      <c r="E249" s="731"/>
      <c r="F249" s="731"/>
      <c r="G249" s="731"/>
      <c r="H249" s="731"/>
      <c r="I249" s="731"/>
      <c r="J249" s="731"/>
      <c r="K249" s="731"/>
      <c r="L249" s="731"/>
      <c r="M249" s="731"/>
      <c r="N249" s="733" t="s">
        <v>796</v>
      </c>
      <c r="O249" s="1088"/>
      <c r="P249" s="731" t="s">
        <v>1166</v>
      </c>
      <c r="Q249" s="731"/>
      <c r="R249" s="731"/>
      <c r="S249" s="731"/>
      <c r="T249" s="731"/>
      <c r="U249" s="731"/>
      <c r="V249" s="731"/>
      <c r="W249" s="731"/>
      <c r="X249" s="731"/>
      <c r="Y249" s="731"/>
      <c r="Z249" s="731"/>
      <c r="AA249" s="731"/>
      <c r="AB249" s="731"/>
      <c r="AC249" s="731"/>
      <c r="AD249" s="731"/>
      <c r="AE249" s="731"/>
    </row>
    <row r="250" spans="1:31" ht="15.75">
      <c r="A250" s="733" t="s">
        <v>413</v>
      </c>
      <c r="B250" s="1088"/>
      <c r="C250" s="731" t="s">
        <v>1043</v>
      </c>
      <c r="D250" s="731"/>
      <c r="E250" s="731"/>
      <c r="F250" s="731"/>
      <c r="G250" s="731"/>
      <c r="H250" s="731"/>
      <c r="I250" s="731"/>
      <c r="J250" s="731"/>
      <c r="K250" s="731"/>
      <c r="L250" s="731"/>
      <c r="M250" s="731"/>
      <c r="N250" s="733" t="s">
        <v>413</v>
      </c>
      <c r="O250" s="1088"/>
      <c r="P250" s="731" t="s">
        <v>1043</v>
      </c>
      <c r="Q250" s="731"/>
      <c r="R250" s="731"/>
      <c r="S250" s="731"/>
      <c r="T250" s="731"/>
      <c r="U250" s="731"/>
      <c r="V250" s="731"/>
      <c r="W250" s="731"/>
      <c r="X250" s="731"/>
      <c r="Y250" s="731"/>
      <c r="Z250" s="731"/>
      <c r="AA250" s="731"/>
      <c r="AB250" s="731"/>
      <c r="AC250" s="731"/>
      <c r="AD250" s="731"/>
      <c r="AE250" s="731"/>
    </row>
    <row r="251" spans="1:31" ht="15.75">
      <c r="A251" s="733" t="s">
        <v>797</v>
      </c>
      <c r="B251" s="1088"/>
      <c r="C251" s="731">
        <v>2012</v>
      </c>
      <c r="D251" s="731"/>
      <c r="E251" s="731"/>
      <c r="F251" s="731"/>
      <c r="G251" s="731"/>
      <c r="H251" s="731"/>
      <c r="I251" s="731"/>
      <c r="J251" s="731"/>
      <c r="K251" s="731"/>
      <c r="L251" s="731"/>
      <c r="M251" s="731"/>
      <c r="N251" s="733" t="s">
        <v>797</v>
      </c>
      <c r="O251" s="1088"/>
      <c r="P251" s="731">
        <v>2012</v>
      </c>
      <c r="Q251" s="731"/>
      <c r="R251" s="731"/>
      <c r="S251" s="731"/>
      <c r="T251" s="731"/>
      <c r="U251" s="731"/>
      <c r="V251" s="731"/>
      <c r="W251" s="731"/>
      <c r="X251" s="731"/>
      <c r="Y251" s="731"/>
      <c r="Z251" s="731"/>
      <c r="AA251" s="731"/>
      <c r="AB251" s="731"/>
      <c r="AC251" s="731"/>
      <c r="AD251" s="731"/>
      <c r="AE251" s="731"/>
    </row>
    <row r="252" spans="1:31" ht="15.75">
      <c r="A252" s="733" t="s">
        <v>166</v>
      </c>
      <c r="B252" s="1088"/>
      <c r="C252" s="731">
        <v>5</v>
      </c>
      <c r="D252" s="731"/>
      <c r="E252" s="731"/>
      <c r="F252" s="731"/>
      <c r="G252" s="731"/>
      <c r="H252" s="731"/>
      <c r="I252" s="731"/>
      <c r="J252" s="731"/>
      <c r="K252" s="731"/>
      <c r="L252" s="731"/>
      <c r="M252" s="731"/>
      <c r="N252" s="733" t="s">
        <v>166</v>
      </c>
      <c r="O252" s="1088"/>
      <c r="P252" s="731">
        <v>5</v>
      </c>
      <c r="Q252" s="731"/>
      <c r="R252" s="731"/>
      <c r="S252" s="731"/>
      <c r="T252" s="731"/>
      <c r="U252" s="731"/>
      <c r="V252" s="731"/>
      <c r="W252" s="731"/>
      <c r="X252" s="731"/>
      <c r="Y252" s="731"/>
      <c r="Z252" s="731"/>
      <c r="AA252" s="731"/>
      <c r="AB252" s="731"/>
      <c r="AC252" s="731"/>
      <c r="AD252" s="731"/>
      <c r="AE252" s="731"/>
    </row>
    <row r="253" spans="1:31" ht="16.5" thickBot="1">
      <c r="A253" s="733"/>
      <c r="B253" s="1088"/>
      <c r="C253" s="731"/>
      <c r="D253" s="731"/>
      <c r="E253" s="731"/>
      <c r="F253" s="731"/>
      <c r="G253" s="731"/>
      <c r="H253" s="731"/>
      <c r="I253" s="731"/>
      <c r="J253" s="731"/>
      <c r="K253" s="731"/>
      <c r="L253" s="731"/>
      <c r="M253" s="731"/>
      <c r="N253" s="733"/>
      <c r="O253" s="1088"/>
      <c r="P253" s="731"/>
      <c r="Q253" s="731"/>
      <c r="R253" s="731"/>
      <c r="S253" s="731"/>
      <c r="T253" s="731"/>
      <c r="U253" s="731"/>
      <c r="V253" s="731"/>
      <c r="W253" s="731"/>
      <c r="X253" s="731"/>
      <c r="Y253" s="731"/>
      <c r="Z253" s="731"/>
      <c r="AA253" s="731"/>
      <c r="AB253" s="731"/>
      <c r="AC253" s="731"/>
      <c r="AD253" s="731"/>
      <c r="AE253" s="731"/>
    </row>
    <row r="254" spans="1:31" ht="16.5" thickBot="1">
      <c r="A254" s="731" t="s">
        <v>799</v>
      </c>
      <c r="B254" s="781"/>
      <c r="C254" s="731" t="s">
        <v>835</v>
      </c>
      <c r="D254" s="731"/>
      <c r="E254" s="731"/>
      <c r="F254" s="731"/>
      <c r="G254" s="731"/>
      <c r="H254" s="731"/>
      <c r="I254" s="731"/>
      <c r="J254" s="731"/>
      <c r="K254" s="731"/>
      <c r="L254" s="731"/>
      <c r="M254" s="731"/>
      <c r="N254" s="731" t="s">
        <v>799</v>
      </c>
      <c r="O254" s="781"/>
      <c r="P254" s="731" t="s">
        <v>835</v>
      </c>
      <c r="Q254" s="731"/>
      <c r="R254" s="731"/>
      <c r="S254" s="731"/>
      <c r="T254" s="731"/>
      <c r="U254" s="731"/>
      <c r="V254" s="731"/>
      <c r="W254" s="731"/>
      <c r="X254" s="731"/>
      <c r="Y254" s="731"/>
      <c r="Z254" s="731"/>
      <c r="AA254" s="731"/>
      <c r="AB254" s="731"/>
      <c r="AC254" s="731"/>
      <c r="AD254" s="731"/>
      <c r="AE254" s="731"/>
    </row>
    <row r="255" spans="1:31" ht="16.5" thickBot="1">
      <c r="A255" s="731"/>
      <c r="B255" s="1087"/>
      <c r="C255" s="731"/>
      <c r="D255" s="731"/>
      <c r="E255" s="731"/>
      <c r="F255" s="731"/>
      <c r="G255" s="731"/>
      <c r="H255" s="731"/>
      <c r="I255" s="731"/>
      <c r="J255" s="731"/>
      <c r="K255" s="731"/>
      <c r="L255" s="731"/>
      <c r="M255" s="731"/>
      <c r="N255" s="731"/>
      <c r="O255" s="1087"/>
      <c r="P255" s="733"/>
      <c r="Q255" s="731"/>
      <c r="R255" s="731"/>
      <c r="S255" s="731"/>
      <c r="T255" s="731"/>
      <c r="U255" s="731"/>
      <c r="V255" s="731"/>
      <c r="W255" s="731"/>
      <c r="X255" s="731"/>
      <c r="Y255" s="731"/>
      <c r="Z255" s="731"/>
      <c r="AA255" s="731"/>
      <c r="AB255" s="731"/>
      <c r="AC255" s="731"/>
      <c r="AD255" s="731"/>
      <c r="AE255" s="731"/>
    </row>
    <row r="256" spans="1:31" ht="16.5" thickBot="1">
      <c r="A256" s="1401" t="s">
        <v>800</v>
      </c>
      <c r="B256" s="1409"/>
      <c r="C256" s="1402"/>
      <c r="D256" s="1401" t="s">
        <v>801</v>
      </c>
      <c r="E256" s="1409"/>
      <c r="F256" s="1402"/>
      <c r="G256" s="1398" t="s">
        <v>802</v>
      </c>
      <c r="H256" s="1398" t="s">
        <v>803</v>
      </c>
      <c r="I256" s="1398" t="s">
        <v>804</v>
      </c>
      <c r="J256" s="1401" t="s">
        <v>836</v>
      </c>
      <c r="K256" s="1402"/>
      <c r="L256" s="1401" t="s">
        <v>837</v>
      </c>
      <c r="M256" s="1402"/>
      <c r="N256" s="1405" t="s">
        <v>800</v>
      </c>
      <c r="O256" s="1406"/>
      <c r="P256" s="1407"/>
      <c r="Q256" s="1405" t="s">
        <v>805</v>
      </c>
      <c r="R256" s="1406"/>
      <c r="S256" s="1407"/>
      <c r="T256" s="1398" t="s">
        <v>806</v>
      </c>
      <c r="U256" s="1387" t="s">
        <v>807</v>
      </c>
      <c r="V256" s="1397"/>
      <c r="W256" s="1397"/>
      <c r="X256" s="1397"/>
      <c r="Y256" s="1397"/>
      <c r="Z256" s="1397"/>
      <c r="AA256" s="1397"/>
      <c r="AB256" s="1397"/>
      <c r="AC256" s="1397"/>
      <c r="AD256" s="1397"/>
      <c r="AE256" s="1388"/>
    </row>
    <row r="257" spans="1:31" ht="14.25" customHeight="1" thickBot="1">
      <c r="A257" s="1403"/>
      <c r="B257" s="1410"/>
      <c r="C257" s="1404"/>
      <c r="D257" s="1403"/>
      <c r="E257" s="1410"/>
      <c r="F257" s="1404"/>
      <c r="G257" s="1408"/>
      <c r="H257" s="1408"/>
      <c r="I257" s="1408"/>
      <c r="J257" s="1403"/>
      <c r="K257" s="1404"/>
      <c r="L257" s="1403"/>
      <c r="M257" s="1404"/>
      <c r="N257" s="1398" t="s">
        <v>808</v>
      </c>
      <c r="O257" s="1398" t="s">
        <v>809</v>
      </c>
      <c r="P257" s="1398" t="s">
        <v>810</v>
      </c>
      <c r="Q257" s="1398" t="s">
        <v>811</v>
      </c>
      <c r="R257" s="1398" t="s">
        <v>812</v>
      </c>
      <c r="S257" s="1398" t="s">
        <v>813</v>
      </c>
      <c r="T257" s="1408"/>
      <c r="U257" s="1398" t="s">
        <v>814</v>
      </c>
      <c r="V257" s="1387" t="s">
        <v>838</v>
      </c>
      <c r="W257" s="1400"/>
      <c r="X257" s="1387" t="s">
        <v>839</v>
      </c>
      <c r="Y257" s="1400"/>
      <c r="Z257" s="1387" t="s">
        <v>840</v>
      </c>
      <c r="AA257" s="1388"/>
      <c r="AB257" s="1387" t="s">
        <v>841</v>
      </c>
      <c r="AC257" s="1388"/>
      <c r="AD257" s="1387" t="s">
        <v>815</v>
      </c>
      <c r="AE257" s="1388"/>
    </row>
    <row r="258" spans="1:31" ht="31.5" customHeight="1" thickBot="1">
      <c r="A258" s="748" t="s">
        <v>808</v>
      </c>
      <c r="B258" s="749" t="s">
        <v>809</v>
      </c>
      <c r="C258" s="750" t="s">
        <v>810</v>
      </c>
      <c r="D258" s="743" t="s">
        <v>816</v>
      </c>
      <c r="E258" s="746" t="s">
        <v>812</v>
      </c>
      <c r="F258" s="751" t="s">
        <v>406</v>
      </c>
      <c r="G258" s="1399"/>
      <c r="H258" s="1399"/>
      <c r="I258" s="1399"/>
      <c r="J258" s="751" t="s">
        <v>817</v>
      </c>
      <c r="K258" s="744" t="s">
        <v>818</v>
      </c>
      <c r="L258" s="751" t="s">
        <v>817</v>
      </c>
      <c r="M258" s="744" t="s">
        <v>818</v>
      </c>
      <c r="N258" s="1399"/>
      <c r="O258" s="1399"/>
      <c r="P258" s="1399"/>
      <c r="Q258" s="1399"/>
      <c r="R258" s="1399"/>
      <c r="S258" s="1399"/>
      <c r="T258" s="1399"/>
      <c r="U258" s="1399"/>
      <c r="V258" s="745" t="s">
        <v>817</v>
      </c>
      <c r="W258" s="752" t="s">
        <v>818</v>
      </c>
      <c r="X258" s="745" t="s">
        <v>817</v>
      </c>
      <c r="Y258" s="752" t="s">
        <v>818</v>
      </c>
      <c r="Z258" s="744" t="s">
        <v>819</v>
      </c>
      <c r="AA258" s="744" t="s">
        <v>820</v>
      </c>
      <c r="AB258" s="744" t="s">
        <v>819</v>
      </c>
      <c r="AC258" s="744" t="s">
        <v>820</v>
      </c>
      <c r="AD258" s="744" t="s">
        <v>819</v>
      </c>
      <c r="AE258" s="744" t="s">
        <v>820</v>
      </c>
    </row>
    <row r="259" spans="1:31" ht="15.75" customHeight="1" thickBot="1">
      <c r="A259" s="754" t="s">
        <v>510</v>
      </c>
      <c r="B259" s="755" t="s">
        <v>511</v>
      </c>
      <c r="C259" s="755" t="s">
        <v>598</v>
      </c>
      <c r="D259" s="755" t="s">
        <v>620</v>
      </c>
      <c r="E259" s="755" t="s">
        <v>622</v>
      </c>
      <c r="F259" s="755" t="s">
        <v>634</v>
      </c>
      <c r="G259" s="755" t="s">
        <v>842</v>
      </c>
      <c r="H259" s="755" t="s">
        <v>638</v>
      </c>
      <c r="I259" s="756" t="s">
        <v>640</v>
      </c>
      <c r="J259" s="755" t="s">
        <v>642</v>
      </c>
      <c r="K259" s="757" t="s">
        <v>644</v>
      </c>
      <c r="L259" s="755" t="s">
        <v>646</v>
      </c>
      <c r="M259" s="757" t="s">
        <v>650</v>
      </c>
      <c r="N259" s="777" t="s">
        <v>510</v>
      </c>
      <c r="O259" s="778" t="s">
        <v>511</v>
      </c>
      <c r="P259" s="778" t="s">
        <v>598</v>
      </c>
      <c r="Q259" s="778" t="s">
        <v>620</v>
      </c>
      <c r="R259" s="778" t="s">
        <v>622</v>
      </c>
      <c r="S259" s="778" t="s">
        <v>634</v>
      </c>
      <c r="T259" s="779" t="s">
        <v>843</v>
      </c>
      <c r="U259" s="778" t="s">
        <v>638</v>
      </c>
      <c r="V259" s="778" t="s">
        <v>640</v>
      </c>
      <c r="W259" s="778" t="s">
        <v>642</v>
      </c>
      <c r="X259" s="778" t="s">
        <v>644</v>
      </c>
      <c r="Y259" s="778" t="s">
        <v>646</v>
      </c>
      <c r="Z259" s="778" t="s">
        <v>650</v>
      </c>
      <c r="AA259" s="778" t="s">
        <v>821</v>
      </c>
      <c r="AB259" s="778" t="s">
        <v>844</v>
      </c>
      <c r="AC259" s="778" t="s">
        <v>845</v>
      </c>
      <c r="AD259" s="778" t="s">
        <v>846</v>
      </c>
      <c r="AE259" s="780" t="s">
        <v>847</v>
      </c>
    </row>
    <row r="260" spans="1:32" ht="15.75">
      <c r="A260" s="758">
        <v>173</v>
      </c>
      <c r="B260" s="1094" t="s">
        <v>1375</v>
      </c>
      <c r="C260" s="760">
        <v>41030</v>
      </c>
      <c r="D260" s="759" t="s">
        <v>1374</v>
      </c>
      <c r="E260" s="759" t="s">
        <v>1096</v>
      </c>
      <c r="F260" s="759" t="s">
        <v>1172</v>
      </c>
      <c r="G260" s="759">
        <f>+J260+K260</f>
        <v>30000</v>
      </c>
      <c r="H260" s="759"/>
      <c r="I260" s="759"/>
      <c r="J260" s="759">
        <v>25000</v>
      </c>
      <c r="K260" s="759">
        <f>+J260*0.2</f>
        <v>5000</v>
      </c>
      <c r="L260" s="1084">
        <v>0</v>
      </c>
      <c r="M260" s="782">
        <v>0</v>
      </c>
      <c r="N260" s="1109">
        <v>567</v>
      </c>
      <c r="O260" s="1110">
        <v>117720567</v>
      </c>
      <c r="P260" s="1111">
        <v>41060</v>
      </c>
      <c r="Q260" s="1112" t="s">
        <v>1434</v>
      </c>
      <c r="R260" s="1112" t="s">
        <v>1099</v>
      </c>
      <c r="S260" s="1112" t="s">
        <v>1170</v>
      </c>
      <c r="T260" s="1113">
        <f>+U260+Z260+AA260</f>
        <v>16365.04</v>
      </c>
      <c r="U260" s="1113">
        <v>100</v>
      </c>
      <c r="V260" s="1113"/>
      <c r="W260" s="1113"/>
      <c r="X260" s="1113"/>
      <c r="Y260" s="1113"/>
      <c r="Z260" s="1113">
        <v>13554.2</v>
      </c>
      <c r="AA260" s="1113">
        <f>+Z260*0.2</f>
        <v>2710.84</v>
      </c>
      <c r="AB260" s="1112">
        <v>0</v>
      </c>
      <c r="AC260" s="1112">
        <v>0</v>
      </c>
      <c r="AD260" s="1112">
        <v>0</v>
      </c>
      <c r="AE260" s="1112">
        <v>0</v>
      </c>
      <c r="AF260" s="189"/>
    </row>
    <row r="261" spans="1:32" ht="15.75">
      <c r="A261" s="758">
        <v>174</v>
      </c>
      <c r="B261" s="1094" t="s">
        <v>1376</v>
      </c>
      <c r="C261" s="760">
        <v>41031</v>
      </c>
      <c r="D261" s="759" t="s">
        <v>1377</v>
      </c>
      <c r="E261" s="759" t="s">
        <v>1096</v>
      </c>
      <c r="F261" s="759" t="s">
        <v>1129</v>
      </c>
      <c r="G261" s="759">
        <f aca="true" t="shared" si="36" ref="G261:G302">+J261+K261</f>
        <v>28200</v>
      </c>
      <c r="H261" s="759"/>
      <c r="I261" s="759"/>
      <c r="J261" s="759">
        <v>23500</v>
      </c>
      <c r="K261" s="763">
        <f aca="true" t="shared" si="37" ref="K261:K304">+J261*0.2</f>
        <v>4700</v>
      </c>
      <c r="L261" s="1084">
        <v>0</v>
      </c>
      <c r="M261" s="782">
        <v>0</v>
      </c>
      <c r="N261" s="1112">
        <v>143</v>
      </c>
      <c r="O261" s="1110">
        <v>109057143</v>
      </c>
      <c r="P261" s="1111">
        <v>41001</v>
      </c>
      <c r="Q261" s="1112" t="s">
        <v>1098</v>
      </c>
      <c r="R261" s="1112" t="s">
        <v>1099</v>
      </c>
      <c r="S261" s="1112" t="s">
        <v>1100</v>
      </c>
      <c r="T261" s="1113">
        <f aca="true" t="shared" si="38" ref="T261:T268">+U261+Z261+AA261</f>
        <v>18563.208</v>
      </c>
      <c r="U261" s="1113"/>
      <c r="V261" s="1113"/>
      <c r="W261" s="1113"/>
      <c r="X261" s="1113"/>
      <c r="Y261" s="1113"/>
      <c r="Z261" s="1113">
        <v>15469.34</v>
      </c>
      <c r="AA261" s="1113">
        <f aca="true" t="shared" si="39" ref="AA261:AA268">+Z261*0.2</f>
        <v>3093.8680000000004</v>
      </c>
      <c r="AB261" s="1112">
        <v>0</v>
      </c>
      <c r="AC261" s="1112">
        <v>0</v>
      </c>
      <c r="AD261" s="1112">
        <v>0</v>
      </c>
      <c r="AE261" s="1112">
        <v>0</v>
      </c>
      <c r="AF261" s="189"/>
    </row>
    <row r="262" spans="1:32" ht="15.75">
      <c r="A262" s="758">
        <v>175</v>
      </c>
      <c r="B262" s="1094" t="s">
        <v>1378</v>
      </c>
      <c r="C262" s="760">
        <v>41031</v>
      </c>
      <c r="D262" s="759" t="s">
        <v>1063</v>
      </c>
      <c r="E262" s="759" t="s">
        <v>1096</v>
      </c>
      <c r="F262" s="759" t="s">
        <v>1150</v>
      </c>
      <c r="G262" s="1097">
        <f t="shared" si="36"/>
        <v>5503.2</v>
      </c>
      <c r="H262" s="759"/>
      <c r="I262" s="759"/>
      <c r="J262" s="759">
        <v>4586</v>
      </c>
      <c r="K262" s="1096">
        <f t="shared" si="37"/>
        <v>917.2</v>
      </c>
      <c r="L262" s="1084">
        <v>0</v>
      </c>
      <c r="M262" s="782">
        <v>0</v>
      </c>
      <c r="N262" s="1112">
        <v>85</v>
      </c>
      <c r="O262" s="1114" t="s">
        <v>1435</v>
      </c>
      <c r="P262" s="1111">
        <v>41037</v>
      </c>
      <c r="Q262" s="1112" t="s">
        <v>1336</v>
      </c>
      <c r="R262" s="1112" t="s">
        <v>1096</v>
      </c>
      <c r="S262" s="1112" t="s">
        <v>1105</v>
      </c>
      <c r="T262" s="1112">
        <f t="shared" si="38"/>
        <v>1228800</v>
      </c>
      <c r="U262" s="1112"/>
      <c r="V262" s="1112"/>
      <c r="W262" s="1112"/>
      <c r="X262" s="1112"/>
      <c r="Y262" s="1112"/>
      <c r="Z262" s="1112">
        <v>1024000</v>
      </c>
      <c r="AA262" s="1112">
        <f t="shared" si="39"/>
        <v>204800</v>
      </c>
      <c r="AB262" s="1112">
        <v>0</v>
      </c>
      <c r="AC262" s="1112">
        <v>0</v>
      </c>
      <c r="AD262" s="1112">
        <v>0</v>
      </c>
      <c r="AE262" s="1112">
        <v>0</v>
      </c>
      <c r="AF262" s="189"/>
    </row>
    <row r="263" spans="1:32" ht="15.75">
      <c r="A263" s="758">
        <v>176</v>
      </c>
      <c r="B263" s="1094" t="s">
        <v>1379</v>
      </c>
      <c r="C263" s="760">
        <v>41032</v>
      </c>
      <c r="D263" s="759" t="s">
        <v>1380</v>
      </c>
      <c r="E263" s="759" t="s">
        <v>1096</v>
      </c>
      <c r="F263" s="759" t="s">
        <v>1381</v>
      </c>
      <c r="G263" s="1097">
        <f t="shared" si="36"/>
        <v>323130</v>
      </c>
      <c r="H263" s="759"/>
      <c r="I263" s="759"/>
      <c r="J263" s="759">
        <v>269275</v>
      </c>
      <c r="K263" s="1096">
        <f t="shared" si="37"/>
        <v>53855</v>
      </c>
      <c r="L263" s="1084">
        <v>0</v>
      </c>
      <c r="M263" s="782">
        <v>0</v>
      </c>
      <c r="N263" s="1109">
        <v>295</v>
      </c>
      <c r="O263" s="1114" t="s">
        <v>1436</v>
      </c>
      <c r="P263" s="1111">
        <v>41039</v>
      </c>
      <c r="Q263" s="1112" t="s">
        <v>1437</v>
      </c>
      <c r="R263" s="1112" t="s">
        <v>1099</v>
      </c>
      <c r="S263" s="1112" t="s">
        <v>1438</v>
      </c>
      <c r="T263" s="1112">
        <f t="shared" si="38"/>
        <v>600000</v>
      </c>
      <c r="U263" s="1112"/>
      <c r="V263" s="1112"/>
      <c r="W263" s="1112"/>
      <c r="X263" s="1112"/>
      <c r="Y263" s="1112"/>
      <c r="Z263" s="1112">
        <v>500000</v>
      </c>
      <c r="AA263" s="1112">
        <f t="shared" si="39"/>
        <v>100000</v>
      </c>
      <c r="AB263" s="1112">
        <v>0</v>
      </c>
      <c r="AC263" s="1112">
        <v>0</v>
      </c>
      <c r="AD263" s="1112">
        <v>0</v>
      </c>
      <c r="AE263" s="1112">
        <v>0</v>
      </c>
      <c r="AF263" s="189"/>
    </row>
    <row r="264" spans="1:32" ht="15.75">
      <c r="A264" s="758">
        <v>177</v>
      </c>
      <c r="B264" s="1094" t="s">
        <v>1382</v>
      </c>
      <c r="C264" s="760">
        <v>41032</v>
      </c>
      <c r="D264" s="759" t="s">
        <v>1173</v>
      </c>
      <c r="E264" s="759" t="s">
        <v>1096</v>
      </c>
      <c r="F264" s="759" t="s">
        <v>1174</v>
      </c>
      <c r="G264" s="1097">
        <f t="shared" si="36"/>
        <v>178599.6</v>
      </c>
      <c r="H264" s="759"/>
      <c r="I264" s="759"/>
      <c r="J264" s="759">
        <v>148833</v>
      </c>
      <c r="K264" s="1096">
        <f t="shared" si="37"/>
        <v>29766.600000000002</v>
      </c>
      <c r="L264" s="1084">
        <v>0</v>
      </c>
      <c r="M264" s="782">
        <v>0</v>
      </c>
      <c r="N264" s="1109">
        <v>2</v>
      </c>
      <c r="O264" s="1114" t="s">
        <v>1439</v>
      </c>
      <c r="P264" s="1111">
        <v>41043</v>
      </c>
      <c r="Q264" s="1112" t="s">
        <v>1336</v>
      </c>
      <c r="R264" s="1112" t="s">
        <v>1096</v>
      </c>
      <c r="S264" s="1112" t="s">
        <v>1105</v>
      </c>
      <c r="T264" s="1113">
        <f t="shared" si="38"/>
        <v>2297359.2</v>
      </c>
      <c r="U264" s="1113"/>
      <c r="V264" s="1113"/>
      <c r="W264" s="1113"/>
      <c r="X264" s="1113"/>
      <c r="Y264" s="1113"/>
      <c r="Z264" s="1113">
        <v>1914466</v>
      </c>
      <c r="AA264" s="1113">
        <f t="shared" si="39"/>
        <v>382893.2</v>
      </c>
      <c r="AB264" s="1112">
        <v>0</v>
      </c>
      <c r="AC264" s="1112">
        <v>0</v>
      </c>
      <c r="AD264" s="1112">
        <v>0</v>
      </c>
      <c r="AE264" s="1112">
        <v>0</v>
      </c>
      <c r="AF264" s="189"/>
    </row>
    <row r="265" spans="1:32" ht="15.75">
      <c r="A265" s="758">
        <v>178</v>
      </c>
      <c r="B265" s="1094" t="s">
        <v>1383</v>
      </c>
      <c r="C265" s="760">
        <v>41033</v>
      </c>
      <c r="D265" s="759" t="s">
        <v>1346</v>
      </c>
      <c r="E265" s="759" t="s">
        <v>1096</v>
      </c>
      <c r="F265" s="759" t="s">
        <v>1184</v>
      </c>
      <c r="G265" s="1097">
        <f t="shared" si="36"/>
        <v>93999.6</v>
      </c>
      <c r="H265" s="759"/>
      <c r="I265" s="759"/>
      <c r="J265" s="759">
        <v>78333</v>
      </c>
      <c r="K265" s="1096">
        <f t="shared" si="37"/>
        <v>15666.6</v>
      </c>
      <c r="L265" s="1084">
        <v>0</v>
      </c>
      <c r="M265" s="782">
        <v>0</v>
      </c>
      <c r="N265" s="1109">
        <v>97</v>
      </c>
      <c r="O265" s="1114" t="s">
        <v>1440</v>
      </c>
      <c r="P265" s="1111">
        <v>41047</v>
      </c>
      <c r="Q265" s="1112" t="s">
        <v>1336</v>
      </c>
      <c r="R265" s="1112" t="s">
        <v>1096</v>
      </c>
      <c r="S265" s="1112" t="s">
        <v>1105</v>
      </c>
      <c r="T265" s="1112">
        <f t="shared" si="38"/>
        <v>1306099.9919999999</v>
      </c>
      <c r="U265" s="1112"/>
      <c r="V265" s="1112"/>
      <c r="W265" s="1112"/>
      <c r="X265" s="1112"/>
      <c r="Y265" s="1112"/>
      <c r="Z265" s="1113">
        <v>1088416.66</v>
      </c>
      <c r="AA265" s="1113">
        <f t="shared" si="39"/>
        <v>217683.332</v>
      </c>
      <c r="AB265" s="1112">
        <v>0</v>
      </c>
      <c r="AC265" s="1112">
        <v>0</v>
      </c>
      <c r="AD265" s="1112">
        <v>0</v>
      </c>
      <c r="AE265" s="1112">
        <v>0</v>
      </c>
      <c r="AF265" s="189"/>
    </row>
    <row r="266" spans="1:32" ht="15.75">
      <c r="A266" s="758">
        <v>179</v>
      </c>
      <c r="B266" s="1094" t="s">
        <v>1384</v>
      </c>
      <c r="C266" s="760">
        <v>41033</v>
      </c>
      <c r="D266" s="759" t="s">
        <v>1259</v>
      </c>
      <c r="E266" s="759" t="s">
        <v>1096</v>
      </c>
      <c r="F266" s="759" t="s">
        <v>1162</v>
      </c>
      <c r="G266" s="759">
        <f t="shared" si="36"/>
        <v>112080</v>
      </c>
      <c r="H266" s="759"/>
      <c r="I266" s="759"/>
      <c r="J266" s="759">
        <v>93400</v>
      </c>
      <c r="K266" s="763">
        <f t="shared" si="37"/>
        <v>18680</v>
      </c>
      <c r="L266" s="1084">
        <v>0</v>
      </c>
      <c r="M266" s="782">
        <v>0</v>
      </c>
      <c r="N266" s="1115">
        <v>12</v>
      </c>
      <c r="O266" s="1116" t="s">
        <v>1441</v>
      </c>
      <c r="P266" s="1117">
        <v>41050</v>
      </c>
      <c r="Q266" s="1112" t="s">
        <v>1336</v>
      </c>
      <c r="R266" s="1112" t="s">
        <v>1096</v>
      </c>
      <c r="S266" s="1112" t="s">
        <v>1105</v>
      </c>
      <c r="T266" s="1112">
        <f t="shared" si="38"/>
        <v>2160000</v>
      </c>
      <c r="U266" s="1112"/>
      <c r="V266" s="1112"/>
      <c r="W266" s="1112"/>
      <c r="X266" s="1112"/>
      <c r="Y266" s="1112"/>
      <c r="Z266" s="1118">
        <v>1800000</v>
      </c>
      <c r="AA266" s="1112">
        <f t="shared" si="39"/>
        <v>360000</v>
      </c>
      <c r="AB266" s="1112">
        <v>0</v>
      </c>
      <c r="AC266" s="1112">
        <v>0</v>
      </c>
      <c r="AD266" s="1112">
        <v>0</v>
      </c>
      <c r="AE266" s="1112">
        <v>0</v>
      </c>
      <c r="AF266" s="189"/>
    </row>
    <row r="267" spans="1:32" ht="15.75">
      <c r="A267" s="758">
        <v>180</v>
      </c>
      <c r="B267" s="1094" t="s">
        <v>1385</v>
      </c>
      <c r="C267" s="764">
        <v>41034</v>
      </c>
      <c r="D267" s="763" t="s">
        <v>1114</v>
      </c>
      <c r="E267" s="763" t="s">
        <v>1115</v>
      </c>
      <c r="F267" s="763" t="s">
        <v>1116</v>
      </c>
      <c r="G267" s="1097">
        <f t="shared" si="36"/>
        <v>178599.6</v>
      </c>
      <c r="H267" s="763"/>
      <c r="I267" s="763"/>
      <c r="J267" s="763">
        <v>148833</v>
      </c>
      <c r="K267" s="1096">
        <f t="shared" si="37"/>
        <v>29766.600000000002</v>
      </c>
      <c r="L267" s="1085">
        <v>0</v>
      </c>
      <c r="M267" s="783">
        <v>0</v>
      </c>
      <c r="N267" s="1115">
        <v>36</v>
      </c>
      <c r="O267" s="1116" t="s">
        <v>1442</v>
      </c>
      <c r="P267" s="1117">
        <v>41057</v>
      </c>
      <c r="Q267" s="1112" t="s">
        <v>1336</v>
      </c>
      <c r="R267" s="1112" t="s">
        <v>1096</v>
      </c>
      <c r="S267" s="1112" t="s">
        <v>1105</v>
      </c>
      <c r="T267" s="1112">
        <f>+U267+Z267+AA267</f>
        <v>1071000</v>
      </c>
      <c r="U267" s="1112"/>
      <c r="V267" s="1112"/>
      <c r="W267" s="1112"/>
      <c r="X267" s="1112"/>
      <c r="Y267" s="1112"/>
      <c r="Z267" s="1118">
        <v>892500</v>
      </c>
      <c r="AA267" s="1112">
        <f>+Z267*0.2</f>
        <v>178500</v>
      </c>
      <c r="AB267" s="1112">
        <v>0</v>
      </c>
      <c r="AC267" s="1112"/>
      <c r="AD267" s="1112"/>
      <c r="AE267" s="1112"/>
      <c r="AF267" s="189"/>
    </row>
    <row r="268" spans="1:32" ht="16.5" thickBot="1">
      <c r="A268" s="758">
        <v>181</v>
      </c>
      <c r="B268" s="1094" t="s">
        <v>1386</v>
      </c>
      <c r="C268" s="1023">
        <v>41036</v>
      </c>
      <c r="D268" s="785" t="s">
        <v>1388</v>
      </c>
      <c r="E268" s="785" t="s">
        <v>1096</v>
      </c>
      <c r="F268" s="785" t="s">
        <v>1266</v>
      </c>
      <c r="G268" s="1097">
        <f t="shared" si="36"/>
        <v>37599.6</v>
      </c>
      <c r="H268" s="785"/>
      <c r="I268" s="785"/>
      <c r="J268" s="785">
        <v>31333</v>
      </c>
      <c r="K268" s="1096">
        <f t="shared" si="37"/>
        <v>6266.6</v>
      </c>
      <c r="L268" s="1085">
        <v>0</v>
      </c>
      <c r="M268" s="783">
        <v>0</v>
      </c>
      <c r="N268" s="1120">
        <v>493</v>
      </c>
      <c r="O268" s="1121">
        <v>2726498</v>
      </c>
      <c r="P268" s="1121" t="s">
        <v>1479</v>
      </c>
      <c r="Q268" s="1121" t="s">
        <v>1452</v>
      </c>
      <c r="R268" s="1121" t="s">
        <v>1096</v>
      </c>
      <c r="S268" s="1121" t="s">
        <v>1430</v>
      </c>
      <c r="T268" s="1122">
        <f t="shared" si="38"/>
        <v>883950</v>
      </c>
      <c r="U268" s="1122"/>
      <c r="V268" s="1122"/>
      <c r="W268" s="1122"/>
      <c r="X268" s="1122"/>
      <c r="Y268" s="1122"/>
      <c r="Z268" s="1121">
        <v>736625</v>
      </c>
      <c r="AA268" s="1122">
        <f t="shared" si="39"/>
        <v>147325</v>
      </c>
      <c r="AB268" s="1122">
        <v>0</v>
      </c>
      <c r="AC268" s="1122">
        <v>0</v>
      </c>
      <c r="AD268" s="1122">
        <v>0</v>
      </c>
      <c r="AE268" s="1122">
        <v>0</v>
      </c>
      <c r="AF268" s="189"/>
    </row>
    <row r="269" spans="1:31" ht="16.5" thickBot="1">
      <c r="A269" s="758">
        <v>182</v>
      </c>
      <c r="B269" s="1094" t="s">
        <v>1387</v>
      </c>
      <c r="C269" s="1023">
        <v>41036</v>
      </c>
      <c r="D269" s="785" t="s">
        <v>1336</v>
      </c>
      <c r="E269" s="785" t="s">
        <v>1096</v>
      </c>
      <c r="F269" s="785" t="s">
        <v>1105</v>
      </c>
      <c r="G269" s="1097">
        <f t="shared" si="36"/>
        <v>172800</v>
      </c>
      <c r="H269" s="785"/>
      <c r="I269" s="785"/>
      <c r="J269" s="1133">
        <v>144000</v>
      </c>
      <c r="K269" s="1096">
        <f t="shared" si="37"/>
        <v>28800</v>
      </c>
      <c r="L269" s="1085">
        <v>0</v>
      </c>
      <c r="M269" s="783">
        <v>0</v>
      </c>
      <c r="N269" s="1411" t="s">
        <v>822</v>
      </c>
      <c r="O269" s="1412"/>
      <c r="P269" s="1412"/>
      <c r="Q269" s="1412"/>
      <c r="R269" s="1412"/>
      <c r="S269" s="1413"/>
      <c r="T269" s="1119">
        <f>+Z269+AA269</f>
        <v>8696598</v>
      </c>
      <c r="U269" s="1119">
        <f aca="true" t="shared" si="40" ref="U269:AE269">SUM(U260:U268)</f>
        <v>100</v>
      </c>
      <c r="V269" s="1119">
        <f t="shared" si="40"/>
        <v>0</v>
      </c>
      <c r="W269" s="1119">
        <f t="shared" si="40"/>
        <v>0</v>
      </c>
      <c r="X269" s="1119">
        <f t="shared" si="40"/>
        <v>0</v>
      </c>
      <c r="Y269" s="1119">
        <f t="shared" si="40"/>
        <v>0</v>
      </c>
      <c r="Z269" s="1119">
        <v>7247165</v>
      </c>
      <c r="AA269" s="1119">
        <f>+Z269*0.2</f>
        <v>1449433</v>
      </c>
      <c r="AB269" s="1119">
        <f t="shared" si="40"/>
        <v>0</v>
      </c>
      <c r="AC269" s="1119">
        <f t="shared" si="40"/>
        <v>0</v>
      </c>
      <c r="AD269" s="1119">
        <f t="shared" si="40"/>
        <v>0</v>
      </c>
      <c r="AE269" s="1119">
        <f t="shared" si="40"/>
        <v>0</v>
      </c>
    </row>
    <row r="270" spans="1:31" ht="16.5" thickBot="1">
      <c r="A270" s="758">
        <v>183</v>
      </c>
      <c r="B270" s="1094" t="s">
        <v>1389</v>
      </c>
      <c r="C270" s="1023">
        <v>41037</v>
      </c>
      <c r="D270" s="785" t="s">
        <v>1380</v>
      </c>
      <c r="E270" s="785" t="s">
        <v>1096</v>
      </c>
      <c r="F270" s="785" t="s">
        <v>1381</v>
      </c>
      <c r="G270" s="1097">
        <f t="shared" si="36"/>
        <v>883280.4</v>
      </c>
      <c r="H270" s="1098"/>
      <c r="I270" s="1098"/>
      <c r="J270" s="1098">
        <v>736067</v>
      </c>
      <c r="K270" s="1096">
        <f t="shared" si="37"/>
        <v>147213.4</v>
      </c>
      <c r="L270" s="1086">
        <v>0</v>
      </c>
      <c r="M270" s="786">
        <v>0</v>
      </c>
      <c r="N270" s="1392" t="s">
        <v>823</v>
      </c>
      <c r="O270" s="1393"/>
      <c r="P270" s="1393"/>
      <c r="Q270" s="1393"/>
      <c r="R270" s="1393"/>
      <c r="S270" s="1393"/>
      <c r="T270" s="1393"/>
      <c r="U270" s="781" t="s">
        <v>830</v>
      </c>
      <c r="V270" s="781" t="s">
        <v>831</v>
      </c>
      <c r="W270" s="781" t="s">
        <v>832</v>
      </c>
      <c r="X270" s="781" t="s">
        <v>833</v>
      </c>
      <c r="Y270" s="781" t="s">
        <v>834</v>
      </c>
      <c r="Z270" s="781" t="s">
        <v>849</v>
      </c>
      <c r="AA270" s="781" t="s">
        <v>850</v>
      </c>
      <c r="AB270" s="781" t="s">
        <v>851</v>
      </c>
      <c r="AC270" s="781" t="s">
        <v>852</v>
      </c>
      <c r="AD270" s="781" t="s">
        <v>853</v>
      </c>
      <c r="AE270" s="766" t="s">
        <v>854</v>
      </c>
    </row>
    <row r="271" spans="1:31" ht="15.75">
      <c r="A271" s="758">
        <v>184</v>
      </c>
      <c r="B271" s="1094" t="s">
        <v>1390</v>
      </c>
      <c r="C271" s="1023">
        <v>41037</v>
      </c>
      <c r="D271" s="785" t="s">
        <v>1395</v>
      </c>
      <c r="E271" s="785" t="s">
        <v>1096</v>
      </c>
      <c r="F271" s="785" t="s">
        <v>1396</v>
      </c>
      <c r="G271" s="759">
        <f t="shared" si="36"/>
        <v>28200</v>
      </c>
      <c r="H271" s="785"/>
      <c r="I271" s="785"/>
      <c r="J271" s="785">
        <v>23500</v>
      </c>
      <c r="K271" s="1096">
        <f t="shared" si="37"/>
        <v>4700</v>
      </c>
      <c r="L271" s="1086">
        <v>0</v>
      </c>
      <c r="M271" s="786">
        <v>0</v>
      </c>
      <c r="N271" s="731"/>
      <c r="O271" s="1087"/>
      <c r="P271" s="731"/>
      <c r="Q271" s="731"/>
      <c r="R271" s="731"/>
      <c r="S271" s="731"/>
      <c r="T271" s="731"/>
      <c r="U271" s="731"/>
      <c r="V271" s="731"/>
      <c r="W271" s="731"/>
      <c r="X271" s="731"/>
      <c r="Y271" s="731"/>
      <c r="Z271" s="731"/>
      <c r="AA271" s="731"/>
      <c r="AB271" s="731"/>
      <c r="AC271" s="731"/>
      <c r="AD271" s="731"/>
      <c r="AE271" s="731"/>
    </row>
    <row r="272" spans="1:31" ht="15.75">
      <c r="A272" s="758">
        <v>185</v>
      </c>
      <c r="B272" s="1094" t="s">
        <v>1391</v>
      </c>
      <c r="C272" s="1023">
        <v>41038</v>
      </c>
      <c r="D272" s="785" t="s">
        <v>1397</v>
      </c>
      <c r="E272" s="785" t="s">
        <v>1096</v>
      </c>
      <c r="F272" s="785" t="s">
        <v>1124</v>
      </c>
      <c r="G272" s="759">
        <f t="shared" si="36"/>
        <v>168570</v>
      </c>
      <c r="H272" s="785"/>
      <c r="I272" s="785"/>
      <c r="J272" s="785">
        <v>140475</v>
      </c>
      <c r="K272" s="763">
        <f t="shared" si="37"/>
        <v>28095</v>
      </c>
      <c r="L272" s="1086">
        <v>0</v>
      </c>
      <c r="M272" s="786">
        <v>0</v>
      </c>
      <c r="N272" s="731"/>
      <c r="O272" s="1087"/>
      <c r="P272" s="731"/>
      <c r="Q272" s="731"/>
      <c r="R272" s="731"/>
      <c r="S272" s="731"/>
      <c r="T272" s="731"/>
      <c r="U272" s="731"/>
      <c r="V272" s="731"/>
      <c r="W272" s="731"/>
      <c r="X272" s="731"/>
      <c r="Y272" s="731"/>
      <c r="Z272" s="731"/>
      <c r="AA272" s="731"/>
      <c r="AB272" s="731"/>
      <c r="AC272" s="731"/>
      <c r="AD272" s="731"/>
      <c r="AE272" s="731"/>
    </row>
    <row r="273" spans="1:31" ht="15.75">
      <c r="A273" s="758">
        <v>186</v>
      </c>
      <c r="B273" s="1094" t="s">
        <v>1392</v>
      </c>
      <c r="C273" s="1023">
        <v>41039</v>
      </c>
      <c r="D273" s="785" t="s">
        <v>1377</v>
      </c>
      <c r="E273" s="785" t="s">
        <v>1096</v>
      </c>
      <c r="F273" s="763" t="s">
        <v>1129</v>
      </c>
      <c r="G273" s="759">
        <f t="shared" si="36"/>
        <v>19200</v>
      </c>
      <c r="H273" s="785"/>
      <c r="I273" s="785"/>
      <c r="J273" s="785">
        <v>16000</v>
      </c>
      <c r="K273" s="763">
        <f t="shared" si="37"/>
        <v>3200</v>
      </c>
      <c r="L273" s="1086">
        <v>0</v>
      </c>
      <c r="M273" s="786">
        <v>0</v>
      </c>
      <c r="N273" s="731" t="s">
        <v>856</v>
      </c>
      <c r="O273" s="1087"/>
      <c r="P273" s="731"/>
      <c r="Q273" s="731"/>
      <c r="R273" s="731"/>
      <c r="S273" s="731"/>
      <c r="T273" s="731"/>
      <c r="U273" s="731"/>
      <c r="V273" s="731"/>
      <c r="W273" s="731"/>
      <c r="X273" s="1017" t="s">
        <v>1120</v>
      </c>
      <c r="Y273" s="731"/>
      <c r="Z273" s="731"/>
      <c r="AA273" s="731"/>
      <c r="AB273" s="731"/>
      <c r="AC273" s="731"/>
      <c r="AD273" s="1017"/>
      <c r="AE273" s="731"/>
    </row>
    <row r="274" spans="1:31" ht="15.75">
      <c r="A274" s="758">
        <v>187</v>
      </c>
      <c r="B274" s="1094" t="s">
        <v>1393</v>
      </c>
      <c r="C274" s="1023">
        <v>41040</v>
      </c>
      <c r="D274" s="785" t="s">
        <v>1398</v>
      </c>
      <c r="E274" s="785" t="s">
        <v>1096</v>
      </c>
      <c r="F274" s="785" t="s">
        <v>1186</v>
      </c>
      <c r="G274" s="759">
        <f t="shared" si="36"/>
        <v>15000</v>
      </c>
      <c r="H274" s="785"/>
      <c r="I274" s="785"/>
      <c r="J274" s="785">
        <v>12500</v>
      </c>
      <c r="K274" s="763">
        <f t="shared" si="37"/>
        <v>2500</v>
      </c>
      <c r="L274" s="1086">
        <v>0</v>
      </c>
      <c r="M274" s="786">
        <v>0</v>
      </c>
      <c r="N274" s="731" t="s">
        <v>848</v>
      </c>
      <c r="O274" s="1087"/>
      <c r="P274" s="731"/>
      <c r="Q274" s="731"/>
      <c r="R274" s="731"/>
      <c r="S274" s="731"/>
      <c r="T274" s="731"/>
      <c r="U274" s="731"/>
      <c r="V274" s="731"/>
      <c r="W274" s="731"/>
      <c r="X274" s="731" t="s">
        <v>1270</v>
      </c>
      <c r="Y274" s="731"/>
      <c r="Z274" s="731"/>
      <c r="AA274" s="731"/>
      <c r="AB274" s="731"/>
      <c r="AC274" s="731"/>
      <c r="AD274" s="1017"/>
      <c r="AE274" s="731"/>
    </row>
    <row r="275" spans="1:31" ht="15.75">
      <c r="A275" s="758">
        <v>188</v>
      </c>
      <c r="B275" s="1094" t="s">
        <v>1394</v>
      </c>
      <c r="C275" s="1023">
        <v>41041</v>
      </c>
      <c r="D275" s="785" t="s">
        <v>1173</v>
      </c>
      <c r="E275" s="785" t="s">
        <v>1096</v>
      </c>
      <c r="F275" s="785" t="s">
        <v>1174</v>
      </c>
      <c r="G275" s="759">
        <f t="shared" si="36"/>
        <v>179550</v>
      </c>
      <c r="H275" s="785"/>
      <c r="I275" s="785"/>
      <c r="J275" s="785">
        <v>149625</v>
      </c>
      <c r="K275" s="763">
        <f t="shared" si="37"/>
        <v>29925</v>
      </c>
      <c r="L275" s="1086">
        <v>0</v>
      </c>
      <c r="M275" s="786">
        <v>0</v>
      </c>
      <c r="N275" s="731" t="s">
        <v>855</v>
      </c>
      <c r="P275" s="731"/>
      <c r="Q275" s="731"/>
      <c r="R275" s="731"/>
      <c r="S275" s="731"/>
      <c r="T275" s="731"/>
      <c r="U275" s="731"/>
      <c r="V275" s="731"/>
      <c r="W275" s="731"/>
      <c r="X275" s="731"/>
      <c r="Y275" s="731"/>
      <c r="Z275" s="731"/>
      <c r="AA275" s="731"/>
      <c r="AB275" s="731"/>
      <c r="AC275" s="731"/>
      <c r="AD275" s="731"/>
      <c r="AE275" s="731"/>
    </row>
    <row r="276" spans="1:31" ht="15.75">
      <c r="A276" s="784">
        <v>189</v>
      </c>
      <c r="B276" s="1095" t="s">
        <v>1399</v>
      </c>
      <c r="C276" s="1023">
        <v>41042</v>
      </c>
      <c r="D276" s="763" t="s">
        <v>1374</v>
      </c>
      <c r="E276" s="763" t="s">
        <v>1096</v>
      </c>
      <c r="F276" s="763" t="s">
        <v>1172</v>
      </c>
      <c r="G276" s="759">
        <f t="shared" si="36"/>
        <v>60000</v>
      </c>
      <c r="H276" s="785"/>
      <c r="I276" s="785"/>
      <c r="J276" s="785">
        <v>50000</v>
      </c>
      <c r="K276" s="763">
        <f t="shared" si="37"/>
        <v>10000</v>
      </c>
      <c r="L276" s="1086">
        <v>0</v>
      </c>
      <c r="M276" s="786">
        <v>0</v>
      </c>
      <c r="P276" s="731"/>
      <c r="Q276" s="731"/>
      <c r="R276" s="731"/>
      <c r="S276" s="731"/>
      <c r="T276" s="731"/>
      <c r="U276" s="731"/>
      <c r="V276" s="731"/>
      <c r="W276" s="731"/>
      <c r="X276" s="731"/>
      <c r="Y276" s="731"/>
      <c r="Z276" s="731"/>
      <c r="AA276" s="731"/>
      <c r="AB276" s="731"/>
      <c r="AC276" s="731"/>
      <c r="AD276" s="731"/>
      <c r="AE276" s="731"/>
    </row>
    <row r="277" spans="1:13" ht="15.75">
      <c r="A277" s="784">
        <v>190</v>
      </c>
      <c r="B277" s="1094" t="s">
        <v>1400</v>
      </c>
      <c r="C277" s="1023">
        <v>41043</v>
      </c>
      <c r="D277" s="785" t="s">
        <v>1380</v>
      </c>
      <c r="E277" s="785" t="s">
        <v>1096</v>
      </c>
      <c r="F277" s="785" t="s">
        <v>1381</v>
      </c>
      <c r="G277" s="759">
        <f t="shared" si="36"/>
        <v>900090</v>
      </c>
      <c r="H277" s="785"/>
      <c r="I277" s="785"/>
      <c r="J277" s="785">
        <v>750075</v>
      </c>
      <c r="K277" s="763">
        <f t="shared" si="37"/>
        <v>150015</v>
      </c>
      <c r="L277" s="1086">
        <v>0</v>
      </c>
      <c r="M277" s="786">
        <v>0</v>
      </c>
    </row>
    <row r="278" spans="1:13" ht="15.75">
      <c r="A278" s="784">
        <v>191</v>
      </c>
      <c r="B278" s="1095" t="s">
        <v>1401</v>
      </c>
      <c r="C278" s="1023">
        <v>41044</v>
      </c>
      <c r="D278" s="785" t="s">
        <v>1095</v>
      </c>
      <c r="E278" s="785" t="s">
        <v>1096</v>
      </c>
      <c r="F278" s="785" t="s">
        <v>1097</v>
      </c>
      <c r="G278" s="759">
        <f t="shared" si="36"/>
        <v>75138</v>
      </c>
      <c r="H278" s="785"/>
      <c r="I278" s="785"/>
      <c r="J278" s="785">
        <v>62615</v>
      </c>
      <c r="K278" s="763">
        <f t="shared" si="37"/>
        <v>12523</v>
      </c>
      <c r="L278" s="1086">
        <v>0</v>
      </c>
      <c r="M278" s="786">
        <v>0</v>
      </c>
    </row>
    <row r="279" spans="1:13" ht="15.75">
      <c r="A279" s="784">
        <v>192</v>
      </c>
      <c r="B279" s="1094" t="s">
        <v>1402</v>
      </c>
      <c r="C279" s="1023">
        <v>41045</v>
      </c>
      <c r="D279" s="785" t="s">
        <v>1106</v>
      </c>
      <c r="E279" s="785" t="s">
        <v>1096</v>
      </c>
      <c r="F279" s="785" t="s">
        <v>1107</v>
      </c>
      <c r="G279" s="1097">
        <f t="shared" si="36"/>
        <v>7359.6</v>
      </c>
      <c r="H279" s="1098"/>
      <c r="I279" s="1098"/>
      <c r="J279" s="1098">
        <v>6133</v>
      </c>
      <c r="K279" s="1096">
        <f t="shared" si="37"/>
        <v>1226.6000000000001</v>
      </c>
      <c r="L279" s="1086">
        <v>0</v>
      </c>
      <c r="M279" s="786">
        <v>0</v>
      </c>
    </row>
    <row r="280" spans="1:13" ht="15.75">
      <c r="A280" s="784">
        <v>193</v>
      </c>
      <c r="B280" s="1095" t="s">
        <v>1403</v>
      </c>
      <c r="C280" s="1023">
        <v>41046</v>
      </c>
      <c r="D280" s="785" t="s">
        <v>1208</v>
      </c>
      <c r="E280" s="785" t="s">
        <v>1096</v>
      </c>
      <c r="F280" s="785" t="s">
        <v>1209</v>
      </c>
      <c r="G280" s="1097">
        <f t="shared" si="36"/>
        <v>36999.6</v>
      </c>
      <c r="H280" s="1098"/>
      <c r="I280" s="1098"/>
      <c r="J280" s="1098">
        <v>30833</v>
      </c>
      <c r="K280" s="1096">
        <f t="shared" si="37"/>
        <v>6166.6</v>
      </c>
      <c r="L280" s="1086">
        <v>0</v>
      </c>
      <c r="M280" s="786">
        <v>0</v>
      </c>
    </row>
    <row r="281" spans="1:13" ht="15.75">
      <c r="A281" s="784">
        <v>194</v>
      </c>
      <c r="B281" s="1094" t="s">
        <v>1404</v>
      </c>
      <c r="C281" s="1023">
        <v>41046</v>
      </c>
      <c r="D281" s="785" t="s">
        <v>1411</v>
      </c>
      <c r="E281" s="785" t="s">
        <v>1096</v>
      </c>
      <c r="F281" s="785" t="s">
        <v>1197</v>
      </c>
      <c r="G281" s="1097">
        <f t="shared" si="36"/>
        <v>26319.6</v>
      </c>
      <c r="H281" s="1098"/>
      <c r="I281" s="1098"/>
      <c r="J281" s="1098">
        <v>21933</v>
      </c>
      <c r="K281" s="1096">
        <f t="shared" si="37"/>
        <v>4386.6</v>
      </c>
      <c r="L281" s="1086">
        <v>0</v>
      </c>
      <c r="M281" s="786">
        <v>0</v>
      </c>
    </row>
    <row r="282" spans="1:13" ht="15.75">
      <c r="A282" s="784">
        <v>195</v>
      </c>
      <c r="B282" s="1095" t="s">
        <v>1405</v>
      </c>
      <c r="C282" s="1023">
        <v>41046</v>
      </c>
      <c r="D282" s="785" t="s">
        <v>1336</v>
      </c>
      <c r="E282" s="785" t="s">
        <v>1096</v>
      </c>
      <c r="F282" s="785" t="s">
        <v>1105</v>
      </c>
      <c r="G282" s="1097">
        <f t="shared" si="36"/>
        <v>244400.4</v>
      </c>
      <c r="H282" s="1098"/>
      <c r="I282" s="1098"/>
      <c r="J282" s="1136">
        <v>203667</v>
      </c>
      <c r="K282" s="1096">
        <f t="shared" si="37"/>
        <v>40733.4</v>
      </c>
      <c r="L282" s="1099">
        <v>0</v>
      </c>
      <c r="M282" s="786">
        <v>0</v>
      </c>
    </row>
    <row r="283" spans="1:13" ht="15.75">
      <c r="A283" s="784">
        <v>196</v>
      </c>
      <c r="B283" s="1094" t="s">
        <v>1406</v>
      </c>
      <c r="C283" s="1023">
        <v>41046</v>
      </c>
      <c r="D283" s="785" t="s">
        <v>1412</v>
      </c>
      <c r="E283" s="785" t="s">
        <v>1096</v>
      </c>
      <c r="F283" s="785" t="s">
        <v>1153</v>
      </c>
      <c r="G283" s="759">
        <f t="shared" si="36"/>
        <v>564000</v>
      </c>
      <c r="H283" s="785"/>
      <c r="I283" s="785"/>
      <c r="J283" s="785">
        <v>470000</v>
      </c>
      <c r="K283" s="763">
        <f t="shared" si="37"/>
        <v>94000</v>
      </c>
      <c r="L283" s="1086">
        <v>0</v>
      </c>
      <c r="M283" s="786">
        <v>0</v>
      </c>
    </row>
    <row r="284" spans="1:13" ht="15.75">
      <c r="A284" s="784">
        <v>197</v>
      </c>
      <c r="B284" s="1095" t="s">
        <v>1407</v>
      </c>
      <c r="C284" s="1023">
        <v>41047</v>
      </c>
      <c r="D284" s="785" t="s">
        <v>1188</v>
      </c>
      <c r="E284" s="785" t="s">
        <v>1096</v>
      </c>
      <c r="F284" s="785" t="s">
        <v>1189</v>
      </c>
      <c r="G284" s="1097">
        <f t="shared" si="36"/>
        <v>139839.6</v>
      </c>
      <c r="H284" s="1098"/>
      <c r="I284" s="1098"/>
      <c r="J284" s="1098">
        <v>116533</v>
      </c>
      <c r="K284" s="1096">
        <f t="shared" si="37"/>
        <v>23306.600000000002</v>
      </c>
      <c r="L284" s="1086">
        <v>0</v>
      </c>
      <c r="M284" s="786">
        <v>0</v>
      </c>
    </row>
    <row r="285" spans="1:13" ht="15.75">
      <c r="A285" s="784">
        <v>198</v>
      </c>
      <c r="B285" s="1094" t="s">
        <v>1408</v>
      </c>
      <c r="C285" s="1023">
        <v>41048</v>
      </c>
      <c r="D285" s="785" t="s">
        <v>1380</v>
      </c>
      <c r="E285" s="785" t="s">
        <v>1096</v>
      </c>
      <c r="F285" s="785" t="s">
        <v>1381</v>
      </c>
      <c r="G285" s="759">
        <f t="shared" si="36"/>
        <v>723510</v>
      </c>
      <c r="H285" s="785"/>
      <c r="I285" s="785"/>
      <c r="J285" s="785">
        <v>602925</v>
      </c>
      <c r="K285" s="763">
        <f t="shared" si="37"/>
        <v>120585</v>
      </c>
      <c r="L285" s="1086">
        <v>0</v>
      </c>
      <c r="M285" s="786">
        <v>0</v>
      </c>
    </row>
    <row r="286" spans="1:13" ht="15.75">
      <c r="A286" s="784">
        <v>199</v>
      </c>
      <c r="B286" s="1095" t="s">
        <v>1409</v>
      </c>
      <c r="C286" s="1023">
        <v>41049</v>
      </c>
      <c r="D286" s="785" t="s">
        <v>1146</v>
      </c>
      <c r="E286" s="785" t="s">
        <v>1096</v>
      </c>
      <c r="F286" s="785" t="s">
        <v>1147</v>
      </c>
      <c r="G286" s="759">
        <f t="shared" si="36"/>
        <v>96870</v>
      </c>
      <c r="H286" s="785"/>
      <c r="I286" s="785"/>
      <c r="J286" s="785">
        <v>80725</v>
      </c>
      <c r="K286" s="763">
        <f t="shared" si="37"/>
        <v>16145</v>
      </c>
      <c r="L286" s="1086">
        <v>0</v>
      </c>
      <c r="M286" s="786">
        <v>0</v>
      </c>
    </row>
    <row r="287" spans="1:13" ht="15.75">
      <c r="A287" s="784">
        <v>200</v>
      </c>
      <c r="B287" s="1094" t="s">
        <v>1410</v>
      </c>
      <c r="C287" s="1023">
        <v>41050</v>
      </c>
      <c r="D287" s="785" t="s">
        <v>1118</v>
      </c>
      <c r="E287" s="785" t="s">
        <v>1096</v>
      </c>
      <c r="F287" s="785" t="s">
        <v>1119</v>
      </c>
      <c r="G287" s="1097">
        <f t="shared" si="36"/>
        <v>196028.4</v>
      </c>
      <c r="H287" s="1098"/>
      <c r="I287" s="1098"/>
      <c r="J287" s="1098">
        <v>163357</v>
      </c>
      <c r="K287" s="1096">
        <f t="shared" si="37"/>
        <v>32671.4</v>
      </c>
      <c r="L287" s="1086">
        <v>0</v>
      </c>
      <c r="M287" s="786">
        <v>0</v>
      </c>
    </row>
    <row r="288" spans="1:13" ht="15.75">
      <c r="A288" s="784">
        <v>201</v>
      </c>
      <c r="B288" s="1095" t="s">
        <v>1413</v>
      </c>
      <c r="C288" s="1023">
        <v>41050</v>
      </c>
      <c r="D288" s="785" t="s">
        <v>1134</v>
      </c>
      <c r="E288" s="785" t="s">
        <v>1096</v>
      </c>
      <c r="F288" s="785" t="s">
        <v>1135</v>
      </c>
      <c r="G288" s="1097">
        <f t="shared" si="36"/>
        <v>99999.6</v>
      </c>
      <c r="H288" s="1098"/>
      <c r="I288" s="1098"/>
      <c r="J288" s="1098">
        <v>83333</v>
      </c>
      <c r="K288" s="1096">
        <f t="shared" si="37"/>
        <v>16666.600000000002</v>
      </c>
      <c r="L288" s="1086">
        <v>0</v>
      </c>
      <c r="M288" s="786">
        <v>0</v>
      </c>
    </row>
    <row r="289" spans="1:13" ht="15.75">
      <c r="A289" s="784">
        <v>202</v>
      </c>
      <c r="B289" s="1095" t="s">
        <v>1414</v>
      </c>
      <c r="C289" s="1023">
        <v>41051</v>
      </c>
      <c r="D289" s="785" t="s">
        <v>1336</v>
      </c>
      <c r="E289" s="785" t="s">
        <v>1096</v>
      </c>
      <c r="F289" s="785" t="s">
        <v>1105</v>
      </c>
      <c r="G289" s="1097">
        <f t="shared" si="36"/>
        <v>183560.4</v>
      </c>
      <c r="H289" s="1098"/>
      <c r="I289" s="1098"/>
      <c r="J289" s="1136">
        <v>152967</v>
      </c>
      <c r="K289" s="1096">
        <f t="shared" si="37"/>
        <v>30593.4</v>
      </c>
      <c r="L289" s="1086">
        <v>0</v>
      </c>
      <c r="M289" s="786">
        <v>0</v>
      </c>
    </row>
    <row r="290" spans="1:13" ht="15.75">
      <c r="A290" s="784">
        <v>203</v>
      </c>
      <c r="B290" s="1095" t="s">
        <v>1415</v>
      </c>
      <c r="C290" s="1023">
        <v>41052</v>
      </c>
      <c r="D290" s="785" t="s">
        <v>1380</v>
      </c>
      <c r="E290" s="785" t="s">
        <v>1096</v>
      </c>
      <c r="F290" s="785" t="s">
        <v>1381</v>
      </c>
      <c r="G290" s="1097">
        <f t="shared" si="36"/>
        <v>681819.6</v>
      </c>
      <c r="H290" s="1098"/>
      <c r="I290" s="1098"/>
      <c r="J290" s="1098">
        <v>568183</v>
      </c>
      <c r="K290" s="1096">
        <f t="shared" si="37"/>
        <v>113636.6</v>
      </c>
      <c r="L290" s="1086">
        <v>0</v>
      </c>
      <c r="M290" s="786">
        <v>0</v>
      </c>
    </row>
    <row r="291" spans="1:13" ht="15.75">
      <c r="A291" s="784">
        <v>204</v>
      </c>
      <c r="B291" s="1095" t="s">
        <v>1416</v>
      </c>
      <c r="C291" s="1023">
        <v>41052</v>
      </c>
      <c r="D291" s="785" t="s">
        <v>1137</v>
      </c>
      <c r="E291" s="785" t="s">
        <v>1096</v>
      </c>
      <c r="F291" s="785" t="s">
        <v>1138</v>
      </c>
      <c r="G291" s="759">
        <f t="shared" si="36"/>
        <v>27450</v>
      </c>
      <c r="H291" s="785"/>
      <c r="I291" s="785"/>
      <c r="J291" s="785">
        <v>22875</v>
      </c>
      <c r="K291" s="763">
        <f t="shared" si="37"/>
        <v>4575</v>
      </c>
      <c r="L291" s="1086">
        <v>0</v>
      </c>
      <c r="M291" s="786">
        <v>0</v>
      </c>
    </row>
    <row r="292" spans="1:13" ht="15.75">
      <c r="A292" s="784">
        <v>205</v>
      </c>
      <c r="B292" s="1095" t="s">
        <v>1417</v>
      </c>
      <c r="C292" s="1023">
        <v>41054</v>
      </c>
      <c r="D292" s="785" t="s">
        <v>1157</v>
      </c>
      <c r="E292" s="785" t="s">
        <v>1096</v>
      </c>
      <c r="F292" s="785" t="s">
        <v>1158</v>
      </c>
      <c r="G292" s="1097">
        <f t="shared" si="36"/>
        <v>301970.4</v>
      </c>
      <c r="H292" s="1098"/>
      <c r="I292" s="1098"/>
      <c r="J292" s="1098">
        <v>251642</v>
      </c>
      <c r="K292" s="1096">
        <f t="shared" si="37"/>
        <v>50328.4</v>
      </c>
      <c r="L292" s="1086">
        <v>0</v>
      </c>
      <c r="M292" s="786">
        <v>0</v>
      </c>
    </row>
    <row r="293" spans="1:13" ht="15.75">
      <c r="A293" s="784">
        <v>206</v>
      </c>
      <c r="B293" s="1095" t="s">
        <v>1418</v>
      </c>
      <c r="C293" s="1023">
        <v>41054</v>
      </c>
      <c r="D293" s="785" t="s">
        <v>1336</v>
      </c>
      <c r="E293" s="785" t="s">
        <v>1096</v>
      </c>
      <c r="F293" s="785" t="s">
        <v>1105</v>
      </c>
      <c r="G293" s="759">
        <f t="shared" si="36"/>
        <v>168000</v>
      </c>
      <c r="H293" s="785"/>
      <c r="I293" s="785"/>
      <c r="J293" s="1133">
        <v>140000</v>
      </c>
      <c r="K293" s="763">
        <f t="shared" si="37"/>
        <v>28000</v>
      </c>
      <c r="L293" s="1086">
        <v>0</v>
      </c>
      <c r="M293" s="786">
        <v>0</v>
      </c>
    </row>
    <row r="294" spans="1:13" ht="15.75">
      <c r="A294" s="784">
        <v>207</v>
      </c>
      <c r="B294" s="1095" t="s">
        <v>1419</v>
      </c>
      <c r="C294" s="1023">
        <v>41055</v>
      </c>
      <c r="D294" s="785" t="s">
        <v>1188</v>
      </c>
      <c r="E294" s="785" t="s">
        <v>1096</v>
      </c>
      <c r="F294" s="785" t="s">
        <v>1189</v>
      </c>
      <c r="G294" s="759">
        <f t="shared" si="36"/>
        <v>53400</v>
      </c>
      <c r="H294" s="785"/>
      <c r="I294" s="785"/>
      <c r="J294" s="785">
        <v>44500</v>
      </c>
      <c r="K294" s="763">
        <f t="shared" si="37"/>
        <v>8900</v>
      </c>
      <c r="L294" s="1086">
        <v>0</v>
      </c>
      <c r="M294" s="786">
        <v>0</v>
      </c>
    </row>
    <row r="295" spans="1:13" ht="15.75">
      <c r="A295" s="784">
        <v>208</v>
      </c>
      <c r="B295" s="1095" t="s">
        <v>1420</v>
      </c>
      <c r="C295" s="1023">
        <v>41055</v>
      </c>
      <c r="D295" s="785" t="s">
        <v>1428</v>
      </c>
      <c r="E295" s="785" t="s">
        <v>1096</v>
      </c>
      <c r="F295" s="785" t="s">
        <v>1221</v>
      </c>
      <c r="G295" s="1097">
        <f t="shared" si="36"/>
        <v>15039.6</v>
      </c>
      <c r="H295" s="1098"/>
      <c r="I295" s="1098"/>
      <c r="J295" s="1098">
        <v>12533</v>
      </c>
      <c r="K295" s="1096">
        <f t="shared" si="37"/>
        <v>2506.6000000000004</v>
      </c>
      <c r="L295" s="1086">
        <v>0</v>
      </c>
      <c r="M295" s="786">
        <v>0</v>
      </c>
    </row>
    <row r="296" spans="1:13" ht="15.75">
      <c r="A296" s="784">
        <v>209</v>
      </c>
      <c r="B296" s="1095" t="s">
        <v>1421</v>
      </c>
      <c r="C296" s="1023">
        <v>41056</v>
      </c>
      <c r="D296" s="785" t="s">
        <v>1380</v>
      </c>
      <c r="E296" s="785" t="s">
        <v>1096</v>
      </c>
      <c r="F296" s="785" t="s">
        <v>1381</v>
      </c>
      <c r="G296" s="1097">
        <f t="shared" si="36"/>
        <v>890000.4</v>
      </c>
      <c r="H296" s="1098"/>
      <c r="I296" s="1098"/>
      <c r="J296" s="1098">
        <v>741667</v>
      </c>
      <c r="K296" s="1096">
        <f t="shared" si="37"/>
        <v>148333.4</v>
      </c>
      <c r="L296" s="1086">
        <v>0</v>
      </c>
      <c r="M296" s="786">
        <v>0</v>
      </c>
    </row>
    <row r="297" spans="1:13" ht="15.75">
      <c r="A297" s="784">
        <v>210</v>
      </c>
      <c r="B297" s="1095" t="s">
        <v>1422</v>
      </c>
      <c r="C297" s="1023">
        <v>41057</v>
      </c>
      <c r="D297" s="785" t="s">
        <v>1429</v>
      </c>
      <c r="E297" s="785" t="s">
        <v>1096</v>
      </c>
      <c r="F297" s="785" t="s">
        <v>1430</v>
      </c>
      <c r="G297" s="1097">
        <f t="shared" si="36"/>
        <v>72007.2</v>
      </c>
      <c r="H297" s="1098"/>
      <c r="I297" s="1098"/>
      <c r="J297" s="1136">
        <v>60006</v>
      </c>
      <c r="K297" s="1096">
        <f t="shared" si="37"/>
        <v>12001.2</v>
      </c>
      <c r="L297" s="1086">
        <v>0</v>
      </c>
      <c r="M297" s="786">
        <v>0</v>
      </c>
    </row>
    <row r="298" spans="1:13" ht="15.75">
      <c r="A298" s="784">
        <v>211</v>
      </c>
      <c r="B298" s="1095" t="s">
        <v>1423</v>
      </c>
      <c r="C298" s="1023">
        <v>41057</v>
      </c>
      <c r="D298" s="785" t="s">
        <v>1431</v>
      </c>
      <c r="E298" s="785" t="s">
        <v>1096</v>
      </c>
      <c r="F298" s="785" t="s">
        <v>1176</v>
      </c>
      <c r="G298" s="1097">
        <f t="shared" si="36"/>
        <v>236990.4</v>
      </c>
      <c r="H298" s="1098"/>
      <c r="I298" s="1098"/>
      <c r="J298" s="1098">
        <v>197492</v>
      </c>
      <c r="K298" s="1096">
        <f t="shared" si="37"/>
        <v>39498.4</v>
      </c>
      <c r="L298" s="1086">
        <v>0</v>
      </c>
      <c r="M298" s="786">
        <v>0</v>
      </c>
    </row>
    <row r="299" spans="1:13" ht="15.75">
      <c r="A299" s="784">
        <v>212</v>
      </c>
      <c r="B299" s="1095" t="s">
        <v>1424</v>
      </c>
      <c r="C299" s="1023">
        <v>41058</v>
      </c>
      <c r="D299" s="785" t="s">
        <v>1380</v>
      </c>
      <c r="E299" s="785" t="s">
        <v>1096</v>
      </c>
      <c r="F299" s="785" t="s">
        <v>1381</v>
      </c>
      <c r="G299" s="1097">
        <f t="shared" si="36"/>
        <v>749379.6</v>
      </c>
      <c r="H299" s="1098"/>
      <c r="I299" s="1098"/>
      <c r="J299" s="1098">
        <v>624483</v>
      </c>
      <c r="K299" s="1096">
        <f t="shared" si="37"/>
        <v>124896.6</v>
      </c>
      <c r="L299" s="1086">
        <v>0</v>
      </c>
      <c r="M299" s="786">
        <v>0</v>
      </c>
    </row>
    <row r="300" spans="1:13" ht="15.75">
      <c r="A300" s="784">
        <v>213</v>
      </c>
      <c r="B300" s="1095" t="s">
        <v>1425</v>
      </c>
      <c r="C300" s="1023">
        <v>41058</v>
      </c>
      <c r="D300" s="785" t="s">
        <v>1063</v>
      </c>
      <c r="E300" s="785" t="s">
        <v>1096</v>
      </c>
      <c r="F300" s="785" t="s">
        <v>1150</v>
      </c>
      <c r="G300" s="1097">
        <f t="shared" si="36"/>
        <v>32265.6</v>
      </c>
      <c r="H300" s="1098"/>
      <c r="I300" s="1098"/>
      <c r="J300" s="1098">
        <v>26888</v>
      </c>
      <c r="K300" s="1096">
        <f t="shared" si="37"/>
        <v>5377.6</v>
      </c>
      <c r="L300" s="1086">
        <v>0</v>
      </c>
      <c r="M300" s="786">
        <v>0</v>
      </c>
    </row>
    <row r="301" spans="1:13" ht="15.75">
      <c r="A301" s="784">
        <v>214</v>
      </c>
      <c r="B301" s="1095" t="s">
        <v>1426</v>
      </c>
      <c r="C301" s="1023">
        <v>41058</v>
      </c>
      <c r="D301" s="785" t="s">
        <v>1412</v>
      </c>
      <c r="E301" s="785" t="s">
        <v>1096</v>
      </c>
      <c r="F301" s="785" t="s">
        <v>1153</v>
      </c>
      <c r="G301" s="1097">
        <f t="shared" si="36"/>
        <v>535268.4</v>
      </c>
      <c r="H301" s="1098"/>
      <c r="I301" s="1098"/>
      <c r="J301" s="1098">
        <v>446057</v>
      </c>
      <c r="K301" s="1096">
        <f t="shared" si="37"/>
        <v>89211.40000000001</v>
      </c>
      <c r="L301" s="1086">
        <v>0</v>
      </c>
      <c r="M301" s="786">
        <v>0</v>
      </c>
    </row>
    <row r="302" spans="1:13" ht="15.75">
      <c r="A302" s="784">
        <v>215</v>
      </c>
      <c r="B302" s="1095" t="s">
        <v>1427</v>
      </c>
      <c r="C302" s="1023">
        <v>41060</v>
      </c>
      <c r="D302" s="785" t="s">
        <v>1155</v>
      </c>
      <c r="E302" s="785" t="s">
        <v>1096</v>
      </c>
      <c r="F302" s="785" t="s">
        <v>1156</v>
      </c>
      <c r="G302" s="1097">
        <f t="shared" si="36"/>
        <v>161234.4</v>
      </c>
      <c r="H302" s="1098"/>
      <c r="I302" s="1098"/>
      <c r="J302" s="1098">
        <v>134362</v>
      </c>
      <c r="K302" s="1096">
        <f t="shared" si="37"/>
        <v>26872.4</v>
      </c>
      <c r="L302" s="1086">
        <v>0</v>
      </c>
      <c r="M302" s="786">
        <v>0</v>
      </c>
    </row>
    <row r="303" spans="1:13" ht="15.75">
      <c r="A303" s="784">
        <v>216</v>
      </c>
      <c r="B303" s="1095" t="s">
        <v>1432</v>
      </c>
      <c r="C303" s="1023">
        <v>41060</v>
      </c>
      <c r="D303" s="785" t="s">
        <v>1336</v>
      </c>
      <c r="E303" s="785" t="s">
        <v>1096</v>
      </c>
      <c r="F303" s="785" t="s">
        <v>1105</v>
      </c>
      <c r="G303" s="759">
        <f>+J303+K303</f>
        <v>107100</v>
      </c>
      <c r="H303" s="785"/>
      <c r="I303" s="785"/>
      <c r="J303" s="1133">
        <v>89250</v>
      </c>
      <c r="K303" s="763">
        <f t="shared" si="37"/>
        <v>17850</v>
      </c>
      <c r="L303" s="1086">
        <v>0</v>
      </c>
      <c r="M303" s="786">
        <v>0</v>
      </c>
    </row>
    <row r="304" spans="1:13" ht="16.5" thickBot="1">
      <c r="A304" s="784">
        <v>217</v>
      </c>
      <c r="B304" s="1095" t="s">
        <v>1433</v>
      </c>
      <c r="C304" s="1023">
        <v>41060</v>
      </c>
      <c r="D304" s="785" t="s">
        <v>1380</v>
      </c>
      <c r="E304" s="785" t="s">
        <v>1096</v>
      </c>
      <c r="F304" s="785" t="s">
        <v>1381</v>
      </c>
      <c r="G304" s="759">
        <f>+J304+K304</f>
        <v>715560</v>
      </c>
      <c r="H304" s="785"/>
      <c r="I304" s="785"/>
      <c r="J304" s="785">
        <v>596300</v>
      </c>
      <c r="K304" s="763">
        <f t="shared" si="37"/>
        <v>119260</v>
      </c>
      <c r="L304" s="1086">
        <v>0</v>
      </c>
      <c r="M304" s="786">
        <v>0</v>
      </c>
    </row>
    <row r="305" spans="1:13" ht="16.5" thickBot="1">
      <c r="A305" s="1389" t="s">
        <v>822</v>
      </c>
      <c r="B305" s="1390"/>
      <c r="C305" s="1390"/>
      <c r="D305" s="1390"/>
      <c r="E305" s="1390"/>
      <c r="F305" s="1391"/>
      <c r="G305" s="1020">
        <f>SUM(G260:G304)</f>
        <v>10555912.8</v>
      </c>
      <c r="H305" s="1020">
        <f aca="true" t="shared" si="41" ref="H305:M305">SUM(H260:H304)</f>
        <v>0</v>
      </c>
      <c r="I305" s="1020">
        <f t="shared" si="41"/>
        <v>0</v>
      </c>
      <c r="J305" s="1020">
        <f t="shared" si="41"/>
        <v>8796594</v>
      </c>
      <c r="K305" s="1020">
        <f t="shared" si="41"/>
        <v>1759318.7999999998</v>
      </c>
      <c r="L305" s="1020">
        <f t="shared" si="41"/>
        <v>0</v>
      </c>
      <c r="M305" s="1021">
        <f t="shared" si="41"/>
        <v>0</v>
      </c>
    </row>
    <row r="306" spans="1:37" s="1082" customFormat="1" ht="16.5" thickBot="1">
      <c r="A306" s="1392" t="s">
        <v>823</v>
      </c>
      <c r="B306" s="1393"/>
      <c r="C306" s="1393"/>
      <c r="D306" s="1393"/>
      <c r="E306" s="1393"/>
      <c r="F306" s="1393"/>
      <c r="G306" s="1393"/>
      <c r="H306" s="781" t="s">
        <v>824</v>
      </c>
      <c r="I306" s="765" t="s">
        <v>825</v>
      </c>
      <c r="J306" s="781" t="s">
        <v>826</v>
      </c>
      <c r="K306" s="766" t="s">
        <v>827</v>
      </c>
      <c r="L306" s="781" t="s">
        <v>828</v>
      </c>
      <c r="M306" s="766" t="s">
        <v>829</v>
      </c>
      <c r="N306"/>
      <c r="O306" s="894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</row>
    <row r="308" spans="1:37" ht="12.75">
      <c r="A308" s="1082"/>
      <c r="B308" s="1092"/>
      <c r="C308" s="1082"/>
      <c r="D308" s="1082"/>
      <c r="E308" s="1082"/>
      <c r="F308" s="1082"/>
      <c r="G308" s="1082"/>
      <c r="H308" s="1082"/>
      <c r="I308" s="1082"/>
      <c r="J308" s="1082"/>
      <c r="K308" s="1082"/>
      <c r="L308" s="1082"/>
      <c r="M308" s="1082"/>
      <c r="N308" s="1082"/>
      <c r="O308" s="1092"/>
      <c r="P308" s="1082"/>
      <c r="Q308" s="1082"/>
      <c r="R308" s="1082"/>
      <c r="S308" s="1082"/>
      <c r="T308" s="1082"/>
      <c r="U308" s="1082"/>
      <c r="V308" s="1082"/>
      <c r="W308" s="1082"/>
      <c r="X308" s="1082"/>
      <c r="Y308" s="1082"/>
      <c r="Z308" s="1082"/>
      <c r="AA308" s="1082"/>
      <c r="AB308" s="1082"/>
      <c r="AC308" s="1082"/>
      <c r="AD308" s="1082"/>
      <c r="AE308" s="1082"/>
      <c r="AF308" s="1082"/>
      <c r="AG308" s="1082"/>
      <c r="AH308" s="1082"/>
      <c r="AI308" s="1082"/>
      <c r="AJ308" s="1082"/>
      <c r="AK308" s="1082"/>
    </row>
    <row r="309" spans="1:31" ht="19.5">
      <c r="A309" s="730" t="s">
        <v>794</v>
      </c>
      <c r="B309" s="731"/>
      <c r="C309" s="731"/>
      <c r="D309" s="731"/>
      <c r="E309" s="731"/>
      <c r="F309" s="731"/>
      <c r="G309" s="731"/>
      <c r="H309" s="731"/>
      <c r="I309" s="731"/>
      <c r="J309" s="731"/>
      <c r="K309" s="731"/>
      <c r="L309" s="731"/>
      <c r="M309" s="731"/>
      <c r="N309" s="730" t="s">
        <v>795</v>
      </c>
      <c r="O309" s="731"/>
      <c r="P309" s="731"/>
      <c r="Q309" s="731"/>
      <c r="R309" s="731"/>
      <c r="S309" s="731"/>
      <c r="T309" s="731"/>
      <c r="U309" s="731"/>
      <c r="V309" s="731"/>
      <c r="W309" s="731"/>
      <c r="X309" s="731"/>
      <c r="Y309" s="731"/>
      <c r="Z309" s="731"/>
      <c r="AA309" s="731"/>
      <c r="AB309" s="731"/>
      <c r="AC309" s="731"/>
      <c r="AD309" s="731"/>
      <c r="AE309" s="731"/>
    </row>
    <row r="310" spans="1:31" ht="15.75">
      <c r="A310" s="733" t="s">
        <v>796</v>
      </c>
      <c r="B310" s="733"/>
      <c r="C310" s="731" t="s">
        <v>1166</v>
      </c>
      <c r="D310" s="731"/>
      <c r="E310" s="731"/>
      <c r="F310" s="731"/>
      <c r="G310" s="731"/>
      <c r="H310" s="731"/>
      <c r="I310" s="731"/>
      <c r="J310" s="731"/>
      <c r="K310" s="731"/>
      <c r="L310" s="731"/>
      <c r="M310" s="731"/>
      <c r="N310" s="733" t="s">
        <v>796</v>
      </c>
      <c r="O310" s="733"/>
      <c r="P310" s="731" t="s">
        <v>1094</v>
      </c>
      <c r="Q310" s="731"/>
      <c r="R310" s="731"/>
      <c r="S310" s="731"/>
      <c r="T310" s="731"/>
      <c r="U310" s="731"/>
      <c r="V310" s="731"/>
      <c r="W310" s="731"/>
      <c r="X310" s="731"/>
      <c r="Y310" s="731"/>
      <c r="Z310" s="731"/>
      <c r="AA310" s="731"/>
      <c r="AB310" s="731"/>
      <c r="AC310" s="731"/>
      <c r="AD310" s="731"/>
      <c r="AE310" s="731"/>
    </row>
    <row r="311" spans="1:31" ht="15.75">
      <c r="A311" s="733" t="s">
        <v>413</v>
      </c>
      <c r="B311" s="733"/>
      <c r="C311" s="731" t="s">
        <v>1043</v>
      </c>
      <c r="D311" s="731"/>
      <c r="E311" s="731"/>
      <c r="F311" s="731"/>
      <c r="G311" s="731"/>
      <c r="H311" s="731"/>
      <c r="I311" s="731"/>
      <c r="J311" s="731"/>
      <c r="K311" s="731"/>
      <c r="L311" s="731"/>
      <c r="M311" s="731"/>
      <c r="N311" s="733" t="s">
        <v>413</v>
      </c>
      <c r="O311" s="733"/>
      <c r="P311" s="731" t="s">
        <v>1043</v>
      </c>
      <c r="Q311" s="731"/>
      <c r="R311" s="731"/>
      <c r="S311" s="731"/>
      <c r="T311" s="731"/>
      <c r="U311" s="731"/>
      <c r="V311" s="731"/>
      <c r="W311" s="731"/>
      <c r="X311" s="731"/>
      <c r="Y311" s="731"/>
      <c r="Z311" s="731"/>
      <c r="AA311" s="731"/>
      <c r="AB311" s="731"/>
      <c r="AC311" s="731"/>
      <c r="AD311" s="731"/>
      <c r="AE311" s="731"/>
    </row>
    <row r="312" spans="1:31" ht="15.75">
      <c r="A312" s="733" t="s">
        <v>797</v>
      </c>
      <c r="B312" s="733"/>
      <c r="C312" s="731">
        <v>2012</v>
      </c>
      <c r="D312" s="731"/>
      <c r="E312" s="731"/>
      <c r="F312" s="731"/>
      <c r="G312" s="731"/>
      <c r="H312" s="731"/>
      <c r="I312" s="731"/>
      <c r="J312" s="731"/>
      <c r="K312" s="731"/>
      <c r="L312" s="731"/>
      <c r="M312" s="731"/>
      <c r="N312" s="733" t="s">
        <v>797</v>
      </c>
      <c r="O312" s="733"/>
      <c r="P312" s="731">
        <v>2012</v>
      </c>
      <c r="Q312" s="731"/>
      <c r="R312" s="731"/>
      <c r="S312" s="731"/>
      <c r="T312" s="731"/>
      <c r="U312" s="731"/>
      <c r="V312" s="731"/>
      <c r="W312" s="731"/>
      <c r="X312" s="731"/>
      <c r="Y312" s="731"/>
      <c r="Z312" s="731"/>
      <c r="AA312" s="731"/>
      <c r="AB312" s="731"/>
      <c r="AC312" s="731"/>
      <c r="AD312" s="731"/>
      <c r="AE312" s="731"/>
    </row>
    <row r="313" spans="1:31" ht="15.75">
      <c r="A313" s="733" t="s">
        <v>166</v>
      </c>
      <c r="B313" s="733"/>
      <c r="C313" s="731">
        <v>6</v>
      </c>
      <c r="D313" s="731"/>
      <c r="E313" s="731"/>
      <c r="F313" s="731"/>
      <c r="G313" s="731"/>
      <c r="H313" s="731"/>
      <c r="I313" s="731"/>
      <c r="J313" s="731"/>
      <c r="K313" s="731"/>
      <c r="L313" s="731"/>
      <c r="M313" s="731"/>
      <c r="N313" s="733" t="s">
        <v>166</v>
      </c>
      <c r="O313" s="733"/>
      <c r="P313" s="731">
        <v>6</v>
      </c>
      <c r="Q313" s="731"/>
      <c r="R313" s="731"/>
      <c r="S313" s="731"/>
      <c r="T313" s="731"/>
      <c r="U313" s="731"/>
      <c r="V313" s="731"/>
      <c r="W313" s="731"/>
      <c r="X313" s="731"/>
      <c r="Y313" s="731"/>
      <c r="Z313" s="731"/>
      <c r="AA313" s="731"/>
      <c r="AB313" s="731"/>
      <c r="AC313" s="731"/>
      <c r="AD313" s="731"/>
      <c r="AE313" s="731"/>
    </row>
    <row r="314" spans="1:31" ht="16.5" thickBot="1">
      <c r="A314" s="733"/>
      <c r="B314" s="733"/>
      <c r="C314" s="731"/>
      <c r="D314" s="731"/>
      <c r="E314" s="731"/>
      <c r="F314" s="731"/>
      <c r="G314" s="731"/>
      <c r="H314" s="731"/>
      <c r="I314" s="731"/>
      <c r="J314" s="731"/>
      <c r="K314" s="731"/>
      <c r="L314" s="731"/>
      <c r="M314" s="731"/>
      <c r="N314" s="733"/>
      <c r="O314" s="733"/>
      <c r="P314" s="731"/>
      <c r="Q314" s="731"/>
      <c r="R314" s="731"/>
      <c r="S314" s="731"/>
      <c r="T314" s="731"/>
      <c r="U314" s="731"/>
      <c r="V314" s="731"/>
      <c r="W314" s="731"/>
      <c r="X314" s="731"/>
      <c r="Y314" s="731"/>
      <c r="Z314" s="731"/>
      <c r="AA314" s="731"/>
      <c r="AB314" s="731"/>
      <c r="AC314" s="731"/>
      <c r="AD314" s="731"/>
      <c r="AE314" s="731"/>
    </row>
    <row r="315" spans="1:31" ht="16.5" thickBot="1">
      <c r="A315" s="731" t="s">
        <v>799</v>
      </c>
      <c r="B315" s="1103"/>
      <c r="C315" s="731" t="s">
        <v>835</v>
      </c>
      <c r="D315" s="731"/>
      <c r="E315" s="731"/>
      <c r="F315" s="731"/>
      <c r="G315" s="731"/>
      <c r="H315" s="731"/>
      <c r="I315" s="731"/>
      <c r="J315" s="731"/>
      <c r="K315" s="731"/>
      <c r="L315" s="731"/>
      <c r="M315" s="731"/>
      <c r="N315" s="731" t="s">
        <v>799</v>
      </c>
      <c r="O315" s="1103"/>
      <c r="P315" s="731" t="s">
        <v>835</v>
      </c>
      <c r="Q315" s="731"/>
      <c r="R315" s="731"/>
      <c r="S315" s="731"/>
      <c r="T315" s="731"/>
      <c r="U315" s="731"/>
      <c r="V315" s="731"/>
      <c r="W315" s="731"/>
      <c r="X315" s="731"/>
      <c r="Y315" s="731"/>
      <c r="Z315" s="731"/>
      <c r="AA315" s="731"/>
      <c r="AB315" s="731"/>
      <c r="AC315" s="731"/>
      <c r="AD315" s="731"/>
      <c r="AE315" s="731"/>
    </row>
    <row r="316" spans="1:31" ht="16.5" thickBot="1">
      <c r="A316" s="731"/>
      <c r="B316" s="731"/>
      <c r="C316" s="731"/>
      <c r="D316" s="731"/>
      <c r="E316" s="731"/>
      <c r="F316" s="731"/>
      <c r="G316" s="731"/>
      <c r="H316" s="731"/>
      <c r="I316" s="731"/>
      <c r="J316" s="731"/>
      <c r="K316" s="731"/>
      <c r="L316" s="731"/>
      <c r="M316" s="731"/>
      <c r="N316" s="731"/>
      <c r="O316" s="731"/>
      <c r="P316" s="733"/>
      <c r="Q316" s="731"/>
      <c r="R316" s="731"/>
      <c r="S316" s="731"/>
      <c r="T316" s="731"/>
      <c r="U316" s="731"/>
      <c r="V316" s="731"/>
      <c r="W316" s="731"/>
      <c r="X316" s="731"/>
      <c r="Y316" s="731"/>
      <c r="Z316" s="731"/>
      <c r="AA316" s="731"/>
      <c r="AB316" s="731"/>
      <c r="AC316" s="731"/>
      <c r="AD316" s="731"/>
      <c r="AE316" s="731"/>
    </row>
    <row r="317" spans="1:31" ht="12.75" customHeight="1" thickBot="1">
      <c r="A317" s="1401" t="s">
        <v>800</v>
      </c>
      <c r="B317" s="1409"/>
      <c r="C317" s="1402"/>
      <c r="D317" s="1401" t="s">
        <v>801</v>
      </c>
      <c r="E317" s="1409"/>
      <c r="F317" s="1402"/>
      <c r="G317" s="1398" t="s">
        <v>802</v>
      </c>
      <c r="H317" s="1398" t="s">
        <v>803</v>
      </c>
      <c r="I317" s="1398" t="s">
        <v>804</v>
      </c>
      <c r="J317" s="1401" t="s">
        <v>836</v>
      </c>
      <c r="K317" s="1402"/>
      <c r="L317" s="1401" t="s">
        <v>837</v>
      </c>
      <c r="M317" s="1402"/>
      <c r="N317" s="1405" t="s">
        <v>800</v>
      </c>
      <c r="O317" s="1406"/>
      <c r="P317" s="1407"/>
      <c r="Q317" s="1405" t="s">
        <v>805</v>
      </c>
      <c r="R317" s="1406"/>
      <c r="S317" s="1407"/>
      <c r="T317" s="1398" t="s">
        <v>806</v>
      </c>
      <c r="U317" s="1387" t="s">
        <v>807</v>
      </c>
      <c r="V317" s="1397"/>
      <c r="W317" s="1397"/>
      <c r="X317" s="1397"/>
      <c r="Y317" s="1397"/>
      <c r="Z317" s="1397"/>
      <c r="AA317" s="1397"/>
      <c r="AB317" s="1397"/>
      <c r="AC317" s="1397"/>
      <c r="AD317" s="1397"/>
      <c r="AE317" s="1388"/>
    </row>
    <row r="318" spans="1:31" ht="34.5" customHeight="1" thickBot="1">
      <c r="A318" s="1403"/>
      <c r="B318" s="1410"/>
      <c r="C318" s="1404"/>
      <c r="D318" s="1403"/>
      <c r="E318" s="1410"/>
      <c r="F318" s="1404"/>
      <c r="G318" s="1408"/>
      <c r="H318" s="1408"/>
      <c r="I318" s="1408"/>
      <c r="J318" s="1403"/>
      <c r="K318" s="1404"/>
      <c r="L318" s="1403"/>
      <c r="M318" s="1404"/>
      <c r="N318" s="1398" t="s">
        <v>808</v>
      </c>
      <c r="O318" s="1398" t="s">
        <v>809</v>
      </c>
      <c r="P318" s="1398" t="s">
        <v>810</v>
      </c>
      <c r="Q318" s="1398" t="s">
        <v>811</v>
      </c>
      <c r="R318" s="1398" t="s">
        <v>812</v>
      </c>
      <c r="S318" s="1398" t="s">
        <v>813</v>
      </c>
      <c r="T318" s="1408"/>
      <c r="U318" s="1398" t="s">
        <v>814</v>
      </c>
      <c r="V318" s="1387" t="s">
        <v>838</v>
      </c>
      <c r="W318" s="1400"/>
      <c r="X318" s="1387" t="s">
        <v>839</v>
      </c>
      <c r="Y318" s="1400"/>
      <c r="Z318" s="1387" t="s">
        <v>840</v>
      </c>
      <c r="AA318" s="1388"/>
      <c r="AB318" s="1387" t="s">
        <v>841</v>
      </c>
      <c r="AC318" s="1388"/>
      <c r="AD318" s="1387" t="s">
        <v>815</v>
      </c>
      <c r="AE318" s="1388"/>
    </row>
    <row r="319" spans="1:31" ht="41.25" customHeight="1" thickBot="1">
      <c r="A319" s="748" t="s">
        <v>808</v>
      </c>
      <c r="B319" s="749" t="s">
        <v>809</v>
      </c>
      <c r="C319" s="750" t="s">
        <v>810</v>
      </c>
      <c r="D319" s="743" t="s">
        <v>816</v>
      </c>
      <c r="E319" s="746" t="s">
        <v>812</v>
      </c>
      <c r="F319" s="751" t="s">
        <v>406</v>
      </c>
      <c r="G319" s="1399"/>
      <c r="H319" s="1399"/>
      <c r="I319" s="1399"/>
      <c r="J319" s="751" t="s">
        <v>817</v>
      </c>
      <c r="K319" s="744" t="s">
        <v>818</v>
      </c>
      <c r="L319" s="751" t="s">
        <v>817</v>
      </c>
      <c r="M319" s="744" t="s">
        <v>818</v>
      </c>
      <c r="N319" s="1399"/>
      <c r="O319" s="1399"/>
      <c r="P319" s="1399"/>
      <c r="Q319" s="1399"/>
      <c r="R319" s="1399"/>
      <c r="S319" s="1399"/>
      <c r="T319" s="1399"/>
      <c r="U319" s="1399"/>
      <c r="V319" s="745" t="s">
        <v>817</v>
      </c>
      <c r="W319" s="752" t="s">
        <v>818</v>
      </c>
      <c r="X319" s="745" t="s">
        <v>817</v>
      </c>
      <c r="Y319" s="752" t="s">
        <v>818</v>
      </c>
      <c r="Z319" s="744" t="s">
        <v>819</v>
      </c>
      <c r="AA319" s="744" t="s">
        <v>820</v>
      </c>
      <c r="AB319" s="744" t="s">
        <v>819</v>
      </c>
      <c r="AC319" s="744" t="s">
        <v>820</v>
      </c>
      <c r="AD319" s="744" t="s">
        <v>819</v>
      </c>
      <c r="AE319" s="744" t="s">
        <v>820</v>
      </c>
    </row>
    <row r="320" spans="1:31" ht="17.25" customHeight="1" thickBot="1">
      <c r="A320" s="754" t="s">
        <v>510</v>
      </c>
      <c r="B320" s="755" t="s">
        <v>511</v>
      </c>
      <c r="C320" s="755" t="s">
        <v>598</v>
      </c>
      <c r="D320" s="755" t="s">
        <v>620</v>
      </c>
      <c r="E320" s="755" t="s">
        <v>622</v>
      </c>
      <c r="F320" s="755" t="s">
        <v>634</v>
      </c>
      <c r="G320" s="755" t="s">
        <v>842</v>
      </c>
      <c r="H320" s="755" t="s">
        <v>638</v>
      </c>
      <c r="I320" s="756" t="s">
        <v>640</v>
      </c>
      <c r="J320" s="755" t="s">
        <v>642</v>
      </c>
      <c r="K320" s="757" t="s">
        <v>644</v>
      </c>
      <c r="L320" s="755" t="s">
        <v>646</v>
      </c>
      <c r="M320" s="757" t="s">
        <v>650</v>
      </c>
      <c r="N320" s="777" t="s">
        <v>510</v>
      </c>
      <c r="O320" s="778" t="s">
        <v>511</v>
      </c>
      <c r="P320" s="778" t="s">
        <v>598</v>
      </c>
      <c r="Q320" s="778" t="s">
        <v>620</v>
      </c>
      <c r="R320" s="778" t="s">
        <v>622</v>
      </c>
      <c r="S320" s="778" t="s">
        <v>634</v>
      </c>
      <c r="T320" s="779" t="s">
        <v>843</v>
      </c>
      <c r="U320" s="778" t="s">
        <v>638</v>
      </c>
      <c r="V320" s="778" t="s">
        <v>640</v>
      </c>
      <c r="W320" s="778" t="s">
        <v>642</v>
      </c>
      <c r="X320" s="778" t="s">
        <v>644</v>
      </c>
      <c r="Y320" s="778" t="s">
        <v>646</v>
      </c>
      <c r="Z320" s="778" t="s">
        <v>650</v>
      </c>
      <c r="AA320" s="778" t="s">
        <v>821</v>
      </c>
      <c r="AB320" s="778" t="s">
        <v>844</v>
      </c>
      <c r="AC320" s="778" t="s">
        <v>845</v>
      </c>
      <c r="AD320" s="778" t="s">
        <v>846</v>
      </c>
      <c r="AE320" s="780" t="s">
        <v>847</v>
      </c>
    </row>
    <row r="321" spans="1:31" ht="22.5" customHeight="1">
      <c r="A321" s="759">
        <v>218</v>
      </c>
      <c r="B321" s="731">
        <v>2100518</v>
      </c>
      <c r="C321" s="760">
        <v>41061</v>
      </c>
      <c r="D321" s="759" t="s">
        <v>1444</v>
      </c>
      <c r="E321" s="759" t="s">
        <v>1096</v>
      </c>
      <c r="F321" s="759" t="s">
        <v>1243</v>
      </c>
      <c r="G321" s="759">
        <f>J321+K321</f>
        <v>26700</v>
      </c>
      <c r="H321" s="759">
        <v>0</v>
      </c>
      <c r="I321" s="759">
        <v>0</v>
      </c>
      <c r="J321" s="759">
        <f aca="true" t="shared" si="42" ref="J321:J355">K321*5</f>
        <v>22250</v>
      </c>
      <c r="K321" s="782">
        <v>4450</v>
      </c>
      <c r="L321" s="759">
        <v>0</v>
      </c>
      <c r="M321" s="782">
        <v>0</v>
      </c>
      <c r="N321" s="759">
        <v>126327715</v>
      </c>
      <c r="O321" s="1084">
        <v>126327715</v>
      </c>
      <c r="P321" s="759" t="s">
        <v>1475</v>
      </c>
      <c r="Q321" s="759" t="s">
        <v>1169</v>
      </c>
      <c r="R321" s="759" t="s">
        <v>1099</v>
      </c>
      <c r="S321" s="759" t="s">
        <v>1170</v>
      </c>
      <c r="T321" s="759">
        <f aca="true" t="shared" si="43" ref="T321:T329">AA321+Z321</f>
        <v>12561</v>
      </c>
      <c r="U321" s="759">
        <v>100</v>
      </c>
      <c r="V321" s="759">
        <v>0</v>
      </c>
      <c r="W321" s="759">
        <v>0</v>
      </c>
      <c r="X321" s="759">
        <v>0</v>
      </c>
      <c r="Y321" s="759">
        <v>0</v>
      </c>
      <c r="Z321" s="759">
        <v>10468</v>
      </c>
      <c r="AA321" s="759">
        <v>2093</v>
      </c>
      <c r="AB321" s="759">
        <v>0</v>
      </c>
      <c r="AC321" s="759">
        <v>0</v>
      </c>
      <c r="AD321" s="759">
        <v>0</v>
      </c>
      <c r="AE321" s="759">
        <v>0</v>
      </c>
    </row>
    <row r="322" spans="1:31" ht="15.75">
      <c r="A322" s="759">
        <v>219</v>
      </c>
      <c r="B322" s="763">
        <v>2100519</v>
      </c>
      <c r="C322" s="760">
        <v>41063</v>
      </c>
      <c r="D322" s="759" t="s">
        <v>1111</v>
      </c>
      <c r="E322" s="759" t="s">
        <v>1096</v>
      </c>
      <c r="F322" s="759"/>
      <c r="G322" s="759">
        <f>K322+J322</f>
        <v>523320</v>
      </c>
      <c r="H322" s="759">
        <v>0</v>
      </c>
      <c r="I322" s="759">
        <v>0</v>
      </c>
      <c r="J322" s="759">
        <f t="shared" si="42"/>
        <v>436100</v>
      </c>
      <c r="K322" s="782">
        <v>87220</v>
      </c>
      <c r="L322" s="759">
        <v>0</v>
      </c>
      <c r="M322" s="1123">
        <v>0</v>
      </c>
      <c r="N322" s="763">
        <v>109779941</v>
      </c>
      <c r="O322" s="1084">
        <v>109779941</v>
      </c>
      <c r="P322" s="759" t="s">
        <v>1475</v>
      </c>
      <c r="Q322" s="759" t="s">
        <v>1098</v>
      </c>
      <c r="R322" s="759" t="s">
        <v>1099</v>
      </c>
      <c r="S322" s="759" t="s">
        <v>1100</v>
      </c>
      <c r="T322" s="759">
        <f t="shared" si="43"/>
        <v>16884</v>
      </c>
      <c r="U322" s="759">
        <v>0</v>
      </c>
      <c r="V322" s="759">
        <v>0</v>
      </c>
      <c r="W322" s="759">
        <v>0</v>
      </c>
      <c r="X322" s="759">
        <v>0</v>
      </c>
      <c r="Y322" s="759">
        <v>0</v>
      </c>
      <c r="Z322" s="759">
        <f aca="true" t="shared" si="44" ref="Z322:Z329">AA322*5</f>
        <v>14070</v>
      </c>
      <c r="AA322" s="759">
        <v>2814</v>
      </c>
      <c r="AB322" s="759">
        <v>0</v>
      </c>
      <c r="AC322" s="759">
        <v>0</v>
      </c>
      <c r="AD322" s="759">
        <v>0</v>
      </c>
      <c r="AE322" s="759">
        <v>0</v>
      </c>
    </row>
    <row r="323" spans="1:31" ht="15.75">
      <c r="A323" s="759">
        <v>220</v>
      </c>
      <c r="B323" s="763">
        <v>2100520</v>
      </c>
      <c r="C323" s="760">
        <v>41064</v>
      </c>
      <c r="D323" s="759" t="s">
        <v>1445</v>
      </c>
      <c r="E323" s="759" t="s">
        <v>1096</v>
      </c>
      <c r="F323" s="759" t="s">
        <v>1231</v>
      </c>
      <c r="G323" s="759">
        <f aca="true" t="shared" si="45" ref="G323:G355">J323+K323</f>
        <v>178002</v>
      </c>
      <c r="H323" s="759">
        <v>0</v>
      </c>
      <c r="I323" s="759">
        <v>0</v>
      </c>
      <c r="J323" s="759">
        <f t="shared" si="42"/>
        <v>148335</v>
      </c>
      <c r="K323" s="782">
        <v>29667</v>
      </c>
      <c r="L323" s="759">
        <v>0</v>
      </c>
      <c r="M323" s="1123">
        <v>0</v>
      </c>
      <c r="N323" s="758">
        <v>12</v>
      </c>
      <c r="O323" s="759">
        <v>2792712</v>
      </c>
      <c r="P323" s="760">
        <v>41062</v>
      </c>
      <c r="Q323" s="759" t="s">
        <v>1476</v>
      </c>
      <c r="R323" s="759" t="s">
        <v>1450</v>
      </c>
      <c r="S323" s="759" t="s">
        <v>1105</v>
      </c>
      <c r="T323" s="759">
        <f t="shared" si="43"/>
        <v>1117128</v>
      </c>
      <c r="U323" s="759">
        <v>0</v>
      </c>
      <c r="V323" s="759">
        <v>0</v>
      </c>
      <c r="W323" s="759">
        <v>0</v>
      </c>
      <c r="X323" s="759">
        <v>0</v>
      </c>
      <c r="Y323" s="759">
        <v>0</v>
      </c>
      <c r="Z323" s="759">
        <f t="shared" si="44"/>
        <v>930940</v>
      </c>
      <c r="AA323" s="759">
        <v>186188</v>
      </c>
      <c r="AB323" s="759">
        <v>0</v>
      </c>
      <c r="AC323" s="759">
        <v>0</v>
      </c>
      <c r="AD323" s="759">
        <v>0</v>
      </c>
      <c r="AE323" s="759">
        <v>0</v>
      </c>
    </row>
    <row r="324" spans="1:31" ht="15.75">
      <c r="A324" s="759">
        <v>221</v>
      </c>
      <c r="B324" s="763">
        <v>2100521</v>
      </c>
      <c r="C324" s="760">
        <v>41064</v>
      </c>
      <c r="D324" s="759" t="s">
        <v>1095</v>
      </c>
      <c r="E324" s="759" t="s">
        <v>1096</v>
      </c>
      <c r="F324" s="759" t="s">
        <v>1446</v>
      </c>
      <c r="G324" s="759">
        <f t="shared" si="45"/>
        <v>53010</v>
      </c>
      <c r="H324" s="759">
        <v>0</v>
      </c>
      <c r="I324" s="759">
        <v>0</v>
      </c>
      <c r="J324" s="759">
        <f t="shared" si="42"/>
        <v>44175</v>
      </c>
      <c r="K324" s="782">
        <v>8835</v>
      </c>
      <c r="L324" s="759">
        <v>0</v>
      </c>
      <c r="M324" s="782">
        <v>0</v>
      </c>
      <c r="N324" s="758">
        <v>522</v>
      </c>
      <c r="O324" s="759">
        <v>3300027</v>
      </c>
      <c r="P324" s="760">
        <v>41064</v>
      </c>
      <c r="Q324" s="759" t="s">
        <v>1452</v>
      </c>
      <c r="R324" s="759" t="s">
        <v>1096</v>
      </c>
      <c r="S324" s="759" t="s">
        <v>1430</v>
      </c>
      <c r="T324" s="759">
        <f t="shared" si="43"/>
        <v>868350</v>
      </c>
      <c r="U324" s="759">
        <v>0</v>
      </c>
      <c r="V324" s="759">
        <v>0</v>
      </c>
      <c r="W324" s="759">
        <v>0</v>
      </c>
      <c r="X324" s="759">
        <v>0</v>
      </c>
      <c r="Y324" s="759">
        <v>0</v>
      </c>
      <c r="Z324" s="759">
        <f t="shared" si="44"/>
        <v>723625</v>
      </c>
      <c r="AA324" s="759">
        <v>144725</v>
      </c>
      <c r="AB324" s="759">
        <v>0</v>
      </c>
      <c r="AC324" s="759">
        <v>0</v>
      </c>
      <c r="AD324" s="759">
        <v>0</v>
      </c>
      <c r="AE324" s="759">
        <v>0</v>
      </c>
    </row>
    <row r="325" spans="1:31" ht="15.75">
      <c r="A325" s="759">
        <v>222</v>
      </c>
      <c r="B325" s="763">
        <v>2100522</v>
      </c>
      <c r="C325" s="760">
        <v>41065</v>
      </c>
      <c r="D325" s="759" t="s">
        <v>1447</v>
      </c>
      <c r="E325" s="759" t="s">
        <v>1096</v>
      </c>
      <c r="F325" s="759" t="s">
        <v>1266</v>
      </c>
      <c r="G325" s="759">
        <f t="shared" si="45"/>
        <v>35598</v>
      </c>
      <c r="H325" s="759">
        <v>0</v>
      </c>
      <c r="I325" s="759">
        <v>0</v>
      </c>
      <c r="J325" s="759">
        <f t="shared" si="42"/>
        <v>29665</v>
      </c>
      <c r="K325" s="782">
        <v>5933</v>
      </c>
      <c r="L325" s="759">
        <v>0</v>
      </c>
      <c r="M325" s="782">
        <v>0</v>
      </c>
      <c r="N325" s="758">
        <v>300</v>
      </c>
      <c r="O325" s="759">
        <v>455300</v>
      </c>
      <c r="P325" s="760">
        <v>41067</v>
      </c>
      <c r="Q325" s="759" t="s">
        <v>1476</v>
      </c>
      <c r="R325" s="759" t="s">
        <v>1096</v>
      </c>
      <c r="S325" s="759" t="s">
        <v>1105</v>
      </c>
      <c r="T325" s="759">
        <f t="shared" si="43"/>
        <v>920262</v>
      </c>
      <c r="U325" s="759">
        <v>0</v>
      </c>
      <c r="V325" s="759">
        <v>0</v>
      </c>
      <c r="W325" s="759">
        <v>0</v>
      </c>
      <c r="X325" s="759">
        <v>0</v>
      </c>
      <c r="Y325" s="759">
        <v>0</v>
      </c>
      <c r="Z325" s="759">
        <f t="shared" si="44"/>
        <v>766885</v>
      </c>
      <c r="AA325" s="759">
        <v>153377</v>
      </c>
      <c r="AB325" s="759">
        <v>0</v>
      </c>
      <c r="AC325" s="759">
        <v>0</v>
      </c>
      <c r="AD325" s="759">
        <v>0</v>
      </c>
      <c r="AE325" s="759">
        <v>0</v>
      </c>
    </row>
    <row r="326" spans="1:31" ht="15.75">
      <c r="A326" s="759">
        <v>223</v>
      </c>
      <c r="B326" s="763">
        <v>2100523</v>
      </c>
      <c r="C326" s="760">
        <v>41065</v>
      </c>
      <c r="D326" s="759" t="s">
        <v>1448</v>
      </c>
      <c r="E326" s="759" t="s">
        <v>1096</v>
      </c>
      <c r="F326" s="759" t="s">
        <v>1236</v>
      </c>
      <c r="G326" s="759">
        <f t="shared" si="45"/>
        <v>10002</v>
      </c>
      <c r="H326" s="759">
        <v>0</v>
      </c>
      <c r="I326" s="759">
        <v>0</v>
      </c>
      <c r="J326" s="759">
        <f t="shared" si="42"/>
        <v>8335</v>
      </c>
      <c r="K326" s="782">
        <v>1667</v>
      </c>
      <c r="L326" s="759">
        <v>0</v>
      </c>
      <c r="M326" s="782">
        <v>0</v>
      </c>
      <c r="N326" s="762">
        <v>54</v>
      </c>
      <c r="O326" s="763">
        <v>2792854</v>
      </c>
      <c r="P326" s="763" t="s">
        <v>1454</v>
      </c>
      <c r="Q326" s="763" t="s">
        <v>1476</v>
      </c>
      <c r="R326" s="763" t="s">
        <v>1096</v>
      </c>
      <c r="S326" s="763" t="s">
        <v>1105</v>
      </c>
      <c r="T326" s="763">
        <f t="shared" si="43"/>
        <v>920262</v>
      </c>
      <c r="U326" s="759">
        <v>0</v>
      </c>
      <c r="V326" s="759">
        <v>0</v>
      </c>
      <c r="W326" s="759">
        <v>0</v>
      </c>
      <c r="X326" s="759">
        <v>0</v>
      </c>
      <c r="Y326" s="759">
        <v>0</v>
      </c>
      <c r="Z326" s="763">
        <f t="shared" si="44"/>
        <v>766885</v>
      </c>
      <c r="AA326" s="763">
        <v>153377</v>
      </c>
      <c r="AB326" s="759">
        <v>0</v>
      </c>
      <c r="AC326" s="759">
        <v>0</v>
      </c>
      <c r="AD326" s="759">
        <v>0</v>
      </c>
      <c r="AE326" s="759">
        <v>0</v>
      </c>
    </row>
    <row r="327" spans="1:31" ht="15.75">
      <c r="A327" s="759">
        <v>224</v>
      </c>
      <c r="B327" s="763">
        <v>2100524</v>
      </c>
      <c r="C327" s="760">
        <v>41065</v>
      </c>
      <c r="D327" s="759" t="s">
        <v>1111</v>
      </c>
      <c r="E327" s="759" t="s">
        <v>1096</v>
      </c>
      <c r="F327" s="759"/>
      <c r="G327" s="759">
        <f t="shared" si="45"/>
        <v>485940</v>
      </c>
      <c r="H327" s="759">
        <v>0</v>
      </c>
      <c r="I327" s="759">
        <v>0</v>
      </c>
      <c r="J327" s="759">
        <f t="shared" si="42"/>
        <v>404950</v>
      </c>
      <c r="K327" s="782">
        <v>80990</v>
      </c>
      <c r="L327" s="759">
        <v>0</v>
      </c>
      <c r="M327" s="782">
        <v>0</v>
      </c>
      <c r="N327" s="762">
        <v>641</v>
      </c>
      <c r="O327" s="763">
        <v>3300146</v>
      </c>
      <c r="P327" s="763" t="s">
        <v>1461</v>
      </c>
      <c r="Q327" s="763" t="s">
        <v>1452</v>
      </c>
      <c r="R327" s="763" t="s">
        <v>1096</v>
      </c>
      <c r="S327" s="763" t="s">
        <v>1430</v>
      </c>
      <c r="T327" s="763">
        <f t="shared" si="43"/>
        <v>2160552</v>
      </c>
      <c r="U327" s="759">
        <v>0</v>
      </c>
      <c r="V327" s="759">
        <v>0</v>
      </c>
      <c r="W327" s="759">
        <v>0</v>
      </c>
      <c r="X327" s="759">
        <v>0</v>
      </c>
      <c r="Y327" s="759">
        <v>0</v>
      </c>
      <c r="Z327" s="763">
        <f t="shared" si="44"/>
        <v>1800460</v>
      </c>
      <c r="AA327" s="763">
        <v>360092</v>
      </c>
      <c r="AB327" s="759">
        <v>0</v>
      </c>
      <c r="AC327" s="759">
        <v>0</v>
      </c>
      <c r="AD327" s="759">
        <v>0</v>
      </c>
      <c r="AE327" s="759">
        <v>0</v>
      </c>
    </row>
    <row r="328" spans="1:31" ht="15.75">
      <c r="A328" s="763">
        <v>225</v>
      </c>
      <c r="B328" s="763">
        <v>2100525</v>
      </c>
      <c r="C328" s="764">
        <v>41067</v>
      </c>
      <c r="D328" s="763" t="s">
        <v>1128</v>
      </c>
      <c r="E328" s="763" t="s">
        <v>1096</v>
      </c>
      <c r="F328" s="763" t="s">
        <v>1129</v>
      </c>
      <c r="G328" s="763">
        <f t="shared" si="45"/>
        <v>26700</v>
      </c>
      <c r="H328" s="763">
        <v>0</v>
      </c>
      <c r="I328" s="763">
        <v>0</v>
      </c>
      <c r="J328" s="763">
        <f t="shared" si="42"/>
        <v>22250</v>
      </c>
      <c r="K328" s="783">
        <v>4450</v>
      </c>
      <c r="L328" s="763">
        <v>0</v>
      </c>
      <c r="M328" s="783">
        <v>0</v>
      </c>
      <c r="N328" s="762">
        <v>107341268</v>
      </c>
      <c r="O328" s="762">
        <v>107341268</v>
      </c>
      <c r="P328" s="763" t="s">
        <v>1461</v>
      </c>
      <c r="Q328" s="763" t="s">
        <v>1477</v>
      </c>
      <c r="R328" s="763" t="s">
        <v>1096</v>
      </c>
      <c r="S328" s="763" t="s">
        <v>1478</v>
      </c>
      <c r="T328" s="763">
        <f t="shared" si="43"/>
        <v>30156</v>
      </c>
      <c r="U328" s="759">
        <v>0</v>
      </c>
      <c r="V328" s="759">
        <v>0</v>
      </c>
      <c r="W328" s="759">
        <v>0</v>
      </c>
      <c r="X328" s="759">
        <v>0</v>
      </c>
      <c r="Y328" s="759">
        <v>0</v>
      </c>
      <c r="Z328" s="763">
        <f t="shared" si="44"/>
        <v>25130</v>
      </c>
      <c r="AA328" s="763">
        <v>5026</v>
      </c>
      <c r="AB328" s="759">
        <v>0</v>
      </c>
      <c r="AC328" s="759">
        <v>0</v>
      </c>
      <c r="AD328" s="759">
        <v>0</v>
      </c>
      <c r="AE328" s="759">
        <v>0</v>
      </c>
    </row>
    <row r="329" spans="1:31" ht="16.5" thickBot="1">
      <c r="A329" s="763">
        <v>226</v>
      </c>
      <c r="B329" s="763">
        <v>2100526</v>
      </c>
      <c r="C329" s="764">
        <v>41067</v>
      </c>
      <c r="D329" s="763" t="s">
        <v>1063</v>
      </c>
      <c r="E329" s="763" t="s">
        <v>1096</v>
      </c>
      <c r="F329" s="763" t="s">
        <v>1150</v>
      </c>
      <c r="G329" s="763">
        <f t="shared" si="45"/>
        <v>14238</v>
      </c>
      <c r="H329" s="763">
        <v>0</v>
      </c>
      <c r="I329" s="763">
        <v>0</v>
      </c>
      <c r="J329" s="763">
        <f t="shared" si="42"/>
        <v>11865</v>
      </c>
      <c r="K329" s="783">
        <v>2373</v>
      </c>
      <c r="L329" s="763">
        <v>0</v>
      </c>
      <c r="M329" s="783">
        <v>0</v>
      </c>
      <c r="N329" s="784">
        <v>693</v>
      </c>
      <c r="O329" s="785">
        <v>3794898</v>
      </c>
      <c r="P329" s="785" t="s">
        <v>1470</v>
      </c>
      <c r="Q329" s="785" t="s">
        <v>1452</v>
      </c>
      <c r="R329" s="785" t="s">
        <v>1096</v>
      </c>
      <c r="S329" s="785" t="s">
        <v>1430</v>
      </c>
      <c r="T329" s="785">
        <f t="shared" si="43"/>
        <v>2085900</v>
      </c>
      <c r="U329" s="1104">
        <v>0</v>
      </c>
      <c r="V329" s="1104">
        <v>0</v>
      </c>
      <c r="W329" s="1104">
        <v>0</v>
      </c>
      <c r="X329" s="1104">
        <v>0</v>
      </c>
      <c r="Y329" s="1104">
        <v>0</v>
      </c>
      <c r="Z329" s="785">
        <f t="shared" si="44"/>
        <v>1738250</v>
      </c>
      <c r="AA329" s="785">
        <v>347650</v>
      </c>
      <c r="AB329" s="1104">
        <v>0</v>
      </c>
      <c r="AC329" s="1104">
        <v>0</v>
      </c>
      <c r="AD329" s="1104">
        <v>0</v>
      </c>
      <c r="AE329" s="1104">
        <v>0</v>
      </c>
    </row>
    <row r="330" spans="1:31" ht="16.5" thickBot="1">
      <c r="A330" s="763">
        <v>227</v>
      </c>
      <c r="B330" s="763">
        <v>2100527</v>
      </c>
      <c r="C330" s="764">
        <v>41068</v>
      </c>
      <c r="D330" s="763" t="s">
        <v>1332</v>
      </c>
      <c r="E330" s="763" t="s">
        <v>1096</v>
      </c>
      <c r="F330" s="763" t="s">
        <v>1174</v>
      </c>
      <c r="G330" s="763">
        <f t="shared" si="45"/>
        <v>169098</v>
      </c>
      <c r="H330" s="763">
        <v>0</v>
      </c>
      <c r="I330" s="763">
        <v>0</v>
      </c>
      <c r="J330" s="763">
        <f t="shared" si="42"/>
        <v>140915</v>
      </c>
      <c r="K330" s="783">
        <v>28183</v>
      </c>
      <c r="L330" s="763"/>
      <c r="M330" s="783">
        <v>0</v>
      </c>
      <c r="N330" s="1389" t="s">
        <v>822</v>
      </c>
      <c r="O330" s="1390"/>
      <c r="P330" s="1390"/>
      <c r="Q330" s="1390"/>
      <c r="R330" s="1390"/>
      <c r="S330" s="1391"/>
      <c r="T330" s="1016">
        <f>SUM(T321:T329)</f>
        <v>8132055</v>
      </c>
      <c r="U330" s="1105">
        <v>0</v>
      </c>
      <c r="V330" s="1105">
        <v>0</v>
      </c>
      <c r="W330" s="1105">
        <v>0</v>
      </c>
      <c r="X330" s="1105">
        <v>0</v>
      </c>
      <c r="Y330" s="1105">
        <v>0</v>
      </c>
      <c r="Z330" s="1016">
        <f>SUM(Z321:Z329)</f>
        <v>6776713</v>
      </c>
      <c r="AA330" s="1016">
        <f>SUM(AA321:AA329)</f>
        <v>1355342</v>
      </c>
      <c r="AB330" s="1105">
        <v>0</v>
      </c>
      <c r="AC330" s="1105">
        <v>0</v>
      </c>
      <c r="AD330" s="1105">
        <v>0</v>
      </c>
      <c r="AE330" s="1106">
        <v>0</v>
      </c>
    </row>
    <row r="331" spans="1:31" ht="16.5" thickBot="1">
      <c r="A331" s="763">
        <v>228</v>
      </c>
      <c r="B331" s="763">
        <v>2100528</v>
      </c>
      <c r="C331" s="764">
        <v>41068</v>
      </c>
      <c r="D331" s="763" t="s">
        <v>1199</v>
      </c>
      <c r="E331" s="763" t="s">
        <v>1096</v>
      </c>
      <c r="F331" s="763" t="s">
        <v>1200</v>
      </c>
      <c r="G331" s="763">
        <f t="shared" si="45"/>
        <v>354000</v>
      </c>
      <c r="H331" s="763">
        <v>0</v>
      </c>
      <c r="I331" s="763">
        <v>0</v>
      </c>
      <c r="J331" s="763">
        <f t="shared" si="42"/>
        <v>295000</v>
      </c>
      <c r="K331" s="783">
        <v>59000</v>
      </c>
      <c r="L331" s="763">
        <v>0</v>
      </c>
      <c r="M331" s="783">
        <v>0</v>
      </c>
      <c r="N331" s="1392" t="s">
        <v>823</v>
      </c>
      <c r="O331" s="1393"/>
      <c r="P331" s="1393"/>
      <c r="Q331" s="1393"/>
      <c r="R331" s="1393"/>
      <c r="S331" s="1393"/>
      <c r="T331" s="1393"/>
      <c r="U331" s="781" t="s">
        <v>830</v>
      </c>
      <c r="V331" s="781" t="s">
        <v>831</v>
      </c>
      <c r="W331" s="781" t="s">
        <v>832</v>
      </c>
      <c r="X331" s="781" t="s">
        <v>833</v>
      </c>
      <c r="Y331" s="781" t="s">
        <v>834</v>
      </c>
      <c r="Z331" s="781" t="s">
        <v>849</v>
      </c>
      <c r="AA331" s="781" t="s">
        <v>850</v>
      </c>
      <c r="AB331" s="781" t="s">
        <v>851</v>
      </c>
      <c r="AC331" s="781" t="s">
        <v>852</v>
      </c>
      <c r="AD331" s="781" t="s">
        <v>853</v>
      </c>
      <c r="AE331" s="766" t="s">
        <v>854</v>
      </c>
    </row>
    <row r="332" spans="1:31" ht="15.75">
      <c r="A332" s="763">
        <v>229</v>
      </c>
      <c r="B332" s="763">
        <v>2100529</v>
      </c>
      <c r="C332" s="764">
        <v>41068</v>
      </c>
      <c r="D332" s="763" t="s">
        <v>1449</v>
      </c>
      <c r="E332" s="763" t="s">
        <v>1096</v>
      </c>
      <c r="F332" s="763" t="s">
        <v>1443</v>
      </c>
      <c r="G332" s="763">
        <f t="shared" si="45"/>
        <v>166998</v>
      </c>
      <c r="H332" s="763">
        <v>0</v>
      </c>
      <c r="I332" s="763">
        <v>0</v>
      </c>
      <c r="J332" s="763">
        <f t="shared" si="42"/>
        <v>139165</v>
      </c>
      <c r="K332" s="783">
        <v>27833</v>
      </c>
      <c r="L332" s="763">
        <v>0</v>
      </c>
      <c r="M332" s="783">
        <v>0</v>
      </c>
      <c r="N332" s="731"/>
      <c r="O332" s="731"/>
      <c r="P332" s="731"/>
      <c r="Q332" s="731"/>
      <c r="R332" s="731"/>
      <c r="S332" s="731"/>
      <c r="T332" s="731"/>
      <c r="U332" s="731"/>
      <c r="V332" s="731"/>
      <c r="W332" s="731"/>
      <c r="X332" s="731"/>
      <c r="Y332" s="731"/>
      <c r="Z332" s="731"/>
      <c r="AA332" s="731"/>
      <c r="AB332" s="731"/>
      <c r="AC332" s="731"/>
      <c r="AD332" s="731"/>
      <c r="AE332" s="731"/>
    </row>
    <row r="333" spans="1:31" ht="15.75">
      <c r="A333" s="763">
        <v>230</v>
      </c>
      <c r="B333" s="763">
        <v>2100530</v>
      </c>
      <c r="C333" s="764">
        <v>41069</v>
      </c>
      <c r="D333" s="759" t="s">
        <v>1111</v>
      </c>
      <c r="E333" s="763" t="s">
        <v>1096</v>
      </c>
      <c r="F333" s="763"/>
      <c r="G333" s="763">
        <f t="shared" si="45"/>
        <v>514422</v>
      </c>
      <c r="H333" s="763">
        <v>0</v>
      </c>
      <c r="I333" s="763">
        <v>0</v>
      </c>
      <c r="J333" s="763">
        <f t="shared" si="42"/>
        <v>428685</v>
      </c>
      <c r="K333" s="783">
        <v>85737</v>
      </c>
      <c r="L333" s="763">
        <v>0</v>
      </c>
      <c r="M333" s="783">
        <v>0</v>
      </c>
      <c r="N333" s="731"/>
      <c r="O333" s="731"/>
      <c r="P333" s="731"/>
      <c r="Q333" s="731"/>
      <c r="R333" s="731"/>
      <c r="S333" s="731"/>
      <c r="T333" s="731"/>
      <c r="U333" s="731"/>
      <c r="V333" s="731"/>
      <c r="W333" s="731"/>
      <c r="X333" s="731"/>
      <c r="Y333" s="731"/>
      <c r="Z333" s="731"/>
      <c r="AA333" s="731"/>
      <c r="AB333" s="731"/>
      <c r="AC333" s="731"/>
      <c r="AD333" s="731"/>
      <c r="AE333" s="731"/>
    </row>
    <row r="334" spans="1:31" ht="15.75">
      <c r="A334" s="763">
        <v>231</v>
      </c>
      <c r="B334" s="763">
        <v>2100531</v>
      </c>
      <c r="C334" s="764">
        <v>41071</v>
      </c>
      <c r="D334" s="763" t="s">
        <v>1146</v>
      </c>
      <c r="E334" s="763" t="s">
        <v>1096</v>
      </c>
      <c r="F334" s="763" t="s">
        <v>1147</v>
      </c>
      <c r="G334" s="763">
        <f t="shared" si="45"/>
        <v>114558</v>
      </c>
      <c r="H334" s="763">
        <v>0</v>
      </c>
      <c r="I334" s="763">
        <v>0</v>
      </c>
      <c r="J334" s="763">
        <f t="shared" si="42"/>
        <v>95465</v>
      </c>
      <c r="K334" s="783">
        <v>19093</v>
      </c>
      <c r="L334" s="763">
        <v>0</v>
      </c>
      <c r="M334" s="783">
        <v>0</v>
      </c>
      <c r="N334" s="731" t="s">
        <v>856</v>
      </c>
      <c r="O334" s="731"/>
      <c r="P334" s="731"/>
      <c r="Q334" s="731"/>
      <c r="R334" s="731"/>
      <c r="S334" s="731"/>
      <c r="T334" s="731"/>
      <c r="U334" s="731"/>
      <c r="V334" s="731"/>
      <c r="W334" s="731"/>
      <c r="X334" s="731"/>
      <c r="Y334" s="731"/>
      <c r="Z334" s="731"/>
      <c r="AA334" s="731"/>
      <c r="AB334" s="731"/>
      <c r="AC334" s="731"/>
      <c r="AD334" s="1017" t="s">
        <v>1120</v>
      </c>
      <c r="AE334" s="731"/>
    </row>
    <row r="335" spans="1:31" ht="15.75">
      <c r="A335" s="763">
        <v>232</v>
      </c>
      <c r="B335" s="763">
        <v>2100532</v>
      </c>
      <c r="C335" s="764">
        <v>41071</v>
      </c>
      <c r="D335" s="763" t="s">
        <v>1103</v>
      </c>
      <c r="E335" s="763" t="s">
        <v>1450</v>
      </c>
      <c r="F335" s="763" t="s">
        <v>1105</v>
      </c>
      <c r="G335" s="763">
        <f t="shared" si="45"/>
        <v>100416</v>
      </c>
      <c r="H335" s="763">
        <v>0</v>
      </c>
      <c r="I335" s="763">
        <v>0</v>
      </c>
      <c r="J335" s="1108">
        <f t="shared" si="42"/>
        <v>83680</v>
      </c>
      <c r="K335" s="783">
        <v>16736</v>
      </c>
      <c r="L335" s="763">
        <v>0</v>
      </c>
      <c r="M335" s="783">
        <v>0</v>
      </c>
      <c r="N335" s="731" t="s">
        <v>848</v>
      </c>
      <c r="O335" s="731"/>
      <c r="P335" s="731"/>
      <c r="Q335" s="731"/>
      <c r="R335" s="731"/>
      <c r="S335" s="731"/>
      <c r="T335" s="731"/>
      <c r="U335" s="731"/>
      <c r="V335" s="731"/>
      <c r="W335" s="731"/>
      <c r="X335" s="731"/>
      <c r="Y335" s="731"/>
      <c r="Z335" s="731"/>
      <c r="AA335" s="731"/>
      <c r="AB335" s="731"/>
      <c r="AC335" s="731"/>
      <c r="AD335" s="731" t="s">
        <v>1122</v>
      </c>
      <c r="AE335" s="731"/>
    </row>
    <row r="336" spans="1:31" ht="15.75">
      <c r="A336" s="763">
        <v>233</v>
      </c>
      <c r="B336" s="763">
        <v>2100533</v>
      </c>
      <c r="C336" s="764">
        <v>41072</v>
      </c>
      <c r="D336" s="763" t="s">
        <v>1161</v>
      </c>
      <c r="E336" s="763" t="s">
        <v>1096</v>
      </c>
      <c r="F336" s="763" t="s">
        <v>1162</v>
      </c>
      <c r="G336" s="763">
        <f t="shared" si="45"/>
        <v>107640</v>
      </c>
      <c r="H336" s="763">
        <v>0</v>
      </c>
      <c r="I336" s="763">
        <v>0</v>
      </c>
      <c r="J336" s="763">
        <f t="shared" si="42"/>
        <v>89700</v>
      </c>
      <c r="K336" s="783">
        <v>17940</v>
      </c>
      <c r="L336" s="763">
        <v>0</v>
      </c>
      <c r="M336" s="783">
        <v>0</v>
      </c>
      <c r="N336" s="731" t="s">
        <v>855</v>
      </c>
      <c r="O336"/>
      <c r="P336" s="731"/>
      <c r="Q336" s="731"/>
      <c r="R336" s="731"/>
      <c r="S336" s="731"/>
      <c r="T336" s="731"/>
      <c r="U336" s="731"/>
      <c r="V336" s="731"/>
      <c r="W336" s="731"/>
      <c r="X336" s="731"/>
      <c r="Y336" s="731"/>
      <c r="Z336" s="731"/>
      <c r="AA336" s="731"/>
      <c r="AB336" s="731"/>
      <c r="AC336" s="731"/>
      <c r="AD336" s="731"/>
      <c r="AE336" s="731"/>
    </row>
    <row r="337" spans="1:31" ht="15.75">
      <c r="A337" s="763">
        <v>234</v>
      </c>
      <c r="B337" s="763">
        <v>2100534</v>
      </c>
      <c r="C337" s="764">
        <v>41072</v>
      </c>
      <c r="D337" s="759" t="s">
        <v>1111</v>
      </c>
      <c r="E337" s="763" t="s">
        <v>1096</v>
      </c>
      <c r="F337" s="763"/>
      <c r="G337" s="763">
        <f t="shared" si="45"/>
        <v>656820</v>
      </c>
      <c r="H337" s="763">
        <v>0</v>
      </c>
      <c r="I337" s="763">
        <v>0</v>
      </c>
      <c r="J337" s="763">
        <f t="shared" si="42"/>
        <v>547350</v>
      </c>
      <c r="K337" s="783">
        <v>109470</v>
      </c>
      <c r="L337" s="763">
        <v>0</v>
      </c>
      <c r="M337" s="783">
        <v>0</v>
      </c>
      <c r="P337" s="731"/>
      <c r="Q337" s="731"/>
      <c r="R337" s="731"/>
      <c r="S337" s="731"/>
      <c r="T337" s="731"/>
      <c r="U337" s="731"/>
      <c r="V337" s="731"/>
      <c r="W337" s="731"/>
      <c r="X337" s="731"/>
      <c r="Y337" s="731"/>
      <c r="Z337" s="731"/>
      <c r="AA337" s="731"/>
      <c r="AB337" s="731"/>
      <c r="AC337" s="731"/>
      <c r="AD337" s="731"/>
      <c r="AE337" s="731"/>
    </row>
    <row r="338" spans="1:13" ht="15.75">
      <c r="A338" s="763">
        <v>235</v>
      </c>
      <c r="B338" s="763">
        <v>2100535</v>
      </c>
      <c r="C338" s="763" t="s">
        <v>1451</v>
      </c>
      <c r="D338" s="763" t="s">
        <v>1452</v>
      </c>
      <c r="E338" s="763" t="s">
        <v>1096</v>
      </c>
      <c r="F338" s="763" t="s">
        <v>1430</v>
      </c>
      <c r="G338" s="763">
        <f t="shared" si="45"/>
        <v>80382</v>
      </c>
      <c r="H338" s="763">
        <v>0</v>
      </c>
      <c r="I338" s="763">
        <v>0</v>
      </c>
      <c r="J338" s="1108">
        <f t="shared" si="42"/>
        <v>66985</v>
      </c>
      <c r="K338" s="783">
        <v>13397</v>
      </c>
      <c r="L338" s="763">
        <v>0</v>
      </c>
      <c r="M338" s="783">
        <v>0</v>
      </c>
    </row>
    <row r="339" spans="1:13" ht="15.75">
      <c r="A339" s="763">
        <v>236</v>
      </c>
      <c r="B339" s="763">
        <v>2100536</v>
      </c>
      <c r="C339" s="763" t="s">
        <v>1453</v>
      </c>
      <c r="D339" s="763" t="s">
        <v>1137</v>
      </c>
      <c r="E339" s="763" t="s">
        <v>1096</v>
      </c>
      <c r="F339" s="763" t="s">
        <v>1138</v>
      </c>
      <c r="G339" s="763">
        <f t="shared" si="45"/>
        <v>26580</v>
      </c>
      <c r="H339" s="763">
        <v>0</v>
      </c>
      <c r="I339" s="763">
        <v>0</v>
      </c>
      <c r="J339" s="763">
        <f t="shared" si="42"/>
        <v>22150</v>
      </c>
      <c r="K339" s="783">
        <v>4430</v>
      </c>
      <c r="L339" s="763">
        <v>0</v>
      </c>
      <c r="M339" s="783">
        <v>0</v>
      </c>
    </row>
    <row r="340" spans="1:13" ht="15.75">
      <c r="A340" s="763">
        <v>237</v>
      </c>
      <c r="B340" s="763">
        <v>2100537</v>
      </c>
      <c r="C340" s="763" t="s">
        <v>1453</v>
      </c>
      <c r="D340" s="763" t="s">
        <v>1449</v>
      </c>
      <c r="E340" s="763" t="s">
        <v>1096</v>
      </c>
      <c r="F340" s="763" t="s">
        <v>1443</v>
      </c>
      <c r="G340" s="763">
        <f t="shared" si="45"/>
        <v>166998</v>
      </c>
      <c r="H340" s="763">
        <v>0</v>
      </c>
      <c r="I340" s="763">
        <v>0</v>
      </c>
      <c r="J340" s="763">
        <f t="shared" si="42"/>
        <v>139165</v>
      </c>
      <c r="K340" s="783">
        <v>27833</v>
      </c>
      <c r="L340" s="763">
        <v>0</v>
      </c>
      <c r="M340" s="783">
        <v>0</v>
      </c>
    </row>
    <row r="341" spans="1:13" ht="15.75">
      <c r="A341" s="763">
        <v>238</v>
      </c>
      <c r="B341" s="763">
        <v>2100538</v>
      </c>
      <c r="C341" s="763" t="s">
        <v>1453</v>
      </c>
      <c r="D341" s="763" t="s">
        <v>1128</v>
      </c>
      <c r="E341" s="763" t="s">
        <v>1096</v>
      </c>
      <c r="F341" s="763" t="s">
        <v>1129</v>
      </c>
      <c r="G341" s="763">
        <f t="shared" si="45"/>
        <v>17802</v>
      </c>
      <c r="H341" s="763">
        <v>0</v>
      </c>
      <c r="I341" s="763">
        <v>0</v>
      </c>
      <c r="J341" s="763">
        <f t="shared" si="42"/>
        <v>14835</v>
      </c>
      <c r="K341" s="783">
        <v>2967</v>
      </c>
      <c r="L341" s="763">
        <v>0</v>
      </c>
      <c r="M341" s="783">
        <v>0</v>
      </c>
    </row>
    <row r="342" spans="1:13" ht="15.75">
      <c r="A342" s="763">
        <v>239</v>
      </c>
      <c r="B342" s="763">
        <v>2100539</v>
      </c>
      <c r="C342" s="763" t="s">
        <v>1454</v>
      </c>
      <c r="D342" s="763" t="s">
        <v>1455</v>
      </c>
      <c r="E342" s="763" t="s">
        <v>1096</v>
      </c>
      <c r="F342" s="763" t="s">
        <v>1456</v>
      </c>
      <c r="G342" s="763">
        <f t="shared" si="45"/>
        <v>35598</v>
      </c>
      <c r="H342" s="763">
        <v>0</v>
      </c>
      <c r="I342" s="763">
        <v>0</v>
      </c>
      <c r="J342" s="763">
        <f t="shared" si="42"/>
        <v>29665</v>
      </c>
      <c r="K342" s="783">
        <v>5933</v>
      </c>
      <c r="L342" s="763">
        <v>0</v>
      </c>
      <c r="M342" s="783">
        <v>0</v>
      </c>
    </row>
    <row r="343" spans="1:13" ht="15.75">
      <c r="A343" s="763">
        <v>240</v>
      </c>
      <c r="B343" s="763">
        <v>2100540</v>
      </c>
      <c r="C343" s="763" t="s">
        <v>1454</v>
      </c>
      <c r="D343" s="763" t="s">
        <v>1118</v>
      </c>
      <c r="E343" s="763" t="s">
        <v>1096</v>
      </c>
      <c r="F343" s="763" t="s">
        <v>1119</v>
      </c>
      <c r="G343" s="763">
        <f t="shared" si="45"/>
        <v>168612</v>
      </c>
      <c r="H343" s="763">
        <v>0</v>
      </c>
      <c r="I343" s="763">
        <v>0</v>
      </c>
      <c r="J343" s="763">
        <f t="shared" si="42"/>
        <v>140510</v>
      </c>
      <c r="K343" s="783">
        <v>28102</v>
      </c>
      <c r="L343" s="763">
        <v>0</v>
      </c>
      <c r="M343" s="783">
        <v>0</v>
      </c>
    </row>
    <row r="344" spans="1:13" ht="15.75">
      <c r="A344" s="763">
        <v>241</v>
      </c>
      <c r="B344" s="763">
        <v>2100541</v>
      </c>
      <c r="C344" s="763" t="s">
        <v>1457</v>
      </c>
      <c r="D344" s="759" t="s">
        <v>1111</v>
      </c>
      <c r="E344" s="763" t="s">
        <v>1096</v>
      </c>
      <c r="F344" s="763"/>
      <c r="G344" s="763">
        <f t="shared" si="45"/>
        <v>681738</v>
      </c>
      <c r="H344" s="763">
        <v>0</v>
      </c>
      <c r="I344" s="763">
        <v>0</v>
      </c>
      <c r="J344" s="763">
        <f t="shared" si="42"/>
        <v>568115</v>
      </c>
      <c r="K344" s="783">
        <v>113623</v>
      </c>
      <c r="L344" s="763">
        <v>0</v>
      </c>
      <c r="M344" s="783">
        <v>0</v>
      </c>
    </row>
    <row r="345" spans="1:13" ht="15.75">
      <c r="A345" s="763">
        <v>242</v>
      </c>
      <c r="B345" s="763">
        <v>2100542</v>
      </c>
      <c r="C345" s="763" t="s">
        <v>1458</v>
      </c>
      <c r="D345" s="763" t="s">
        <v>1103</v>
      </c>
      <c r="E345" s="763" t="s">
        <v>1096</v>
      </c>
      <c r="F345" s="763" t="s">
        <v>1105</v>
      </c>
      <c r="G345" s="763">
        <f t="shared" si="45"/>
        <v>124080</v>
      </c>
      <c r="H345" s="763">
        <v>0</v>
      </c>
      <c r="I345" s="763">
        <v>0</v>
      </c>
      <c r="J345" s="1108">
        <f t="shared" si="42"/>
        <v>103400</v>
      </c>
      <c r="K345" s="783">
        <v>20680</v>
      </c>
      <c r="L345" s="763">
        <v>0</v>
      </c>
      <c r="M345" s="783">
        <v>0</v>
      </c>
    </row>
    <row r="346" spans="1:13" ht="15.75">
      <c r="A346" s="763">
        <v>243</v>
      </c>
      <c r="B346" s="763">
        <v>2100543</v>
      </c>
      <c r="C346" s="763" t="s">
        <v>1458</v>
      </c>
      <c r="D346" s="763" t="s">
        <v>1180</v>
      </c>
      <c r="E346" s="763" t="s">
        <v>1096</v>
      </c>
      <c r="F346" s="763" t="s">
        <v>1459</v>
      </c>
      <c r="G346" s="763">
        <f t="shared" si="45"/>
        <v>160200</v>
      </c>
      <c r="H346" s="763">
        <v>0</v>
      </c>
      <c r="I346" s="763">
        <v>0</v>
      </c>
      <c r="J346" s="763">
        <f t="shared" si="42"/>
        <v>133500</v>
      </c>
      <c r="K346" s="783">
        <v>26700</v>
      </c>
      <c r="L346" s="763">
        <v>0</v>
      </c>
      <c r="M346" s="783">
        <v>0</v>
      </c>
    </row>
    <row r="347" spans="1:13" ht="15.75">
      <c r="A347" s="763">
        <v>244</v>
      </c>
      <c r="B347" s="763">
        <v>2100544</v>
      </c>
      <c r="C347" s="763" t="s">
        <v>1460</v>
      </c>
      <c r="D347" s="763" t="s">
        <v>1152</v>
      </c>
      <c r="E347" s="763" t="s">
        <v>1096</v>
      </c>
      <c r="F347" s="763" t="s">
        <v>1153</v>
      </c>
      <c r="G347" s="763">
        <f t="shared" si="45"/>
        <v>694200</v>
      </c>
      <c r="H347" s="763">
        <v>0</v>
      </c>
      <c r="I347" s="763">
        <v>0</v>
      </c>
      <c r="J347" s="763">
        <f t="shared" si="42"/>
        <v>578500</v>
      </c>
      <c r="K347" s="783">
        <v>115700</v>
      </c>
      <c r="L347" s="763">
        <v>0</v>
      </c>
      <c r="M347" s="783">
        <v>0</v>
      </c>
    </row>
    <row r="348" spans="1:13" ht="15.75">
      <c r="A348" s="763">
        <v>245</v>
      </c>
      <c r="B348" s="763">
        <v>2100545</v>
      </c>
      <c r="C348" s="763" t="s">
        <v>1461</v>
      </c>
      <c r="D348" s="759" t="s">
        <v>1111</v>
      </c>
      <c r="E348" s="763" t="s">
        <v>1096</v>
      </c>
      <c r="F348" s="763"/>
      <c r="G348" s="763">
        <f t="shared" si="45"/>
        <v>512640</v>
      </c>
      <c r="H348" s="763">
        <v>0</v>
      </c>
      <c r="I348" s="763">
        <v>0</v>
      </c>
      <c r="J348" s="763">
        <f t="shared" si="42"/>
        <v>427200</v>
      </c>
      <c r="K348" s="783">
        <v>85440</v>
      </c>
      <c r="L348" s="763">
        <v>0</v>
      </c>
      <c r="M348" s="783">
        <v>0</v>
      </c>
    </row>
    <row r="349" spans="1:13" ht="15.75">
      <c r="A349" s="763">
        <v>246</v>
      </c>
      <c r="B349" s="763">
        <v>2100546</v>
      </c>
      <c r="C349" s="763" t="s">
        <v>1462</v>
      </c>
      <c r="D349" s="763" t="s">
        <v>1196</v>
      </c>
      <c r="E349" s="763" t="s">
        <v>1096</v>
      </c>
      <c r="F349" s="763" t="s">
        <v>1224</v>
      </c>
      <c r="G349" s="763">
        <f t="shared" si="45"/>
        <v>24918</v>
      </c>
      <c r="H349" s="763">
        <v>0</v>
      </c>
      <c r="I349" s="763">
        <v>0</v>
      </c>
      <c r="J349" s="763">
        <f t="shared" si="42"/>
        <v>20765</v>
      </c>
      <c r="K349" s="783">
        <v>4153</v>
      </c>
      <c r="L349" s="763">
        <v>0</v>
      </c>
      <c r="M349" s="783">
        <v>0</v>
      </c>
    </row>
    <row r="350" spans="1:13" ht="15.75">
      <c r="A350" s="763">
        <v>247</v>
      </c>
      <c r="B350" s="763">
        <v>2100547</v>
      </c>
      <c r="C350" s="763" t="s">
        <v>1462</v>
      </c>
      <c r="D350" s="763" t="s">
        <v>1103</v>
      </c>
      <c r="E350" s="763" t="s">
        <v>1096</v>
      </c>
      <c r="F350" s="763" t="s">
        <v>1105</v>
      </c>
      <c r="G350" s="763">
        <f t="shared" si="45"/>
        <v>100812</v>
      </c>
      <c r="H350" s="763">
        <v>0</v>
      </c>
      <c r="I350" s="763">
        <v>0</v>
      </c>
      <c r="J350" s="1108">
        <f t="shared" si="42"/>
        <v>84010</v>
      </c>
      <c r="K350" s="783">
        <v>16802</v>
      </c>
      <c r="L350" s="763">
        <v>0</v>
      </c>
      <c r="M350" s="783">
        <v>0</v>
      </c>
    </row>
    <row r="351" spans="1:13" ht="15.75">
      <c r="A351" s="763">
        <v>248</v>
      </c>
      <c r="B351" s="763">
        <v>2100548</v>
      </c>
      <c r="C351" s="763" t="s">
        <v>1463</v>
      </c>
      <c r="D351" s="763" t="s">
        <v>1235</v>
      </c>
      <c r="E351" s="763" t="s">
        <v>1096</v>
      </c>
      <c r="F351" s="763" t="s">
        <v>1236</v>
      </c>
      <c r="G351" s="763">
        <f t="shared" si="45"/>
        <v>6000</v>
      </c>
      <c r="H351" s="763">
        <v>0</v>
      </c>
      <c r="I351" s="763">
        <v>0</v>
      </c>
      <c r="J351" s="763">
        <f t="shared" si="42"/>
        <v>5000</v>
      </c>
      <c r="K351" s="783">
        <v>1000</v>
      </c>
      <c r="L351" s="763">
        <v>0</v>
      </c>
      <c r="M351" s="783">
        <v>0</v>
      </c>
    </row>
    <row r="352" spans="1:13" ht="15.75">
      <c r="A352" s="785">
        <v>249</v>
      </c>
      <c r="B352" s="763">
        <v>2100549</v>
      </c>
      <c r="C352" s="785" t="s">
        <v>1463</v>
      </c>
      <c r="D352" s="785" t="s">
        <v>1095</v>
      </c>
      <c r="E352" s="785" t="s">
        <v>1096</v>
      </c>
      <c r="F352" s="785" t="s">
        <v>1097</v>
      </c>
      <c r="G352" s="785">
        <f t="shared" si="45"/>
        <v>45198</v>
      </c>
      <c r="H352" s="785">
        <v>0</v>
      </c>
      <c r="I352" s="785">
        <v>0</v>
      </c>
      <c r="J352" s="785">
        <f t="shared" si="42"/>
        <v>37665</v>
      </c>
      <c r="K352" s="786">
        <v>7533</v>
      </c>
      <c r="L352" s="785">
        <v>0</v>
      </c>
      <c r="M352" s="786">
        <v>0</v>
      </c>
    </row>
    <row r="353" spans="1:13" ht="15.75">
      <c r="A353" s="785">
        <v>250</v>
      </c>
      <c r="B353" s="763">
        <v>2100550</v>
      </c>
      <c r="C353" s="785" t="s">
        <v>1464</v>
      </c>
      <c r="D353" s="759" t="s">
        <v>1111</v>
      </c>
      <c r="E353" s="785" t="s">
        <v>1096</v>
      </c>
      <c r="F353" s="785"/>
      <c r="G353" s="785">
        <f t="shared" si="45"/>
        <v>565248</v>
      </c>
      <c r="H353" s="785">
        <v>0</v>
      </c>
      <c r="I353" s="785">
        <v>0</v>
      </c>
      <c r="J353" s="785">
        <f t="shared" si="42"/>
        <v>471040</v>
      </c>
      <c r="K353" s="786">
        <v>94208</v>
      </c>
      <c r="L353" s="785">
        <v>0</v>
      </c>
      <c r="M353" s="786">
        <v>0</v>
      </c>
    </row>
    <row r="354" spans="1:13" ht="15.75">
      <c r="A354" s="785">
        <v>251</v>
      </c>
      <c r="B354" s="763">
        <v>2100551</v>
      </c>
      <c r="C354" s="785" t="s">
        <v>1465</v>
      </c>
      <c r="D354" s="785" t="s">
        <v>1355</v>
      </c>
      <c r="E354" s="785" t="s">
        <v>1096</v>
      </c>
      <c r="F354" s="785" t="s">
        <v>1466</v>
      </c>
      <c r="G354" s="785">
        <f t="shared" si="45"/>
        <v>10500</v>
      </c>
      <c r="H354" s="785">
        <v>0</v>
      </c>
      <c r="I354" s="785">
        <v>0</v>
      </c>
      <c r="J354" s="785">
        <f t="shared" si="42"/>
        <v>8750</v>
      </c>
      <c r="K354" s="786">
        <v>1750</v>
      </c>
      <c r="L354" s="785">
        <v>0</v>
      </c>
      <c r="M354" s="786">
        <v>0</v>
      </c>
    </row>
    <row r="355" spans="1:13" ht="15.75">
      <c r="A355" s="785">
        <v>252</v>
      </c>
      <c r="B355" s="763">
        <v>2100552</v>
      </c>
      <c r="C355" s="785" t="s">
        <v>1467</v>
      </c>
      <c r="D355" s="785" t="s">
        <v>1468</v>
      </c>
      <c r="E355" s="785" t="s">
        <v>1096</v>
      </c>
      <c r="F355" s="785" t="s">
        <v>1176</v>
      </c>
      <c r="G355" s="785">
        <f t="shared" si="45"/>
        <v>268200</v>
      </c>
      <c r="H355" s="785">
        <v>0</v>
      </c>
      <c r="I355" s="785">
        <v>0</v>
      </c>
      <c r="J355" s="785">
        <f t="shared" si="42"/>
        <v>223500</v>
      </c>
      <c r="K355" s="786">
        <v>44700</v>
      </c>
      <c r="L355" s="785">
        <v>0</v>
      </c>
      <c r="M355" s="786">
        <v>0</v>
      </c>
    </row>
    <row r="356" spans="1:13" ht="15.75">
      <c r="A356" s="785">
        <v>253</v>
      </c>
      <c r="B356" s="763">
        <v>2100553</v>
      </c>
      <c r="C356" s="785" t="s">
        <v>1469</v>
      </c>
      <c r="D356" s="785" t="s">
        <v>1275</v>
      </c>
      <c r="E356" s="785" t="s">
        <v>1096</v>
      </c>
      <c r="F356" s="785">
        <v>0</v>
      </c>
      <c r="G356" s="785">
        <v>0</v>
      </c>
      <c r="H356" s="785">
        <v>0</v>
      </c>
      <c r="I356" s="785">
        <v>0</v>
      </c>
      <c r="J356" s="785">
        <v>0</v>
      </c>
      <c r="K356" s="786">
        <v>0</v>
      </c>
      <c r="L356" s="785">
        <v>0</v>
      </c>
      <c r="M356" s="786">
        <v>0</v>
      </c>
    </row>
    <row r="357" spans="1:13" ht="15.75">
      <c r="A357" s="785">
        <v>254</v>
      </c>
      <c r="B357" s="763">
        <v>2100554</v>
      </c>
      <c r="C357" s="785" t="s">
        <v>1469</v>
      </c>
      <c r="D357" s="785" t="s">
        <v>1123</v>
      </c>
      <c r="E357" s="785" t="s">
        <v>1096</v>
      </c>
      <c r="F357" s="785" t="s">
        <v>1124</v>
      </c>
      <c r="G357" s="785">
        <f>J357+K357</f>
        <v>89898</v>
      </c>
      <c r="H357" s="785">
        <v>0</v>
      </c>
      <c r="I357" s="785">
        <v>0</v>
      </c>
      <c r="J357" s="785">
        <f>K357*5</f>
        <v>74915</v>
      </c>
      <c r="K357" s="786">
        <v>14983</v>
      </c>
      <c r="L357" s="785">
        <v>0</v>
      </c>
      <c r="M357" s="786">
        <v>0</v>
      </c>
    </row>
    <row r="358" spans="1:13" ht="15.75">
      <c r="A358" s="785">
        <v>255</v>
      </c>
      <c r="B358" s="763">
        <v>2100555</v>
      </c>
      <c r="C358" s="785" t="s">
        <v>1469</v>
      </c>
      <c r="D358" s="759" t="s">
        <v>1111</v>
      </c>
      <c r="E358" s="785" t="s">
        <v>1096</v>
      </c>
      <c r="F358" s="785"/>
      <c r="G358" s="785">
        <f>J358+K358</f>
        <v>546000</v>
      </c>
      <c r="H358" s="785">
        <v>0</v>
      </c>
      <c r="I358" s="785">
        <v>0</v>
      </c>
      <c r="J358" s="785">
        <f>K358*5</f>
        <v>455000</v>
      </c>
      <c r="K358" s="786">
        <v>91000</v>
      </c>
      <c r="L358" s="785">
        <v>0</v>
      </c>
      <c r="M358" s="786">
        <v>0</v>
      </c>
    </row>
    <row r="359" spans="1:13" ht="15.75">
      <c r="A359" s="785">
        <v>256</v>
      </c>
      <c r="B359" s="763">
        <v>2100556</v>
      </c>
      <c r="C359" s="785" t="s">
        <v>1469</v>
      </c>
      <c r="D359" s="785" t="s">
        <v>1452</v>
      </c>
      <c r="E359" s="785" t="s">
        <v>1096</v>
      </c>
      <c r="F359" s="785" t="s">
        <v>1430</v>
      </c>
      <c r="G359" s="785">
        <f aca="true" t="shared" si="46" ref="G359:G367">J359+K359</f>
        <v>218520</v>
      </c>
      <c r="H359" s="785">
        <v>0</v>
      </c>
      <c r="I359" s="785">
        <v>0</v>
      </c>
      <c r="J359" s="1133">
        <f aca="true" t="shared" si="47" ref="J359:J367">K359*5</f>
        <v>182100</v>
      </c>
      <c r="K359" s="786">
        <v>36420</v>
      </c>
      <c r="L359" s="785">
        <v>0</v>
      </c>
      <c r="M359" s="786">
        <v>0</v>
      </c>
    </row>
    <row r="360" spans="1:13" ht="15.75">
      <c r="A360" s="785">
        <v>257</v>
      </c>
      <c r="B360" s="763">
        <v>2100557</v>
      </c>
      <c r="C360" s="785" t="s">
        <v>1470</v>
      </c>
      <c r="D360" s="785" t="s">
        <v>1152</v>
      </c>
      <c r="E360" s="785" t="s">
        <v>1096</v>
      </c>
      <c r="F360" s="785" t="s">
        <v>1153</v>
      </c>
      <c r="G360" s="785">
        <f t="shared" si="46"/>
        <v>467214</v>
      </c>
      <c r="H360" s="785">
        <v>0</v>
      </c>
      <c r="I360" s="785">
        <v>0</v>
      </c>
      <c r="J360" s="785">
        <f t="shared" si="47"/>
        <v>389345</v>
      </c>
      <c r="K360" s="786">
        <v>77869</v>
      </c>
      <c r="L360" s="785">
        <v>0</v>
      </c>
      <c r="M360" s="786">
        <v>0</v>
      </c>
    </row>
    <row r="361" spans="1:13" ht="15.75">
      <c r="A361" s="785">
        <v>258</v>
      </c>
      <c r="B361" s="763">
        <v>2100558</v>
      </c>
      <c r="C361" s="785" t="s">
        <v>1470</v>
      </c>
      <c r="D361" s="785" t="s">
        <v>1471</v>
      </c>
      <c r="E361" s="785" t="s">
        <v>1096</v>
      </c>
      <c r="F361" s="785" t="s">
        <v>1472</v>
      </c>
      <c r="G361" s="785">
        <f t="shared" si="46"/>
        <v>63000</v>
      </c>
      <c r="H361" s="785">
        <v>0</v>
      </c>
      <c r="I361" s="785">
        <v>0</v>
      </c>
      <c r="J361" s="785">
        <f t="shared" si="47"/>
        <v>52500</v>
      </c>
      <c r="K361" s="786">
        <v>10500</v>
      </c>
      <c r="L361" s="785">
        <v>0</v>
      </c>
      <c r="M361" s="786">
        <v>0</v>
      </c>
    </row>
    <row r="362" spans="1:13" ht="15.75">
      <c r="A362" s="785">
        <v>259</v>
      </c>
      <c r="B362" s="763">
        <v>2100559</v>
      </c>
      <c r="C362" s="785" t="s">
        <v>1473</v>
      </c>
      <c r="D362" s="785" t="s">
        <v>1063</v>
      </c>
      <c r="E362" s="785" t="s">
        <v>1096</v>
      </c>
      <c r="F362" s="785" t="s">
        <v>1150</v>
      </c>
      <c r="G362" s="785">
        <f t="shared" si="46"/>
        <v>23754</v>
      </c>
      <c r="H362" s="785">
        <v>0</v>
      </c>
      <c r="I362" s="785">
        <v>0</v>
      </c>
      <c r="J362" s="785">
        <f t="shared" si="47"/>
        <v>19795</v>
      </c>
      <c r="K362" s="786">
        <v>3959</v>
      </c>
      <c r="L362" s="785">
        <v>0</v>
      </c>
      <c r="M362" s="786">
        <v>0</v>
      </c>
    </row>
    <row r="363" spans="1:13" ht="15.75">
      <c r="A363" s="785">
        <v>260</v>
      </c>
      <c r="B363" s="763">
        <v>2100560</v>
      </c>
      <c r="C363" s="785" t="s">
        <v>1473</v>
      </c>
      <c r="D363" s="785" t="s">
        <v>1211</v>
      </c>
      <c r="E363" s="785" t="s">
        <v>1096</v>
      </c>
      <c r="F363" s="785" t="s">
        <v>1158</v>
      </c>
      <c r="G363" s="785">
        <f t="shared" si="46"/>
        <v>248310</v>
      </c>
      <c r="H363" s="785">
        <v>0</v>
      </c>
      <c r="I363" s="785">
        <v>0</v>
      </c>
      <c r="J363" s="785">
        <f t="shared" si="47"/>
        <v>206925</v>
      </c>
      <c r="K363" s="786">
        <v>41385</v>
      </c>
      <c r="L363" s="785">
        <v>0</v>
      </c>
      <c r="M363" s="786">
        <v>0</v>
      </c>
    </row>
    <row r="364" spans="1:13" ht="15.75">
      <c r="A364" s="785">
        <v>261</v>
      </c>
      <c r="B364" s="763">
        <v>2100561</v>
      </c>
      <c r="C364" s="785" t="s">
        <v>1473</v>
      </c>
      <c r="D364" s="785" t="s">
        <v>1134</v>
      </c>
      <c r="E364" s="785" t="s">
        <v>1096</v>
      </c>
      <c r="F364" s="785" t="s">
        <v>1135</v>
      </c>
      <c r="G364" s="785">
        <f t="shared" si="46"/>
        <v>100050</v>
      </c>
      <c r="H364" s="785">
        <v>0</v>
      </c>
      <c r="I364" s="785">
        <v>0</v>
      </c>
      <c r="J364" s="785">
        <f t="shared" si="47"/>
        <v>83375</v>
      </c>
      <c r="K364" s="786">
        <v>16675</v>
      </c>
      <c r="L364" s="785">
        <v>0</v>
      </c>
      <c r="M364" s="786">
        <v>0</v>
      </c>
    </row>
    <row r="365" spans="1:13" ht="15.75">
      <c r="A365" s="785">
        <v>262</v>
      </c>
      <c r="B365" s="763">
        <v>2100562</v>
      </c>
      <c r="C365" s="785" t="s">
        <v>1474</v>
      </c>
      <c r="D365" s="763" t="s">
        <v>1155</v>
      </c>
      <c r="E365" s="785" t="s">
        <v>1096</v>
      </c>
      <c r="F365" s="785" t="s">
        <v>1156</v>
      </c>
      <c r="G365" s="785">
        <f t="shared" si="46"/>
        <v>148254</v>
      </c>
      <c r="H365" s="785">
        <v>0</v>
      </c>
      <c r="I365" s="785">
        <v>0</v>
      </c>
      <c r="J365" s="785">
        <f t="shared" si="47"/>
        <v>123545</v>
      </c>
      <c r="K365" s="786">
        <v>24709</v>
      </c>
      <c r="L365" s="785">
        <v>0</v>
      </c>
      <c r="M365" s="786">
        <v>0</v>
      </c>
    </row>
    <row r="366" spans="1:13" ht="15.75">
      <c r="A366" s="785">
        <v>263</v>
      </c>
      <c r="B366" s="763">
        <v>2100563</v>
      </c>
      <c r="C366" s="785" t="s">
        <v>1474</v>
      </c>
      <c r="D366" s="763" t="s">
        <v>1452</v>
      </c>
      <c r="E366" s="785" t="s">
        <v>1096</v>
      </c>
      <c r="F366" s="785" t="s">
        <v>1430</v>
      </c>
      <c r="G366" s="785">
        <f t="shared" si="46"/>
        <v>251532</v>
      </c>
      <c r="H366" s="785">
        <v>0</v>
      </c>
      <c r="I366" s="785">
        <v>0</v>
      </c>
      <c r="J366" s="1133">
        <f t="shared" si="47"/>
        <v>209610</v>
      </c>
      <c r="K366" s="786">
        <v>41922</v>
      </c>
      <c r="L366" s="785">
        <v>0</v>
      </c>
      <c r="M366" s="786">
        <v>0</v>
      </c>
    </row>
    <row r="367" spans="1:13" ht="16.5" thickBot="1">
      <c r="A367" s="785">
        <v>264</v>
      </c>
      <c r="B367" s="785">
        <v>2100554</v>
      </c>
      <c r="C367" s="785" t="s">
        <v>1474</v>
      </c>
      <c r="D367" s="785" t="s">
        <v>1111</v>
      </c>
      <c r="E367" s="785" t="s">
        <v>1096</v>
      </c>
      <c r="F367" s="785"/>
      <c r="G367" s="785">
        <f t="shared" si="46"/>
        <v>405420</v>
      </c>
      <c r="H367" s="785">
        <v>0</v>
      </c>
      <c r="I367" s="785">
        <v>0</v>
      </c>
      <c r="J367" s="785">
        <f t="shared" si="47"/>
        <v>337850</v>
      </c>
      <c r="K367" s="786">
        <v>67570</v>
      </c>
      <c r="L367" s="785">
        <v>0</v>
      </c>
      <c r="M367" s="786">
        <v>0</v>
      </c>
    </row>
    <row r="368" spans="1:13" ht="16.5" thickBot="1">
      <c r="A368" s="1389" t="s">
        <v>822</v>
      </c>
      <c r="B368" s="1390"/>
      <c r="C368" s="1390"/>
      <c r="D368" s="1390"/>
      <c r="E368" s="1390"/>
      <c r="F368" s="1391"/>
      <c r="G368" s="1020">
        <f>SUM(G321:G367)</f>
        <v>9789120</v>
      </c>
      <c r="H368" s="1020">
        <f aca="true" t="shared" si="48" ref="H368:M368">SUM(H321:H367)</f>
        <v>0</v>
      </c>
      <c r="I368" s="1020">
        <f t="shared" si="48"/>
        <v>0</v>
      </c>
      <c r="J368" s="1020">
        <f t="shared" si="48"/>
        <v>8157600</v>
      </c>
      <c r="K368" s="1020">
        <f t="shared" si="48"/>
        <v>1631520</v>
      </c>
      <c r="L368" s="1020">
        <f t="shared" si="48"/>
        <v>0</v>
      </c>
      <c r="M368" s="1021">
        <f t="shared" si="48"/>
        <v>0</v>
      </c>
    </row>
    <row r="369" spans="1:13" ht="16.5" thickBot="1">
      <c r="A369" s="1392" t="s">
        <v>823</v>
      </c>
      <c r="B369" s="1393"/>
      <c r="C369" s="1393"/>
      <c r="D369" s="1393"/>
      <c r="E369" s="1393"/>
      <c r="F369" s="1393"/>
      <c r="G369" s="1393"/>
      <c r="H369" s="781" t="s">
        <v>824</v>
      </c>
      <c r="I369" s="765" t="s">
        <v>825</v>
      </c>
      <c r="J369" s="781" t="s">
        <v>826</v>
      </c>
      <c r="K369" s="766" t="s">
        <v>827</v>
      </c>
      <c r="L369" s="781" t="s">
        <v>828</v>
      </c>
      <c r="M369" s="766" t="s">
        <v>829</v>
      </c>
    </row>
    <row r="370" spans="1:13" ht="15.75">
      <c r="A370" s="731"/>
      <c r="B370" s="731"/>
      <c r="C370" s="731"/>
      <c r="D370" s="731"/>
      <c r="E370" s="731"/>
      <c r="F370" s="731"/>
      <c r="G370" s="731"/>
      <c r="H370" s="731"/>
      <c r="I370" s="731"/>
      <c r="J370" s="731"/>
      <c r="K370" s="731"/>
      <c r="L370" s="731"/>
      <c r="M370" s="731"/>
    </row>
    <row r="371" spans="1:13" ht="15.75">
      <c r="A371" s="731"/>
      <c r="B371" s="731"/>
      <c r="C371" s="731"/>
      <c r="D371" s="731"/>
      <c r="E371" s="731"/>
      <c r="F371" s="731"/>
      <c r="G371" s="731"/>
      <c r="H371" s="731"/>
      <c r="I371" s="731"/>
      <c r="J371" s="731"/>
      <c r="K371" s="731"/>
      <c r="L371" s="731"/>
      <c r="M371" s="731"/>
    </row>
    <row r="372" spans="1:13" ht="15.75">
      <c r="A372" s="731" t="s">
        <v>856</v>
      </c>
      <c r="B372" s="731"/>
      <c r="C372" s="731"/>
      <c r="D372" s="731"/>
      <c r="E372" s="731"/>
      <c r="F372" s="731"/>
      <c r="G372" s="731"/>
      <c r="H372" s="731"/>
      <c r="I372" s="731"/>
      <c r="J372" s="1017"/>
      <c r="K372" s="731"/>
      <c r="L372" s="1017" t="s">
        <v>1120</v>
      </c>
      <c r="M372" s="731"/>
    </row>
    <row r="373" spans="1:13" ht="15.75">
      <c r="A373" s="731" t="s">
        <v>848</v>
      </c>
      <c r="B373" s="731"/>
      <c r="C373" s="731"/>
      <c r="D373" s="731"/>
      <c r="E373" s="731"/>
      <c r="F373" s="731"/>
      <c r="G373" s="731"/>
      <c r="H373" s="731"/>
      <c r="I373" s="731"/>
      <c r="J373" s="731"/>
      <c r="K373" s="731"/>
      <c r="L373" s="731" t="s">
        <v>1122</v>
      </c>
      <c r="M373" s="731"/>
    </row>
    <row r="374" spans="1:13" ht="15.75">
      <c r="A374" s="731" t="s">
        <v>855</v>
      </c>
      <c r="B374" s="731"/>
      <c r="C374" s="731"/>
      <c r="D374" s="731"/>
      <c r="E374" s="731"/>
      <c r="F374" s="731"/>
      <c r="G374" s="731"/>
      <c r="H374" s="731"/>
      <c r="I374" s="731"/>
      <c r="J374" s="731"/>
      <c r="K374" s="731"/>
      <c r="L374" s="731"/>
      <c r="M374" s="731"/>
    </row>
    <row r="375" spans="2:15" s="1082" customFormat="1" ht="12.75">
      <c r="B375" s="1092"/>
      <c r="O375" s="1092"/>
    </row>
    <row r="376" spans="1:31" ht="19.5">
      <c r="A376" s="730" t="s">
        <v>794</v>
      </c>
      <c r="B376" s="731"/>
      <c r="C376" s="731"/>
      <c r="D376" s="731"/>
      <c r="E376" s="731"/>
      <c r="F376" s="731"/>
      <c r="G376" s="731"/>
      <c r="H376" s="731"/>
      <c r="I376" s="731"/>
      <c r="J376" s="731"/>
      <c r="K376" s="731"/>
      <c r="L376" s="731"/>
      <c r="M376" s="731"/>
      <c r="N376" s="730" t="s">
        <v>795</v>
      </c>
      <c r="O376" s="731"/>
      <c r="P376" s="731"/>
      <c r="Q376" s="731"/>
      <c r="R376" s="731"/>
      <c r="S376" s="731"/>
      <c r="T376" s="731"/>
      <c r="U376" s="731"/>
      <c r="V376" s="731"/>
      <c r="W376" s="731"/>
      <c r="X376" s="731"/>
      <c r="Y376" s="731"/>
      <c r="Z376" s="731"/>
      <c r="AA376" s="731"/>
      <c r="AB376" s="731"/>
      <c r="AC376" s="731"/>
      <c r="AD376" s="731"/>
      <c r="AE376" s="731"/>
    </row>
    <row r="377" spans="1:31" ht="15.75">
      <c r="A377" s="733" t="s">
        <v>796</v>
      </c>
      <c r="B377" s="733"/>
      <c r="C377" s="731" t="s">
        <v>1166</v>
      </c>
      <c r="D377" s="731"/>
      <c r="E377" s="731"/>
      <c r="F377" s="731"/>
      <c r="G377" s="731"/>
      <c r="H377" s="731"/>
      <c r="I377" s="731"/>
      <c r="J377" s="731"/>
      <c r="K377" s="731"/>
      <c r="L377" s="731"/>
      <c r="M377" s="731"/>
      <c r="N377" s="733" t="s">
        <v>796</v>
      </c>
      <c r="O377" s="733"/>
      <c r="P377" s="731" t="s">
        <v>1166</v>
      </c>
      <c r="Q377" s="731"/>
      <c r="R377" s="731"/>
      <c r="S377" s="731"/>
      <c r="T377" s="731"/>
      <c r="U377" s="731"/>
      <c r="V377" s="731"/>
      <c r="W377" s="731"/>
      <c r="X377" s="731"/>
      <c r="Y377" s="731"/>
      <c r="Z377" s="731"/>
      <c r="AA377" s="731"/>
      <c r="AB377" s="731"/>
      <c r="AC377" s="731"/>
      <c r="AD377" s="731"/>
      <c r="AE377" s="731"/>
    </row>
    <row r="378" spans="1:31" ht="15.75">
      <c r="A378" s="733" t="s">
        <v>413</v>
      </c>
      <c r="B378" s="733"/>
      <c r="C378" s="731" t="s">
        <v>1043</v>
      </c>
      <c r="D378" s="731"/>
      <c r="E378" s="731"/>
      <c r="F378" s="731"/>
      <c r="G378" s="731"/>
      <c r="H378" s="731"/>
      <c r="I378" s="731"/>
      <c r="J378" s="731"/>
      <c r="K378" s="731"/>
      <c r="L378" s="731"/>
      <c r="M378" s="731"/>
      <c r="N378" s="733" t="s">
        <v>413</v>
      </c>
      <c r="O378" s="733"/>
      <c r="P378" s="731" t="s">
        <v>1043</v>
      </c>
      <c r="Q378" s="731"/>
      <c r="R378" s="731"/>
      <c r="S378" s="731"/>
      <c r="T378" s="731"/>
      <c r="U378" s="731"/>
      <c r="V378" s="731"/>
      <c r="W378" s="731"/>
      <c r="X378" s="731"/>
      <c r="Y378" s="731"/>
      <c r="Z378" s="731"/>
      <c r="AA378" s="731"/>
      <c r="AB378" s="731"/>
      <c r="AC378" s="731"/>
      <c r="AD378" s="731"/>
      <c r="AE378" s="731"/>
    </row>
    <row r="379" spans="1:31" ht="15.75">
      <c r="A379" s="733" t="s">
        <v>797</v>
      </c>
      <c r="B379" s="733"/>
      <c r="C379" s="731">
        <v>2012</v>
      </c>
      <c r="D379" s="731"/>
      <c r="E379" s="731"/>
      <c r="F379" s="731"/>
      <c r="G379" s="731"/>
      <c r="H379" s="731"/>
      <c r="I379" s="731"/>
      <c r="J379" s="731"/>
      <c r="K379" s="731"/>
      <c r="L379" s="731"/>
      <c r="M379" s="731"/>
      <c r="N379" s="733" t="s">
        <v>797</v>
      </c>
      <c r="O379" s="733"/>
      <c r="P379" s="731">
        <v>2012</v>
      </c>
      <c r="Q379" s="731"/>
      <c r="R379" s="731"/>
      <c r="S379" s="731"/>
      <c r="T379" s="731"/>
      <c r="U379" s="731"/>
      <c r="V379" s="731"/>
      <c r="W379" s="731"/>
      <c r="X379" s="731"/>
      <c r="Y379" s="731"/>
      <c r="Z379" s="731"/>
      <c r="AA379" s="731"/>
      <c r="AB379" s="731"/>
      <c r="AC379" s="731"/>
      <c r="AD379" s="731"/>
      <c r="AE379" s="731"/>
    </row>
    <row r="380" spans="1:31" ht="15.75">
      <c r="A380" s="733" t="s">
        <v>166</v>
      </c>
      <c r="B380" s="733"/>
      <c r="C380" s="731">
        <v>7</v>
      </c>
      <c r="D380" s="731"/>
      <c r="E380" s="731"/>
      <c r="F380" s="731"/>
      <c r="G380" s="731"/>
      <c r="H380" s="731"/>
      <c r="I380" s="731"/>
      <c r="J380" s="731"/>
      <c r="K380" s="731"/>
      <c r="L380" s="731"/>
      <c r="M380" s="731"/>
      <c r="N380" s="733" t="s">
        <v>166</v>
      </c>
      <c r="O380" s="733"/>
      <c r="P380" s="731">
        <v>7</v>
      </c>
      <c r="Q380" s="731"/>
      <c r="R380" s="731"/>
      <c r="S380" s="731"/>
      <c r="T380" s="731"/>
      <c r="U380" s="731"/>
      <c r="V380" s="731"/>
      <c r="W380" s="731"/>
      <c r="X380" s="731"/>
      <c r="Y380" s="731"/>
      <c r="Z380" s="731"/>
      <c r="AA380" s="731"/>
      <c r="AB380" s="731"/>
      <c r="AC380" s="731"/>
      <c r="AD380" s="731"/>
      <c r="AE380" s="731"/>
    </row>
    <row r="381" spans="1:31" ht="13.5" customHeight="1" thickBot="1">
      <c r="A381" s="733"/>
      <c r="B381" s="733"/>
      <c r="C381" s="731"/>
      <c r="D381" s="731"/>
      <c r="E381" s="731"/>
      <c r="F381" s="731"/>
      <c r="G381" s="731"/>
      <c r="H381" s="731"/>
      <c r="I381" s="731"/>
      <c r="J381" s="731"/>
      <c r="K381" s="731"/>
      <c r="L381" s="731"/>
      <c r="M381" s="731"/>
      <c r="N381" s="733"/>
      <c r="O381" s="733"/>
      <c r="P381" s="731"/>
      <c r="Q381" s="731"/>
      <c r="R381" s="731"/>
      <c r="S381" s="731"/>
      <c r="T381" s="731"/>
      <c r="U381" s="731"/>
      <c r="V381" s="731"/>
      <c r="W381" s="731"/>
      <c r="X381" s="731"/>
      <c r="Y381" s="731"/>
      <c r="Z381" s="731"/>
      <c r="AA381" s="731"/>
      <c r="AB381" s="731"/>
      <c r="AC381" s="731"/>
      <c r="AD381" s="731"/>
      <c r="AE381" s="731"/>
    </row>
    <row r="382" spans="1:31" ht="16.5" thickBot="1">
      <c r="A382" s="731" t="s">
        <v>799</v>
      </c>
      <c r="B382" s="1103"/>
      <c r="C382" s="731" t="s">
        <v>835</v>
      </c>
      <c r="D382" s="731"/>
      <c r="E382" s="731"/>
      <c r="F382" s="731"/>
      <c r="G382" s="731"/>
      <c r="H382" s="731"/>
      <c r="I382" s="731"/>
      <c r="J382" s="731"/>
      <c r="K382" s="731"/>
      <c r="L382" s="731"/>
      <c r="M382" s="731"/>
      <c r="N382" s="731" t="s">
        <v>799</v>
      </c>
      <c r="O382" s="1103"/>
      <c r="P382" s="731" t="s">
        <v>835</v>
      </c>
      <c r="Q382" s="731"/>
      <c r="R382" s="731"/>
      <c r="S382" s="731"/>
      <c r="T382" s="731"/>
      <c r="U382" s="731"/>
      <c r="V382" s="731"/>
      <c r="W382" s="731"/>
      <c r="X382" s="731"/>
      <c r="Y382" s="731"/>
      <c r="Z382" s="731"/>
      <c r="AA382" s="731"/>
      <c r="AB382" s="731"/>
      <c r="AC382" s="731"/>
      <c r="AD382" s="731"/>
      <c r="AE382" s="731"/>
    </row>
    <row r="383" spans="1:31" ht="15" customHeight="1" thickBot="1">
      <c r="A383" s="731"/>
      <c r="B383" s="731"/>
      <c r="C383" s="731"/>
      <c r="D383" s="731"/>
      <c r="E383" s="731"/>
      <c r="F383" s="731"/>
      <c r="G383" s="731"/>
      <c r="H383" s="731"/>
      <c r="I383" s="731"/>
      <c r="J383" s="731"/>
      <c r="K383" s="731"/>
      <c r="L383" s="731"/>
      <c r="M383" s="731"/>
      <c r="N383" s="731"/>
      <c r="O383" s="731"/>
      <c r="P383" s="733"/>
      <c r="Q383" s="731"/>
      <c r="R383" s="731"/>
      <c r="S383" s="731"/>
      <c r="T383" s="731"/>
      <c r="U383" s="731"/>
      <c r="V383" s="731"/>
      <c r="W383" s="731"/>
      <c r="X383" s="731"/>
      <c r="Y383" s="731"/>
      <c r="Z383" s="731"/>
      <c r="AA383" s="731"/>
      <c r="AB383" s="731"/>
      <c r="AC383" s="731"/>
      <c r="AD383" s="731"/>
      <c r="AE383" s="731"/>
    </row>
    <row r="384" spans="1:31" ht="16.5" thickBot="1">
      <c r="A384" s="1401" t="s">
        <v>800</v>
      </c>
      <c r="B384" s="1409"/>
      <c r="C384" s="1402"/>
      <c r="D384" s="1401" t="s">
        <v>801</v>
      </c>
      <c r="E384" s="1409"/>
      <c r="F384" s="1402"/>
      <c r="G384" s="1398" t="s">
        <v>802</v>
      </c>
      <c r="H384" s="1398" t="s">
        <v>803</v>
      </c>
      <c r="I384" s="1398" t="s">
        <v>804</v>
      </c>
      <c r="J384" s="1401" t="s">
        <v>836</v>
      </c>
      <c r="K384" s="1402"/>
      <c r="L384" s="1401" t="s">
        <v>837</v>
      </c>
      <c r="M384" s="1402"/>
      <c r="N384" s="1405" t="s">
        <v>800</v>
      </c>
      <c r="O384" s="1406"/>
      <c r="P384" s="1407"/>
      <c r="Q384" s="1405" t="s">
        <v>805</v>
      </c>
      <c r="R384" s="1406"/>
      <c r="S384" s="1407"/>
      <c r="T384" s="1398" t="s">
        <v>806</v>
      </c>
      <c r="U384" s="1387" t="s">
        <v>807</v>
      </c>
      <c r="V384" s="1397"/>
      <c r="W384" s="1397"/>
      <c r="X384" s="1397"/>
      <c r="Y384" s="1397"/>
      <c r="Z384" s="1397"/>
      <c r="AA384" s="1397"/>
      <c r="AB384" s="1397"/>
      <c r="AC384" s="1397"/>
      <c r="AD384" s="1397"/>
      <c r="AE384" s="1388"/>
    </row>
    <row r="385" spans="1:31" ht="33" customHeight="1" thickBot="1">
      <c r="A385" s="1403"/>
      <c r="B385" s="1410"/>
      <c r="C385" s="1404"/>
      <c r="D385" s="1403"/>
      <c r="E385" s="1410"/>
      <c r="F385" s="1404"/>
      <c r="G385" s="1408"/>
      <c r="H385" s="1408"/>
      <c r="I385" s="1408"/>
      <c r="J385" s="1403"/>
      <c r="K385" s="1404"/>
      <c r="L385" s="1403"/>
      <c r="M385" s="1404"/>
      <c r="N385" s="1398" t="s">
        <v>808</v>
      </c>
      <c r="O385" s="1398" t="s">
        <v>809</v>
      </c>
      <c r="P385" s="1398" t="s">
        <v>810</v>
      </c>
      <c r="Q385" s="1398" t="s">
        <v>811</v>
      </c>
      <c r="R385" s="1398" t="s">
        <v>812</v>
      </c>
      <c r="S385" s="1398" t="s">
        <v>813</v>
      </c>
      <c r="T385" s="1408"/>
      <c r="U385" s="1398" t="s">
        <v>814</v>
      </c>
      <c r="V385" s="1387" t="s">
        <v>838</v>
      </c>
      <c r="W385" s="1400"/>
      <c r="X385" s="1387" t="s">
        <v>839</v>
      </c>
      <c r="Y385" s="1400"/>
      <c r="Z385" s="1387" t="s">
        <v>840</v>
      </c>
      <c r="AA385" s="1388"/>
      <c r="AB385" s="1387" t="s">
        <v>841</v>
      </c>
      <c r="AC385" s="1388"/>
      <c r="AD385" s="1387" t="s">
        <v>815</v>
      </c>
      <c r="AE385" s="1388"/>
    </row>
    <row r="386" spans="1:31" ht="30.75" customHeight="1" thickBot="1">
      <c r="A386" s="748" t="s">
        <v>808</v>
      </c>
      <c r="B386" s="749" t="s">
        <v>809</v>
      </c>
      <c r="C386" s="750" t="s">
        <v>810</v>
      </c>
      <c r="D386" s="743" t="s">
        <v>816</v>
      </c>
      <c r="E386" s="746" t="s">
        <v>812</v>
      </c>
      <c r="F386" s="751" t="s">
        <v>406</v>
      </c>
      <c r="G386" s="1399"/>
      <c r="H386" s="1399"/>
      <c r="I386" s="1399"/>
      <c r="J386" s="751" t="s">
        <v>817</v>
      </c>
      <c r="K386" s="744" t="s">
        <v>818</v>
      </c>
      <c r="L386" s="751" t="s">
        <v>817</v>
      </c>
      <c r="M386" s="744" t="s">
        <v>818</v>
      </c>
      <c r="N386" s="1399"/>
      <c r="O386" s="1399"/>
      <c r="P386" s="1399"/>
      <c r="Q386" s="1399"/>
      <c r="R386" s="1399"/>
      <c r="S386" s="1399"/>
      <c r="T386" s="1399"/>
      <c r="U386" s="1399"/>
      <c r="V386" s="745" t="s">
        <v>817</v>
      </c>
      <c r="W386" s="752" t="s">
        <v>818</v>
      </c>
      <c r="X386" s="745" t="s">
        <v>817</v>
      </c>
      <c r="Y386" s="752" t="s">
        <v>818</v>
      </c>
      <c r="Z386" s="744" t="s">
        <v>819</v>
      </c>
      <c r="AA386" s="744" t="s">
        <v>820</v>
      </c>
      <c r="AB386" s="744" t="s">
        <v>819</v>
      </c>
      <c r="AC386" s="744" t="s">
        <v>820</v>
      </c>
      <c r="AD386" s="744" t="s">
        <v>819</v>
      </c>
      <c r="AE386" s="744" t="s">
        <v>820</v>
      </c>
    </row>
    <row r="387" spans="1:31" ht="14.25" customHeight="1" thickBot="1">
      <c r="A387" s="754" t="s">
        <v>510</v>
      </c>
      <c r="B387" s="755" t="s">
        <v>511</v>
      </c>
      <c r="C387" s="755" t="s">
        <v>598</v>
      </c>
      <c r="D387" s="755" t="s">
        <v>620</v>
      </c>
      <c r="E387" s="755" t="s">
        <v>622</v>
      </c>
      <c r="F387" s="755" t="s">
        <v>634</v>
      </c>
      <c r="G387" s="755" t="s">
        <v>842</v>
      </c>
      <c r="H387" s="755" t="s">
        <v>638</v>
      </c>
      <c r="I387" s="756" t="s">
        <v>640</v>
      </c>
      <c r="J387" s="755" t="s">
        <v>642</v>
      </c>
      <c r="K387" s="757" t="s">
        <v>644</v>
      </c>
      <c r="L387" s="755" t="s">
        <v>646</v>
      </c>
      <c r="M387" s="757" t="s">
        <v>650</v>
      </c>
      <c r="N387" s="777" t="s">
        <v>510</v>
      </c>
      <c r="O387" s="778" t="s">
        <v>511</v>
      </c>
      <c r="P387" s="778" t="s">
        <v>598</v>
      </c>
      <c r="Q387" s="778" t="s">
        <v>620</v>
      </c>
      <c r="R387" s="778" t="s">
        <v>622</v>
      </c>
      <c r="S387" s="778" t="s">
        <v>634</v>
      </c>
      <c r="T387" s="779" t="s">
        <v>843</v>
      </c>
      <c r="U387" s="778" t="s">
        <v>638</v>
      </c>
      <c r="V387" s="778" t="s">
        <v>640</v>
      </c>
      <c r="W387" s="778" t="s">
        <v>642</v>
      </c>
      <c r="X387" s="778" t="s">
        <v>644</v>
      </c>
      <c r="Y387" s="778" t="s">
        <v>646</v>
      </c>
      <c r="Z387" s="778" t="s">
        <v>650</v>
      </c>
      <c r="AA387" s="778" t="s">
        <v>821</v>
      </c>
      <c r="AB387" s="778" t="s">
        <v>844</v>
      </c>
      <c r="AC387" s="778" t="s">
        <v>845</v>
      </c>
      <c r="AD387" s="778" t="s">
        <v>846</v>
      </c>
      <c r="AE387" s="780" t="s">
        <v>847</v>
      </c>
    </row>
    <row r="388" spans="1:31" ht="15.75">
      <c r="A388" s="758">
        <v>265</v>
      </c>
      <c r="B388" s="759">
        <v>2100565</v>
      </c>
      <c r="C388" s="760">
        <v>41091</v>
      </c>
      <c r="D388" s="759" t="s">
        <v>1134</v>
      </c>
      <c r="E388" s="759" t="s">
        <v>1096</v>
      </c>
      <c r="F388" s="759" t="s">
        <v>1135</v>
      </c>
      <c r="G388" s="759">
        <f>J388+K388</f>
        <v>100050</v>
      </c>
      <c r="H388" s="759">
        <v>0</v>
      </c>
      <c r="I388" s="759">
        <v>0</v>
      </c>
      <c r="J388" s="1112">
        <f>K388*5</f>
        <v>83375</v>
      </c>
      <c r="K388" s="782">
        <v>16675</v>
      </c>
      <c r="L388" s="759">
        <v>0</v>
      </c>
      <c r="M388" s="782">
        <v>0</v>
      </c>
      <c r="N388" s="758">
        <v>127313536</v>
      </c>
      <c r="O388" s="758">
        <v>127313536</v>
      </c>
      <c r="P388" s="1089" t="s">
        <v>1458</v>
      </c>
      <c r="Q388" s="759" t="s">
        <v>1521</v>
      </c>
      <c r="R388" s="759" t="s">
        <v>1099</v>
      </c>
      <c r="S388" s="759" t="s">
        <v>1170</v>
      </c>
      <c r="T388" s="759">
        <f>AA388+Z388+U388</f>
        <v>14356</v>
      </c>
      <c r="U388" s="759">
        <v>100</v>
      </c>
      <c r="V388" s="759">
        <v>0</v>
      </c>
      <c r="W388" s="759">
        <v>0</v>
      </c>
      <c r="X388" s="759">
        <v>0</v>
      </c>
      <c r="Y388" s="759">
        <v>0</v>
      </c>
      <c r="Z388" s="759">
        <f aca="true" t="shared" si="49" ref="Z388:Z398">AA388*5</f>
        <v>11880</v>
      </c>
      <c r="AA388" s="759">
        <v>2376</v>
      </c>
      <c r="AB388" s="759">
        <v>0</v>
      </c>
      <c r="AC388" s="759">
        <v>0</v>
      </c>
      <c r="AD388" s="759">
        <v>0</v>
      </c>
      <c r="AE388" s="759">
        <v>0</v>
      </c>
    </row>
    <row r="389" spans="1:31" ht="15.75">
      <c r="A389" s="758">
        <v>266</v>
      </c>
      <c r="B389" s="759">
        <v>2100566</v>
      </c>
      <c r="C389" s="760">
        <v>41092</v>
      </c>
      <c r="D389" s="759" t="s">
        <v>1199</v>
      </c>
      <c r="E389" s="759" t="s">
        <v>1096</v>
      </c>
      <c r="F389" s="759" t="s">
        <v>1200</v>
      </c>
      <c r="G389" s="759">
        <f>J389+K389</f>
        <v>522000</v>
      </c>
      <c r="H389" s="759">
        <v>0</v>
      </c>
      <c r="I389" s="759">
        <v>0</v>
      </c>
      <c r="J389" s="759">
        <f>K389*5</f>
        <v>435000</v>
      </c>
      <c r="K389" s="782">
        <v>87000</v>
      </c>
      <c r="L389" s="759">
        <v>0</v>
      </c>
      <c r="M389" s="782">
        <v>0</v>
      </c>
      <c r="N389" s="758">
        <v>110132677</v>
      </c>
      <c r="O389" s="758">
        <v>110132677</v>
      </c>
      <c r="P389" s="1089" t="s">
        <v>1474</v>
      </c>
      <c r="Q389" s="759" t="s">
        <v>1522</v>
      </c>
      <c r="R389" s="759" t="s">
        <v>1099</v>
      </c>
      <c r="S389" s="759" t="s">
        <v>1100</v>
      </c>
      <c r="T389" s="759">
        <f aca="true" t="shared" si="50" ref="T389:T398">AA389+Z389</f>
        <v>17346</v>
      </c>
      <c r="U389" s="759">
        <v>0</v>
      </c>
      <c r="V389" s="759">
        <v>0</v>
      </c>
      <c r="W389" s="759">
        <v>0</v>
      </c>
      <c r="X389" s="759">
        <v>0</v>
      </c>
      <c r="Y389" s="759">
        <v>0</v>
      </c>
      <c r="Z389" s="759">
        <f t="shared" si="49"/>
        <v>14455</v>
      </c>
      <c r="AA389" s="759">
        <v>2891</v>
      </c>
      <c r="AB389" s="759">
        <v>0</v>
      </c>
      <c r="AC389" s="759">
        <v>0</v>
      </c>
      <c r="AD389" s="759">
        <v>0</v>
      </c>
      <c r="AE389" s="759">
        <v>0</v>
      </c>
    </row>
    <row r="390" spans="1:31" ht="15.75">
      <c r="A390" s="758">
        <v>267</v>
      </c>
      <c r="B390" s="759">
        <v>2100567</v>
      </c>
      <c r="C390" s="760">
        <v>41094</v>
      </c>
      <c r="D390" s="1125" t="s">
        <v>1111</v>
      </c>
      <c r="E390" s="759" t="s">
        <v>1096</v>
      </c>
      <c r="F390" s="759"/>
      <c r="G390" s="759">
        <f>K390+J390</f>
        <v>278400</v>
      </c>
      <c r="H390" s="759">
        <v>0</v>
      </c>
      <c r="I390" s="759">
        <v>0</v>
      </c>
      <c r="J390" s="759">
        <f>K390*5</f>
        <v>232000</v>
      </c>
      <c r="K390" s="782">
        <v>46400</v>
      </c>
      <c r="L390" s="759">
        <v>0</v>
      </c>
      <c r="M390" s="782">
        <v>0</v>
      </c>
      <c r="N390" s="758">
        <v>730</v>
      </c>
      <c r="O390" s="759">
        <v>3794935</v>
      </c>
      <c r="P390" s="1126">
        <v>41094</v>
      </c>
      <c r="Q390" s="759" t="s">
        <v>1452</v>
      </c>
      <c r="R390" s="759" t="s">
        <v>1096</v>
      </c>
      <c r="S390" s="759" t="s">
        <v>1430</v>
      </c>
      <c r="T390" s="759">
        <f t="shared" si="50"/>
        <v>2134458</v>
      </c>
      <c r="U390" s="759">
        <v>0</v>
      </c>
      <c r="V390" s="759">
        <v>0</v>
      </c>
      <c r="W390" s="759">
        <v>0</v>
      </c>
      <c r="X390" s="759">
        <v>0</v>
      </c>
      <c r="Y390" s="759">
        <v>0</v>
      </c>
      <c r="Z390" s="759">
        <f t="shared" si="49"/>
        <v>1778715</v>
      </c>
      <c r="AA390" s="759">
        <v>355743</v>
      </c>
      <c r="AB390" s="759">
        <v>0</v>
      </c>
      <c r="AC390" s="759">
        <v>0</v>
      </c>
      <c r="AD390" s="759">
        <v>0</v>
      </c>
      <c r="AE390" s="759">
        <v>0</v>
      </c>
    </row>
    <row r="391" spans="1:31" ht="15.75">
      <c r="A391" s="758">
        <v>268</v>
      </c>
      <c r="B391" s="759">
        <v>2100568</v>
      </c>
      <c r="C391" s="760">
        <v>41094</v>
      </c>
      <c r="D391" s="763" t="s">
        <v>1161</v>
      </c>
      <c r="E391" s="759" t="s">
        <v>1096</v>
      </c>
      <c r="F391" s="759" t="s">
        <v>1162</v>
      </c>
      <c r="G391" s="759">
        <f aca="true" t="shared" si="51" ref="G391:G444">J391+K391</f>
        <v>106920</v>
      </c>
      <c r="H391" s="759">
        <v>0</v>
      </c>
      <c r="I391" s="759">
        <v>0</v>
      </c>
      <c r="J391" s="759">
        <f aca="true" t="shared" si="52" ref="J391:J444">K391*5</f>
        <v>89100</v>
      </c>
      <c r="K391" s="782">
        <v>17820</v>
      </c>
      <c r="L391" s="759">
        <v>0</v>
      </c>
      <c r="M391" s="782">
        <v>0</v>
      </c>
      <c r="N391" s="758">
        <v>3</v>
      </c>
      <c r="O391" s="759">
        <v>2792253</v>
      </c>
      <c r="P391" s="1126">
        <v>41094</v>
      </c>
      <c r="Q391" s="759" t="s">
        <v>1487</v>
      </c>
      <c r="R391" s="759" t="s">
        <v>1104</v>
      </c>
      <c r="S391" s="759" t="s">
        <v>1105</v>
      </c>
      <c r="T391" s="759">
        <f t="shared" si="50"/>
        <v>2277102</v>
      </c>
      <c r="U391" s="759">
        <v>0</v>
      </c>
      <c r="V391" s="759">
        <v>0</v>
      </c>
      <c r="W391" s="759">
        <v>0</v>
      </c>
      <c r="X391" s="759">
        <v>0</v>
      </c>
      <c r="Y391" s="759">
        <v>0</v>
      </c>
      <c r="Z391" s="759">
        <f t="shared" si="49"/>
        <v>1897585</v>
      </c>
      <c r="AA391" s="759">
        <v>379517</v>
      </c>
      <c r="AB391" s="759">
        <v>0</v>
      </c>
      <c r="AC391" s="759">
        <v>0</v>
      </c>
      <c r="AD391" s="759">
        <v>0</v>
      </c>
      <c r="AE391" s="759">
        <v>0</v>
      </c>
    </row>
    <row r="392" spans="1:31" ht="15.75">
      <c r="A392" s="758">
        <v>269</v>
      </c>
      <c r="B392" s="759">
        <v>2100569</v>
      </c>
      <c r="C392" s="760">
        <v>41094</v>
      </c>
      <c r="D392" s="759" t="s">
        <v>1346</v>
      </c>
      <c r="E392" s="759" t="s">
        <v>1096</v>
      </c>
      <c r="F392" s="759" t="s">
        <v>1184</v>
      </c>
      <c r="G392" s="759">
        <f t="shared" si="51"/>
        <v>113100</v>
      </c>
      <c r="H392" s="759">
        <v>0</v>
      </c>
      <c r="I392" s="759">
        <v>0</v>
      </c>
      <c r="J392" s="759">
        <f t="shared" si="52"/>
        <v>94250</v>
      </c>
      <c r="K392" s="782">
        <v>18850</v>
      </c>
      <c r="L392" s="759">
        <v>0</v>
      </c>
      <c r="M392" s="782">
        <v>0</v>
      </c>
      <c r="N392" s="758">
        <v>20</v>
      </c>
      <c r="O392" s="759">
        <v>2792320</v>
      </c>
      <c r="P392" s="1126">
        <v>41100</v>
      </c>
      <c r="Q392" s="759" t="s">
        <v>1487</v>
      </c>
      <c r="R392" s="759" t="s">
        <v>1104</v>
      </c>
      <c r="S392" s="759" t="s">
        <v>1105</v>
      </c>
      <c r="T392" s="759">
        <f t="shared" si="50"/>
        <v>2128716</v>
      </c>
      <c r="U392" s="759">
        <v>0</v>
      </c>
      <c r="V392" s="759">
        <v>0</v>
      </c>
      <c r="W392" s="759">
        <v>0</v>
      </c>
      <c r="X392" s="759">
        <v>0</v>
      </c>
      <c r="Y392" s="759">
        <v>0</v>
      </c>
      <c r="Z392" s="759">
        <f t="shared" si="49"/>
        <v>1773930</v>
      </c>
      <c r="AA392" s="759">
        <v>354786</v>
      </c>
      <c r="AB392" s="759">
        <v>0</v>
      </c>
      <c r="AC392" s="759">
        <v>0</v>
      </c>
      <c r="AD392" s="759">
        <v>0</v>
      </c>
      <c r="AE392" s="759">
        <v>0</v>
      </c>
    </row>
    <row r="393" spans="1:31" ht="15.75">
      <c r="A393" s="758">
        <v>270</v>
      </c>
      <c r="B393" s="759">
        <v>2100570</v>
      </c>
      <c r="C393" s="760">
        <v>41095</v>
      </c>
      <c r="D393" s="759" t="s">
        <v>1480</v>
      </c>
      <c r="E393" s="759" t="s">
        <v>1096</v>
      </c>
      <c r="F393" s="759" t="s">
        <v>1443</v>
      </c>
      <c r="G393" s="759">
        <f t="shared" si="51"/>
        <v>348000</v>
      </c>
      <c r="H393" s="759">
        <v>0</v>
      </c>
      <c r="I393" s="759">
        <v>0</v>
      </c>
      <c r="J393" s="759">
        <f t="shared" si="52"/>
        <v>290000</v>
      </c>
      <c r="K393" s="782">
        <v>58000</v>
      </c>
      <c r="L393" s="759">
        <v>0</v>
      </c>
      <c r="M393" s="782">
        <v>0</v>
      </c>
      <c r="N393" s="762">
        <v>794</v>
      </c>
      <c r="O393" s="763">
        <v>3794999</v>
      </c>
      <c r="P393" s="1090" t="s">
        <v>1499</v>
      </c>
      <c r="Q393" s="763" t="s">
        <v>1452</v>
      </c>
      <c r="R393" s="763" t="s">
        <v>1096</v>
      </c>
      <c r="S393" s="763" t="s">
        <v>1430</v>
      </c>
      <c r="T393" s="763">
        <f t="shared" si="50"/>
        <v>903348</v>
      </c>
      <c r="U393" s="763">
        <v>0</v>
      </c>
      <c r="V393" s="759">
        <v>0</v>
      </c>
      <c r="W393" s="759">
        <v>0</v>
      </c>
      <c r="X393" s="763">
        <v>0</v>
      </c>
      <c r="Y393" s="763">
        <v>0</v>
      </c>
      <c r="Z393" s="763">
        <f t="shared" si="49"/>
        <v>752790</v>
      </c>
      <c r="AA393" s="763">
        <v>150558</v>
      </c>
      <c r="AB393" s="759">
        <v>0</v>
      </c>
      <c r="AC393" s="759">
        <v>0</v>
      </c>
      <c r="AD393" s="1127">
        <v>0</v>
      </c>
      <c r="AE393" s="1127">
        <v>0</v>
      </c>
    </row>
    <row r="394" spans="1:31" ht="15.75">
      <c r="A394" s="758">
        <v>271</v>
      </c>
      <c r="B394" s="759">
        <v>2100571</v>
      </c>
      <c r="C394" s="760">
        <v>41096</v>
      </c>
      <c r="D394" s="759" t="s">
        <v>1481</v>
      </c>
      <c r="E394" s="759" t="s">
        <v>1096</v>
      </c>
      <c r="F394" s="759" t="s">
        <v>1430</v>
      </c>
      <c r="G394" s="759">
        <f t="shared" si="51"/>
        <v>226938</v>
      </c>
      <c r="H394" s="759">
        <v>0</v>
      </c>
      <c r="I394" s="759">
        <v>0</v>
      </c>
      <c r="J394" s="1107">
        <f t="shared" si="52"/>
        <v>189115</v>
      </c>
      <c r="K394" s="782">
        <v>37823</v>
      </c>
      <c r="L394" s="759">
        <v>0</v>
      </c>
      <c r="M394" s="782">
        <v>0</v>
      </c>
      <c r="N394" s="762">
        <v>10</v>
      </c>
      <c r="O394" s="763">
        <v>2792360</v>
      </c>
      <c r="P394" s="1090" t="s">
        <v>1502</v>
      </c>
      <c r="Q394" s="763" t="s">
        <v>1487</v>
      </c>
      <c r="R394" s="763" t="s">
        <v>1104</v>
      </c>
      <c r="S394" s="763" t="s">
        <v>1105</v>
      </c>
      <c r="T394" s="763">
        <f t="shared" si="50"/>
        <v>1138842</v>
      </c>
      <c r="U394" s="763">
        <v>0</v>
      </c>
      <c r="V394" s="759">
        <v>0</v>
      </c>
      <c r="W394" s="759">
        <v>0</v>
      </c>
      <c r="X394" s="763">
        <v>0</v>
      </c>
      <c r="Y394" s="763">
        <v>0</v>
      </c>
      <c r="Z394" s="763">
        <f t="shared" si="49"/>
        <v>949035</v>
      </c>
      <c r="AA394" s="763">
        <v>189807</v>
      </c>
      <c r="AB394" s="759">
        <v>0</v>
      </c>
      <c r="AC394" s="759">
        <v>0</v>
      </c>
      <c r="AD394" s="1127">
        <v>0</v>
      </c>
      <c r="AE394" s="1127">
        <v>0</v>
      </c>
    </row>
    <row r="395" spans="1:31" ht="15.75">
      <c r="A395" s="758">
        <v>272</v>
      </c>
      <c r="B395" s="759">
        <v>2100572</v>
      </c>
      <c r="C395" s="760">
        <v>41096</v>
      </c>
      <c r="D395" s="759" t="s">
        <v>1482</v>
      </c>
      <c r="E395" s="759" t="s">
        <v>1096</v>
      </c>
      <c r="F395" s="759" t="s">
        <v>1483</v>
      </c>
      <c r="G395" s="759">
        <f t="shared" si="51"/>
        <v>261000</v>
      </c>
      <c r="H395" s="759">
        <v>0</v>
      </c>
      <c r="I395" s="759">
        <v>0</v>
      </c>
      <c r="J395" s="759">
        <f t="shared" si="52"/>
        <v>217500</v>
      </c>
      <c r="K395" s="782">
        <v>43500</v>
      </c>
      <c r="L395" s="759">
        <v>0</v>
      </c>
      <c r="M395" s="782">
        <v>0</v>
      </c>
      <c r="N395" s="762">
        <v>816</v>
      </c>
      <c r="O395" s="763">
        <v>3938571</v>
      </c>
      <c r="P395" s="1090" t="s">
        <v>1503</v>
      </c>
      <c r="Q395" s="763" t="s">
        <v>1452</v>
      </c>
      <c r="R395" s="763" t="s">
        <v>1096</v>
      </c>
      <c r="S395" s="763" t="s">
        <v>1430</v>
      </c>
      <c r="T395" s="763">
        <f t="shared" si="50"/>
        <v>1272876</v>
      </c>
      <c r="U395" s="763">
        <v>0</v>
      </c>
      <c r="V395" s="759">
        <v>0</v>
      </c>
      <c r="W395" s="759">
        <v>0</v>
      </c>
      <c r="X395" s="763">
        <v>0</v>
      </c>
      <c r="Y395" s="763">
        <v>0</v>
      </c>
      <c r="Z395" s="763">
        <f t="shared" si="49"/>
        <v>1060730</v>
      </c>
      <c r="AA395" s="763">
        <v>212146</v>
      </c>
      <c r="AB395" s="759">
        <v>0</v>
      </c>
      <c r="AC395" s="759">
        <v>0</v>
      </c>
      <c r="AD395" s="1127">
        <v>0</v>
      </c>
      <c r="AE395" s="1127">
        <v>0</v>
      </c>
    </row>
    <row r="396" spans="1:31" ht="15.75">
      <c r="A396" s="758">
        <v>273</v>
      </c>
      <c r="B396" s="759">
        <v>2100573</v>
      </c>
      <c r="C396" s="760">
        <v>41097</v>
      </c>
      <c r="D396" s="759" t="s">
        <v>1180</v>
      </c>
      <c r="E396" s="759" t="s">
        <v>1096</v>
      </c>
      <c r="F396" s="759" t="s">
        <v>1484</v>
      </c>
      <c r="G396" s="759">
        <f t="shared" si="51"/>
        <v>147900</v>
      </c>
      <c r="H396" s="759">
        <v>0</v>
      </c>
      <c r="I396" s="759">
        <v>0</v>
      </c>
      <c r="J396" s="759">
        <f t="shared" si="52"/>
        <v>123250</v>
      </c>
      <c r="K396" s="782">
        <v>24650</v>
      </c>
      <c r="L396" s="759">
        <v>0</v>
      </c>
      <c r="M396" s="782">
        <v>0</v>
      </c>
      <c r="N396" s="762">
        <v>312</v>
      </c>
      <c r="O396" s="763">
        <v>42543654</v>
      </c>
      <c r="P396" s="1090" t="s">
        <v>1504</v>
      </c>
      <c r="Q396" s="763" t="s">
        <v>1523</v>
      </c>
      <c r="R396" s="763" t="s">
        <v>1099</v>
      </c>
      <c r="S396" s="763" t="s">
        <v>1438</v>
      </c>
      <c r="T396" s="763">
        <f t="shared" si="50"/>
        <v>600000</v>
      </c>
      <c r="U396" s="763">
        <v>0</v>
      </c>
      <c r="V396" s="759">
        <v>0</v>
      </c>
      <c r="W396" s="759">
        <v>0</v>
      </c>
      <c r="X396" s="763">
        <v>0</v>
      </c>
      <c r="Y396" s="763">
        <v>0</v>
      </c>
      <c r="Z396" s="763">
        <f t="shared" si="49"/>
        <v>500000</v>
      </c>
      <c r="AA396" s="763">
        <v>100000</v>
      </c>
      <c r="AB396" s="759">
        <v>0</v>
      </c>
      <c r="AC396" s="759">
        <v>0</v>
      </c>
      <c r="AD396" s="1127">
        <v>0</v>
      </c>
      <c r="AE396" s="1127">
        <v>0</v>
      </c>
    </row>
    <row r="397" spans="1:31" ht="15.75">
      <c r="A397" s="758">
        <v>274</v>
      </c>
      <c r="B397" s="759">
        <v>2100574</v>
      </c>
      <c r="C397" s="760">
        <v>41097</v>
      </c>
      <c r="D397" s="759" t="s">
        <v>1485</v>
      </c>
      <c r="E397" s="759" t="s">
        <v>1096</v>
      </c>
      <c r="F397" s="759" t="s">
        <v>1132</v>
      </c>
      <c r="G397" s="759">
        <f t="shared" si="51"/>
        <v>26100</v>
      </c>
      <c r="H397" s="759">
        <v>0</v>
      </c>
      <c r="I397" s="759">
        <v>0</v>
      </c>
      <c r="J397" s="759">
        <f t="shared" si="52"/>
        <v>21750</v>
      </c>
      <c r="K397" s="782">
        <v>4350</v>
      </c>
      <c r="L397" s="759">
        <v>0</v>
      </c>
      <c r="M397" s="782">
        <v>0</v>
      </c>
      <c r="N397" s="784">
        <v>45</v>
      </c>
      <c r="O397" s="785">
        <v>83992274</v>
      </c>
      <c r="P397" s="1091" t="s">
        <v>1509</v>
      </c>
      <c r="Q397" s="785" t="s">
        <v>1524</v>
      </c>
      <c r="R397" s="785" t="s">
        <v>1525</v>
      </c>
      <c r="S397" s="785" t="s">
        <v>1526</v>
      </c>
      <c r="T397" s="763">
        <f t="shared" si="50"/>
        <v>1011996</v>
      </c>
      <c r="U397" s="763">
        <v>0</v>
      </c>
      <c r="V397" s="763">
        <v>0</v>
      </c>
      <c r="W397" s="763">
        <v>0</v>
      </c>
      <c r="X397" s="763">
        <v>0</v>
      </c>
      <c r="Y397" s="763">
        <v>0</v>
      </c>
      <c r="Z397" s="763">
        <f t="shared" si="49"/>
        <v>843330</v>
      </c>
      <c r="AA397" s="763">
        <v>168666</v>
      </c>
      <c r="AB397" s="1127">
        <v>0</v>
      </c>
      <c r="AC397" s="1127">
        <v>0</v>
      </c>
      <c r="AD397" s="1127">
        <v>0</v>
      </c>
      <c r="AE397" s="1127">
        <v>0</v>
      </c>
    </row>
    <row r="398" spans="1:31" ht="16.5" thickBot="1">
      <c r="A398" s="758">
        <v>275</v>
      </c>
      <c r="B398" s="759">
        <v>2100575</v>
      </c>
      <c r="C398" s="760">
        <v>41099</v>
      </c>
      <c r="D398" s="759" t="s">
        <v>1486</v>
      </c>
      <c r="E398" s="759" t="s">
        <v>1096</v>
      </c>
      <c r="F398" s="759" t="s">
        <v>1266</v>
      </c>
      <c r="G398" s="759">
        <f t="shared" si="51"/>
        <v>34800</v>
      </c>
      <c r="H398" s="759">
        <v>0</v>
      </c>
      <c r="I398" s="759">
        <v>0</v>
      </c>
      <c r="J398" s="759">
        <f t="shared" si="52"/>
        <v>29000</v>
      </c>
      <c r="K398" s="782">
        <v>5800</v>
      </c>
      <c r="L398" s="759">
        <v>0</v>
      </c>
      <c r="M398" s="782">
        <v>0</v>
      </c>
      <c r="N398" s="784">
        <v>37</v>
      </c>
      <c r="O398" s="785">
        <v>83729600</v>
      </c>
      <c r="P398" s="1091" t="s">
        <v>1527</v>
      </c>
      <c r="Q398" s="785" t="s">
        <v>1087</v>
      </c>
      <c r="R398" s="785" t="s">
        <v>1096</v>
      </c>
      <c r="S398" s="785" t="s">
        <v>1528</v>
      </c>
      <c r="T398" s="763">
        <f t="shared" si="50"/>
        <v>988860</v>
      </c>
      <c r="U398" s="763">
        <v>0</v>
      </c>
      <c r="V398" s="763">
        <v>0</v>
      </c>
      <c r="W398" s="763">
        <v>0</v>
      </c>
      <c r="X398" s="763">
        <v>0</v>
      </c>
      <c r="Y398" s="763">
        <v>0</v>
      </c>
      <c r="Z398" s="763">
        <f t="shared" si="49"/>
        <v>824050</v>
      </c>
      <c r="AA398" s="763">
        <v>164810</v>
      </c>
      <c r="AB398" s="1127">
        <v>0</v>
      </c>
      <c r="AC398" s="1127">
        <v>0</v>
      </c>
      <c r="AD398" s="1127">
        <v>0</v>
      </c>
      <c r="AE398" s="1127">
        <v>0</v>
      </c>
    </row>
    <row r="399" spans="1:31" ht="16.5" thickBot="1">
      <c r="A399" s="758">
        <v>276</v>
      </c>
      <c r="B399" s="759">
        <v>2100576</v>
      </c>
      <c r="C399" s="760">
        <v>41100</v>
      </c>
      <c r="D399" s="759" t="s">
        <v>1332</v>
      </c>
      <c r="E399" s="759" t="s">
        <v>1096</v>
      </c>
      <c r="F399" s="759" t="s">
        <v>1174</v>
      </c>
      <c r="G399" s="759">
        <f t="shared" si="51"/>
        <v>166248</v>
      </c>
      <c r="H399" s="759">
        <v>0</v>
      </c>
      <c r="I399" s="759">
        <v>0</v>
      </c>
      <c r="J399" s="759">
        <f t="shared" si="52"/>
        <v>138540</v>
      </c>
      <c r="K399" s="782">
        <v>27708</v>
      </c>
      <c r="L399" s="759">
        <v>0</v>
      </c>
      <c r="M399" s="782">
        <v>0</v>
      </c>
      <c r="N399" s="1389" t="s">
        <v>822</v>
      </c>
      <c r="O399" s="1390"/>
      <c r="P399" s="1390"/>
      <c r="Q399" s="1390"/>
      <c r="R399" s="1390"/>
      <c r="S399" s="1391"/>
      <c r="T399" s="1016">
        <f>SUM(T388:T398)</f>
        <v>12487900</v>
      </c>
      <c r="U399" s="1016">
        <f aca="true" t="shared" si="53" ref="U399:AE399">SUM(U388:U398)</f>
        <v>100</v>
      </c>
      <c r="V399" s="1016">
        <f t="shared" si="53"/>
        <v>0</v>
      </c>
      <c r="W399" s="1016">
        <f t="shared" si="53"/>
        <v>0</v>
      </c>
      <c r="X399" s="1016">
        <f t="shared" si="53"/>
        <v>0</v>
      </c>
      <c r="Y399" s="1016">
        <f t="shared" si="53"/>
        <v>0</v>
      </c>
      <c r="Z399" s="1016">
        <f t="shared" si="53"/>
        <v>10406500</v>
      </c>
      <c r="AA399" s="1016">
        <f t="shared" si="53"/>
        <v>2081300</v>
      </c>
      <c r="AB399" s="1016">
        <f t="shared" si="53"/>
        <v>0</v>
      </c>
      <c r="AC399" s="1016">
        <f t="shared" si="53"/>
        <v>0</v>
      </c>
      <c r="AD399" s="1016">
        <f t="shared" si="53"/>
        <v>0</v>
      </c>
      <c r="AE399" s="1016">
        <f t="shared" si="53"/>
        <v>0</v>
      </c>
    </row>
    <row r="400" spans="1:31" ht="16.5" thickBot="1">
      <c r="A400" s="758">
        <v>277</v>
      </c>
      <c r="B400" s="759">
        <v>2100577</v>
      </c>
      <c r="C400" s="760">
        <v>41100</v>
      </c>
      <c r="D400" s="759" t="s">
        <v>1487</v>
      </c>
      <c r="E400" s="759" t="s">
        <v>1104</v>
      </c>
      <c r="F400" s="759" t="s">
        <v>1105</v>
      </c>
      <c r="G400" s="759">
        <f t="shared" si="51"/>
        <v>130122</v>
      </c>
      <c r="H400" s="759">
        <v>0</v>
      </c>
      <c r="I400" s="759">
        <v>0</v>
      </c>
      <c r="J400" s="1107">
        <f t="shared" si="52"/>
        <v>108435</v>
      </c>
      <c r="K400" s="782">
        <v>21687</v>
      </c>
      <c r="L400" s="759">
        <v>0</v>
      </c>
      <c r="M400" s="782">
        <v>0</v>
      </c>
      <c r="N400" s="1392" t="s">
        <v>823</v>
      </c>
      <c r="O400" s="1393"/>
      <c r="P400" s="1393"/>
      <c r="Q400" s="1393"/>
      <c r="R400" s="1393"/>
      <c r="S400" s="1393"/>
      <c r="T400" s="1393"/>
      <c r="U400" s="781" t="s">
        <v>830</v>
      </c>
      <c r="V400" s="781" t="s">
        <v>831</v>
      </c>
      <c r="W400" s="781" t="s">
        <v>832</v>
      </c>
      <c r="X400" s="781" t="s">
        <v>833</v>
      </c>
      <c r="Y400" s="781" t="s">
        <v>834</v>
      </c>
      <c r="Z400" s="781" t="s">
        <v>849</v>
      </c>
      <c r="AA400" s="781" t="s">
        <v>850</v>
      </c>
      <c r="AB400" s="781" t="s">
        <v>851</v>
      </c>
      <c r="AC400" s="781" t="s">
        <v>852</v>
      </c>
      <c r="AD400" s="781" t="s">
        <v>853</v>
      </c>
      <c r="AE400" s="766" t="s">
        <v>854</v>
      </c>
    </row>
    <row r="401" spans="1:31" ht="15.75">
      <c r="A401" s="758">
        <v>278</v>
      </c>
      <c r="B401" s="759">
        <v>2100578</v>
      </c>
      <c r="C401" s="760">
        <v>41100</v>
      </c>
      <c r="D401" s="759" t="s">
        <v>1488</v>
      </c>
      <c r="E401" s="759" t="s">
        <v>1096</v>
      </c>
      <c r="F401" s="759" t="s">
        <v>1489</v>
      </c>
      <c r="G401" s="759">
        <f t="shared" si="51"/>
        <v>17802</v>
      </c>
      <c r="H401" s="759">
        <v>0</v>
      </c>
      <c r="I401" s="759">
        <v>0</v>
      </c>
      <c r="J401" s="759">
        <f t="shared" si="52"/>
        <v>14835</v>
      </c>
      <c r="K401" s="782">
        <v>2967</v>
      </c>
      <c r="L401" s="759">
        <v>0</v>
      </c>
      <c r="M401" s="782">
        <v>0</v>
      </c>
      <c r="N401" s="731"/>
      <c r="O401" s="731"/>
      <c r="P401" s="731"/>
      <c r="Q401" s="731"/>
      <c r="R401" s="731"/>
      <c r="S401" s="731"/>
      <c r="T401" s="731"/>
      <c r="U401" s="731"/>
      <c r="V401" s="731"/>
      <c r="W401" s="731"/>
      <c r="X401" s="731"/>
      <c r="Y401" s="731"/>
      <c r="Z401" s="731"/>
      <c r="AA401" s="731"/>
      <c r="AB401" s="731"/>
      <c r="AC401" s="731"/>
      <c r="AD401" s="731"/>
      <c r="AE401" s="731"/>
    </row>
    <row r="402" spans="1:31" ht="15.75">
      <c r="A402" s="758">
        <v>279</v>
      </c>
      <c r="B402" s="759">
        <v>2100579</v>
      </c>
      <c r="C402" s="760">
        <v>41100</v>
      </c>
      <c r="D402" s="759" t="s">
        <v>1203</v>
      </c>
      <c r="E402" s="759" t="s">
        <v>1096</v>
      </c>
      <c r="F402" s="759" t="s">
        <v>1204</v>
      </c>
      <c r="G402" s="759">
        <f t="shared" si="51"/>
        <v>8010</v>
      </c>
      <c r="H402" s="759">
        <v>0</v>
      </c>
      <c r="I402" s="759">
        <v>0</v>
      </c>
      <c r="J402" s="759">
        <f t="shared" si="52"/>
        <v>6675</v>
      </c>
      <c r="K402" s="782">
        <v>1335</v>
      </c>
      <c r="L402" s="759">
        <v>0</v>
      </c>
      <c r="M402" s="782">
        <v>0</v>
      </c>
      <c r="N402" s="731"/>
      <c r="O402" s="731"/>
      <c r="P402" s="731"/>
      <c r="Q402" s="731"/>
      <c r="R402" s="731"/>
      <c r="S402" s="731"/>
      <c r="T402" s="731"/>
      <c r="U402" s="731"/>
      <c r="V402" s="731"/>
      <c r="W402" s="731"/>
      <c r="X402" s="731"/>
      <c r="Y402" s="731"/>
      <c r="Z402" s="731"/>
      <c r="AA402" s="731"/>
      <c r="AB402" s="731"/>
      <c r="AC402" s="731"/>
      <c r="AD402" s="731"/>
      <c r="AE402" s="731"/>
    </row>
    <row r="403" spans="1:31" ht="15.75">
      <c r="A403" s="758">
        <v>280</v>
      </c>
      <c r="B403" s="759">
        <v>2100580</v>
      </c>
      <c r="C403" s="760">
        <v>41100</v>
      </c>
      <c r="D403" s="759" t="s">
        <v>1490</v>
      </c>
      <c r="E403" s="759" t="s">
        <v>1096</v>
      </c>
      <c r="F403" s="759" t="s">
        <v>1491</v>
      </c>
      <c r="G403" s="759">
        <f t="shared" si="51"/>
        <v>17802</v>
      </c>
      <c r="H403" s="759">
        <v>0</v>
      </c>
      <c r="I403" s="759">
        <v>0</v>
      </c>
      <c r="J403" s="759">
        <f t="shared" si="52"/>
        <v>14835</v>
      </c>
      <c r="K403" s="782">
        <v>2967</v>
      </c>
      <c r="L403" s="759">
        <v>0</v>
      </c>
      <c r="M403" s="782">
        <v>0</v>
      </c>
      <c r="N403" s="731" t="s">
        <v>856</v>
      </c>
      <c r="O403" s="731"/>
      <c r="P403" s="731"/>
      <c r="Q403" s="731"/>
      <c r="R403" s="731"/>
      <c r="S403" s="731"/>
      <c r="T403" s="731"/>
      <c r="U403" s="731"/>
      <c r="V403" s="731"/>
      <c r="W403" s="731"/>
      <c r="X403" s="731"/>
      <c r="Y403" s="731"/>
      <c r="Z403" s="731"/>
      <c r="AA403" s="731"/>
      <c r="AB403" s="731"/>
      <c r="AC403" s="731"/>
      <c r="AD403" s="1128" t="s">
        <v>1120</v>
      </c>
      <c r="AE403" s="731"/>
    </row>
    <row r="404" spans="1:31" ht="15.75">
      <c r="A404" s="758">
        <v>281</v>
      </c>
      <c r="B404" s="759">
        <v>2100581</v>
      </c>
      <c r="C404" s="760">
        <v>41100</v>
      </c>
      <c r="D404" s="759" t="s">
        <v>1492</v>
      </c>
      <c r="E404" s="759" t="s">
        <v>1096</v>
      </c>
      <c r="F404" s="759" t="s">
        <v>1493</v>
      </c>
      <c r="G404" s="759">
        <f t="shared" si="51"/>
        <v>81300</v>
      </c>
      <c r="H404" s="759">
        <v>0</v>
      </c>
      <c r="I404" s="759">
        <v>0</v>
      </c>
      <c r="J404" s="759">
        <f t="shared" si="52"/>
        <v>67750</v>
      </c>
      <c r="K404" s="782">
        <v>13550</v>
      </c>
      <c r="L404" s="759">
        <v>0</v>
      </c>
      <c r="M404" s="782">
        <v>0</v>
      </c>
      <c r="N404" s="731" t="s">
        <v>848</v>
      </c>
      <c r="O404" s="731"/>
      <c r="P404" s="731"/>
      <c r="Q404" s="731"/>
      <c r="R404" s="731"/>
      <c r="S404" s="731"/>
      <c r="T404" s="731"/>
      <c r="U404" s="731"/>
      <c r="V404" s="731"/>
      <c r="W404" s="731"/>
      <c r="X404" s="731"/>
      <c r="Y404" s="731"/>
      <c r="Z404" s="731"/>
      <c r="AA404" s="731"/>
      <c r="AB404" s="731"/>
      <c r="AC404" s="731"/>
      <c r="AD404" s="731" t="s">
        <v>1122</v>
      </c>
      <c r="AE404" s="731"/>
    </row>
    <row r="405" spans="1:31" ht="15.75">
      <c r="A405" s="758">
        <v>282</v>
      </c>
      <c r="B405" s="759">
        <v>2100582</v>
      </c>
      <c r="C405" s="760">
        <v>41100</v>
      </c>
      <c r="D405" s="759" t="s">
        <v>1494</v>
      </c>
      <c r="E405" s="759" t="s">
        <v>1096</v>
      </c>
      <c r="F405" s="759" t="s">
        <v>1213</v>
      </c>
      <c r="G405" s="759">
        <f t="shared" si="51"/>
        <v>8544</v>
      </c>
      <c r="H405" s="759">
        <v>0</v>
      </c>
      <c r="I405" s="759">
        <v>0</v>
      </c>
      <c r="J405" s="759">
        <f t="shared" si="52"/>
        <v>7120</v>
      </c>
      <c r="K405" s="782">
        <v>1424</v>
      </c>
      <c r="L405" s="759">
        <v>0</v>
      </c>
      <c r="M405" s="782">
        <v>0</v>
      </c>
      <c r="N405" s="731" t="s">
        <v>855</v>
      </c>
      <c r="O405" s="731"/>
      <c r="P405" s="731"/>
      <c r="Q405" s="731"/>
      <c r="R405" s="731"/>
      <c r="S405" s="731"/>
      <c r="T405" s="731"/>
      <c r="U405" s="731"/>
      <c r="V405" s="731"/>
      <c r="W405" s="731"/>
      <c r="X405" s="731"/>
      <c r="Y405" s="731"/>
      <c r="Z405" s="731"/>
      <c r="AA405" s="731"/>
      <c r="AB405" s="731"/>
      <c r="AC405" s="731"/>
      <c r="AD405" s="731"/>
      <c r="AE405" s="731"/>
    </row>
    <row r="406" spans="1:31" ht="15.75">
      <c r="A406" s="758">
        <v>283</v>
      </c>
      <c r="B406" s="759">
        <v>2100583</v>
      </c>
      <c r="C406" s="760">
        <v>41100</v>
      </c>
      <c r="D406" s="759" t="s">
        <v>1139</v>
      </c>
      <c r="E406" s="759" t="s">
        <v>1096</v>
      </c>
      <c r="F406" s="759" t="s">
        <v>1140</v>
      </c>
      <c r="G406" s="759">
        <f t="shared" si="51"/>
        <v>23142</v>
      </c>
      <c r="H406" s="759">
        <v>0</v>
      </c>
      <c r="I406" s="759">
        <v>0</v>
      </c>
      <c r="J406" s="759">
        <f t="shared" si="52"/>
        <v>19285</v>
      </c>
      <c r="K406" s="782">
        <v>3857</v>
      </c>
      <c r="L406" s="759">
        <v>0</v>
      </c>
      <c r="M406" s="782">
        <v>0</v>
      </c>
      <c r="O406" s="731"/>
      <c r="P406" s="731"/>
      <c r="Q406" s="731"/>
      <c r="R406" s="731"/>
      <c r="S406" s="731"/>
      <c r="T406" s="731"/>
      <c r="U406" s="731"/>
      <c r="V406" s="731"/>
      <c r="W406" s="731"/>
      <c r="X406" s="731"/>
      <c r="Y406" s="731"/>
      <c r="Z406" s="731"/>
      <c r="AA406" s="731"/>
      <c r="AB406" s="731"/>
      <c r="AC406" s="731"/>
      <c r="AD406" s="731"/>
      <c r="AE406" s="731"/>
    </row>
    <row r="407" spans="1:15" ht="15.75">
      <c r="A407" s="758">
        <v>284</v>
      </c>
      <c r="B407" s="759">
        <v>2100584</v>
      </c>
      <c r="C407" s="760">
        <v>41100</v>
      </c>
      <c r="D407" s="759" t="s">
        <v>1275</v>
      </c>
      <c r="E407" s="759" t="s">
        <v>1096</v>
      </c>
      <c r="F407" s="759"/>
      <c r="G407" s="759">
        <f t="shared" si="51"/>
        <v>0</v>
      </c>
      <c r="H407" s="759">
        <v>0</v>
      </c>
      <c r="I407" s="759">
        <v>0</v>
      </c>
      <c r="J407" s="759">
        <f t="shared" si="52"/>
        <v>0</v>
      </c>
      <c r="K407" s="782">
        <v>0</v>
      </c>
      <c r="L407" s="759">
        <v>0</v>
      </c>
      <c r="M407" s="782">
        <v>0</v>
      </c>
      <c r="O407"/>
    </row>
    <row r="408" spans="1:13" ht="15.75">
      <c r="A408" s="758">
        <v>285</v>
      </c>
      <c r="B408" s="759">
        <v>2100585</v>
      </c>
      <c r="C408" s="760">
        <v>41100</v>
      </c>
      <c r="D408" s="759" t="s">
        <v>1188</v>
      </c>
      <c r="E408" s="759" t="s">
        <v>1096</v>
      </c>
      <c r="F408" s="759" t="s">
        <v>1189</v>
      </c>
      <c r="G408" s="759">
        <f t="shared" si="51"/>
        <v>16020</v>
      </c>
      <c r="H408" s="759">
        <v>0</v>
      </c>
      <c r="I408" s="759">
        <v>0</v>
      </c>
      <c r="J408" s="759">
        <f t="shared" si="52"/>
        <v>13350</v>
      </c>
      <c r="K408" s="782">
        <v>2670</v>
      </c>
      <c r="L408" s="759">
        <v>0</v>
      </c>
      <c r="M408" s="782">
        <v>0</v>
      </c>
    </row>
    <row r="409" spans="1:13" ht="15.75">
      <c r="A409" s="762">
        <v>286</v>
      </c>
      <c r="B409" s="763">
        <v>2100586</v>
      </c>
      <c r="C409" s="760">
        <v>41100</v>
      </c>
      <c r="D409" s="763" t="s">
        <v>1495</v>
      </c>
      <c r="E409" s="763" t="s">
        <v>1096</v>
      </c>
      <c r="F409" s="763" t="s">
        <v>1496</v>
      </c>
      <c r="G409" s="763">
        <f t="shared" si="51"/>
        <v>10680</v>
      </c>
      <c r="H409" s="759">
        <v>0</v>
      </c>
      <c r="I409" s="759">
        <v>0</v>
      </c>
      <c r="J409" s="763">
        <f t="shared" si="52"/>
        <v>8900</v>
      </c>
      <c r="K409" s="783">
        <v>1780</v>
      </c>
      <c r="L409" s="759">
        <v>0</v>
      </c>
      <c r="M409" s="782">
        <v>0</v>
      </c>
    </row>
    <row r="410" spans="1:13" ht="15.75">
      <c r="A410" s="762">
        <v>287</v>
      </c>
      <c r="B410" s="763">
        <v>2100587</v>
      </c>
      <c r="C410" s="760">
        <v>41100</v>
      </c>
      <c r="D410" s="1124" t="s">
        <v>1111</v>
      </c>
      <c r="E410" s="759" t="s">
        <v>1096</v>
      </c>
      <c r="F410" s="763"/>
      <c r="G410" s="763">
        <f t="shared" si="51"/>
        <v>421080</v>
      </c>
      <c r="H410" s="759">
        <v>0</v>
      </c>
      <c r="I410" s="759">
        <v>0</v>
      </c>
      <c r="J410" s="763">
        <f t="shared" si="52"/>
        <v>350900</v>
      </c>
      <c r="K410" s="783">
        <v>70180</v>
      </c>
      <c r="L410" s="759">
        <v>0</v>
      </c>
      <c r="M410" s="782">
        <v>0</v>
      </c>
    </row>
    <row r="411" spans="1:13" ht="15.75">
      <c r="A411" s="784">
        <v>288</v>
      </c>
      <c r="B411" s="785">
        <v>2100588</v>
      </c>
      <c r="C411" s="760">
        <v>41100</v>
      </c>
      <c r="D411" s="785" t="s">
        <v>1095</v>
      </c>
      <c r="E411" s="785" t="s">
        <v>1115</v>
      </c>
      <c r="F411" s="785" t="s">
        <v>1097</v>
      </c>
      <c r="G411" s="785">
        <f t="shared" si="51"/>
        <v>97878</v>
      </c>
      <c r="H411" s="759">
        <v>0</v>
      </c>
      <c r="I411" s="759">
        <v>0</v>
      </c>
      <c r="J411" s="785">
        <f t="shared" si="52"/>
        <v>81565</v>
      </c>
      <c r="K411" s="786">
        <v>16313</v>
      </c>
      <c r="L411" s="759">
        <v>0</v>
      </c>
      <c r="M411" s="782">
        <v>0</v>
      </c>
    </row>
    <row r="412" spans="1:13" ht="15.75">
      <c r="A412" s="784">
        <v>289</v>
      </c>
      <c r="B412" s="785">
        <v>2100589</v>
      </c>
      <c r="C412" s="1023">
        <v>41101</v>
      </c>
      <c r="D412" s="785" t="s">
        <v>1497</v>
      </c>
      <c r="E412" s="785" t="s">
        <v>1096</v>
      </c>
      <c r="F412" s="785" t="s">
        <v>1172</v>
      </c>
      <c r="G412" s="785">
        <f t="shared" si="51"/>
        <v>30000</v>
      </c>
      <c r="H412" s="759">
        <v>0</v>
      </c>
      <c r="I412" s="759">
        <v>0</v>
      </c>
      <c r="J412" s="785">
        <f t="shared" si="52"/>
        <v>25000</v>
      </c>
      <c r="K412" s="786">
        <v>5000</v>
      </c>
      <c r="L412" s="759">
        <v>0</v>
      </c>
      <c r="M412" s="782">
        <v>0</v>
      </c>
    </row>
    <row r="413" spans="1:13" ht="15.75">
      <c r="A413" s="784">
        <v>290</v>
      </c>
      <c r="B413" s="785">
        <v>2100590</v>
      </c>
      <c r="C413" s="1023">
        <v>41102</v>
      </c>
      <c r="D413" s="785" t="s">
        <v>1498</v>
      </c>
      <c r="E413" s="785" t="s">
        <v>1096</v>
      </c>
      <c r="F413" s="785" t="s">
        <v>1483</v>
      </c>
      <c r="G413" s="785">
        <f t="shared" si="51"/>
        <v>267000</v>
      </c>
      <c r="H413" s="759">
        <v>0</v>
      </c>
      <c r="I413" s="759">
        <v>0</v>
      </c>
      <c r="J413" s="785">
        <f t="shared" si="52"/>
        <v>222500</v>
      </c>
      <c r="K413" s="786">
        <v>44500</v>
      </c>
      <c r="L413" s="759">
        <v>0</v>
      </c>
      <c r="M413" s="782">
        <v>0</v>
      </c>
    </row>
    <row r="414" spans="1:13" ht="15.75">
      <c r="A414" s="784">
        <v>291</v>
      </c>
      <c r="B414" s="785">
        <v>2100591</v>
      </c>
      <c r="C414" s="1023">
        <v>41102</v>
      </c>
      <c r="D414" s="785" t="s">
        <v>1487</v>
      </c>
      <c r="E414" s="785" t="s">
        <v>1104</v>
      </c>
      <c r="F414" s="785" t="s">
        <v>1105</v>
      </c>
      <c r="G414" s="785">
        <f t="shared" si="51"/>
        <v>122340</v>
      </c>
      <c r="H414" s="759">
        <v>0</v>
      </c>
      <c r="I414" s="759">
        <v>0</v>
      </c>
      <c r="J414" s="1133">
        <f t="shared" si="52"/>
        <v>101950</v>
      </c>
      <c r="K414" s="786">
        <v>20390</v>
      </c>
      <c r="L414" s="759">
        <v>0</v>
      </c>
      <c r="M414" s="782">
        <v>0</v>
      </c>
    </row>
    <row r="415" spans="1:13" ht="15.75">
      <c r="A415" s="784">
        <v>292</v>
      </c>
      <c r="B415" s="785">
        <v>2100592</v>
      </c>
      <c r="C415" s="785" t="s">
        <v>1499</v>
      </c>
      <c r="D415" s="785" t="s">
        <v>1146</v>
      </c>
      <c r="E415" s="785" t="s">
        <v>1096</v>
      </c>
      <c r="F415" s="785" t="s">
        <v>1147</v>
      </c>
      <c r="G415" s="785">
        <f t="shared" si="51"/>
        <v>88176</v>
      </c>
      <c r="H415" s="759">
        <v>0</v>
      </c>
      <c r="I415" s="759">
        <v>0</v>
      </c>
      <c r="J415" s="785">
        <f t="shared" si="52"/>
        <v>73480</v>
      </c>
      <c r="K415" s="786">
        <v>14696</v>
      </c>
      <c r="L415" s="759">
        <v>0</v>
      </c>
      <c r="M415" s="782">
        <v>0</v>
      </c>
    </row>
    <row r="416" spans="1:13" ht="15.75">
      <c r="A416" s="784">
        <v>293</v>
      </c>
      <c r="B416" s="785">
        <v>2100593</v>
      </c>
      <c r="C416" s="785" t="s">
        <v>1499</v>
      </c>
      <c r="D416" s="785" t="s">
        <v>1137</v>
      </c>
      <c r="E416" s="785" t="s">
        <v>1096</v>
      </c>
      <c r="F416" s="785" t="s">
        <v>1138</v>
      </c>
      <c r="G416" s="785">
        <f t="shared" si="51"/>
        <v>13350</v>
      </c>
      <c r="H416" s="759">
        <v>0</v>
      </c>
      <c r="I416" s="759">
        <v>0</v>
      </c>
      <c r="J416" s="785">
        <f t="shared" si="52"/>
        <v>11125</v>
      </c>
      <c r="K416" s="786">
        <v>2225</v>
      </c>
      <c r="L416" s="759">
        <v>0</v>
      </c>
      <c r="M416" s="782">
        <v>0</v>
      </c>
    </row>
    <row r="417" spans="1:13" ht="15.75">
      <c r="A417" s="784">
        <v>294</v>
      </c>
      <c r="B417" s="785">
        <v>2100594</v>
      </c>
      <c r="C417" s="785" t="s">
        <v>1500</v>
      </c>
      <c r="D417" s="1124" t="s">
        <v>1111</v>
      </c>
      <c r="E417" s="785" t="s">
        <v>1096</v>
      </c>
      <c r="F417" s="785"/>
      <c r="G417" s="785">
        <f t="shared" si="51"/>
        <v>526878</v>
      </c>
      <c r="H417" s="759">
        <v>0</v>
      </c>
      <c r="I417" s="759">
        <v>0</v>
      </c>
      <c r="J417" s="785">
        <f t="shared" si="52"/>
        <v>439065</v>
      </c>
      <c r="K417" s="786">
        <v>87813</v>
      </c>
      <c r="L417" s="759">
        <v>0</v>
      </c>
      <c r="M417" s="782">
        <v>0</v>
      </c>
    </row>
    <row r="418" spans="1:13" ht="15.75">
      <c r="A418" s="784">
        <v>295</v>
      </c>
      <c r="B418" s="785">
        <v>2100595</v>
      </c>
      <c r="C418" s="785" t="s">
        <v>1501</v>
      </c>
      <c r="D418" s="785" t="s">
        <v>1196</v>
      </c>
      <c r="E418" s="785" t="s">
        <v>1096</v>
      </c>
      <c r="F418" s="785" t="s">
        <v>1197</v>
      </c>
      <c r="G418" s="785">
        <f t="shared" si="51"/>
        <v>26700</v>
      </c>
      <c r="H418" s="759">
        <v>0</v>
      </c>
      <c r="I418" s="759">
        <v>0</v>
      </c>
      <c r="J418" s="785">
        <f t="shared" si="52"/>
        <v>22250</v>
      </c>
      <c r="K418" s="786">
        <v>4450</v>
      </c>
      <c r="L418" s="759">
        <v>0</v>
      </c>
      <c r="M418" s="782">
        <v>0</v>
      </c>
    </row>
    <row r="419" spans="1:13" ht="15.75">
      <c r="A419" s="784">
        <v>296</v>
      </c>
      <c r="B419" s="785">
        <v>2100596</v>
      </c>
      <c r="C419" s="785" t="s">
        <v>1501</v>
      </c>
      <c r="D419" s="785" t="s">
        <v>1481</v>
      </c>
      <c r="E419" s="785" t="s">
        <v>1096</v>
      </c>
      <c r="F419" s="785" t="s">
        <v>1430</v>
      </c>
      <c r="G419" s="785">
        <f t="shared" si="51"/>
        <v>111648</v>
      </c>
      <c r="H419" s="759">
        <v>0</v>
      </c>
      <c r="I419" s="759">
        <v>0</v>
      </c>
      <c r="J419" s="1133">
        <f t="shared" si="52"/>
        <v>93040</v>
      </c>
      <c r="K419" s="786">
        <v>18608</v>
      </c>
      <c r="L419" s="759">
        <v>0</v>
      </c>
      <c r="M419" s="782">
        <v>0</v>
      </c>
    </row>
    <row r="420" spans="1:13" ht="15.75">
      <c r="A420" s="784">
        <v>297</v>
      </c>
      <c r="B420" s="785">
        <v>2100597</v>
      </c>
      <c r="C420" s="785" t="s">
        <v>1502</v>
      </c>
      <c r="D420" s="785" t="s">
        <v>1332</v>
      </c>
      <c r="E420" s="785" t="s">
        <v>1096</v>
      </c>
      <c r="F420" s="785" t="s">
        <v>1174</v>
      </c>
      <c r="G420" s="785">
        <f t="shared" si="51"/>
        <v>169098</v>
      </c>
      <c r="H420" s="759">
        <v>0</v>
      </c>
      <c r="I420" s="759">
        <v>0</v>
      </c>
      <c r="J420" s="785">
        <f t="shared" si="52"/>
        <v>140915</v>
      </c>
      <c r="K420" s="786">
        <v>28183</v>
      </c>
      <c r="L420" s="759">
        <v>0</v>
      </c>
      <c r="M420" s="782">
        <v>0</v>
      </c>
    </row>
    <row r="421" spans="1:13" ht="15.75">
      <c r="A421" s="784">
        <v>298</v>
      </c>
      <c r="B421" s="785">
        <v>2100598</v>
      </c>
      <c r="C421" s="785" t="s">
        <v>1502</v>
      </c>
      <c r="D421" s="785" t="s">
        <v>1152</v>
      </c>
      <c r="E421" s="785" t="s">
        <v>1096</v>
      </c>
      <c r="F421" s="785" t="s">
        <v>1153</v>
      </c>
      <c r="G421" s="785">
        <f t="shared" si="51"/>
        <v>712362</v>
      </c>
      <c r="H421" s="759">
        <v>0</v>
      </c>
      <c r="I421" s="759">
        <v>0</v>
      </c>
      <c r="J421" s="785">
        <f t="shared" si="52"/>
        <v>593635</v>
      </c>
      <c r="K421" s="786">
        <v>118727</v>
      </c>
      <c r="L421" s="759">
        <v>0</v>
      </c>
      <c r="M421" s="782">
        <v>0</v>
      </c>
    </row>
    <row r="422" spans="1:13" ht="15.75">
      <c r="A422" s="784">
        <v>299</v>
      </c>
      <c r="B422" s="785">
        <v>2100599</v>
      </c>
      <c r="C422" s="785" t="s">
        <v>1503</v>
      </c>
      <c r="D422" s="785" t="s">
        <v>1128</v>
      </c>
      <c r="E422" s="785" t="s">
        <v>1096</v>
      </c>
      <c r="F422" s="785" t="s">
        <v>1129</v>
      </c>
      <c r="G422" s="785">
        <f t="shared" si="51"/>
        <v>27300</v>
      </c>
      <c r="H422" s="759">
        <v>0</v>
      </c>
      <c r="I422" s="759">
        <v>0</v>
      </c>
      <c r="J422" s="785">
        <f t="shared" si="52"/>
        <v>22750</v>
      </c>
      <c r="K422" s="786">
        <v>4550</v>
      </c>
      <c r="L422" s="759">
        <v>0</v>
      </c>
      <c r="M422" s="782">
        <v>0</v>
      </c>
    </row>
    <row r="423" spans="1:13" ht="15.75">
      <c r="A423" s="784">
        <v>300</v>
      </c>
      <c r="B423" s="785">
        <v>2100600</v>
      </c>
      <c r="C423" s="759" t="s">
        <v>1503</v>
      </c>
      <c r="D423" s="1124" t="s">
        <v>1111</v>
      </c>
      <c r="E423" s="759" t="s">
        <v>1096</v>
      </c>
      <c r="F423" s="785"/>
      <c r="G423" s="785">
        <f t="shared" si="51"/>
        <v>488490</v>
      </c>
      <c r="H423" s="759">
        <v>0</v>
      </c>
      <c r="I423" s="759">
        <v>0</v>
      </c>
      <c r="J423" s="785">
        <f t="shared" si="52"/>
        <v>407075</v>
      </c>
      <c r="K423" s="786">
        <v>81415</v>
      </c>
      <c r="L423" s="759">
        <v>0</v>
      </c>
      <c r="M423" s="782">
        <v>0</v>
      </c>
    </row>
    <row r="424" spans="1:13" ht="15.75">
      <c r="A424" s="784">
        <v>301</v>
      </c>
      <c r="B424" s="785">
        <v>2100601</v>
      </c>
      <c r="C424" s="785" t="s">
        <v>1504</v>
      </c>
      <c r="D424" s="785" t="s">
        <v>1114</v>
      </c>
      <c r="E424" s="785" t="s">
        <v>1115</v>
      </c>
      <c r="F424" s="785" t="s">
        <v>1116</v>
      </c>
      <c r="G424" s="785">
        <f t="shared" si="51"/>
        <v>72798</v>
      </c>
      <c r="H424" s="759">
        <v>0</v>
      </c>
      <c r="I424" s="759">
        <v>0</v>
      </c>
      <c r="J424" s="785">
        <f t="shared" si="52"/>
        <v>60665</v>
      </c>
      <c r="K424" s="786">
        <v>12133</v>
      </c>
      <c r="L424" s="759">
        <v>0</v>
      </c>
      <c r="M424" s="782">
        <v>0</v>
      </c>
    </row>
    <row r="425" spans="1:13" ht="15.75">
      <c r="A425" s="784">
        <v>302</v>
      </c>
      <c r="B425" s="785">
        <v>2100602</v>
      </c>
      <c r="C425" s="785" t="s">
        <v>1505</v>
      </c>
      <c r="D425" s="759" t="s">
        <v>1455</v>
      </c>
      <c r="E425" s="759" t="s">
        <v>1096</v>
      </c>
      <c r="F425" s="785" t="s">
        <v>1456</v>
      </c>
      <c r="G425" s="785">
        <f t="shared" si="51"/>
        <v>36402</v>
      </c>
      <c r="H425" s="759">
        <v>0</v>
      </c>
      <c r="I425" s="759">
        <v>0</v>
      </c>
      <c r="J425" s="785">
        <f t="shared" si="52"/>
        <v>30335</v>
      </c>
      <c r="K425" s="786">
        <v>6067</v>
      </c>
      <c r="L425" s="759">
        <v>0</v>
      </c>
      <c r="M425" s="782">
        <v>0</v>
      </c>
    </row>
    <row r="426" spans="1:13" ht="15.75">
      <c r="A426" s="784">
        <v>303</v>
      </c>
      <c r="B426" s="785">
        <v>2100603</v>
      </c>
      <c r="C426" s="785" t="s">
        <v>1505</v>
      </c>
      <c r="D426" s="785" t="s">
        <v>1128</v>
      </c>
      <c r="E426" s="785" t="s">
        <v>1096</v>
      </c>
      <c r="F426" s="785" t="s">
        <v>1129</v>
      </c>
      <c r="G426" s="785">
        <f t="shared" si="51"/>
        <v>18198</v>
      </c>
      <c r="H426" s="759">
        <v>0</v>
      </c>
      <c r="I426" s="759">
        <v>0</v>
      </c>
      <c r="J426" s="785">
        <f t="shared" si="52"/>
        <v>15165</v>
      </c>
      <c r="K426" s="786">
        <v>3033</v>
      </c>
      <c r="L426" s="759">
        <v>0</v>
      </c>
      <c r="M426" s="782">
        <v>0</v>
      </c>
    </row>
    <row r="427" spans="1:13" ht="15.75">
      <c r="A427" s="784">
        <v>304</v>
      </c>
      <c r="B427" s="785">
        <v>2100604</v>
      </c>
      <c r="C427" s="785" t="s">
        <v>1506</v>
      </c>
      <c r="D427" s="1124" t="s">
        <v>1111</v>
      </c>
      <c r="E427" s="785" t="s">
        <v>1096</v>
      </c>
      <c r="F427" s="785"/>
      <c r="G427" s="785">
        <f t="shared" si="51"/>
        <v>476838</v>
      </c>
      <c r="H427" s="759">
        <v>0</v>
      </c>
      <c r="I427" s="759">
        <v>0</v>
      </c>
      <c r="J427" s="785">
        <f t="shared" si="52"/>
        <v>397365</v>
      </c>
      <c r="K427" s="786">
        <v>79473</v>
      </c>
      <c r="L427" s="759">
        <v>0</v>
      </c>
      <c r="M427" s="782">
        <v>0</v>
      </c>
    </row>
    <row r="428" spans="1:13" ht="15.75">
      <c r="A428" s="784">
        <v>305</v>
      </c>
      <c r="B428" s="785">
        <v>2100605</v>
      </c>
      <c r="C428" s="785" t="s">
        <v>1507</v>
      </c>
      <c r="D428" s="785" t="s">
        <v>1063</v>
      </c>
      <c r="E428" s="785" t="s">
        <v>1096</v>
      </c>
      <c r="F428" s="785" t="s">
        <v>1150</v>
      </c>
      <c r="G428" s="785">
        <f t="shared" si="51"/>
        <v>27342</v>
      </c>
      <c r="H428" s="759">
        <v>0</v>
      </c>
      <c r="I428" s="759">
        <v>0</v>
      </c>
      <c r="J428" s="785">
        <f t="shared" si="52"/>
        <v>22785</v>
      </c>
      <c r="K428" s="786">
        <v>4557</v>
      </c>
      <c r="L428" s="759">
        <v>0</v>
      </c>
      <c r="M428" s="782">
        <v>0</v>
      </c>
    </row>
    <row r="429" spans="1:13" ht="15.75">
      <c r="A429" s="784">
        <v>306</v>
      </c>
      <c r="B429" s="785">
        <v>2100606</v>
      </c>
      <c r="C429" s="785" t="s">
        <v>1508</v>
      </c>
      <c r="D429" s="1124" t="s">
        <v>1126</v>
      </c>
      <c r="E429" s="785" t="s">
        <v>1096</v>
      </c>
      <c r="F429" s="785" t="s">
        <v>1127</v>
      </c>
      <c r="G429" s="785">
        <f t="shared" si="51"/>
        <v>6372</v>
      </c>
      <c r="H429" s="759">
        <v>0</v>
      </c>
      <c r="I429" s="759">
        <v>0</v>
      </c>
      <c r="J429" s="785">
        <f t="shared" si="52"/>
        <v>5310</v>
      </c>
      <c r="K429" s="786">
        <v>1062</v>
      </c>
      <c r="L429" s="759">
        <v>0</v>
      </c>
      <c r="M429" s="782">
        <v>0</v>
      </c>
    </row>
    <row r="430" spans="1:13" ht="15.75">
      <c r="A430" s="784">
        <v>307</v>
      </c>
      <c r="B430" s="785">
        <v>2100607</v>
      </c>
      <c r="C430" s="785" t="s">
        <v>1509</v>
      </c>
      <c r="D430" s="785" t="s">
        <v>1118</v>
      </c>
      <c r="E430" s="785" t="s">
        <v>1096</v>
      </c>
      <c r="F430" s="785" t="s">
        <v>1119</v>
      </c>
      <c r="G430" s="785">
        <f t="shared" si="51"/>
        <v>244986</v>
      </c>
      <c r="H430" s="759">
        <v>0</v>
      </c>
      <c r="I430" s="759">
        <v>0</v>
      </c>
      <c r="J430" s="785">
        <f t="shared" si="52"/>
        <v>204155</v>
      </c>
      <c r="K430" s="786">
        <v>40831</v>
      </c>
      <c r="L430" s="759">
        <v>0</v>
      </c>
      <c r="M430" s="782">
        <v>0</v>
      </c>
    </row>
    <row r="431" spans="1:13" ht="15.75">
      <c r="A431" s="784">
        <v>308</v>
      </c>
      <c r="B431" s="785">
        <v>2100608</v>
      </c>
      <c r="C431" s="785" t="s">
        <v>1509</v>
      </c>
      <c r="D431" s="785" t="s">
        <v>1208</v>
      </c>
      <c r="E431" s="785" t="s">
        <v>1096</v>
      </c>
      <c r="F431" s="785" t="s">
        <v>1209</v>
      </c>
      <c r="G431" s="785">
        <f t="shared" si="51"/>
        <v>37200</v>
      </c>
      <c r="H431" s="759">
        <v>0</v>
      </c>
      <c r="I431" s="759">
        <v>0</v>
      </c>
      <c r="J431" s="785">
        <f t="shared" si="52"/>
        <v>31000</v>
      </c>
      <c r="K431" s="786">
        <v>6200</v>
      </c>
      <c r="L431" s="759">
        <v>0</v>
      </c>
      <c r="M431" s="782">
        <v>0</v>
      </c>
    </row>
    <row r="432" spans="1:13" ht="15.75">
      <c r="A432" s="784">
        <v>309</v>
      </c>
      <c r="B432" s="785">
        <v>2100609</v>
      </c>
      <c r="C432" s="785" t="s">
        <v>1510</v>
      </c>
      <c r="D432" s="1124" t="s">
        <v>1111</v>
      </c>
      <c r="E432" s="785" t="s">
        <v>1096</v>
      </c>
      <c r="F432" s="785"/>
      <c r="G432" s="785">
        <f t="shared" si="51"/>
        <v>656580</v>
      </c>
      <c r="H432" s="759">
        <v>0</v>
      </c>
      <c r="I432" s="759">
        <v>0</v>
      </c>
      <c r="J432" s="785">
        <f t="shared" si="52"/>
        <v>547150</v>
      </c>
      <c r="K432" s="786">
        <v>109430</v>
      </c>
      <c r="L432" s="759">
        <v>0</v>
      </c>
      <c r="M432" s="782">
        <v>0</v>
      </c>
    </row>
    <row r="433" spans="1:13" ht="15.75">
      <c r="A433" s="784">
        <v>310</v>
      </c>
      <c r="B433" s="785">
        <v>2100610</v>
      </c>
      <c r="C433" s="785" t="s">
        <v>1510</v>
      </c>
      <c r="D433" s="785" t="s">
        <v>1357</v>
      </c>
      <c r="E433" s="785" t="s">
        <v>1096</v>
      </c>
      <c r="F433" s="785" t="s">
        <v>1124</v>
      </c>
      <c r="G433" s="785">
        <f t="shared" si="51"/>
        <v>108000</v>
      </c>
      <c r="H433" s="759">
        <v>0</v>
      </c>
      <c r="I433" s="759">
        <v>0</v>
      </c>
      <c r="J433" s="785">
        <f t="shared" si="52"/>
        <v>90000</v>
      </c>
      <c r="K433" s="786">
        <v>18000</v>
      </c>
      <c r="L433" s="759">
        <v>0</v>
      </c>
      <c r="M433" s="782">
        <v>0</v>
      </c>
    </row>
    <row r="434" spans="1:13" ht="15.75">
      <c r="A434" s="784">
        <v>311</v>
      </c>
      <c r="B434" s="785">
        <v>2100611</v>
      </c>
      <c r="C434" s="785" t="s">
        <v>1510</v>
      </c>
      <c r="D434" s="785" t="s">
        <v>1511</v>
      </c>
      <c r="E434" s="785" t="s">
        <v>1096</v>
      </c>
      <c r="F434" s="785" t="s">
        <v>1512</v>
      </c>
      <c r="G434" s="785">
        <f t="shared" si="51"/>
        <v>11160</v>
      </c>
      <c r="H434" s="759">
        <v>0</v>
      </c>
      <c r="I434" s="759">
        <v>0</v>
      </c>
      <c r="J434" s="785">
        <f t="shared" si="52"/>
        <v>9300</v>
      </c>
      <c r="K434" s="786">
        <v>1860</v>
      </c>
      <c r="L434" s="759">
        <v>0</v>
      </c>
      <c r="M434" s="782">
        <v>0</v>
      </c>
    </row>
    <row r="435" spans="1:13" ht="15.75">
      <c r="A435" s="784">
        <v>312</v>
      </c>
      <c r="B435" s="785">
        <v>2100612</v>
      </c>
      <c r="C435" s="785" t="s">
        <v>1513</v>
      </c>
      <c r="D435" s="785" t="s">
        <v>1348</v>
      </c>
      <c r="E435" s="785" t="s">
        <v>1096</v>
      </c>
      <c r="F435" s="785" t="s">
        <v>1176</v>
      </c>
      <c r="G435" s="785">
        <f t="shared" si="51"/>
        <v>196902</v>
      </c>
      <c r="H435" s="759">
        <v>0</v>
      </c>
      <c r="I435" s="759">
        <v>0</v>
      </c>
      <c r="J435" s="785">
        <f t="shared" si="52"/>
        <v>164085</v>
      </c>
      <c r="K435" s="786">
        <v>32817</v>
      </c>
      <c r="L435" s="759">
        <v>0</v>
      </c>
      <c r="M435" s="782">
        <v>0</v>
      </c>
    </row>
    <row r="436" spans="1:13" ht="15.75">
      <c r="A436" s="784">
        <v>313</v>
      </c>
      <c r="B436" s="785">
        <v>2100613</v>
      </c>
      <c r="C436" s="785" t="s">
        <v>1513</v>
      </c>
      <c r="D436" s="785" t="s">
        <v>1063</v>
      </c>
      <c r="E436" s="785" t="s">
        <v>1096</v>
      </c>
      <c r="F436" s="785" t="s">
        <v>1150</v>
      </c>
      <c r="G436" s="785">
        <f t="shared" si="51"/>
        <v>14880</v>
      </c>
      <c r="H436" s="759">
        <v>0</v>
      </c>
      <c r="I436" s="759">
        <v>0</v>
      </c>
      <c r="J436" s="785">
        <f t="shared" si="52"/>
        <v>12400</v>
      </c>
      <c r="K436" s="786">
        <v>2480</v>
      </c>
      <c r="L436" s="759">
        <v>0</v>
      </c>
      <c r="M436" s="782">
        <v>0</v>
      </c>
    </row>
    <row r="437" spans="1:13" ht="15.75">
      <c r="A437" s="784">
        <v>314</v>
      </c>
      <c r="B437" s="785">
        <v>2100614</v>
      </c>
      <c r="C437" s="785" t="s">
        <v>1513</v>
      </c>
      <c r="D437" s="785" t="s">
        <v>1487</v>
      </c>
      <c r="E437" s="785" t="s">
        <v>1104</v>
      </c>
      <c r="F437" s="785" t="s">
        <v>1105</v>
      </c>
      <c r="G437" s="785">
        <f t="shared" si="51"/>
        <v>63978</v>
      </c>
      <c r="H437" s="759">
        <v>0</v>
      </c>
      <c r="I437" s="759">
        <v>0</v>
      </c>
      <c r="J437" s="1133">
        <f t="shared" si="52"/>
        <v>53315</v>
      </c>
      <c r="K437" s="786">
        <v>10663</v>
      </c>
      <c r="L437" s="759">
        <v>0</v>
      </c>
      <c r="M437" s="782">
        <v>0</v>
      </c>
    </row>
    <row r="438" spans="1:13" ht="15.75">
      <c r="A438" s="784">
        <v>315</v>
      </c>
      <c r="B438" s="785">
        <v>2100615</v>
      </c>
      <c r="C438" s="785" t="s">
        <v>1513</v>
      </c>
      <c r="D438" s="785" t="s">
        <v>1481</v>
      </c>
      <c r="E438" s="785" t="s">
        <v>1096</v>
      </c>
      <c r="F438" s="785" t="s">
        <v>1430</v>
      </c>
      <c r="G438" s="785">
        <f t="shared" si="51"/>
        <v>150168</v>
      </c>
      <c r="H438" s="759">
        <v>0</v>
      </c>
      <c r="I438" s="759">
        <v>0</v>
      </c>
      <c r="J438" s="1133">
        <f t="shared" si="52"/>
        <v>125140</v>
      </c>
      <c r="K438" s="786">
        <v>25028</v>
      </c>
      <c r="L438" s="759">
        <v>0</v>
      </c>
      <c r="M438" s="782">
        <v>0</v>
      </c>
    </row>
    <row r="439" spans="1:13" ht="15.75">
      <c r="A439" s="784">
        <v>316</v>
      </c>
      <c r="B439" s="785">
        <v>2100616</v>
      </c>
      <c r="C439" s="785" t="s">
        <v>1513</v>
      </c>
      <c r="D439" s="785" t="s">
        <v>1514</v>
      </c>
      <c r="E439" s="785" t="s">
        <v>1096</v>
      </c>
      <c r="F439" s="785" t="s">
        <v>1221</v>
      </c>
      <c r="G439" s="785">
        <f t="shared" si="51"/>
        <v>10044</v>
      </c>
      <c r="H439" s="759">
        <v>0</v>
      </c>
      <c r="I439" s="759">
        <v>0</v>
      </c>
      <c r="J439" s="785">
        <f t="shared" si="52"/>
        <v>8370</v>
      </c>
      <c r="K439" s="786">
        <v>1674</v>
      </c>
      <c r="L439" s="759">
        <v>0</v>
      </c>
      <c r="M439" s="782">
        <v>0</v>
      </c>
    </row>
    <row r="440" spans="1:13" ht="15.75">
      <c r="A440" s="784">
        <v>317</v>
      </c>
      <c r="B440" s="785">
        <v>2100617</v>
      </c>
      <c r="C440" s="785" t="s">
        <v>1515</v>
      </c>
      <c r="D440" s="785" t="s">
        <v>1516</v>
      </c>
      <c r="E440" s="785" t="s">
        <v>1096</v>
      </c>
      <c r="F440" s="785" t="s">
        <v>1517</v>
      </c>
      <c r="G440" s="785">
        <f t="shared" si="51"/>
        <v>40002</v>
      </c>
      <c r="H440" s="759">
        <v>0</v>
      </c>
      <c r="I440" s="759">
        <v>0</v>
      </c>
      <c r="J440" s="785">
        <f t="shared" si="52"/>
        <v>33335</v>
      </c>
      <c r="K440" s="786">
        <v>6667</v>
      </c>
      <c r="L440" s="759">
        <v>0</v>
      </c>
      <c r="M440" s="782">
        <v>0</v>
      </c>
    </row>
    <row r="441" spans="1:13" ht="15.75">
      <c r="A441" s="784">
        <v>318</v>
      </c>
      <c r="B441" s="785">
        <v>2100618</v>
      </c>
      <c r="C441" s="785" t="s">
        <v>1518</v>
      </c>
      <c r="D441" s="785" t="s">
        <v>1155</v>
      </c>
      <c r="E441" s="785" t="s">
        <v>1096</v>
      </c>
      <c r="F441" s="785" t="s">
        <v>1156</v>
      </c>
      <c r="G441" s="785">
        <f t="shared" si="51"/>
        <v>161316</v>
      </c>
      <c r="H441" s="759">
        <v>0</v>
      </c>
      <c r="I441" s="759">
        <v>0</v>
      </c>
      <c r="J441" s="785">
        <f t="shared" si="52"/>
        <v>134430</v>
      </c>
      <c r="K441" s="786">
        <v>26886</v>
      </c>
      <c r="L441" s="759">
        <v>0</v>
      </c>
      <c r="M441" s="782">
        <v>0</v>
      </c>
    </row>
    <row r="442" spans="1:13" ht="15.75">
      <c r="A442" s="784">
        <v>319</v>
      </c>
      <c r="B442" s="785">
        <v>2100619</v>
      </c>
      <c r="C442" s="785" t="s">
        <v>1518</v>
      </c>
      <c r="D442" s="785" t="s">
        <v>1519</v>
      </c>
      <c r="E442" s="785" t="s">
        <v>1096</v>
      </c>
      <c r="F442" s="785" t="s">
        <v>1520</v>
      </c>
      <c r="G442" s="785">
        <f t="shared" si="51"/>
        <v>363240</v>
      </c>
      <c r="H442" s="759">
        <v>0</v>
      </c>
      <c r="I442" s="759">
        <v>0</v>
      </c>
      <c r="J442" s="785">
        <f t="shared" si="52"/>
        <v>302700</v>
      </c>
      <c r="K442" s="786">
        <v>60540</v>
      </c>
      <c r="L442" s="759">
        <v>0</v>
      </c>
      <c r="M442" s="782">
        <v>0</v>
      </c>
    </row>
    <row r="443" spans="1:13" ht="15.75">
      <c r="A443" s="784">
        <v>320</v>
      </c>
      <c r="B443" s="785">
        <v>2100620</v>
      </c>
      <c r="C443" s="785" t="s">
        <v>1518</v>
      </c>
      <c r="D443" s="1124" t="s">
        <v>1111</v>
      </c>
      <c r="E443" s="785" t="s">
        <v>1096</v>
      </c>
      <c r="F443" s="785"/>
      <c r="G443" s="785">
        <f t="shared" si="51"/>
        <v>768180</v>
      </c>
      <c r="H443" s="759">
        <v>0</v>
      </c>
      <c r="I443" s="759">
        <v>0</v>
      </c>
      <c r="J443" s="785">
        <f t="shared" si="52"/>
        <v>640150</v>
      </c>
      <c r="K443" s="786">
        <v>128030</v>
      </c>
      <c r="L443" s="759">
        <v>0</v>
      </c>
      <c r="M443" s="782">
        <v>0</v>
      </c>
    </row>
    <row r="444" spans="1:13" ht="16.5" thickBot="1">
      <c r="A444" s="784">
        <v>321</v>
      </c>
      <c r="B444" s="785">
        <v>2100621</v>
      </c>
      <c r="C444" s="785" t="s">
        <v>1518</v>
      </c>
      <c r="D444" s="785" t="s">
        <v>1152</v>
      </c>
      <c r="E444" s="785" t="s">
        <v>1096</v>
      </c>
      <c r="F444" s="785" t="s">
        <v>1153</v>
      </c>
      <c r="G444" s="785">
        <f t="shared" si="51"/>
        <v>558000</v>
      </c>
      <c r="H444" s="1104">
        <v>0</v>
      </c>
      <c r="I444" s="1104">
        <v>0</v>
      </c>
      <c r="J444" s="785">
        <f t="shared" si="52"/>
        <v>465000</v>
      </c>
      <c r="K444" s="786">
        <v>93000</v>
      </c>
      <c r="L444" s="759">
        <v>0</v>
      </c>
      <c r="M444" s="782">
        <v>0</v>
      </c>
    </row>
    <row r="445" spans="1:13" ht="16.5" thickBot="1">
      <c r="A445" s="1389" t="s">
        <v>822</v>
      </c>
      <c r="B445" s="1390"/>
      <c r="C445" s="1390"/>
      <c r="D445" s="1390"/>
      <c r="E445" s="1390"/>
      <c r="F445" s="1391"/>
      <c r="G445" s="1020">
        <f>SUM(G388:G444)</f>
        <v>9769764</v>
      </c>
      <c r="H445" s="1134">
        <v>0</v>
      </c>
      <c r="I445" s="1135">
        <v>0</v>
      </c>
      <c r="J445" s="1020">
        <f>SUM(J388:J444)</f>
        <v>8141470</v>
      </c>
      <c r="K445" s="1021">
        <f>SUM(K388:K444)</f>
        <v>1628294</v>
      </c>
      <c r="L445" s="759">
        <v>0</v>
      </c>
      <c r="M445" s="782">
        <v>0</v>
      </c>
    </row>
    <row r="446" spans="1:13" ht="16.5" thickBot="1">
      <c r="A446" s="1392" t="s">
        <v>823</v>
      </c>
      <c r="B446" s="1393"/>
      <c r="C446" s="1393"/>
      <c r="D446" s="1393"/>
      <c r="E446" s="1393"/>
      <c r="F446" s="1393"/>
      <c r="G446" s="1393"/>
      <c r="H446" s="781" t="s">
        <v>824</v>
      </c>
      <c r="I446" s="765" t="s">
        <v>825</v>
      </c>
      <c r="J446" s="781" t="s">
        <v>826</v>
      </c>
      <c r="K446" s="766" t="s">
        <v>827</v>
      </c>
      <c r="L446" s="781" t="s">
        <v>828</v>
      </c>
      <c r="M446" s="766" t="s">
        <v>829</v>
      </c>
    </row>
    <row r="447" spans="1:13" ht="15.75">
      <c r="A447" s="731"/>
      <c r="B447" s="731"/>
      <c r="C447" s="731"/>
      <c r="D447" s="731"/>
      <c r="E447" s="731"/>
      <c r="F447" s="731"/>
      <c r="G447" s="731"/>
      <c r="H447" s="731"/>
      <c r="I447" s="731"/>
      <c r="J447" s="731"/>
      <c r="K447" s="731"/>
      <c r="L447" s="731"/>
      <c r="M447" s="731"/>
    </row>
    <row r="448" spans="1:13" ht="15.75">
      <c r="A448" s="731"/>
      <c r="B448" s="731"/>
      <c r="C448" s="731"/>
      <c r="D448" s="731"/>
      <c r="E448" s="731"/>
      <c r="F448" s="731"/>
      <c r="G448" s="731"/>
      <c r="H448" s="731"/>
      <c r="I448" s="731"/>
      <c r="J448" s="731"/>
      <c r="K448" s="731"/>
      <c r="L448" s="731"/>
      <c r="M448" s="731"/>
    </row>
    <row r="449" spans="1:13" ht="15.75">
      <c r="A449" s="731" t="s">
        <v>856</v>
      </c>
      <c r="B449" s="731"/>
      <c r="C449" s="731"/>
      <c r="D449" s="731"/>
      <c r="E449" s="731"/>
      <c r="F449" s="731"/>
      <c r="G449" s="731"/>
      <c r="H449" s="731"/>
      <c r="I449" s="731"/>
      <c r="J449" s="1017" t="s">
        <v>1249</v>
      </c>
      <c r="K449" s="731"/>
      <c r="L449" s="731"/>
      <c r="M449" s="731"/>
    </row>
    <row r="450" spans="1:13" ht="15.75">
      <c r="A450" s="731" t="s">
        <v>848</v>
      </c>
      <c r="B450" s="731"/>
      <c r="C450" s="731"/>
      <c r="D450" s="731"/>
      <c r="E450" s="731"/>
      <c r="F450" s="731"/>
      <c r="G450" s="731"/>
      <c r="H450" s="731"/>
      <c r="I450" s="731"/>
      <c r="J450" s="731" t="s">
        <v>1122</v>
      </c>
      <c r="K450" s="731"/>
      <c r="L450" s="731"/>
      <c r="M450" s="731"/>
    </row>
    <row r="451" spans="1:13" ht="15.75">
      <c r="A451" s="731" t="s">
        <v>855</v>
      </c>
      <c r="B451" s="731"/>
      <c r="C451" s="731"/>
      <c r="D451" s="731"/>
      <c r="E451" s="731"/>
      <c r="F451" s="731"/>
      <c r="G451" s="731"/>
      <c r="H451" s="731"/>
      <c r="I451" s="731"/>
      <c r="J451" s="731"/>
      <c r="K451" s="731"/>
      <c r="L451" s="731"/>
      <c r="M451" s="731"/>
    </row>
    <row r="452" spans="2:15" s="1082" customFormat="1" ht="9.75" customHeight="1">
      <c r="B452" s="1083"/>
      <c r="C452" s="1083"/>
      <c r="D452" s="1083"/>
      <c r="E452" s="1083"/>
      <c r="F452" s="1083"/>
      <c r="G452" s="1083"/>
      <c r="H452" s="1083"/>
      <c r="I452" s="1083"/>
      <c r="J452" s="1083"/>
      <c r="K452" s="1083"/>
      <c r="L452" s="1083"/>
      <c r="M452" s="1083"/>
      <c r="O452" s="1092"/>
    </row>
    <row r="453" spans="1:31" ht="19.5">
      <c r="A453" s="730" t="s">
        <v>794</v>
      </c>
      <c r="B453" s="731"/>
      <c r="C453" s="731"/>
      <c r="D453" s="731"/>
      <c r="E453" s="731"/>
      <c r="F453" s="731"/>
      <c r="G453" s="731"/>
      <c r="H453" s="731"/>
      <c r="I453" s="731"/>
      <c r="J453" s="731"/>
      <c r="K453" s="731"/>
      <c r="L453" s="731"/>
      <c r="M453" s="731"/>
      <c r="N453" s="730" t="s">
        <v>795</v>
      </c>
      <c r="O453" s="731"/>
      <c r="P453" s="731"/>
      <c r="Q453" s="731"/>
      <c r="R453" s="731"/>
      <c r="S453" s="731"/>
      <c r="T453" s="731"/>
      <c r="U453" s="731"/>
      <c r="V453" s="731"/>
      <c r="W453" s="731"/>
      <c r="X453" s="731"/>
      <c r="Y453" s="731"/>
      <c r="Z453" s="731"/>
      <c r="AA453" s="731"/>
      <c r="AB453" s="731"/>
      <c r="AC453" s="731"/>
      <c r="AD453" s="731"/>
      <c r="AE453" s="731"/>
    </row>
    <row r="454" spans="1:31" ht="15.75">
      <c r="A454" s="733" t="s">
        <v>796</v>
      </c>
      <c r="B454" s="733"/>
      <c r="C454" s="731" t="s">
        <v>1094</v>
      </c>
      <c r="D454" s="731"/>
      <c r="E454" s="731"/>
      <c r="F454" s="731"/>
      <c r="G454" s="731"/>
      <c r="H454" s="731"/>
      <c r="I454" s="731"/>
      <c r="J454" s="731"/>
      <c r="K454" s="731"/>
      <c r="L454" s="731"/>
      <c r="M454" s="731"/>
      <c r="N454" s="733" t="s">
        <v>796</v>
      </c>
      <c r="O454" s="733"/>
      <c r="P454" s="731" t="s">
        <v>1094</v>
      </c>
      <c r="Q454" s="731"/>
      <c r="R454" s="731"/>
      <c r="S454" s="731"/>
      <c r="T454" s="731"/>
      <c r="U454" s="731"/>
      <c r="V454" s="731"/>
      <c r="W454" s="731"/>
      <c r="X454" s="731"/>
      <c r="Y454" s="731"/>
      <c r="Z454" s="731"/>
      <c r="AA454" s="731"/>
      <c r="AB454" s="731"/>
      <c r="AC454" s="731"/>
      <c r="AD454" s="731"/>
      <c r="AE454" s="731"/>
    </row>
    <row r="455" spans="1:31" ht="15.75">
      <c r="A455" s="733" t="s">
        <v>413</v>
      </c>
      <c r="B455" s="733"/>
      <c r="C455" s="731" t="s">
        <v>1043</v>
      </c>
      <c r="D455" s="731"/>
      <c r="E455" s="731"/>
      <c r="F455" s="731"/>
      <c r="G455" s="731"/>
      <c r="H455" s="731"/>
      <c r="I455" s="731"/>
      <c r="J455" s="731"/>
      <c r="K455" s="731"/>
      <c r="L455" s="731"/>
      <c r="M455" s="731"/>
      <c r="N455" s="733" t="s">
        <v>413</v>
      </c>
      <c r="O455" s="733"/>
      <c r="P455" s="731" t="s">
        <v>1043</v>
      </c>
      <c r="Q455" s="731"/>
      <c r="R455" s="731"/>
      <c r="S455" s="731"/>
      <c r="T455" s="731"/>
      <c r="U455" s="731"/>
      <c r="V455" s="731"/>
      <c r="W455" s="731"/>
      <c r="X455" s="731"/>
      <c r="Y455" s="731"/>
      <c r="Z455" s="731"/>
      <c r="AA455" s="731"/>
      <c r="AB455" s="731"/>
      <c r="AC455" s="731"/>
      <c r="AD455" s="731"/>
      <c r="AE455" s="731"/>
    </row>
    <row r="456" spans="1:31" ht="15.75">
      <c r="A456" s="733" t="s">
        <v>797</v>
      </c>
      <c r="B456" s="733"/>
      <c r="C456" s="731">
        <v>2012</v>
      </c>
      <c r="D456" s="731"/>
      <c r="E456" s="731"/>
      <c r="F456" s="731"/>
      <c r="G456" s="731"/>
      <c r="H456" s="731"/>
      <c r="I456" s="731"/>
      <c r="J456" s="731"/>
      <c r="K456" s="731"/>
      <c r="L456" s="731"/>
      <c r="M456" s="731"/>
      <c r="N456" s="733" t="s">
        <v>797</v>
      </c>
      <c r="O456" s="733"/>
      <c r="P456" s="731">
        <v>2012</v>
      </c>
      <c r="Q456" s="731"/>
      <c r="R456" s="731"/>
      <c r="S456" s="731"/>
      <c r="T456" s="731"/>
      <c r="U456" s="731"/>
      <c r="V456" s="731"/>
      <c r="W456" s="731"/>
      <c r="X456" s="731"/>
      <c r="Y456" s="731"/>
      <c r="Z456" s="731"/>
      <c r="AA456" s="731"/>
      <c r="AB456" s="731"/>
      <c r="AC456" s="731"/>
      <c r="AD456" s="731"/>
      <c r="AE456" s="731"/>
    </row>
    <row r="457" spans="1:31" ht="15.75">
      <c r="A457" s="733" t="s">
        <v>166</v>
      </c>
      <c r="B457" s="733"/>
      <c r="C457" s="731">
        <v>8</v>
      </c>
      <c r="D457" s="731"/>
      <c r="E457" s="731"/>
      <c r="F457" s="731"/>
      <c r="G457" s="731"/>
      <c r="H457" s="731"/>
      <c r="I457" s="731"/>
      <c r="J457" s="731"/>
      <c r="K457" s="731"/>
      <c r="L457" s="731"/>
      <c r="M457" s="731"/>
      <c r="N457" s="733" t="s">
        <v>166</v>
      </c>
      <c r="O457" s="733"/>
      <c r="P457" s="731">
        <v>8</v>
      </c>
      <c r="Q457" s="731"/>
      <c r="R457" s="731"/>
      <c r="S457" s="731"/>
      <c r="T457" s="731"/>
      <c r="U457" s="731"/>
      <c r="V457" s="731"/>
      <c r="W457" s="731"/>
      <c r="X457" s="731"/>
      <c r="Y457" s="731"/>
      <c r="Z457" s="731"/>
      <c r="AA457" s="731"/>
      <c r="AB457" s="731"/>
      <c r="AC457" s="731"/>
      <c r="AD457" s="731"/>
      <c r="AE457" s="731"/>
    </row>
    <row r="458" spans="1:31" ht="16.5" thickBot="1">
      <c r="A458" s="733"/>
      <c r="B458" s="733"/>
      <c r="C458" s="731"/>
      <c r="D458" s="731"/>
      <c r="E458" s="731"/>
      <c r="F458" s="731"/>
      <c r="G458" s="731"/>
      <c r="H458" s="731"/>
      <c r="I458" s="731"/>
      <c r="J458" s="731"/>
      <c r="K458" s="731"/>
      <c r="L458" s="731"/>
      <c r="M458" s="731"/>
      <c r="N458" s="733"/>
      <c r="O458" s="733"/>
      <c r="P458" s="731"/>
      <c r="Q458" s="731"/>
      <c r="R458" s="731"/>
      <c r="S458" s="731"/>
      <c r="T458" s="731"/>
      <c r="U458" s="731"/>
      <c r="V458" s="731"/>
      <c r="W458" s="731"/>
      <c r="X458" s="731"/>
      <c r="Y458" s="731"/>
      <c r="Z458" s="731"/>
      <c r="AA458" s="731"/>
      <c r="AB458" s="731"/>
      <c r="AC458" s="731"/>
      <c r="AD458" s="731"/>
      <c r="AE458" s="731"/>
    </row>
    <row r="459" spans="1:31" ht="16.5" thickBot="1">
      <c r="A459" s="731" t="s">
        <v>799</v>
      </c>
      <c r="B459" s="1103"/>
      <c r="C459" s="731" t="s">
        <v>835</v>
      </c>
      <c r="D459" s="731"/>
      <c r="E459" s="731"/>
      <c r="F459" s="731"/>
      <c r="G459" s="731"/>
      <c r="H459" s="731"/>
      <c r="I459" s="731"/>
      <c r="J459" s="731"/>
      <c r="K459" s="731"/>
      <c r="L459" s="731"/>
      <c r="M459" s="731"/>
      <c r="N459" s="731" t="s">
        <v>799</v>
      </c>
      <c r="O459" s="1103"/>
      <c r="P459" s="731" t="s">
        <v>835</v>
      </c>
      <c r="Q459" s="731"/>
      <c r="R459" s="731"/>
      <c r="S459" s="731"/>
      <c r="T459" s="731"/>
      <c r="U459" s="731"/>
      <c r="V459" s="731"/>
      <c r="W459" s="731"/>
      <c r="X459" s="731"/>
      <c r="Y459" s="731"/>
      <c r="Z459" s="731"/>
      <c r="AA459" s="731"/>
      <c r="AB459" s="731"/>
      <c r="AC459" s="731"/>
      <c r="AD459" s="731"/>
      <c r="AE459" s="731"/>
    </row>
    <row r="460" spans="1:31" ht="16.5" thickBot="1">
      <c r="A460" s="731"/>
      <c r="B460" s="731"/>
      <c r="C460" s="731"/>
      <c r="D460" s="731"/>
      <c r="E460" s="731"/>
      <c r="F460" s="731"/>
      <c r="G460" s="731"/>
      <c r="H460" s="731"/>
      <c r="I460" s="731"/>
      <c r="J460" s="731"/>
      <c r="K460" s="731"/>
      <c r="L460" s="731"/>
      <c r="M460" s="731"/>
      <c r="N460" s="731"/>
      <c r="O460" s="731"/>
      <c r="P460" s="733"/>
      <c r="Q460" s="731"/>
      <c r="R460" s="731"/>
      <c r="S460" s="731"/>
      <c r="T460" s="731"/>
      <c r="U460" s="731"/>
      <c r="V460" s="731"/>
      <c r="W460" s="731"/>
      <c r="X460" s="731"/>
      <c r="Y460" s="731"/>
      <c r="Z460" s="731"/>
      <c r="AA460" s="731"/>
      <c r="AB460" s="731"/>
      <c r="AC460" s="731"/>
      <c r="AD460" s="731"/>
      <c r="AE460" s="731"/>
    </row>
    <row r="461" spans="1:31" ht="16.5" thickBot="1">
      <c r="A461" s="1401" t="s">
        <v>800</v>
      </c>
      <c r="B461" s="1409"/>
      <c r="C461" s="1402"/>
      <c r="D461" s="1401" t="s">
        <v>801</v>
      </c>
      <c r="E461" s="1409"/>
      <c r="F461" s="1402"/>
      <c r="G461" s="1398" t="s">
        <v>802</v>
      </c>
      <c r="H461" s="1398" t="s">
        <v>803</v>
      </c>
      <c r="I461" s="1398" t="s">
        <v>804</v>
      </c>
      <c r="J461" s="1401" t="s">
        <v>836</v>
      </c>
      <c r="K461" s="1402"/>
      <c r="L461" s="1401" t="s">
        <v>837</v>
      </c>
      <c r="M461" s="1402"/>
      <c r="N461" s="1405" t="s">
        <v>800</v>
      </c>
      <c r="O461" s="1406"/>
      <c r="P461" s="1407"/>
      <c r="Q461" s="1405" t="s">
        <v>805</v>
      </c>
      <c r="R461" s="1406"/>
      <c r="S461" s="1407"/>
      <c r="T461" s="1398" t="s">
        <v>806</v>
      </c>
      <c r="U461" s="1387" t="s">
        <v>807</v>
      </c>
      <c r="V461" s="1397"/>
      <c r="W461" s="1397"/>
      <c r="X461" s="1397"/>
      <c r="Y461" s="1397"/>
      <c r="Z461" s="1397"/>
      <c r="AA461" s="1397"/>
      <c r="AB461" s="1397"/>
      <c r="AC461" s="1397"/>
      <c r="AD461" s="1397"/>
      <c r="AE461" s="1388"/>
    </row>
    <row r="462" spans="1:31" ht="16.5" thickBot="1">
      <c r="A462" s="1403"/>
      <c r="B462" s="1410"/>
      <c r="C462" s="1404"/>
      <c r="D462" s="1403"/>
      <c r="E462" s="1410"/>
      <c r="F462" s="1404"/>
      <c r="G462" s="1408"/>
      <c r="H462" s="1408"/>
      <c r="I462" s="1408"/>
      <c r="J462" s="1403"/>
      <c r="K462" s="1404"/>
      <c r="L462" s="1403"/>
      <c r="M462" s="1404"/>
      <c r="N462" s="1398" t="s">
        <v>808</v>
      </c>
      <c r="O462" s="1398" t="s">
        <v>809</v>
      </c>
      <c r="P462" s="1398" t="s">
        <v>810</v>
      </c>
      <c r="Q462" s="1398" t="s">
        <v>811</v>
      </c>
      <c r="R462" s="1398" t="s">
        <v>812</v>
      </c>
      <c r="S462" s="1398" t="s">
        <v>813</v>
      </c>
      <c r="T462" s="1408"/>
      <c r="U462" s="1398" t="s">
        <v>814</v>
      </c>
      <c r="V462" s="1387" t="s">
        <v>838</v>
      </c>
      <c r="W462" s="1400"/>
      <c r="X462" s="1387" t="s">
        <v>839</v>
      </c>
      <c r="Y462" s="1400"/>
      <c r="Z462" s="1387" t="s">
        <v>840</v>
      </c>
      <c r="AA462" s="1388"/>
      <c r="AB462" s="1387" t="s">
        <v>841</v>
      </c>
      <c r="AC462" s="1388"/>
      <c r="AD462" s="1387" t="s">
        <v>815</v>
      </c>
      <c r="AE462" s="1388"/>
    </row>
    <row r="463" spans="1:31" ht="48" thickBot="1">
      <c r="A463" s="748" t="s">
        <v>808</v>
      </c>
      <c r="B463" s="749" t="s">
        <v>809</v>
      </c>
      <c r="C463" s="750" t="s">
        <v>810</v>
      </c>
      <c r="D463" s="743" t="s">
        <v>816</v>
      </c>
      <c r="E463" s="746" t="s">
        <v>812</v>
      </c>
      <c r="F463" s="751" t="s">
        <v>406</v>
      </c>
      <c r="G463" s="1399"/>
      <c r="H463" s="1399"/>
      <c r="I463" s="1399"/>
      <c r="J463" s="751" t="s">
        <v>817</v>
      </c>
      <c r="K463" s="744" t="s">
        <v>818</v>
      </c>
      <c r="L463" s="751" t="s">
        <v>817</v>
      </c>
      <c r="M463" s="744" t="s">
        <v>818</v>
      </c>
      <c r="N463" s="1399"/>
      <c r="O463" s="1399"/>
      <c r="P463" s="1399"/>
      <c r="Q463" s="1399"/>
      <c r="R463" s="1399"/>
      <c r="S463" s="1399"/>
      <c r="T463" s="1399"/>
      <c r="U463" s="1399"/>
      <c r="V463" s="745" t="s">
        <v>817</v>
      </c>
      <c r="W463" s="752" t="s">
        <v>818</v>
      </c>
      <c r="X463" s="745" t="s">
        <v>817</v>
      </c>
      <c r="Y463" s="752" t="s">
        <v>818</v>
      </c>
      <c r="Z463" s="744" t="s">
        <v>819</v>
      </c>
      <c r="AA463" s="744" t="s">
        <v>820</v>
      </c>
      <c r="AB463" s="744" t="s">
        <v>819</v>
      </c>
      <c r="AC463" s="744" t="s">
        <v>820</v>
      </c>
      <c r="AD463" s="744" t="s">
        <v>819</v>
      </c>
      <c r="AE463" s="744" t="s">
        <v>820</v>
      </c>
    </row>
    <row r="464" spans="1:31" ht="19.5" customHeight="1" thickBot="1">
      <c r="A464" s="754" t="s">
        <v>510</v>
      </c>
      <c r="B464" s="755" t="s">
        <v>511</v>
      </c>
      <c r="C464" s="755" t="s">
        <v>598</v>
      </c>
      <c r="D464" s="755" t="s">
        <v>620</v>
      </c>
      <c r="E464" s="755" t="s">
        <v>622</v>
      </c>
      <c r="F464" s="755" t="s">
        <v>634</v>
      </c>
      <c r="G464" s="755" t="s">
        <v>842</v>
      </c>
      <c r="H464" s="755" t="s">
        <v>638</v>
      </c>
      <c r="I464" s="756" t="s">
        <v>640</v>
      </c>
      <c r="J464" s="755" t="s">
        <v>642</v>
      </c>
      <c r="K464" s="757" t="s">
        <v>644</v>
      </c>
      <c r="L464" s="755" t="s">
        <v>646</v>
      </c>
      <c r="M464" s="757" t="s">
        <v>650</v>
      </c>
      <c r="N464" s="777" t="s">
        <v>510</v>
      </c>
      <c r="O464" s="778" t="s">
        <v>511</v>
      </c>
      <c r="P464" s="778" t="s">
        <v>598</v>
      </c>
      <c r="Q464" s="778" t="s">
        <v>620</v>
      </c>
      <c r="R464" s="778" t="s">
        <v>622</v>
      </c>
      <c r="S464" s="778" t="s">
        <v>634</v>
      </c>
      <c r="T464" s="779" t="s">
        <v>843</v>
      </c>
      <c r="U464" s="778" t="s">
        <v>638</v>
      </c>
      <c r="V464" s="778" t="s">
        <v>640</v>
      </c>
      <c r="W464" s="778" t="s">
        <v>642</v>
      </c>
      <c r="X464" s="778" t="s">
        <v>644</v>
      </c>
      <c r="Y464" s="778" t="s">
        <v>646</v>
      </c>
      <c r="Z464" s="778" t="s">
        <v>650</v>
      </c>
      <c r="AA464" s="778" t="s">
        <v>821</v>
      </c>
      <c r="AB464" s="778" t="s">
        <v>844</v>
      </c>
      <c r="AC464" s="778" t="s">
        <v>845</v>
      </c>
      <c r="AD464" s="778" t="s">
        <v>846</v>
      </c>
      <c r="AE464" s="780" t="s">
        <v>847</v>
      </c>
    </row>
    <row r="465" spans="1:31" ht="15.75">
      <c r="A465" s="758">
        <v>322</v>
      </c>
      <c r="B465" s="759">
        <v>2100622</v>
      </c>
      <c r="C465" s="760">
        <v>41122</v>
      </c>
      <c r="D465" s="759" t="s">
        <v>1529</v>
      </c>
      <c r="E465" s="759" t="s">
        <v>1096</v>
      </c>
      <c r="F465" s="759" t="s">
        <v>1147</v>
      </c>
      <c r="G465" s="759">
        <f aca="true" t="shared" si="54" ref="G465:G484">J465+K465</f>
        <v>93672</v>
      </c>
      <c r="H465" s="759">
        <v>0</v>
      </c>
      <c r="I465" s="759">
        <v>0</v>
      </c>
      <c r="J465" s="759">
        <f aca="true" t="shared" si="55" ref="J465:J504">K465*5</f>
        <v>78060</v>
      </c>
      <c r="K465" s="782">
        <v>15612</v>
      </c>
      <c r="L465" s="759">
        <v>0</v>
      </c>
      <c r="M465" s="782">
        <v>0</v>
      </c>
      <c r="N465" s="758">
        <v>128347179</v>
      </c>
      <c r="O465" s="758">
        <v>128347179</v>
      </c>
      <c r="P465" s="759" t="s">
        <v>1559</v>
      </c>
      <c r="Q465" s="759" t="s">
        <v>1521</v>
      </c>
      <c r="R465" s="759" t="s">
        <v>1099</v>
      </c>
      <c r="S465" s="759" t="s">
        <v>1170</v>
      </c>
      <c r="T465" s="759">
        <f>AA465+Z465+U465</f>
        <v>13072</v>
      </c>
      <c r="U465" s="759">
        <v>100</v>
      </c>
      <c r="V465" s="759">
        <v>0</v>
      </c>
      <c r="W465" s="759">
        <v>0</v>
      </c>
      <c r="X465" s="759">
        <v>0</v>
      </c>
      <c r="Y465" s="759">
        <v>0</v>
      </c>
      <c r="Z465" s="759">
        <f>AA465*5</f>
        <v>10810</v>
      </c>
      <c r="AA465" s="759">
        <v>2162</v>
      </c>
      <c r="AB465" s="759">
        <v>0</v>
      </c>
      <c r="AC465" s="759">
        <v>0</v>
      </c>
      <c r="AD465" s="759">
        <v>0</v>
      </c>
      <c r="AE465" s="759">
        <v>0</v>
      </c>
    </row>
    <row r="466" spans="1:31" ht="15.75">
      <c r="A466" s="758">
        <v>323</v>
      </c>
      <c r="B466" s="759">
        <v>2100623</v>
      </c>
      <c r="C466" s="760">
        <v>41123</v>
      </c>
      <c r="D466" s="759" t="s">
        <v>1380</v>
      </c>
      <c r="E466" s="759" t="s">
        <v>1096</v>
      </c>
      <c r="F466" s="759"/>
      <c r="G466" s="759">
        <f t="shared" si="54"/>
        <v>234360</v>
      </c>
      <c r="H466" s="759">
        <v>0</v>
      </c>
      <c r="I466" s="759">
        <v>0</v>
      </c>
      <c r="J466" s="759">
        <f t="shared" si="55"/>
        <v>195300</v>
      </c>
      <c r="K466" s="782">
        <v>39060</v>
      </c>
      <c r="L466" s="759">
        <v>0</v>
      </c>
      <c r="M466" s="782">
        <v>0</v>
      </c>
      <c r="N466" s="759">
        <v>110161352</v>
      </c>
      <c r="O466" s="759">
        <v>110161352</v>
      </c>
      <c r="P466" s="759" t="s">
        <v>1560</v>
      </c>
      <c r="Q466" s="759" t="s">
        <v>1522</v>
      </c>
      <c r="R466" s="759" t="s">
        <v>1099</v>
      </c>
      <c r="S466" s="759" t="s">
        <v>1100</v>
      </c>
      <c r="T466" s="759">
        <f>AA466+Z466</f>
        <v>15960</v>
      </c>
      <c r="U466" s="759">
        <v>0</v>
      </c>
      <c r="V466" s="759">
        <v>0</v>
      </c>
      <c r="W466" s="759">
        <v>0</v>
      </c>
      <c r="X466" s="759">
        <v>0</v>
      </c>
      <c r="Y466" s="759">
        <v>0</v>
      </c>
      <c r="Z466" s="759">
        <f aca="true" t="shared" si="56" ref="Z466:Z476">AA466*5</f>
        <v>13300</v>
      </c>
      <c r="AA466" s="759">
        <v>2660</v>
      </c>
      <c r="AB466" s="759">
        <v>0</v>
      </c>
      <c r="AC466" s="759">
        <v>0</v>
      </c>
      <c r="AD466" s="759">
        <v>0</v>
      </c>
      <c r="AE466" s="759">
        <v>0</v>
      </c>
    </row>
    <row r="467" spans="1:31" ht="15.75">
      <c r="A467" s="758">
        <v>324</v>
      </c>
      <c r="B467" s="759">
        <v>2100624</v>
      </c>
      <c r="C467" s="760">
        <v>41124</v>
      </c>
      <c r="D467" s="759" t="s">
        <v>1171</v>
      </c>
      <c r="E467" s="759" t="s">
        <v>1096</v>
      </c>
      <c r="F467" s="759" t="s">
        <v>1172</v>
      </c>
      <c r="G467" s="759">
        <f t="shared" si="54"/>
        <v>30000</v>
      </c>
      <c r="H467" s="759">
        <v>0</v>
      </c>
      <c r="I467" s="759">
        <v>0</v>
      </c>
      <c r="J467" s="759">
        <f t="shared" si="55"/>
        <v>25000</v>
      </c>
      <c r="K467" s="782">
        <v>5000</v>
      </c>
      <c r="L467" s="759">
        <v>0</v>
      </c>
      <c r="M467" s="782">
        <v>0</v>
      </c>
      <c r="N467" s="758">
        <v>129469173</v>
      </c>
      <c r="O467" s="758">
        <v>129469173</v>
      </c>
      <c r="P467" s="760" t="s">
        <v>1536</v>
      </c>
      <c r="Q467" s="759" t="s">
        <v>1521</v>
      </c>
      <c r="R467" s="759" t="s">
        <v>1099</v>
      </c>
      <c r="S467" s="759" t="s">
        <v>1170</v>
      </c>
      <c r="T467" s="759">
        <f>AA467+Z467+U467</f>
        <v>16894</v>
      </c>
      <c r="U467" s="759">
        <v>100</v>
      </c>
      <c r="V467" s="759">
        <v>0</v>
      </c>
      <c r="W467" s="759">
        <v>0</v>
      </c>
      <c r="X467" s="759">
        <v>0</v>
      </c>
      <c r="Y467" s="759">
        <v>0</v>
      </c>
      <c r="Z467" s="759">
        <f t="shared" si="56"/>
        <v>13995</v>
      </c>
      <c r="AA467" s="759">
        <v>2799</v>
      </c>
      <c r="AB467" s="759">
        <v>0</v>
      </c>
      <c r="AC467" s="759">
        <v>0</v>
      </c>
      <c r="AD467" s="759">
        <v>0</v>
      </c>
      <c r="AE467" s="759">
        <v>0</v>
      </c>
    </row>
    <row r="468" spans="1:31" ht="15.75">
      <c r="A468" s="758">
        <v>325</v>
      </c>
      <c r="B468" s="759">
        <v>2100625</v>
      </c>
      <c r="C468" s="760">
        <v>41126</v>
      </c>
      <c r="D468" s="759" t="s">
        <v>1380</v>
      </c>
      <c r="E468" s="759" t="s">
        <v>1096</v>
      </c>
      <c r="F468" s="759"/>
      <c r="G468" s="759">
        <f t="shared" si="54"/>
        <v>801660</v>
      </c>
      <c r="H468" s="759">
        <v>0</v>
      </c>
      <c r="I468" s="759">
        <v>0</v>
      </c>
      <c r="J468" s="759">
        <f t="shared" si="55"/>
        <v>668050</v>
      </c>
      <c r="K468" s="782">
        <v>133610</v>
      </c>
      <c r="L468" s="759">
        <v>0</v>
      </c>
      <c r="M468" s="782">
        <v>0</v>
      </c>
      <c r="N468" s="758">
        <v>898</v>
      </c>
      <c r="O468" s="758">
        <v>3938653</v>
      </c>
      <c r="P468" s="760">
        <v>41124</v>
      </c>
      <c r="Q468" s="759" t="s">
        <v>1452</v>
      </c>
      <c r="R468" s="759" t="s">
        <v>1096</v>
      </c>
      <c r="S468" s="759" t="s">
        <v>1430</v>
      </c>
      <c r="T468" s="759">
        <f aca="true" t="shared" si="57" ref="T468:T475">AA468+Z468</f>
        <v>2286126</v>
      </c>
      <c r="U468" s="759">
        <v>0</v>
      </c>
      <c r="V468" s="759">
        <v>0</v>
      </c>
      <c r="W468" s="759">
        <v>0</v>
      </c>
      <c r="X468" s="759">
        <v>0</v>
      </c>
      <c r="Y468" s="759">
        <v>0</v>
      </c>
      <c r="Z468" s="759">
        <f t="shared" si="56"/>
        <v>1905105</v>
      </c>
      <c r="AA468" s="759">
        <v>381021</v>
      </c>
      <c r="AB468" s="759">
        <v>0</v>
      </c>
      <c r="AC468" s="759">
        <v>0</v>
      </c>
      <c r="AD468" s="759">
        <v>0</v>
      </c>
      <c r="AE468" s="759">
        <v>0</v>
      </c>
    </row>
    <row r="469" spans="1:31" ht="15.75">
      <c r="A469" s="758">
        <v>326</v>
      </c>
      <c r="B469" s="759">
        <v>2100626</v>
      </c>
      <c r="C469" s="760">
        <v>41127</v>
      </c>
      <c r="D469" s="759" t="s">
        <v>1530</v>
      </c>
      <c r="E469" s="759" t="s">
        <v>1096</v>
      </c>
      <c r="F469" s="759" t="s">
        <v>1531</v>
      </c>
      <c r="G469" s="759">
        <f t="shared" si="54"/>
        <v>18600</v>
      </c>
      <c r="H469" s="759">
        <v>0</v>
      </c>
      <c r="I469" s="759">
        <v>0</v>
      </c>
      <c r="J469" s="759">
        <f t="shared" si="55"/>
        <v>15500</v>
      </c>
      <c r="K469" s="782">
        <v>3100</v>
      </c>
      <c r="L469" s="759">
        <v>0</v>
      </c>
      <c r="M469" s="782">
        <v>0</v>
      </c>
      <c r="N469" s="758">
        <v>907</v>
      </c>
      <c r="O469" s="759">
        <v>3938662</v>
      </c>
      <c r="P469" s="760">
        <v>41127</v>
      </c>
      <c r="Q469" s="759" t="s">
        <v>1452</v>
      </c>
      <c r="R469" s="759" t="s">
        <v>1096</v>
      </c>
      <c r="S469" s="759" t="s">
        <v>1430</v>
      </c>
      <c r="T469" s="759">
        <f t="shared" si="57"/>
        <v>944694</v>
      </c>
      <c r="U469" s="759">
        <v>0</v>
      </c>
      <c r="V469" s="759">
        <v>0</v>
      </c>
      <c r="W469" s="759">
        <v>0</v>
      </c>
      <c r="X469" s="759">
        <v>0</v>
      </c>
      <c r="Y469" s="759">
        <v>0</v>
      </c>
      <c r="Z469" s="759">
        <f t="shared" si="56"/>
        <v>787245</v>
      </c>
      <c r="AA469" s="759">
        <v>157449</v>
      </c>
      <c r="AB469" s="759">
        <v>0</v>
      </c>
      <c r="AC469" s="759">
        <v>0</v>
      </c>
      <c r="AD469" s="759">
        <v>0</v>
      </c>
      <c r="AE469" s="759">
        <v>0</v>
      </c>
    </row>
    <row r="470" spans="1:31" ht="15.75">
      <c r="A470" s="758">
        <v>327</v>
      </c>
      <c r="B470" s="759">
        <v>2100627</v>
      </c>
      <c r="C470" s="760">
        <v>41127</v>
      </c>
      <c r="D470" s="759" t="s">
        <v>1193</v>
      </c>
      <c r="E470" s="759" t="s">
        <v>1096</v>
      </c>
      <c r="F470" s="759" t="s">
        <v>1266</v>
      </c>
      <c r="G470" s="759">
        <f t="shared" si="54"/>
        <v>37200</v>
      </c>
      <c r="H470" s="759">
        <v>0</v>
      </c>
      <c r="I470" s="759">
        <v>0</v>
      </c>
      <c r="J470" s="759">
        <f t="shared" si="55"/>
        <v>31000</v>
      </c>
      <c r="K470" s="782">
        <v>6200</v>
      </c>
      <c r="L470" s="759">
        <v>0</v>
      </c>
      <c r="M470" s="782">
        <v>0</v>
      </c>
      <c r="N470" s="758">
        <v>922</v>
      </c>
      <c r="O470" s="759">
        <v>3938677</v>
      </c>
      <c r="P470" s="760">
        <v>41128</v>
      </c>
      <c r="Q470" s="759" t="s">
        <v>1452</v>
      </c>
      <c r="R470" s="759" t="s">
        <v>1096</v>
      </c>
      <c r="S470" s="759" t="s">
        <v>1430</v>
      </c>
      <c r="T470" s="759">
        <f t="shared" si="57"/>
        <v>946182</v>
      </c>
      <c r="U470" s="759">
        <v>0</v>
      </c>
      <c r="V470" s="759">
        <v>0</v>
      </c>
      <c r="W470" s="759">
        <v>0</v>
      </c>
      <c r="X470" s="759">
        <v>0</v>
      </c>
      <c r="Y470" s="759">
        <v>0</v>
      </c>
      <c r="Z470" s="759">
        <f t="shared" si="56"/>
        <v>788485</v>
      </c>
      <c r="AA470" s="759">
        <v>157697</v>
      </c>
      <c r="AB470" s="759">
        <v>0</v>
      </c>
      <c r="AC470" s="759">
        <v>0</v>
      </c>
      <c r="AD470" s="759">
        <v>0</v>
      </c>
      <c r="AE470" s="759">
        <v>0</v>
      </c>
    </row>
    <row r="471" spans="1:31" ht="15.75">
      <c r="A471" s="758">
        <v>328</v>
      </c>
      <c r="B471" s="759">
        <v>2100628</v>
      </c>
      <c r="C471" s="760">
        <v>41128</v>
      </c>
      <c r="D471" s="759" t="s">
        <v>1532</v>
      </c>
      <c r="E471" s="759" t="s">
        <v>1096</v>
      </c>
      <c r="F471" s="759" t="s">
        <v>1430</v>
      </c>
      <c r="G471" s="759">
        <f t="shared" si="54"/>
        <v>245214</v>
      </c>
      <c r="H471" s="759">
        <v>0</v>
      </c>
      <c r="I471" s="759">
        <v>0</v>
      </c>
      <c r="J471" s="1107">
        <f t="shared" si="55"/>
        <v>204345</v>
      </c>
      <c r="K471" s="782">
        <v>40869</v>
      </c>
      <c r="L471" s="759">
        <v>0</v>
      </c>
      <c r="M471" s="782">
        <v>0</v>
      </c>
      <c r="N471" s="762">
        <v>41</v>
      </c>
      <c r="O471" s="763">
        <v>4463991</v>
      </c>
      <c r="P471" s="764">
        <v>41129</v>
      </c>
      <c r="Q471" s="759" t="s">
        <v>1476</v>
      </c>
      <c r="R471" s="759" t="s">
        <v>1450</v>
      </c>
      <c r="S471" s="759" t="s">
        <v>1105</v>
      </c>
      <c r="T471" s="763">
        <f t="shared" si="57"/>
        <v>1100562</v>
      </c>
      <c r="U471" s="759">
        <v>0</v>
      </c>
      <c r="V471" s="759">
        <v>0</v>
      </c>
      <c r="W471" s="759">
        <v>0</v>
      </c>
      <c r="X471" s="759">
        <v>0</v>
      </c>
      <c r="Y471" s="759">
        <v>0</v>
      </c>
      <c r="Z471" s="763">
        <f t="shared" si="56"/>
        <v>917135</v>
      </c>
      <c r="AA471" s="763">
        <v>183427</v>
      </c>
      <c r="AB471" s="759">
        <v>0</v>
      </c>
      <c r="AC471" s="759">
        <v>0</v>
      </c>
      <c r="AD471" s="759">
        <v>0</v>
      </c>
      <c r="AE471" s="759">
        <v>0</v>
      </c>
    </row>
    <row r="472" spans="1:31" ht="15.75">
      <c r="A472" s="758">
        <v>329</v>
      </c>
      <c r="B472" s="759">
        <v>2100629</v>
      </c>
      <c r="C472" s="760">
        <v>41129</v>
      </c>
      <c r="D472" s="759" t="s">
        <v>1380</v>
      </c>
      <c r="E472" s="759" t="s">
        <v>1096</v>
      </c>
      <c r="F472" s="759"/>
      <c r="G472" s="759">
        <f t="shared" si="54"/>
        <v>837558</v>
      </c>
      <c r="H472" s="759">
        <v>0</v>
      </c>
      <c r="I472" s="759">
        <v>0</v>
      </c>
      <c r="J472" s="759">
        <f t="shared" si="55"/>
        <v>697965</v>
      </c>
      <c r="K472" s="782">
        <v>139593</v>
      </c>
      <c r="L472" s="759">
        <v>0</v>
      </c>
      <c r="M472" s="782">
        <v>0</v>
      </c>
      <c r="N472" s="1130">
        <v>980</v>
      </c>
      <c r="O472" s="1131">
        <v>3938735</v>
      </c>
      <c r="P472" s="1131" t="s">
        <v>1561</v>
      </c>
      <c r="Q472" s="763" t="s">
        <v>1452</v>
      </c>
      <c r="R472" s="763" t="s">
        <v>1096</v>
      </c>
      <c r="S472" s="763" t="s">
        <v>1430</v>
      </c>
      <c r="T472" s="763">
        <f t="shared" si="57"/>
        <v>950568</v>
      </c>
      <c r="U472" s="759">
        <v>0</v>
      </c>
      <c r="V472" s="759">
        <v>0</v>
      </c>
      <c r="W472" s="759">
        <v>0</v>
      </c>
      <c r="X472" s="759">
        <v>0</v>
      </c>
      <c r="Y472" s="759">
        <v>0</v>
      </c>
      <c r="Z472" s="763">
        <f t="shared" si="56"/>
        <v>792140</v>
      </c>
      <c r="AA472" s="763">
        <v>158428</v>
      </c>
      <c r="AB472" s="759">
        <v>0</v>
      </c>
      <c r="AC472" s="759">
        <v>0</v>
      </c>
      <c r="AD472" s="759">
        <v>0</v>
      </c>
      <c r="AE472" s="759">
        <v>0</v>
      </c>
    </row>
    <row r="473" spans="1:31" ht="15.75">
      <c r="A473" s="758">
        <v>330</v>
      </c>
      <c r="B473" s="759">
        <v>2100630</v>
      </c>
      <c r="C473" s="760">
        <v>41130</v>
      </c>
      <c r="D473" s="759" t="s">
        <v>1118</v>
      </c>
      <c r="E473" s="759" t="s">
        <v>1096</v>
      </c>
      <c r="F473" s="759" t="s">
        <v>1119</v>
      </c>
      <c r="G473" s="759">
        <f t="shared" si="54"/>
        <v>151218</v>
      </c>
      <c r="H473" s="759">
        <v>0</v>
      </c>
      <c r="I473" s="759">
        <v>0</v>
      </c>
      <c r="J473" s="759">
        <f t="shared" si="55"/>
        <v>126015</v>
      </c>
      <c r="K473" s="782">
        <v>25203</v>
      </c>
      <c r="L473" s="759">
        <v>0</v>
      </c>
      <c r="M473" s="782">
        <v>0</v>
      </c>
      <c r="N473" s="762" t="s">
        <v>1562</v>
      </c>
      <c r="O473" s="763">
        <v>4682801</v>
      </c>
      <c r="P473" s="763" t="s">
        <v>1563</v>
      </c>
      <c r="Q473" s="763" t="s">
        <v>1550</v>
      </c>
      <c r="R473" s="763" t="s">
        <v>1099</v>
      </c>
      <c r="S473" s="763" t="s">
        <v>1551</v>
      </c>
      <c r="T473" s="763">
        <f t="shared" si="57"/>
        <v>3821088</v>
      </c>
      <c r="U473" s="759">
        <v>0</v>
      </c>
      <c r="V473" s="759">
        <v>0</v>
      </c>
      <c r="W473" s="759">
        <v>0</v>
      </c>
      <c r="X473" s="759">
        <v>0</v>
      </c>
      <c r="Y473" s="759">
        <v>0</v>
      </c>
      <c r="Z473" s="763">
        <f t="shared" si="56"/>
        <v>3184240</v>
      </c>
      <c r="AA473" s="763">
        <v>636848</v>
      </c>
      <c r="AB473" s="759">
        <v>0</v>
      </c>
      <c r="AC473" s="759">
        <v>0</v>
      </c>
      <c r="AD473" s="759">
        <v>0</v>
      </c>
      <c r="AE473" s="759">
        <v>0</v>
      </c>
    </row>
    <row r="474" spans="1:31" ht="15.75">
      <c r="A474" s="758">
        <v>331</v>
      </c>
      <c r="B474" s="759">
        <v>2100631</v>
      </c>
      <c r="C474" s="760">
        <v>41130</v>
      </c>
      <c r="D474" s="759" t="s">
        <v>1134</v>
      </c>
      <c r="E474" s="759" t="s">
        <v>1096</v>
      </c>
      <c r="F474" s="759" t="s">
        <v>1135</v>
      </c>
      <c r="G474" s="759">
        <f t="shared" si="54"/>
        <v>100068</v>
      </c>
      <c r="H474" s="759">
        <v>0</v>
      </c>
      <c r="I474" s="759">
        <v>0</v>
      </c>
      <c r="J474" s="759">
        <f t="shared" si="55"/>
        <v>83390</v>
      </c>
      <c r="K474" s="782">
        <v>16678</v>
      </c>
      <c r="L474" s="759">
        <v>0</v>
      </c>
      <c r="M474" s="782">
        <v>0</v>
      </c>
      <c r="N474" s="762">
        <v>737</v>
      </c>
      <c r="O474" s="763">
        <v>4695737</v>
      </c>
      <c r="P474" s="763" t="s">
        <v>1564</v>
      </c>
      <c r="Q474" s="763" t="s">
        <v>1215</v>
      </c>
      <c r="R474" s="763" t="s">
        <v>1099</v>
      </c>
      <c r="S474" s="763" t="s">
        <v>1216</v>
      </c>
      <c r="T474" s="763">
        <f t="shared" si="57"/>
        <v>12000</v>
      </c>
      <c r="U474" s="759">
        <v>0</v>
      </c>
      <c r="V474" s="759">
        <v>0</v>
      </c>
      <c r="W474" s="759">
        <v>0</v>
      </c>
      <c r="X474" s="759">
        <v>0</v>
      </c>
      <c r="Y474" s="759">
        <v>0</v>
      </c>
      <c r="Z474" s="763">
        <f t="shared" si="56"/>
        <v>10000</v>
      </c>
      <c r="AA474" s="763">
        <v>2000</v>
      </c>
      <c r="AB474" s="759">
        <v>0</v>
      </c>
      <c r="AC474" s="759">
        <v>0</v>
      </c>
      <c r="AD474" s="759">
        <v>0</v>
      </c>
      <c r="AE474" s="759">
        <v>0</v>
      </c>
    </row>
    <row r="475" spans="1:31" ht="15.75">
      <c r="A475" s="758">
        <v>332</v>
      </c>
      <c r="B475" s="759">
        <v>2100632</v>
      </c>
      <c r="C475" s="760">
        <v>41130</v>
      </c>
      <c r="D475" s="759" t="s">
        <v>1532</v>
      </c>
      <c r="E475" s="759" t="s">
        <v>1096</v>
      </c>
      <c r="F475" s="759" t="s">
        <v>1430</v>
      </c>
      <c r="G475" s="759">
        <f t="shared" si="54"/>
        <v>111738</v>
      </c>
      <c r="H475" s="759">
        <v>0</v>
      </c>
      <c r="I475" s="759">
        <v>0</v>
      </c>
      <c r="J475" s="1107">
        <f t="shared" si="55"/>
        <v>93115</v>
      </c>
      <c r="K475" s="782">
        <v>18623</v>
      </c>
      <c r="L475" s="759">
        <v>0</v>
      </c>
      <c r="M475" s="782">
        <v>0</v>
      </c>
      <c r="N475" s="784">
        <v>1031</v>
      </c>
      <c r="O475" s="785">
        <v>3938786</v>
      </c>
      <c r="P475" s="785" t="s">
        <v>1565</v>
      </c>
      <c r="Q475" s="785" t="s">
        <v>1452</v>
      </c>
      <c r="R475" s="785" t="s">
        <v>1096</v>
      </c>
      <c r="S475" s="785" t="s">
        <v>1430</v>
      </c>
      <c r="T475" s="763">
        <f t="shared" si="57"/>
        <v>2353920</v>
      </c>
      <c r="U475" s="759">
        <v>0</v>
      </c>
      <c r="V475" s="759">
        <v>0</v>
      </c>
      <c r="W475" s="759">
        <v>0</v>
      </c>
      <c r="X475" s="759">
        <v>0</v>
      </c>
      <c r="Y475" s="759">
        <v>0</v>
      </c>
      <c r="Z475" s="763">
        <f t="shared" si="56"/>
        <v>1961600</v>
      </c>
      <c r="AA475" s="763">
        <v>392320</v>
      </c>
      <c r="AB475" s="759">
        <v>0</v>
      </c>
      <c r="AC475" s="759">
        <v>0</v>
      </c>
      <c r="AD475" s="759">
        <v>0</v>
      </c>
      <c r="AE475" s="759">
        <v>0</v>
      </c>
    </row>
    <row r="476" spans="1:31" ht="16.5" thickBot="1">
      <c r="A476" s="758">
        <v>333</v>
      </c>
      <c r="B476" s="759">
        <v>2100633</v>
      </c>
      <c r="C476" s="760">
        <v>41131</v>
      </c>
      <c r="D476" s="759" t="s">
        <v>1533</v>
      </c>
      <c r="E476" s="759" t="s">
        <v>1096</v>
      </c>
      <c r="F476" s="759" t="s">
        <v>1456</v>
      </c>
      <c r="G476" s="759">
        <f t="shared" si="54"/>
        <v>27900</v>
      </c>
      <c r="H476" s="759">
        <v>0</v>
      </c>
      <c r="I476" s="759">
        <v>0</v>
      </c>
      <c r="J476" s="759">
        <f t="shared" si="55"/>
        <v>23250</v>
      </c>
      <c r="K476" s="782">
        <v>4650</v>
      </c>
      <c r="L476" s="759">
        <v>0</v>
      </c>
      <c r="M476" s="782">
        <v>0</v>
      </c>
      <c r="N476" s="784">
        <v>35</v>
      </c>
      <c r="O476" s="785">
        <v>1612640</v>
      </c>
      <c r="P476" s="785" t="s">
        <v>1565</v>
      </c>
      <c r="Q476" s="785" t="s">
        <v>1264</v>
      </c>
      <c r="R476" s="785" t="s">
        <v>1096</v>
      </c>
      <c r="S476" s="785" t="s">
        <v>1265</v>
      </c>
      <c r="T476" s="763">
        <f>AA476+Z476</f>
        <v>1083882</v>
      </c>
      <c r="U476" s="759">
        <v>0</v>
      </c>
      <c r="V476" s="759">
        <v>0</v>
      </c>
      <c r="W476" s="759">
        <v>0</v>
      </c>
      <c r="X476" s="759">
        <v>0</v>
      </c>
      <c r="Y476" s="759">
        <v>0</v>
      </c>
      <c r="Z476" s="763">
        <f t="shared" si="56"/>
        <v>903235</v>
      </c>
      <c r="AA476" s="763">
        <v>180647</v>
      </c>
      <c r="AB476" s="759">
        <v>0</v>
      </c>
      <c r="AC476" s="759">
        <v>0</v>
      </c>
      <c r="AD476" s="759">
        <v>0</v>
      </c>
      <c r="AE476" s="759">
        <v>0</v>
      </c>
    </row>
    <row r="477" spans="1:31" ht="16.5" thickBot="1">
      <c r="A477" s="758">
        <v>334</v>
      </c>
      <c r="B477" s="759">
        <v>2100634</v>
      </c>
      <c r="C477" s="760">
        <v>41133</v>
      </c>
      <c r="D477" s="759" t="s">
        <v>1380</v>
      </c>
      <c r="E477" s="759" t="s">
        <v>1096</v>
      </c>
      <c r="F477" s="759"/>
      <c r="G477" s="759">
        <f t="shared" si="54"/>
        <v>956040</v>
      </c>
      <c r="H477" s="759">
        <v>0</v>
      </c>
      <c r="I477" s="759">
        <v>0</v>
      </c>
      <c r="J477" s="759">
        <f t="shared" si="55"/>
        <v>796700</v>
      </c>
      <c r="K477" s="782">
        <v>159340</v>
      </c>
      <c r="L477" s="759">
        <v>0</v>
      </c>
      <c r="M477" s="782">
        <v>0</v>
      </c>
      <c r="N477" s="1389" t="s">
        <v>822</v>
      </c>
      <c r="O477" s="1390"/>
      <c r="P477" s="1390"/>
      <c r="Q477" s="1390"/>
      <c r="R477" s="1390"/>
      <c r="S477" s="1391"/>
      <c r="T477" s="1016">
        <f>SUM(T465:T476)</f>
        <v>13544948</v>
      </c>
      <c r="U477" s="1016">
        <f aca="true" t="shared" si="58" ref="U477:AE477">SUM(U465:U476)</f>
        <v>200</v>
      </c>
      <c r="V477" s="1016">
        <f t="shared" si="58"/>
        <v>0</v>
      </c>
      <c r="W477" s="1016">
        <f t="shared" si="58"/>
        <v>0</v>
      </c>
      <c r="X477" s="1016">
        <f t="shared" si="58"/>
        <v>0</v>
      </c>
      <c r="Y477" s="1016">
        <f t="shared" si="58"/>
        <v>0</v>
      </c>
      <c r="Z477" s="1016">
        <f t="shared" si="58"/>
        <v>11287290</v>
      </c>
      <c r="AA477" s="1016">
        <f t="shared" si="58"/>
        <v>2257458</v>
      </c>
      <c r="AB477" s="1016">
        <f t="shared" si="58"/>
        <v>0</v>
      </c>
      <c r="AC477" s="1016">
        <f t="shared" si="58"/>
        <v>0</v>
      </c>
      <c r="AD477" s="1016">
        <f t="shared" si="58"/>
        <v>0</v>
      </c>
      <c r="AE477" s="1016">
        <f t="shared" si="58"/>
        <v>0</v>
      </c>
    </row>
    <row r="478" spans="1:31" ht="16.5" thickBot="1">
      <c r="A478" s="758">
        <v>335</v>
      </c>
      <c r="B478" s="759">
        <v>2100635</v>
      </c>
      <c r="C478" s="760">
        <v>41133</v>
      </c>
      <c r="D478" s="759" t="s">
        <v>1532</v>
      </c>
      <c r="E478" s="759" t="s">
        <v>1096</v>
      </c>
      <c r="F478" s="759" t="s">
        <v>1430</v>
      </c>
      <c r="G478" s="759">
        <f t="shared" si="54"/>
        <v>119544</v>
      </c>
      <c r="H478" s="759">
        <v>0</v>
      </c>
      <c r="I478" s="759">
        <v>0</v>
      </c>
      <c r="J478" s="1107">
        <f t="shared" si="55"/>
        <v>99620</v>
      </c>
      <c r="K478" s="782">
        <v>19924</v>
      </c>
      <c r="L478" s="759">
        <v>0</v>
      </c>
      <c r="M478" s="782">
        <v>0</v>
      </c>
      <c r="N478" s="1392" t="s">
        <v>823</v>
      </c>
      <c r="O478" s="1393"/>
      <c r="P478" s="1393"/>
      <c r="Q478" s="1393"/>
      <c r="R478" s="1393"/>
      <c r="S478" s="1393"/>
      <c r="T478" s="1393"/>
      <c r="U478" s="781" t="s">
        <v>830</v>
      </c>
      <c r="V478" s="781" t="s">
        <v>831</v>
      </c>
      <c r="W478" s="781" t="s">
        <v>832</v>
      </c>
      <c r="X478" s="781" t="s">
        <v>833</v>
      </c>
      <c r="Y478" s="781" t="s">
        <v>834</v>
      </c>
      <c r="Z478" s="781" t="s">
        <v>849</v>
      </c>
      <c r="AA478" s="781" t="s">
        <v>850</v>
      </c>
      <c r="AB478" s="781" t="s">
        <v>851</v>
      </c>
      <c r="AC478" s="781" t="s">
        <v>852</v>
      </c>
      <c r="AD478" s="781" t="s">
        <v>853</v>
      </c>
      <c r="AE478" s="766" t="s">
        <v>854</v>
      </c>
    </row>
    <row r="479" spans="1:31" ht="15.75">
      <c r="A479" s="758">
        <v>336</v>
      </c>
      <c r="B479" s="759">
        <v>2100636</v>
      </c>
      <c r="C479" s="759" t="s">
        <v>1534</v>
      </c>
      <c r="D479" s="759" t="s">
        <v>1471</v>
      </c>
      <c r="E479" s="759" t="s">
        <v>1096</v>
      </c>
      <c r="F479" s="1129" t="s">
        <v>1164</v>
      </c>
      <c r="G479" s="759">
        <f t="shared" si="54"/>
        <v>82002</v>
      </c>
      <c r="H479" s="759">
        <v>0</v>
      </c>
      <c r="I479" s="759">
        <v>0</v>
      </c>
      <c r="J479" s="759">
        <f t="shared" si="55"/>
        <v>68335</v>
      </c>
      <c r="K479" s="782">
        <v>13667</v>
      </c>
      <c r="L479" s="759">
        <v>0</v>
      </c>
      <c r="M479" s="782">
        <v>0</v>
      </c>
      <c r="N479" s="731"/>
      <c r="O479" s="731"/>
      <c r="P479" s="731"/>
      <c r="Q479" s="731"/>
      <c r="R479" s="731"/>
      <c r="S479" s="731"/>
      <c r="T479" s="731"/>
      <c r="U479" s="731"/>
      <c r="V479" s="731"/>
      <c r="W479" s="731"/>
      <c r="X479" s="731"/>
      <c r="Y479" s="731"/>
      <c r="Z479" s="731"/>
      <c r="AA479" s="731"/>
      <c r="AB479" s="731"/>
      <c r="AC479" s="731"/>
      <c r="AD479" s="731"/>
      <c r="AE479" s="731"/>
    </row>
    <row r="480" spans="1:31" ht="15.75">
      <c r="A480" s="758">
        <v>337</v>
      </c>
      <c r="B480" s="759">
        <v>2100637</v>
      </c>
      <c r="C480" s="759" t="s">
        <v>1535</v>
      </c>
      <c r="D480" s="759" t="s">
        <v>1152</v>
      </c>
      <c r="E480" s="759" t="s">
        <v>1096</v>
      </c>
      <c r="F480" s="759" t="s">
        <v>1153</v>
      </c>
      <c r="G480" s="759">
        <f t="shared" si="54"/>
        <v>457680</v>
      </c>
      <c r="H480" s="759">
        <v>0</v>
      </c>
      <c r="I480" s="759">
        <v>0</v>
      </c>
      <c r="J480" s="759">
        <f t="shared" si="55"/>
        <v>381400</v>
      </c>
      <c r="K480" s="782">
        <v>76280</v>
      </c>
      <c r="L480" s="759">
        <v>0</v>
      </c>
      <c r="M480" s="782">
        <v>0</v>
      </c>
      <c r="N480" s="731"/>
      <c r="O480" s="731"/>
      <c r="P480" s="731"/>
      <c r="Q480" s="731"/>
      <c r="R480" s="731"/>
      <c r="S480" s="731"/>
      <c r="T480" s="731"/>
      <c r="U480" s="731"/>
      <c r="V480" s="731"/>
      <c r="W480" s="731"/>
      <c r="X480" s="731"/>
      <c r="Y480" s="731"/>
      <c r="Z480" s="731"/>
      <c r="AA480" s="731"/>
      <c r="AB480" s="731"/>
      <c r="AC480" s="731"/>
      <c r="AD480" s="731"/>
      <c r="AE480" s="731"/>
    </row>
    <row r="481" spans="1:31" ht="15.75">
      <c r="A481" s="758">
        <v>368</v>
      </c>
      <c r="B481" s="759">
        <v>2100638</v>
      </c>
      <c r="C481" s="759" t="s">
        <v>1535</v>
      </c>
      <c r="D481" s="759" t="s">
        <v>1137</v>
      </c>
      <c r="E481" s="759" t="s">
        <v>1096</v>
      </c>
      <c r="F481" s="759" t="s">
        <v>1138</v>
      </c>
      <c r="G481" s="759">
        <f t="shared" si="54"/>
        <v>28122</v>
      </c>
      <c r="H481" s="759">
        <v>0</v>
      </c>
      <c r="I481" s="759">
        <v>0</v>
      </c>
      <c r="J481" s="759">
        <f t="shared" si="55"/>
        <v>23435</v>
      </c>
      <c r="K481" s="782">
        <v>4687</v>
      </c>
      <c r="L481" s="759">
        <v>0</v>
      </c>
      <c r="M481" s="782">
        <v>0</v>
      </c>
      <c r="N481" s="731" t="s">
        <v>856</v>
      </c>
      <c r="O481" s="731"/>
      <c r="P481" s="731"/>
      <c r="Q481" s="731"/>
      <c r="R481" s="731"/>
      <c r="S481" s="731"/>
      <c r="T481" s="731"/>
      <c r="U481" s="731"/>
      <c r="V481" s="731"/>
      <c r="W481" s="731"/>
      <c r="X481" s="731"/>
      <c r="Y481" s="731"/>
      <c r="Z481" s="731"/>
      <c r="AA481" s="731"/>
      <c r="AB481" s="731"/>
      <c r="AC481" s="731"/>
      <c r="AD481" s="1017" t="s">
        <v>1120</v>
      </c>
      <c r="AE481" s="731"/>
    </row>
    <row r="482" spans="1:31" ht="15.75">
      <c r="A482" s="758">
        <v>339</v>
      </c>
      <c r="B482" s="759">
        <v>2100639</v>
      </c>
      <c r="C482" s="759" t="s">
        <v>1536</v>
      </c>
      <c r="D482" s="759" t="s">
        <v>1537</v>
      </c>
      <c r="E482" s="759" t="s">
        <v>1096</v>
      </c>
      <c r="F482" s="759" t="s">
        <v>1231</v>
      </c>
      <c r="G482" s="759">
        <f t="shared" si="54"/>
        <v>64602</v>
      </c>
      <c r="H482" s="759">
        <v>0</v>
      </c>
      <c r="I482" s="759">
        <v>0</v>
      </c>
      <c r="J482" s="759">
        <f t="shared" si="55"/>
        <v>53835</v>
      </c>
      <c r="K482" s="782">
        <v>10767</v>
      </c>
      <c r="L482" s="759">
        <v>0</v>
      </c>
      <c r="M482" s="782">
        <v>0</v>
      </c>
      <c r="N482" s="731" t="s">
        <v>848</v>
      </c>
      <c r="O482" s="731"/>
      <c r="P482" s="731"/>
      <c r="Q482" s="731"/>
      <c r="R482" s="731"/>
      <c r="S482" s="731"/>
      <c r="T482" s="731"/>
      <c r="U482" s="731"/>
      <c r="V482" s="731"/>
      <c r="W482" s="731"/>
      <c r="X482" s="731"/>
      <c r="Y482" s="731"/>
      <c r="Z482" s="731"/>
      <c r="AA482" s="731"/>
      <c r="AB482" s="731"/>
      <c r="AC482" s="731"/>
      <c r="AD482" s="731" t="s">
        <v>1122</v>
      </c>
      <c r="AE482" s="731"/>
    </row>
    <row r="483" spans="1:31" ht="15.75">
      <c r="A483" s="758">
        <v>340</v>
      </c>
      <c r="B483" s="759">
        <v>2100640</v>
      </c>
      <c r="C483" s="759" t="s">
        <v>1538</v>
      </c>
      <c r="D483" s="759" t="s">
        <v>1281</v>
      </c>
      <c r="E483" s="759" t="s">
        <v>1096</v>
      </c>
      <c r="F483" s="759" t="s">
        <v>1282</v>
      </c>
      <c r="G483" s="759">
        <f t="shared" si="54"/>
        <v>31962</v>
      </c>
      <c r="H483" s="759">
        <v>0</v>
      </c>
      <c r="I483" s="759">
        <v>0</v>
      </c>
      <c r="J483" s="759">
        <f t="shared" si="55"/>
        <v>26635</v>
      </c>
      <c r="K483" s="782">
        <v>5327</v>
      </c>
      <c r="L483" s="759">
        <v>0</v>
      </c>
      <c r="M483" s="782">
        <v>0</v>
      </c>
      <c r="N483" s="731" t="s">
        <v>855</v>
      </c>
      <c r="O483" s="731"/>
      <c r="P483" s="731"/>
      <c r="Q483" s="731"/>
      <c r="R483" s="731"/>
      <c r="S483" s="731"/>
      <c r="T483" s="731"/>
      <c r="U483" s="731"/>
      <c r="V483" s="731"/>
      <c r="W483" s="731"/>
      <c r="X483" s="731"/>
      <c r="Y483" s="731"/>
      <c r="Z483" s="731"/>
      <c r="AA483" s="731"/>
      <c r="AB483" s="731"/>
      <c r="AC483" s="731"/>
      <c r="AD483" s="731"/>
      <c r="AE483" s="731"/>
    </row>
    <row r="484" spans="1:31" ht="15.75">
      <c r="A484" s="758">
        <v>341</v>
      </c>
      <c r="B484" s="763">
        <v>2100641</v>
      </c>
      <c r="C484" s="763" t="s">
        <v>1538</v>
      </c>
      <c r="D484" s="763" t="s">
        <v>1380</v>
      </c>
      <c r="E484" s="763" t="s">
        <v>1096</v>
      </c>
      <c r="F484" s="763"/>
      <c r="G484" s="763">
        <f t="shared" si="54"/>
        <v>995718</v>
      </c>
      <c r="H484" s="763">
        <v>0</v>
      </c>
      <c r="I484" s="763">
        <v>0</v>
      </c>
      <c r="J484" s="763">
        <f t="shared" si="55"/>
        <v>829765</v>
      </c>
      <c r="K484" s="783">
        <v>165953</v>
      </c>
      <c r="L484" s="763">
        <v>0</v>
      </c>
      <c r="M484" s="783">
        <v>0</v>
      </c>
      <c r="O484" s="731"/>
      <c r="P484" s="731"/>
      <c r="Q484" s="731"/>
      <c r="R484" s="731"/>
      <c r="S484" s="731"/>
      <c r="T484" s="731"/>
      <c r="U484" s="731"/>
      <c r="V484" s="731"/>
      <c r="W484" s="731"/>
      <c r="X484" s="731"/>
      <c r="Y484" s="731"/>
      <c r="Z484" s="731"/>
      <c r="AA484" s="731"/>
      <c r="AB484" s="731"/>
      <c r="AC484" s="731"/>
      <c r="AD484" s="731"/>
      <c r="AE484" s="731"/>
    </row>
    <row r="485" spans="1:15" ht="15.75">
      <c r="A485" s="758">
        <v>342</v>
      </c>
      <c r="B485" s="763">
        <v>2100642</v>
      </c>
      <c r="C485" s="763" t="s">
        <v>1539</v>
      </c>
      <c r="D485" s="763" t="s">
        <v>1540</v>
      </c>
      <c r="E485" s="763" t="s">
        <v>1099</v>
      </c>
      <c r="F485" s="763" t="s">
        <v>1541</v>
      </c>
      <c r="G485" s="763">
        <f aca="true" t="shared" si="59" ref="G485:G490">K485+J485</f>
        <v>206802</v>
      </c>
      <c r="H485" s="763">
        <v>0</v>
      </c>
      <c r="I485" s="763">
        <v>0</v>
      </c>
      <c r="J485" s="763">
        <f t="shared" si="55"/>
        <v>172335</v>
      </c>
      <c r="K485" s="783">
        <v>34467</v>
      </c>
      <c r="L485" s="763">
        <v>0</v>
      </c>
      <c r="M485" s="783">
        <v>0</v>
      </c>
      <c r="O485"/>
    </row>
    <row r="486" spans="1:13" ht="15.75">
      <c r="A486" s="758">
        <v>343</v>
      </c>
      <c r="B486" s="763">
        <v>2100643</v>
      </c>
      <c r="C486" s="763" t="s">
        <v>1542</v>
      </c>
      <c r="D486" s="763" t="s">
        <v>1128</v>
      </c>
      <c r="E486" s="763" t="s">
        <v>1096</v>
      </c>
      <c r="F486" s="763" t="s">
        <v>1129</v>
      </c>
      <c r="G486" s="763">
        <f t="shared" si="59"/>
        <v>19200</v>
      </c>
      <c r="H486" s="763">
        <v>0</v>
      </c>
      <c r="I486" s="763">
        <v>0</v>
      </c>
      <c r="J486" s="763">
        <f t="shared" si="55"/>
        <v>16000</v>
      </c>
      <c r="K486" s="783">
        <v>3200</v>
      </c>
      <c r="L486" s="763">
        <v>0</v>
      </c>
      <c r="M486" s="783">
        <v>0</v>
      </c>
    </row>
    <row r="487" spans="1:13" ht="15.75">
      <c r="A487" s="758">
        <v>344</v>
      </c>
      <c r="B487" s="763">
        <v>2100644</v>
      </c>
      <c r="C487" s="763" t="s">
        <v>1543</v>
      </c>
      <c r="D487" s="763" t="s">
        <v>1126</v>
      </c>
      <c r="E487" s="763" t="s">
        <v>1096</v>
      </c>
      <c r="F487" s="763" t="s">
        <v>1127</v>
      </c>
      <c r="G487" s="763">
        <f t="shared" si="59"/>
        <v>114000</v>
      </c>
      <c r="H487" s="763">
        <v>0</v>
      </c>
      <c r="I487" s="763">
        <v>0</v>
      </c>
      <c r="J487" s="763">
        <f t="shared" si="55"/>
        <v>95000</v>
      </c>
      <c r="K487" s="783">
        <v>19000</v>
      </c>
      <c r="L487" s="763">
        <v>0</v>
      </c>
      <c r="M487" s="783">
        <v>0</v>
      </c>
    </row>
    <row r="488" spans="1:13" ht="15.75">
      <c r="A488" s="758">
        <v>345</v>
      </c>
      <c r="B488" s="763">
        <v>2100645</v>
      </c>
      <c r="C488" s="763" t="s">
        <v>1544</v>
      </c>
      <c r="D488" s="763" t="s">
        <v>1487</v>
      </c>
      <c r="E488" s="763" t="s">
        <v>1104</v>
      </c>
      <c r="F488" s="763" t="s">
        <v>1105</v>
      </c>
      <c r="G488" s="763">
        <f t="shared" si="59"/>
        <v>89232</v>
      </c>
      <c r="H488" s="763">
        <v>0</v>
      </c>
      <c r="I488" s="763">
        <v>0</v>
      </c>
      <c r="J488" s="1108">
        <f t="shared" si="55"/>
        <v>74360</v>
      </c>
      <c r="K488" s="783">
        <v>14872</v>
      </c>
      <c r="L488" s="763">
        <v>0</v>
      </c>
      <c r="M488" s="783">
        <v>0</v>
      </c>
    </row>
    <row r="489" spans="1:13" ht="15.75">
      <c r="A489" s="758">
        <v>346</v>
      </c>
      <c r="B489" s="763">
        <v>2100646</v>
      </c>
      <c r="C489" s="763" t="s">
        <v>1544</v>
      </c>
      <c r="D489" s="763" t="s">
        <v>1101</v>
      </c>
      <c r="E489" s="763" t="s">
        <v>1096</v>
      </c>
      <c r="F489" s="763" t="s">
        <v>1102</v>
      </c>
      <c r="G489" s="763">
        <f t="shared" si="59"/>
        <v>59850</v>
      </c>
      <c r="H489" s="763">
        <v>0</v>
      </c>
      <c r="I489" s="763">
        <v>0</v>
      </c>
      <c r="J489" s="763">
        <f t="shared" si="55"/>
        <v>49875</v>
      </c>
      <c r="K489" s="783">
        <v>9975</v>
      </c>
      <c r="L489" s="763">
        <v>0</v>
      </c>
      <c r="M489" s="783">
        <v>0</v>
      </c>
    </row>
    <row r="490" spans="1:13" ht="15.75">
      <c r="A490" s="758">
        <v>347</v>
      </c>
      <c r="B490" s="763">
        <v>2100647</v>
      </c>
      <c r="C490" s="763" t="s">
        <v>1545</v>
      </c>
      <c r="D490" s="763" t="s">
        <v>1380</v>
      </c>
      <c r="E490" s="763" t="s">
        <v>1096</v>
      </c>
      <c r="F490" s="763"/>
      <c r="G490" s="763">
        <f t="shared" si="59"/>
        <v>970278</v>
      </c>
      <c r="H490" s="763">
        <v>0</v>
      </c>
      <c r="I490" s="763">
        <v>0</v>
      </c>
      <c r="J490" s="763">
        <f t="shared" si="55"/>
        <v>808565</v>
      </c>
      <c r="K490" s="783">
        <v>161713</v>
      </c>
      <c r="L490" s="763">
        <v>0</v>
      </c>
      <c r="M490" s="783">
        <v>0</v>
      </c>
    </row>
    <row r="491" spans="1:13" ht="15.75">
      <c r="A491" s="758">
        <v>348</v>
      </c>
      <c r="B491" s="763">
        <v>2100648</v>
      </c>
      <c r="C491" s="763" t="s">
        <v>1546</v>
      </c>
      <c r="D491" s="763" t="s">
        <v>1199</v>
      </c>
      <c r="E491" s="763" t="s">
        <v>1096</v>
      </c>
      <c r="F491" s="763" t="s">
        <v>1200</v>
      </c>
      <c r="G491" s="763">
        <f>J491+K491</f>
        <v>564000</v>
      </c>
      <c r="H491" s="763">
        <v>0</v>
      </c>
      <c r="I491" s="763">
        <v>0</v>
      </c>
      <c r="J491" s="763">
        <f t="shared" si="55"/>
        <v>470000</v>
      </c>
      <c r="K491" s="783">
        <v>94000</v>
      </c>
      <c r="L491" s="763">
        <v>0</v>
      </c>
      <c r="M491" s="783">
        <v>0</v>
      </c>
    </row>
    <row r="492" spans="1:13" ht="15.75">
      <c r="A492" s="758">
        <v>349</v>
      </c>
      <c r="B492" s="763">
        <v>2100649</v>
      </c>
      <c r="C492" s="763" t="s">
        <v>1546</v>
      </c>
      <c r="D492" s="763" t="s">
        <v>1128</v>
      </c>
      <c r="E492" s="763" t="s">
        <v>1096</v>
      </c>
      <c r="F492" s="763" t="s">
        <v>1129</v>
      </c>
      <c r="G492" s="763">
        <f>J492+K492</f>
        <v>28500</v>
      </c>
      <c r="H492" s="763">
        <v>0</v>
      </c>
      <c r="I492" s="763">
        <v>0</v>
      </c>
      <c r="J492" s="763">
        <f t="shared" si="55"/>
        <v>23750</v>
      </c>
      <c r="K492" s="783">
        <v>4750</v>
      </c>
      <c r="L492" s="763">
        <v>0</v>
      </c>
      <c r="M492" s="783">
        <v>0</v>
      </c>
    </row>
    <row r="493" spans="1:13" ht="15.75">
      <c r="A493" s="758">
        <v>350</v>
      </c>
      <c r="B493" s="763">
        <v>2100650</v>
      </c>
      <c r="C493" s="763" t="s">
        <v>1547</v>
      </c>
      <c r="D493" s="763" t="s">
        <v>1203</v>
      </c>
      <c r="E493" s="763" t="s">
        <v>1096</v>
      </c>
      <c r="F493" s="763" t="s">
        <v>1204</v>
      </c>
      <c r="G493" s="763">
        <f>K493+J493</f>
        <v>26028</v>
      </c>
      <c r="H493" s="763">
        <v>0</v>
      </c>
      <c r="I493" s="763">
        <v>0</v>
      </c>
      <c r="J493" s="763">
        <f t="shared" si="55"/>
        <v>21690</v>
      </c>
      <c r="K493" s="783">
        <v>4338</v>
      </c>
      <c r="L493" s="763">
        <v>0</v>
      </c>
      <c r="M493" s="783">
        <v>0</v>
      </c>
    </row>
    <row r="494" spans="1:13" ht="15.75">
      <c r="A494" s="758">
        <v>351</v>
      </c>
      <c r="B494" s="763">
        <v>2100651</v>
      </c>
      <c r="C494" s="763" t="s">
        <v>1547</v>
      </c>
      <c r="D494" s="763" t="s">
        <v>1532</v>
      </c>
      <c r="E494" s="763" t="s">
        <v>1096</v>
      </c>
      <c r="F494" s="763" t="s">
        <v>1430</v>
      </c>
      <c r="G494" s="763">
        <f aca="true" t="shared" si="60" ref="G494:G504">J494+K494</f>
        <v>100062</v>
      </c>
      <c r="H494" s="763">
        <v>0</v>
      </c>
      <c r="I494" s="763">
        <v>0</v>
      </c>
      <c r="J494" s="1108">
        <f t="shared" si="55"/>
        <v>83385</v>
      </c>
      <c r="K494" s="783">
        <v>16677</v>
      </c>
      <c r="L494" s="763">
        <v>0</v>
      </c>
      <c r="M494" s="783">
        <v>0</v>
      </c>
    </row>
    <row r="495" spans="1:13" ht="15.75">
      <c r="A495" s="758">
        <v>352</v>
      </c>
      <c r="B495" s="763">
        <v>2100625</v>
      </c>
      <c r="C495" s="763" t="s">
        <v>1548</v>
      </c>
      <c r="D495" s="763" t="s">
        <v>1114</v>
      </c>
      <c r="E495" s="763" t="s">
        <v>1115</v>
      </c>
      <c r="F495" s="763" t="s">
        <v>1116</v>
      </c>
      <c r="G495" s="763">
        <f t="shared" si="60"/>
        <v>55002</v>
      </c>
      <c r="H495" s="763">
        <v>0</v>
      </c>
      <c r="I495" s="763">
        <v>0</v>
      </c>
      <c r="J495" s="763">
        <f t="shared" si="55"/>
        <v>45835</v>
      </c>
      <c r="K495" s="783">
        <v>9167</v>
      </c>
      <c r="L495" s="763">
        <v>0</v>
      </c>
      <c r="M495" s="783">
        <v>0</v>
      </c>
    </row>
    <row r="496" spans="1:13" ht="15.75">
      <c r="A496" s="758">
        <v>353</v>
      </c>
      <c r="B496" s="763">
        <v>2100653</v>
      </c>
      <c r="C496" s="763" t="s">
        <v>1549</v>
      </c>
      <c r="D496" s="763" t="s">
        <v>1550</v>
      </c>
      <c r="E496" s="763" t="s">
        <v>1261</v>
      </c>
      <c r="F496" s="763" t="s">
        <v>1551</v>
      </c>
      <c r="G496" s="763">
        <f t="shared" si="60"/>
        <v>341886</v>
      </c>
      <c r="H496" s="763">
        <v>0</v>
      </c>
      <c r="I496" s="763">
        <v>0</v>
      </c>
      <c r="J496" s="1108">
        <f t="shared" si="55"/>
        <v>284905</v>
      </c>
      <c r="K496" s="783">
        <v>56981</v>
      </c>
      <c r="L496" s="763">
        <v>0</v>
      </c>
      <c r="M496" s="783">
        <v>0</v>
      </c>
    </row>
    <row r="497" spans="1:13" ht="15.75">
      <c r="A497" s="758">
        <v>354</v>
      </c>
      <c r="B497" s="763">
        <v>2100654</v>
      </c>
      <c r="C497" s="763" t="s">
        <v>1552</v>
      </c>
      <c r="D497" s="763" t="s">
        <v>1380</v>
      </c>
      <c r="E497" s="763" t="s">
        <v>1096</v>
      </c>
      <c r="F497" s="763"/>
      <c r="G497" s="763">
        <f t="shared" si="60"/>
        <v>1034478</v>
      </c>
      <c r="H497" s="763">
        <v>0</v>
      </c>
      <c r="I497" s="763">
        <v>0</v>
      </c>
      <c r="J497" s="763">
        <f t="shared" si="55"/>
        <v>862065</v>
      </c>
      <c r="K497" s="783">
        <v>172413</v>
      </c>
      <c r="L497" s="763">
        <v>0</v>
      </c>
      <c r="M497" s="783">
        <v>0</v>
      </c>
    </row>
    <row r="498" spans="1:13" ht="15.75">
      <c r="A498" s="758">
        <v>355</v>
      </c>
      <c r="B498" s="763">
        <v>2100655</v>
      </c>
      <c r="C498" s="763" t="s">
        <v>1553</v>
      </c>
      <c r="D498" s="763" t="s">
        <v>1161</v>
      </c>
      <c r="E498" s="763" t="s">
        <v>1096</v>
      </c>
      <c r="F498" s="763" t="s">
        <v>1162</v>
      </c>
      <c r="G498" s="763">
        <f t="shared" si="60"/>
        <v>110520</v>
      </c>
      <c r="H498" s="763">
        <v>0</v>
      </c>
      <c r="I498" s="763">
        <v>0</v>
      </c>
      <c r="J498" s="763">
        <f t="shared" si="55"/>
        <v>92100</v>
      </c>
      <c r="K498" s="783">
        <v>18420</v>
      </c>
      <c r="L498" s="763">
        <v>0</v>
      </c>
      <c r="M498" s="783">
        <v>0</v>
      </c>
    </row>
    <row r="499" spans="1:13" ht="15.75">
      <c r="A499" s="758">
        <v>356</v>
      </c>
      <c r="B499" s="763">
        <v>2100656</v>
      </c>
      <c r="C499" s="763" t="s">
        <v>1553</v>
      </c>
      <c r="D499" s="763" t="s">
        <v>1554</v>
      </c>
      <c r="E499" s="763" t="s">
        <v>1096</v>
      </c>
      <c r="F499" s="763" t="s">
        <v>1396</v>
      </c>
      <c r="G499" s="763">
        <f t="shared" si="60"/>
        <v>28500</v>
      </c>
      <c r="H499" s="763">
        <v>0</v>
      </c>
      <c r="I499" s="763">
        <v>0</v>
      </c>
      <c r="J499" s="763">
        <f t="shared" si="55"/>
        <v>23750</v>
      </c>
      <c r="K499" s="783">
        <v>4750</v>
      </c>
      <c r="L499" s="763">
        <v>0</v>
      </c>
      <c r="M499" s="783">
        <v>0</v>
      </c>
    </row>
    <row r="500" spans="1:13" ht="15.75">
      <c r="A500" s="758">
        <v>357</v>
      </c>
      <c r="B500" s="763">
        <v>2100657</v>
      </c>
      <c r="C500" s="763" t="s">
        <v>1555</v>
      </c>
      <c r="D500" s="763" t="s">
        <v>1063</v>
      </c>
      <c r="E500" s="763" t="s">
        <v>1096</v>
      </c>
      <c r="F500" s="763" t="s">
        <v>1150</v>
      </c>
      <c r="G500" s="763">
        <f t="shared" si="60"/>
        <v>29862</v>
      </c>
      <c r="H500" s="763">
        <v>0</v>
      </c>
      <c r="I500" s="763">
        <v>0</v>
      </c>
      <c r="J500" s="763">
        <f t="shared" si="55"/>
        <v>24885</v>
      </c>
      <c r="K500" s="783">
        <v>4977</v>
      </c>
      <c r="L500" s="763">
        <v>0</v>
      </c>
      <c r="M500" s="783">
        <v>0</v>
      </c>
    </row>
    <row r="501" spans="1:13" ht="15.75">
      <c r="A501" s="758">
        <v>358</v>
      </c>
      <c r="B501" s="763">
        <v>2100658</v>
      </c>
      <c r="C501" s="763" t="s">
        <v>1556</v>
      </c>
      <c r="D501" s="763" t="s">
        <v>1380</v>
      </c>
      <c r="E501" s="763" t="s">
        <v>1096</v>
      </c>
      <c r="F501" s="763"/>
      <c r="G501" s="763">
        <f t="shared" si="60"/>
        <v>1129860</v>
      </c>
      <c r="H501" s="763">
        <v>0</v>
      </c>
      <c r="I501" s="763">
        <v>0</v>
      </c>
      <c r="J501" s="763">
        <f t="shared" si="55"/>
        <v>941550</v>
      </c>
      <c r="K501" s="783">
        <v>188310</v>
      </c>
      <c r="L501" s="763">
        <v>0</v>
      </c>
      <c r="M501" s="783">
        <v>0</v>
      </c>
    </row>
    <row r="502" spans="1:13" ht="15.75">
      <c r="A502" s="758">
        <v>359</v>
      </c>
      <c r="B502" s="763">
        <v>2100659</v>
      </c>
      <c r="C502" s="763" t="s">
        <v>1557</v>
      </c>
      <c r="D502" s="763" t="s">
        <v>1063</v>
      </c>
      <c r="E502" s="763" t="s">
        <v>1096</v>
      </c>
      <c r="F502" s="763" t="s">
        <v>1150</v>
      </c>
      <c r="G502" s="763">
        <f t="shared" si="60"/>
        <v>15360</v>
      </c>
      <c r="H502" s="763">
        <v>0</v>
      </c>
      <c r="I502" s="763">
        <v>0</v>
      </c>
      <c r="J502" s="763">
        <f t="shared" si="55"/>
        <v>12800</v>
      </c>
      <c r="K502" s="783">
        <v>2560</v>
      </c>
      <c r="L502" s="763">
        <v>0</v>
      </c>
      <c r="M502" s="783">
        <v>0</v>
      </c>
    </row>
    <row r="503" spans="1:13" ht="15.75">
      <c r="A503" s="758">
        <v>360</v>
      </c>
      <c r="B503" s="763">
        <v>2100660</v>
      </c>
      <c r="C503" s="763" t="s">
        <v>1557</v>
      </c>
      <c r="D503" s="763" t="s">
        <v>1095</v>
      </c>
      <c r="E503" s="763" t="s">
        <v>1096</v>
      </c>
      <c r="F503" s="763" t="s">
        <v>1097</v>
      </c>
      <c r="G503" s="763">
        <f t="shared" si="60"/>
        <v>53502</v>
      </c>
      <c r="H503" s="763">
        <v>0</v>
      </c>
      <c r="I503" s="763">
        <v>0</v>
      </c>
      <c r="J503" s="763">
        <f t="shared" si="55"/>
        <v>44585</v>
      </c>
      <c r="K503" s="783">
        <v>8917</v>
      </c>
      <c r="L503" s="763">
        <v>0</v>
      </c>
      <c r="M503" s="783">
        <v>0</v>
      </c>
    </row>
    <row r="504" spans="1:13" ht="15.75">
      <c r="A504" s="758">
        <v>361</v>
      </c>
      <c r="B504" s="763">
        <v>2100661</v>
      </c>
      <c r="C504" s="764">
        <v>41151</v>
      </c>
      <c r="D504" s="763" t="s">
        <v>1155</v>
      </c>
      <c r="E504" s="763" t="s">
        <v>1096</v>
      </c>
      <c r="F504" s="763"/>
      <c r="G504" s="763">
        <f t="shared" si="60"/>
        <v>165942</v>
      </c>
      <c r="H504" s="763">
        <v>0</v>
      </c>
      <c r="I504" s="763">
        <v>0</v>
      </c>
      <c r="J504" s="763">
        <f t="shared" si="55"/>
        <v>138285</v>
      </c>
      <c r="K504" s="783">
        <v>27657</v>
      </c>
      <c r="L504" s="763">
        <v>0</v>
      </c>
      <c r="M504" s="783">
        <v>0</v>
      </c>
    </row>
    <row r="505" spans="1:13" ht="15.75">
      <c r="A505" s="758">
        <v>362</v>
      </c>
      <c r="B505" s="763">
        <v>2100662</v>
      </c>
      <c r="C505" s="764">
        <v>41151</v>
      </c>
      <c r="D505" s="763">
        <v>0</v>
      </c>
      <c r="E505" s="763">
        <v>0</v>
      </c>
      <c r="F505" s="763">
        <v>0</v>
      </c>
      <c r="G505" s="763">
        <v>0</v>
      </c>
      <c r="H505" s="763">
        <v>0</v>
      </c>
      <c r="I505" s="763">
        <v>0</v>
      </c>
      <c r="J505" s="763">
        <v>0</v>
      </c>
      <c r="K505" s="783">
        <v>0</v>
      </c>
      <c r="L505" s="763">
        <v>0</v>
      </c>
      <c r="M505" s="783">
        <v>0</v>
      </c>
    </row>
    <row r="506" spans="1:13" ht="15.75">
      <c r="A506" s="758">
        <v>363</v>
      </c>
      <c r="B506" s="763">
        <v>2100663</v>
      </c>
      <c r="C506" s="763" t="s">
        <v>1558</v>
      </c>
      <c r="D506" s="763" t="s">
        <v>1152</v>
      </c>
      <c r="E506" s="763" t="s">
        <v>1096</v>
      </c>
      <c r="F506" s="763" t="s">
        <v>1153</v>
      </c>
      <c r="G506" s="763">
        <f>J506+K506</f>
        <v>519648</v>
      </c>
      <c r="H506" s="763">
        <v>0</v>
      </c>
      <c r="I506" s="763">
        <v>0</v>
      </c>
      <c r="J506" s="763">
        <f>K506*5</f>
        <v>433040</v>
      </c>
      <c r="K506" s="783">
        <v>86608</v>
      </c>
      <c r="L506" s="763">
        <v>0</v>
      </c>
      <c r="M506" s="783">
        <v>0</v>
      </c>
    </row>
    <row r="507" spans="1:13" ht="15.75">
      <c r="A507" s="758">
        <v>364</v>
      </c>
      <c r="B507" s="763">
        <v>2100664</v>
      </c>
      <c r="C507" s="763" t="s">
        <v>1558</v>
      </c>
      <c r="D507" s="763" t="s">
        <v>1211</v>
      </c>
      <c r="E507" s="763" t="s">
        <v>1096</v>
      </c>
      <c r="F507" s="763" t="s">
        <v>1158</v>
      </c>
      <c r="G507" s="763">
        <f>J507+K507</f>
        <v>335580</v>
      </c>
      <c r="H507" s="763">
        <v>0</v>
      </c>
      <c r="I507" s="763">
        <v>0</v>
      </c>
      <c r="J507" s="763">
        <f>K507*5</f>
        <v>279650</v>
      </c>
      <c r="K507" s="783">
        <v>55930</v>
      </c>
      <c r="L507" s="763">
        <v>0</v>
      </c>
      <c r="M507" s="783">
        <v>0</v>
      </c>
    </row>
    <row r="508" spans="1:13" ht="15.75">
      <c r="A508" s="758">
        <v>365</v>
      </c>
      <c r="B508" s="763">
        <v>2100665</v>
      </c>
      <c r="C508" s="763" t="s">
        <v>1558</v>
      </c>
      <c r="D508" s="763" t="s">
        <v>1532</v>
      </c>
      <c r="E508" s="763" t="s">
        <v>1096</v>
      </c>
      <c r="F508" s="763" t="s">
        <v>1430</v>
      </c>
      <c r="G508" s="763">
        <f>J508+K508</f>
        <v>275850</v>
      </c>
      <c r="H508" s="763">
        <v>0</v>
      </c>
      <c r="I508" s="763">
        <v>0</v>
      </c>
      <c r="J508" s="1108">
        <f>K508*5</f>
        <v>229875</v>
      </c>
      <c r="K508" s="783">
        <v>45975</v>
      </c>
      <c r="L508" s="763">
        <v>0</v>
      </c>
      <c r="M508" s="783">
        <v>0</v>
      </c>
    </row>
    <row r="509" spans="1:13" ht="15.75">
      <c r="A509" s="758">
        <v>366</v>
      </c>
      <c r="B509" s="763">
        <v>2100666</v>
      </c>
      <c r="C509" s="763" t="s">
        <v>1558</v>
      </c>
      <c r="D509" s="763" t="s">
        <v>1123</v>
      </c>
      <c r="E509" s="763" t="s">
        <v>1096</v>
      </c>
      <c r="F509" s="763" t="s">
        <v>1124</v>
      </c>
      <c r="G509" s="763">
        <f>J509+K509</f>
        <v>111120</v>
      </c>
      <c r="H509" s="763">
        <v>0</v>
      </c>
      <c r="I509" s="763">
        <v>0</v>
      </c>
      <c r="J509" s="763">
        <f>K509*5</f>
        <v>92600</v>
      </c>
      <c r="K509" s="783">
        <v>18520</v>
      </c>
      <c r="L509" s="763">
        <v>0</v>
      </c>
      <c r="M509" s="783">
        <v>0</v>
      </c>
    </row>
    <row r="510" spans="1:13" ht="16.5" thickBot="1">
      <c r="A510" s="762">
        <v>367</v>
      </c>
      <c r="B510" s="763">
        <v>2100667</v>
      </c>
      <c r="C510" s="763" t="s">
        <v>1558</v>
      </c>
      <c r="D510" s="763" t="s">
        <v>1380</v>
      </c>
      <c r="E510" s="763" t="s">
        <v>1096</v>
      </c>
      <c r="F510" s="763"/>
      <c r="G510" s="763">
        <f>J510+K510</f>
        <v>1002330</v>
      </c>
      <c r="H510" s="763">
        <v>0</v>
      </c>
      <c r="I510" s="763">
        <v>0</v>
      </c>
      <c r="J510" s="763">
        <f>K510*5</f>
        <v>835275</v>
      </c>
      <c r="K510" s="783">
        <v>167055</v>
      </c>
      <c r="L510" s="763">
        <v>0</v>
      </c>
      <c r="M510" s="783">
        <v>0</v>
      </c>
    </row>
    <row r="511" spans="1:13" ht="16.5" thickBot="1">
      <c r="A511" s="1389" t="s">
        <v>822</v>
      </c>
      <c r="B511" s="1390"/>
      <c r="C511" s="1390"/>
      <c r="D511" s="1390"/>
      <c r="E511" s="1390"/>
      <c r="F511" s="1391"/>
      <c r="G511" s="1020">
        <f>SUM(G465:G510)</f>
        <v>12812250</v>
      </c>
      <c r="H511" s="1020">
        <v>0</v>
      </c>
      <c r="I511" s="1020">
        <v>0</v>
      </c>
      <c r="J511" s="1020">
        <f>SUM(J465:J510)</f>
        <v>10676875</v>
      </c>
      <c r="K511" s="1021">
        <f>SUM(K465:K510)</f>
        <v>2135375</v>
      </c>
      <c r="L511" s="1020">
        <v>0</v>
      </c>
      <c r="M511" s="1021">
        <v>0</v>
      </c>
    </row>
    <row r="512" spans="1:13" ht="16.5" thickBot="1">
      <c r="A512" s="1392" t="s">
        <v>823</v>
      </c>
      <c r="B512" s="1393"/>
      <c r="C512" s="1393"/>
      <c r="D512" s="1393"/>
      <c r="E512" s="1393"/>
      <c r="F512" s="1393"/>
      <c r="G512" s="1393"/>
      <c r="H512" s="781" t="s">
        <v>824</v>
      </c>
      <c r="I512" s="765" t="s">
        <v>825</v>
      </c>
      <c r="J512" s="781" t="s">
        <v>826</v>
      </c>
      <c r="K512" s="766" t="s">
        <v>827</v>
      </c>
      <c r="L512" s="781" t="s">
        <v>828</v>
      </c>
      <c r="M512" s="766" t="s">
        <v>829</v>
      </c>
    </row>
    <row r="513" spans="1:13" ht="15.75">
      <c r="A513" s="731"/>
      <c r="B513" s="731"/>
      <c r="C513" s="731"/>
      <c r="D513" s="731"/>
      <c r="E513" s="731"/>
      <c r="F513" s="731"/>
      <c r="G513" s="731"/>
      <c r="H513" s="731"/>
      <c r="I513" s="731"/>
      <c r="J513" s="731"/>
      <c r="K513" s="731"/>
      <c r="L513" s="731"/>
      <c r="M513" s="731"/>
    </row>
    <row r="514" spans="1:13" ht="15.75">
      <c r="A514" s="731"/>
      <c r="B514" s="731"/>
      <c r="C514" s="731"/>
      <c r="D514" s="731"/>
      <c r="E514" s="731"/>
      <c r="F514" s="731"/>
      <c r="G514" s="731"/>
      <c r="H514" s="731"/>
      <c r="I514" s="731"/>
      <c r="J514" s="731"/>
      <c r="K514" s="731"/>
      <c r="L514" s="731"/>
      <c r="M514" s="731"/>
    </row>
    <row r="515" spans="1:13" ht="15.75">
      <c r="A515" s="731" t="s">
        <v>856</v>
      </c>
      <c r="B515" s="731"/>
      <c r="C515" s="731"/>
      <c r="D515" s="731"/>
      <c r="E515" s="731"/>
      <c r="F515" s="731"/>
      <c r="G515" s="731"/>
      <c r="H515" s="731"/>
      <c r="I515" s="731"/>
      <c r="J515" s="1017" t="s">
        <v>1249</v>
      </c>
      <c r="K515" s="731"/>
      <c r="L515" s="731"/>
      <c r="M515" s="731"/>
    </row>
    <row r="516" spans="1:13" ht="15.75">
      <c r="A516" s="731" t="s">
        <v>848</v>
      </c>
      <c r="B516" s="731"/>
      <c r="C516" s="731"/>
      <c r="D516" s="731"/>
      <c r="E516" s="731"/>
      <c r="F516" s="731"/>
      <c r="G516" s="731"/>
      <c r="H516" s="731"/>
      <c r="I516" s="731"/>
      <c r="J516" s="731" t="s">
        <v>1122</v>
      </c>
      <c r="K516" s="731"/>
      <c r="L516" s="731"/>
      <c r="M516" s="731"/>
    </row>
    <row r="517" spans="1:13" ht="15.75">
      <c r="A517" s="731" t="s">
        <v>855</v>
      </c>
      <c r="B517" s="731"/>
      <c r="C517" s="731"/>
      <c r="D517" s="731"/>
      <c r="E517" s="731"/>
      <c r="F517" s="731"/>
      <c r="G517" s="731"/>
      <c r="H517" s="731"/>
      <c r="I517" s="731"/>
      <c r="J517" s="731"/>
      <c r="K517" s="731"/>
      <c r="L517" s="731"/>
      <c r="M517" s="731"/>
    </row>
    <row r="518" spans="2:15" s="1082" customFormat="1" ht="13.5" customHeight="1">
      <c r="B518" s="1083"/>
      <c r="C518" s="1083"/>
      <c r="D518" s="1083"/>
      <c r="E518" s="1083"/>
      <c r="F518" s="1083"/>
      <c r="G518" s="1083"/>
      <c r="H518" s="1083"/>
      <c r="I518" s="1083"/>
      <c r="J518" s="1083"/>
      <c r="K518" s="1083"/>
      <c r="L518" s="1083"/>
      <c r="M518" s="1083"/>
      <c r="O518" s="1092"/>
    </row>
    <row r="519" spans="1:31" ht="19.5">
      <c r="A519" s="730" t="s">
        <v>794</v>
      </c>
      <c r="B519" s="731"/>
      <c r="C519" s="731"/>
      <c r="D519" s="731"/>
      <c r="E519" s="731"/>
      <c r="F519" s="731"/>
      <c r="G519" s="731"/>
      <c r="H519" s="731"/>
      <c r="I519" s="731"/>
      <c r="J519" s="731"/>
      <c r="K519" s="731"/>
      <c r="L519" s="731"/>
      <c r="M519" s="731"/>
      <c r="N519" s="730" t="s">
        <v>795</v>
      </c>
      <c r="O519" s="731"/>
      <c r="P519" s="731"/>
      <c r="Q519" s="731"/>
      <c r="R519" s="731"/>
      <c r="S519" s="731"/>
      <c r="T519" s="731"/>
      <c r="U519" s="731"/>
      <c r="V519" s="731"/>
      <c r="W519" s="731"/>
      <c r="X519" s="731"/>
      <c r="Y519" s="731"/>
      <c r="Z519" s="731"/>
      <c r="AA519" s="731"/>
      <c r="AB519" s="731"/>
      <c r="AC519" s="731"/>
      <c r="AD519" s="731"/>
      <c r="AE519" s="731"/>
    </row>
    <row r="520" spans="1:31" ht="15.75">
      <c r="A520" s="733" t="s">
        <v>796</v>
      </c>
      <c r="B520" s="733"/>
      <c r="C520" s="731" t="s">
        <v>1042</v>
      </c>
      <c r="D520" s="731"/>
      <c r="E520" s="731"/>
      <c r="F520" s="731"/>
      <c r="G520" s="731"/>
      <c r="H520" s="731"/>
      <c r="I520" s="731"/>
      <c r="J520" s="731"/>
      <c r="K520" s="731"/>
      <c r="L520" s="731"/>
      <c r="M520" s="731"/>
      <c r="N520" s="733" t="s">
        <v>796</v>
      </c>
      <c r="O520" s="733"/>
      <c r="P520" s="731" t="s">
        <v>1094</v>
      </c>
      <c r="Q520" s="731"/>
      <c r="R520" s="731"/>
      <c r="S520" s="731"/>
      <c r="T520" s="731"/>
      <c r="U520" s="731"/>
      <c r="V520" s="731"/>
      <c r="W520" s="731"/>
      <c r="X520" s="731"/>
      <c r="Y520" s="731"/>
      <c r="Z520" s="731"/>
      <c r="AA520" s="731"/>
      <c r="AB520" s="731"/>
      <c r="AC520" s="731"/>
      <c r="AD520" s="731"/>
      <c r="AE520" s="731"/>
    </row>
    <row r="521" spans="1:31" ht="15.75">
      <c r="A521" s="733" t="s">
        <v>413</v>
      </c>
      <c r="B521" s="733"/>
      <c r="C521" s="731" t="s">
        <v>1043</v>
      </c>
      <c r="D521" s="731"/>
      <c r="E521" s="731"/>
      <c r="F521" s="731"/>
      <c r="G521" s="731"/>
      <c r="H521" s="731"/>
      <c r="I521" s="731"/>
      <c r="J521" s="731"/>
      <c r="K521" s="731"/>
      <c r="L521" s="731"/>
      <c r="M521" s="731"/>
      <c r="N521" s="733" t="s">
        <v>413</v>
      </c>
      <c r="O521" s="733"/>
      <c r="P521" s="731" t="s">
        <v>1043</v>
      </c>
      <c r="Q521" s="731"/>
      <c r="R521" s="731"/>
      <c r="S521" s="731"/>
      <c r="T521" s="731"/>
      <c r="U521" s="731"/>
      <c r="V521" s="731"/>
      <c r="W521" s="731"/>
      <c r="X521" s="731"/>
      <c r="Y521" s="731"/>
      <c r="Z521" s="731"/>
      <c r="AA521" s="731"/>
      <c r="AB521" s="731"/>
      <c r="AC521" s="731"/>
      <c r="AD521" s="731"/>
      <c r="AE521" s="731"/>
    </row>
    <row r="522" spans="1:31" ht="15.75">
      <c r="A522" s="733" t="s">
        <v>797</v>
      </c>
      <c r="B522" s="733"/>
      <c r="C522" s="731">
        <v>2012</v>
      </c>
      <c r="D522" s="731"/>
      <c r="E522" s="731"/>
      <c r="F522" s="731"/>
      <c r="G522" s="731"/>
      <c r="H522" s="731"/>
      <c r="I522" s="731"/>
      <c r="J522" s="731"/>
      <c r="K522" s="731"/>
      <c r="L522" s="731"/>
      <c r="M522" s="731"/>
      <c r="N522" s="733" t="s">
        <v>797</v>
      </c>
      <c r="O522" s="733"/>
      <c r="P522" s="731">
        <v>2012</v>
      </c>
      <c r="Q522" s="731"/>
      <c r="R522" s="731"/>
      <c r="S522" s="731"/>
      <c r="T522" s="731"/>
      <c r="U522" s="731"/>
      <c r="V522" s="731"/>
      <c r="W522" s="731"/>
      <c r="X522" s="731"/>
      <c r="Y522" s="731"/>
      <c r="Z522" s="731"/>
      <c r="AA522" s="731"/>
      <c r="AB522" s="731"/>
      <c r="AC522" s="731"/>
      <c r="AD522" s="731"/>
      <c r="AE522" s="731"/>
    </row>
    <row r="523" spans="1:31" ht="15.75">
      <c r="A523" s="733" t="s">
        <v>166</v>
      </c>
      <c r="B523" s="733"/>
      <c r="C523" s="731">
        <v>9</v>
      </c>
      <c r="D523" s="731"/>
      <c r="E523" s="731"/>
      <c r="F523" s="731"/>
      <c r="G523" s="731"/>
      <c r="H523" s="731"/>
      <c r="I523" s="731"/>
      <c r="J523" s="731"/>
      <c r="K523" s="731"/>
      <c r="L523" s="731"/>
      <c r="M523" s="731"/>
      <c r="N523" s="733" t="s">
        <v>166</v>
      </c>
      <c r="O523" s="733"/>
      <c r="P523" s="731">
        <v>9</v>
      </c>
      <c r="Q523" s="731"/>
      <c r="R523" s="731"/>
      <c r="S523" s="731"/>
      <c r="T523" s="731"/>
      <c r="U523" s="731"/>
      <c r="V523" s="731"/>
      <c r="W523" s="731"/>
      <c r="X523" s="731"/>
      <c r="Y523" s="731"/>
      <c r="Z523" s="731"/>
      <c r="AA523" s="731"/>
      <c r="AB523" s="731"/>
      <c r="AC523" s="731"/>
      <c r="AD523" s="731"/>
      <c r="AE523" s="731"/>
    </row>
    <row r="524" spans="1:31" ht="16.5" thickBot="1">
      <c r="A524" s="733"/>
      <c r="B524" s="733"/>
      <c r="C524" s="731"/>
      <c r="D524" s="731"/>
      <c r="E524" s="731"/>
      <c r="F524" s="731"/>
      <c r="G524" s="731"/>
      <c r="H524" s="731"/>
      <c r="I524" s="731"/>
      <c r="J524" s="731"/>
      <c r="K524" s="731"/>
      <c r="L524" s="731"/>
      <c r="M524" s="731"/>
      <c r="N524" s="733"/>
      <c r="O524" s="733"/>
      <c r="P524" s="731"/>
      <c r="Q524" s="731"/>
      <c r="R524" s="731"/>
      <c r="S524" s="731"/>
      <c r="T524" s="731"/>
      <c r="U524" s="731"/>
      <c r="V524" s="731"/>
      <c r="W524" s="731"/>
      <c r="X524" s="731"/>
      <c r="Y524" s="731"/>
      <c r="Z524" s="731"/>
      <c r="AA524" s="731"/>
      <c r="AB524" s="731"/>
      <c r="AC524" s="731"/>
      <c r="AD524" s="731"/>
      <c r="AE524" s="731"/>
    </row>
    <row r="525" spans="1:31" ht="16.5" thickBot="1">
      <c r="A525" s="731" t="s">
        <v>799</v>
      </c>
      <c r="B525" s="1103"/>
      <c r="C525" s="731" t="s">
        <v>835</v>
      </c>
      <c r="D525" s="731"/>
      <c r="E525" s="731"/>
      <c r="F525" s="731"/>
      <c r="G525" s="731"/>
      <c r="H525" s="731"/>
      <c r="I525" s="731"/>
      <c r="J525" s="731"/>
      <c r="K525" s="731"/>
      <c r="L525" s="731"/>
      <c r="M525" s="731"/>
      <c r="N525" s="731" t="s">
        <v>799</v>
      </c>
      <c r="O525" s="1103"/>
      <c r="P525" s="731" t="s">
        <v>835</v>
      </c>
      <c r="Q525" s="731"/>
      <c r="R525" s="731"/>
      <c r="S525" s="731"/>
      <c r="T525" s="731"/>
      <c r="U525" s="731"/>
      <c r="V525" s="731"/>
      <c r="W525" s="731"/>
      <c r="X525" s="731"/>
      <c r="Y525" s="731"/>
      <c r="Z525" s="731"/>
      <c r="AA525" s="731"/>
      <c r="AB525" s="731"/>
      <c r="AC525" s="731"/>
      <c r="AD525" s="731"/>
      <c r="AE525" s="731"/>
    </row>
    <row r="526" spans="1:31" ht="16.5" thickBot="1">
      <c r="A526" s="731"/>
      <c r="B526" s="731"/>
      <c r="C526" s="731"/>
      <c r="D526" s="731"/>
      <c r="E526" s="731"/>
      <c r="F526" s="731"/>
      <c r="G526" s="731"/>
      <c r="H526" s="731"/>
      <c r="I526" s="731"/>
      <c r="J526" s="731"/>
      <c r="K526" s="731"/>
      <c r="L526" s="731"/>
      <c r="M526" s="731"/>
      <c r="N526" s="731"/>
      <c r="O526" s="731"/>
      <c r="P526" s="733"/>
      <c r="Q526" s="731"/>
      <c r="R526" s="731"/>
      <c r="S526" s="731"/>
      <c r="T526" s="731"/>
      <c r="U526" s="731"/>
      <c r="V526" s="731"/>
      <c r="W526" s="731"/>
      <c r="X526" s="731"/>
      <c r="Y526" s="731"/>
      <c r="Z526" s="731"/>
      <c r="AA526" s="731"/>
      <c r="AB526" s="731"/>
      <c r="AC526" s="731"/>
      <c r="AD526" s="731"/>
      <c r="AE526" s="731"/>
    </row>
    <row r="527" spans="1:31" ht="16.5" thickBot="1">
      <c r="A527" s="1401" t="s">
        <v>800</v>
      </c>
      <c r="B527" s="1409"/>
      <c r="C527" s="1402"/>
      <c r="D527" s="1401" t="s">
        <v>801</v>
      </c>
      <c r="E527" s="1409"/>
      <c r="F527" s="1402"/>
      <c r="G527" s="1398" t="s">
        <v>802</v>
      </c>
      <c r="H527" s="1398" t="s">
        <v>803</v>
      </c>
      <c r="I527" s="1398" t="s">
        <v>804</v>
      </c>
      <c r="J527" s="1401" t="s">
        <v>836</v>
      </c>
      <c r="K527" s="1402"/>
      <c r="L527" s="1401" t="s">
        <v>837</v>
      </c>
      <c r="M527" s="1402"/>
      <c r="N527" s="1405" t="s">
        <v>800</v>
      </c>
      <c r="O527" s="1406"/>
      <c r="P527" s="1407"/>
      <c r="Q527" s="1405" t="s">
        <v>805</v>
      </c>
      <c r="R527" s="1406"/>
      <c r="S527" s="1407"/>
      <c r="T527" s="1398" t="s">
        <v>806</v>
      </c>
      <c r="U527" s="1387" t="s">
        <v>807</v>
      </c>
      <c r="V527" s="1397"/>
      <c r="W527" s="1397"/>
      <c r="X527" s="1397"/>
      <c r="Y527" s="1397"/>
      <c r="Z527" s="1397"/>
      <c r="AA527" s="1397"/>
      <c r="AB527" s="1397"/>
      <c r="AC527" s="1397"/>
      <c r="AD527" s="1397"/>
      <c r="AE527" s="1388"/>
    </row>
    <row r="528" spans="1:31" ht="16.5" thickBot="1">
      <c r="A528" s="1403"/>
      <c r="B528" s="1410"/>
      <c r="C528" s="1404"/>
      <c r="D528" s="1403"/>
      <c r="E528" s="1410"/>
      <c r="F528" s="1404"/>
      <c r="G528" s="1408"/>
      <c r="H528" s="1408"/>
      <c r="I528" s="1408"/>
      <c r="J528" s="1403"/>
      <c r="K528" s="1404"/>
      <c r="L528" s="1403"/>
      <c r="M528" s="1404"/>
      <c r="N528" s="1398" t="s">
        <v>808</v>
      </c>
      <c r="O528" s="1398" t="s">
        <v>809</v>
      </c>
      <c r="P528" s="1398" t="s">
        <v>810</v>
      </c>
      <c r="Q528" s="1398" t="s">
        <v>811</v>
      </c>
      <c r="R528" s="1398" t="s">
        <v>812</v>
      </c>
      <c r="S528" s="1398" t="s">
        <v>813</v>
      </c>
      <c r="T528" s="1408"/>
      <c r="U528" s="1398" t="s">
        <v>814</v>
      </c>
      <c r="V528" s="1387" t="s">
        <v>838</v>
      </c>
      <c r="W528" s="1400"/>
      <c r="X528" s="1387" t="s">
        <v>839</v>
      </c>
      <c r="Y528" s="1400"/>
      <c r="Z528" s="1387" t="s">
        <v>840</v>
      </c>
      <c r="AA528" s="1388"/>
      <c r="AB528" s="1387" t="s">
        <v>841</v>
      </c>
      <c r="AC528" s="1388"/>
      <c r="AD528" s="1387" t="s">
        <v>815</v>
      </c>
      <c r="AE528" s="1388"/>
    </row>
    <row r="529" spans="1:31" ht="48" thickBot="1">
      <c r="A529" s="748" t="s">
        <v>808</v>
      </c>
      <c r="B529" s="749" t="s">
        <v>809</v>
      </c>
      <c r="C529" s="750" t="s">
        <v>810</v>
      </c>
      <c r="D529" s="743" t="s">
        <v>816</v>
      </c>
      <c r="E529" s="746" t="s">
        <v>812</v>
      </c>
      <c r="F529" s="751" t="s">
        <v>406</v>
      </c>
      <c r="G529" s="1399"/>
      <c r="H529" s="1399"/>
      <c r="I529" s="1399"/>
      <c r="J529" s="751" t="s">
        <v>817</v>
      </c>
      <c r="K529" s="744" t="s">
        <v>818</v>
      </c>
      <c r="L529" s="751" t="s">
        <v>817</v>
      </c>
      <c r="M529" s="744" t="s">
        <v>818</v>
      </c>
      <c r="N529" s="1399"/>
      <c r="O529" s="1399"/>
      <c r="P529" s="1399"/>
      <c r="Q529" s="1399"/>
      <c r="R529" s="1399"/>
      <c r="S529" s="1399"/>
      <c r="T529" s="1399"/>
      <c r="U529" s="1399"/>
      <c r="V529" s="745" t="s">
        <v>817</v>
      </c>
      <c r="W529" s="752" t="s">
        <v>818</v>
      </c>
      <c r="X529" s="745" t="s">
        <v>817</v>
      </c>
      <c r="Y529" s="752" t="s">
        <v>818</v>
      </c>
      <c r="Z529" s="744" t="s">
        <v>819</v>
      </c>
      <c r="AA529" s="744" t="s">
        <v>820</v>
      </c>
      <c r="AB529" s="744" t="s">
        <v>819</v>
      </c>
      <c r="AC529" s="744" t="s">
        <v>820</v>
      </c>
      <c r="AD529" s="744" t="s">
        <v>819</v>
      </c>
      <c r="AE529" s="744" t="s">
        <v>820</v>
      </c>
    </row>
    <row r="530" spans="1:31" ht="29.25" thickBot="1">
      <c r="A530" s="754" t="s">
        <v>510</v>
      </c>
      <c r="B530" s="755" t="s">
        <v>511</v>
      </c>
      <c r="C530" s="755" t="s">
        <v>598</v>
      </c>
      <c r="D530" s="755" t="s">
        <v>620</v>
      </c>
      <c r="E530" s="755" t="s">
        <v>622</v>
      </c>
      <c r="F530" s="755" t="s">
        <v>634</v>
      </c>
      <c r="G530" s="755" t="s">
        <v>842</v>
      </c>
      <c r="H530" s="755" t="s">
        <v>638</v>
      </c>
      <c r="I530" s="756" t="s">
        <v>640</v>
      </c>
      <c r="J530" s="755" t="s">
        <v>642</v>
      </c>
      <c r="K530" s="757" t="s">
        <v>644</v>
      </c>
      <c r="L530" s="755" t="s">
        <v>646</v>
      </c>
      <c r="M530" s="757" t="s">
        <v>650</v>
      </c>
      <c r="N530" s="777" t="s">
        <v>510</v>
      </c>
      <c r="O530" s="778" t="s">
        <v>511</v>
      </c>
      <c r="P530" s="778" t="s">
        <v>598</v>
      </c>
      <c r="Q530" s="778" t="s">
        <v>620</v>
      </c>
      <c r="R530" s="778" t="s">
        <v>622</v>
      </c>
      <c r="S530" s="778" t="s">
        <v>634</v>
      </c>
      <c r="T530" s="779" t="s">
        <v>843</v>
      </c>
      <c r="U530" s="778" t="s">
        <v>638</v>
      </c>
      <c r="V530" s="778" t="s">
        <v>640</v>
      </c>
      <c r="W530" s="778" t="s">
        <v>642</v>
      </c>
      <c r="X530" s="778" t="s">
        <v>644</v>
      </c>
      <c r="Y530" s="778" t="s">
        <v>646</v>
      </c>
      <c r="Z530" s="778" t="s">
        <v>650</v>
      </c>
      <c r="AA530" s="778" t="s">
        <v>821</v>
      </c>
      <c r="AB530" s="778" t="s">
        <v>844</v>
      </c>
      <c r="AC530" s="778" t="s">
        <v>845</v>
      </c>
      <c r="AD530" s="778" t="s">
        <v>846</v>
      </c>
      <c r="AE530" s="780" t="s">
        <v>847</v>
      </c>
    </row>
    <row r="531" spans="1:31" ht="15.75">
      <c r="A531" s="758">
        <v>368</v>
      </c>
      <c r="B531" s="759">
        <v>2100668</v>
      </c>
      <c r="C531" s="760">
        <v>41153</v>
      </c>
      <c r="D531" s="759" t="s">
        <v>1468</v>
      </c>
      <c r="E531" s="759" t="s">
        <v>1096</v>
      </c>
      <c r="F531" s="759" t="s">
        <v>1176</v>
      </c>
      <c r="G531" s="759">
        <f aca="true" t="shared" si="61" ref="G531:G577">J531+K531</f>
        <v>147360</v>
      </c>
      <c r="H531" s="759">
        <v>0</v>
      </c>
      <c r="I531" s="759">
        <v>0</v>
      </c>
      <c r="J531" s="759">
        <f aca="true" t="shared" si="62" ref="J531:J577">K531*5</f>
        <v>122800</v>
      </c>
      <c r="K531" s="782">
        <v>24560</v>
      </c>
      <c r="L531" s="759">
        <v>0</v>
      </c>
      <c r="M531" s="782">
        <v>0</v>
      </c>
      <c r="N531" s="758">
        <v>493</v>
      </c>
      <c r="O531" s="758">
        <v>2726498</v>
      </c>
      <c r="P531" s="1089" t="s">
        <v>1479</v>
      </c>
      <c r="Q531" s="759" t="s">
        <v>1452</v>
      </c>
      <c r="R531" s="731" t="s">
        <v>1594</v>
      </c>
      <c r="S531" s="759" t="s">
        <v>1430</v>
      </c>
      <c r="T531" s="759">
        <f aca="true" t="shared" si="63" ref="T531:T542">AA531+Z531</f>
        <v>883950</v>
      </c>
      <c r="U531" s="759">
        <v>0</v>
      </c>
      <c r="V531" s="759">
        <v>0</v>
      </c>
      <c r="W531" s="759">
        <v>0</v>
      </c>
      <c r="X531" s="759">
        <v>0</v>
      </c>
      <c r="Y531" s="759">
        <v>0</v>
      </c>
      <c r="Z531" s="759">
        <f aca="true" t="shared" si="64" ref="Z531:Z541">AA531*5</f>
        <v>736625</v>
      </c>
      <c r="AA531" s="759">
        <v>147325</v>
      </c>
      <c r="AB531" s="759">
        <v>0</v>
      </c>
      <c r="AC531" s="759">
        <v>0</v>
      </c>
      <c r="AD531" s="759">
        <v>0</v>
      </c>
      <c r="AE531" s="782">
        <v>0</v>
      </c>
    </row>
    <row r="532" spans="1:31" ht="15.75">
      <c r="A532" s="758">
        <v>369</v>
      </c>
      <c r="B532" s="759">
        <v>2100669</v>
      </c>
      <c r="C532" s="760">
        <v>41154</v>
      </c>
      <c r="D532" s="759" t="s">
        <v>1185</v>
      </c>
      <c r="E532" s="759" t="s">
        <v>1096</v>
      </c>
      <c r="F532" s="759" t="s">
        <v>1186</v>
      </c>
      <c r="G532" s="759">
        <f t="shared" si="61"/>
        <v>15000</v>
      </c>
      <c r="H532" s="759">
        <v>0</v>
      </c>
      <c r="I532" s="759">
        <v>0</v>
      </c>
      <c r="J532" s="759">
        <f t="shared" si="62"/>
        <v>12500</v>
      </c>
      <c r="K532" s="782">
        <v>2500</v>
      </c>
      <c r="L532" s="759">
        <v>0</v>
      </c>
      <c r="M532" s="782">
        <v>0</v>
      </c>
      <c r="N532" s="758">
        <v>110166930</v>
      </c>
      <c r="O532" s="758">
        <v>110166930</v>
      </c>
      <c r="P532" s="1089" t="s">
        <v>1558</v>
      </c>
      <c r="Q532" s="759" t="s">
        <v>1522</v>
      </c>
      <c r="R532" s="759" t="s">
        <v>1099</v>
      </c>
      <c r="S532" s="759" t="s">
        <v>1100</v>
      </c>
      <c r="T532" s="759">
        <f t="shared" si="63"/>
        <v>22854</v>
      </c>
      <c r="U532" s="759">
        <v>0</v>
      </c>
      <c r="V532" s="759">
        <v>0</v>
      </c>
      <c r="W532" s="759">
        <v>0</v>
      </c>
      <c r="X532" s="759">
        <v>0</v>
      </c>
      <c r="Y532" s="759">
        <v>0</v>
      </c>
      <c r="Z532" s="759">
        <f t="shared" si="64"/>
        <v>19045</v>
      </c>
      <c r="AA532" s="759">
        <v>3809</v>
      </c>
      <c r="AB532" s="759">
        <v>0</v>
      </c>
      <c r="AC532" s="759">
        <v>0</v>
      </c>
      <c r="AD532" s="759">
        <v>0</v>
      </c>
      <c r="AE532" s="782">
        <v>0</v>
      </c>
    </row>
    <row r="533" spans="1:31" ht="15.75">
      <c r="A533" s="758">
        <v>370</v>
      </c>
      <c r="B533" s="759">
        <v>2100670</v>
      </c>
      <c r="C533" s="760">
        <v>41155</v>
      </c>
      <c r="D533" s="759" t="s">
        <v>1566</v>
      </c>
      <c r="E533" s="759" t="s">
        <v>1096</v>
      </c>
      <c r="F533" s="759" t="s">
        <v>1567</v>
      </c>
      <c r="G533" s="759">
        <f t="shared" si="61"/>
        <v>171000</v>
      </c>
      <c r="H533" s="759">
        <v>0</v>
      </c>
      <c r="I533" s="759">
        <v>0</v>
      </c>
      <c r="J533" s="759">
        <f t="shared" si="62"/>
        <v>142500</v>
      </c>
      <c r="K533" s="782">
        <v>28500</v>
      </c>
      <c r="L533" s="759">
        <v>0</v>
      </c>
      <c r="M533" s="782">
        <v>0</v>
      </c>
      <c r="N533" s="758">
        <v>1049</v>
      </c>
      <c r="O533" s="759">
        <v>4729204</v>
      </c>
      <c r="P533" s="1126">
        <v>41155</v>
      </c>
      <c r="Q533" s="759" t="s">
        <v>1452</v>
      </c>
      <c r="R533" s="759" t="s">
        <v>1096</v>
      </c>
      <c r="S533" s="759" t="s">
        <v>1430</v>
      </c>
      <c r="T533" s="759">
        <f t="shared" si="63"/>
        <v>960000</v>
      </c>
      <c r="U533" s="759">
        <v>0</v>
      </c>
      <c r="V533" s="759">
        <v>0</v>
      </c>
      <c r="W533" s="759">
        <v>0</v>
      </c>
      <c r="X533" s="759">
        <v>0</v>
      </c>
      <c r="Y533" s="759">
        <v>0</v>
      </c>
      <c r="Z533" s="759">
        <f t="shared" si="64"/>
        <v>800000</v>
      </c>
      <c r="AA533" s="759">
        <v>160000</v>
      </c>
      <c r="AB533" s="759">
        <v>0</v>
      </c>
      <c r="AC533" s="759">
        <v>0</v>
      </c>
      <c r="AD533" s="759">
        <v>0</v>
      </c>
      <c r="AE533" s="782">
        <v>0</v>
      </c>
    </row>
    <row r="534" spans="1:31" ht="15.75">
      <c r="A534" s="758">
        <v>371</v>
      </c>
      <c r="B534" s="759">
        <v>2100671</v>
      </c>
      <c r="C534" s="760">
        <v>41155</v>
      </c>
      <c r="D534" s="759" t="s">
        <v>1208</v>
      </c>
      <c r="E534" s="759" t="s">
        <v>1096</v>
      </c>
      <c r="F534" s="759" t="s">
        <v>1209</v>
      </c>
      <c r="G534" s="759">
        <f t="shared" si="61"/>
        <v>38400</v>
      </c>
      <c r="H534" s="759">
        <v>0</v>
      </c>
      <c r="I534" s="759">
        <v>0</v>
      </c>
      <c r="J534" s="759">
        <f t="shared" si="62"/>
        <v>32000</v>
      </c>
      <c r="K534" s="782">
        <v>6400</v>
      </c>
      <c r="L534" s="759">
        <v>0</v>
      </c>
      <c r="M534" s="782">
        <v>0</v>
      </c>
      <c r="N534" s="758">
        <v>1062</v>
      </c>
      <c r="O534" s="759">
        <v>4729217</v>
      </c>
      <c r="P534" s="1126">
        <v>41156</v>
      </c>
      <c r="Q534" s="759" t="s">
        <v>1452</v>
      </c>
      <c r="R534" s="759" t="s">
        <v>1096</v>
      </c>
      <c r="S534" s="759" t="s">
        <v>1430</v>
      </c>
      <c r="T534" s="759">
        <f t="shared" si="63"/>
        <v>2351208</v>
      </c>
      <c r="U534" s="759">
        <v>0</v>
      </c>
      <c r="V534" s="759">
        <v>0</v>
      </c>
      <c r="W534" s="759">
        <v>0</v>
      </c>
      <c r="X534" s="759">
        <v>0</v>
      </c>
      <c r="Y534" s="759">
        <v>0</v>
      </c>
      <c r="Z534" s="759">
        <f t="shared" si="64"/>
        <v>1959340</v>
      </c>
      <c r="AA534" s="759">
        <v>391868</v>
      </c>
      <c r="AB534" s="759">
        <v>0</v>
      </c>
      <c r="AC534" s="759">
        <v>0</v>
      </c>
      <c r="AD534" s="759">
        <v>0</v>
      </c>
      <c r="AE534" s="782">
        <v>0</v>
      </c>
    </row>
    <row r="535" spans="1:31" ht="15.75">
      <c r="A535" s="758">
        <v>372</v>
      </c>
      <c r="B535" s="759">
        <v>2100672</v>
      </c>
      <c r="C535" s="760">
        <v>41155</v>
      </c>
      <c r="D535" s="759" t="s">
        <v>1171</v>
      </c>
      <c r="E535" s="759" t="s">
        <v>1096</v>
      </c>
      <c r="F535" s="759" t="s">
        <v>1172</v>
      </c>
      <c r="G535" s="759">
        <f t="shared" si="61"/>
        <v>30018</v>
      </c>
      <c r="H535" s="759">
        <v>0</v>
      </c>
      <c r="I535" s="759">
        <v>0</v>
      </c>
      <c r="J535" s="759">
        <f t="shared" si="62"/>
        <v>25015</v>
      </c>
      <c r="K535" s="782">
        <v>5003</v>
      </c>
      <c r="L535" s="759">
        <v>0</v>
      </c>
      <c r="M535" s="782">
        <v>0</v>
      </c>
      <c r="N535" s="758">
        <v>1104</v>
      </c>
      <c r="O535" s="759">
        <v>4729259</v>
      </c>
      <c r="P535" s="1126">
        <v>41163</v>
      </c>
      <c r="Q535" s="759" t="s">
        <v>1452</v>
      </c>
      <c r="R535" s="759" t="s">
        <v>1096</v>
      </c>
      <c r="S535" s="759" t="s">
        <v>1430</v>
      </c>
      <c r="T535" s="759">
        <f t="shared" si="63"/>
        <v>960000</v>
      </c>
      <c r="U535" s="759">
        <v>0</v>
      </c>
      <c r="V535" s="759">
        <v>0</v>
      </c>
      <c r="W535" s="759">
        <v>0</v>
      </c>
      <c r="X535" s="759">
        <v>0</v>
      </c>
      <c r="Y535" s="759">
        <v>0</v>
      </c>
      <c r="Z535" s="759">
        <f t="shared" si="64"/>
        <v>800000</v>
      </c>
      <c r="AA535" s="759">
        <v>160000</v>
      </c>
      <c r="AB535" s="759">
        <v>0</v>
      </c>
      <c r="AC535" s="759">
        <v>0</v>
      </c>
      <c r="AD535" s="759">
        <v>0</v>
      </c>
      <c r="AE535" s="782">
        <v>0</v>
      </c>
    </row>
    <row r="536" spans="1:31" ht="15.75">
      <c r="A536" s="758">
        <v>373</v>
      </c>
      <c r="B536" s="759">
        <v>2100673</v>
      </c>
      <c r="C536" s="760">
        <v>41156</v>
      </c>
      <c r="D536" s="759" t="s">
        <v>1095</v>
      </c>
      <c r="E536" s="759" t="s">
        <v>1568</v>
      </c>
      <c r="F536" s="759" t="s">
        <v>1097</v>
      </c>
      <c r="G536" s="759">
        <f t="shared" si="61"/>
        <v>45018</v>
      </c>
      <c r="H536" s="759">
        <v>0</v>
      </c>
      <c r="I536" s="759">
        <v>0</v>
      </c>
      <c r="J536" s="759">
        <f t="shared" si="62"/>
        <v>37515</v>
      </c>
      <c r="K536" s="782">
        <v>7503</v>
      </c>
      <c r="L536" s="759">
        <v>0</v>
      </c>
      <c r="M536" s="782">
        <v>0</v>
      </c>
      <c r="N536" s="762">
        <v>538</v>
      </c>
      <c r="O536" s="763">
        <v>5262538</v>
      </c>
      <c r="P536" s="1132">
        <v>41164</v>
      </c>
      <c r="Q536" s="763" t="s">
        <v>1215</v>
      </c>
      <c r="R536" s="763" t="s">
        <v>1099</v>
      </c>
      <c r="S536" s="763" t="s">
        <v>1216</v>
      </c>
      <c r="T536" s="763">
        <f t="shared" si="63"/>
        <v>4998</v>
      </c>
      <c r="U536" s="759">
        <v>0</v>
      </c>
      <c r="V536" s="759">
        <v>0</v>
      </c>
      <c r="W536" s="759">
        <v>0</v>
      </c>
      <c r="X536" s="759">
        <v>0</v>
      </c>
      <c r="Y536" s="759">
        <v>0</v>
      </c>
      <c r="Z536" s="763">
        <f t="shared" si="64"/>
        <v>4165</v>
      </c>
      <c r="AA536" s="763">
        <v>833</v>
      </c>
      <c r="AB536" s="759">
        <v>0</v>
      </c>
      <c r="AC536" s="759">
        <v>0</v>
      </c>
      <c r="AD536" s="759">
        <v>0</v>
      </c>
      <c r="AE536" s="782">
        <v>0</v>
      </c>
    </row>
    <row r="537" spans="1:31" ht="15.75">
      <c r="A537" s="758">
        <v>374</v>
      </c>
      <c r="B537" s="759">
        <v>2100674</v>
      </c>
      <c r="C537" s="760">
        <v>41157</v>
      </c>
      <c r="D537" s="759" t="s">
        <v>1481</v>
      </c>
      <c r="E537" s="759" t="s">
        <v>1096</v>
      </c>
      <c r="F537" s="759" t="s">
        <v>1430</v>
      </c>
      <c r="G537" s="759">
        <f t="shared" si="61"/>
        <v>106002</v>
      </c>
      <c r="H537" s="759">
        <v>0</v>
      </c>
      <c r="I537" s="759">
        <v>0</v>
      </c>
      <c r="J537" s="759">
        <f t="shared" si="62"/>
        <v>88335</v>
      </c>
      <c r="K537" s="782">
        <v>17667</v>
      </c>
      <c r="L537" s="759">
        <v>0</v>
      </c>
      <c r="M537" s="782">
        <v>0</v>
      </c>
      <c r="N537" s="762">
        <v>1157</v>
      </c>
      <c r="O537" s="763">
        <v>4729312</v>
      </c>
      <c r="P537" s="1090" t="s">
        <v>1578</v>
      </c>
      <c r="Q537" s="759" t="s">
        <v>1452</v>
      </c>
      <c r="R537" s="759" t="s">
        <v>1096</v>
      </c>
      <c r="S537" s="759" t="s">
        <v>1430</v>
      </c>
      <c r="T537" s="763">
        <f t="shared" si="63"/>
        <v>1376064</v>
      </c>
      <c r="U537" s="759">
        <v>0</v>
      </c>
      <c r="V537" s="759">
        <v>0</v>
      </c>
      <c r="W537" s="759">
        <v>0</v>
      </c>
      <c r="X537" s="759">
        <v>0</v>
      </c>
      <c r="Y537" s="759">
        <v>0</v>
      </c>
      <c r="Z537" s="763">
        <f t="shared" si="64"/>
        <v>1146720</v>
      </c>
      <c r="AA537" s="763">
        <v>229344</v>
      </c>
      <c r="AB537" s="759">
        <v>0</v>
      </c>
      <c r="AC537" s="759">
        <v>0</v>
      </c>
      <c r="AD537" s="759">
        <v>0</v>
      </c>
      <c r="AE537" s="782">
        <v>0</v>
      </c>
    </row>
    <row r="538" spans="1:31" ht="15.75">
      <c r="A538" s="762">
        <v>375</v>
      </c>
      <c r="B538" s="759">
        <v>2100675</v>
      </c>
      <c r="C538" s="760">
        <v>41158</v>
      </c>
      <c r="D538" s="763" t="s">
        <v>1569</v>
      </c>
      <c r="E538" s="763" t="s">
        <v>1096</v>
      </c>
      <c r="F538" s="763" t="s">
        <v>1266</v>
      </c>
      <c r="G538" s="763">
        <f t="shared" si="61"/>
        <v>28500</v>
      </c>
      <c r="H538" s="763">
        <v>0</v>
      </c>
      <c r="I538" s="763">
        <v>0</v>
      </c>
      <c r="J538" s="763">
        <f t="shared" si="62"/>
        <v>23750</v>
      </c>
      <c r="K538" s="783">
        <v>4750</v>
      </c>
      <c r="L538" s="763">
        <v>0</v>
      </c>
      <c r="M538" s="783">
        <v>0</v>
      </c>
      <c r="N538" s="762">
        <v>1178</v>
      </c>
      <c r="O538" s="763">
        <v>4729333</v>
      </c>
      <c r="P538" s="1090" t="s">
        <v>1583</v>
      </c>
      <c r="Q538" s="759" t="s">
        <v>1452</v>
      </c>
      <c r="R538" s="759" t="s">
        <v>1096</v>
      </c>
      <c r="S538" s="759" t="s">
        <v>1430</v>
      </c>
      <c r="T538" s="763">
        <f t="shared" si="63"/>
        <v>1321638</v>
      </c>
      <c r="U538" s="759">
        <v>0</v>
      </c>
      <c r="V538" s="759">
        <v>0</v>
      </c>
      <c r="W538" s="759">
        <v>0</v>
      </c>
      <c r="X538" s="759">
        <v>0</v>
      </c>
      <c r="Y538" s="759">
        <v>0</v>
      </c>
      <c r="Z538" s="763">
        <f t="shared" si="64"/>
        <v>1101365</v>
      </c>
      <c r="AA538" s="763">
        <v>220273</v>
      </c>
      <c r="AB538" s="759">
        <v>0</v>
      </c>
      <c r="AC538" s="759">
        <v>0</v>
      </c>
      <c r="AD538" s="759">
        <v>0</v>
      </c>
      <c r="AE538" s="782">
        <v>0</v>
      </c>
    </row>
    <row r="539" spans="1:31" ht="15.75">
      <c r="A539" s="762">
        <v>376</v>
      </c>
      <c r="B539" s="759">
        <v>2100676</v>
      </c>
      <c r="C539" s="760">
        <v>41158</v>
      </c>
      <c r="D539" s="763" t="s">
        <v>1208</v>
      </c>
      <c r="E539" s="763" t="s">
        <v>1096</v>
      </c>
      <c r="F539" s="763" t="s">
        <v>1209</v>
      </c>
      <c r="G539" s="763">
        <f t="shared" si="61"/>
        <v>20802</v>
      </c>
      <c r="H539" s="763">
        <v>0</v>
      </c>
      <c r="I539" s="763">
        <v>0</v>
      </c>
      <c r="J539" s="763">
        <f t="shared" si="62"/>
        <v>17335</v>
      </c>
      <c r="K539" s="783">
        <v>3467</v>
      </c>
      <c r="L539" s="763">
        <v>0</v>
      </c>
      <c r="M539" s="783">
        <v>0</v>
      </c>
      <c r="N539" s="762">
        <v>1186</v>
      </c>
      <c r="O539" s="763">
        <v>4729341</v>
      </c>
      <c r="P539" s="1090" t="s">
        <v>1587</v>
      </c>
      <c r="Q539" s="763" t="s">
        <v>1452</v>
      </c>
      <c r="R539" s="763" t="s">
        <v>1096</v>
      </c>
      <c r="S539" s="763" t="s">
        <v>1430</v>
      </c>
      <c r="T539" s="763">
        <f t="shared" si="63"/>
        <v>974322</v>
      </c>
      <c r="U539" s="759">
        <v>0</v>
      </c>
      <c r="V539" s="759">
        <v>0</v>
      </c>
      <c r="W539" s="759">
        <v>0</v>
      </c>
      <c r="X539" s="759">
        <v>0</v>
      </c>
      <c r="Y539" s="759">
        <v>0</v>
      </c>
      <c r="Z539" s="763">
        <f t="shared" si="64"/>
        <v>811935</v>
      </c>
      <c r="AA539" s="763">
        <v>162387</v>
      </c>
      <c r="AB539" s="759">
        <v>0</v>
      </c>
      <c r="AC539" s="759">
        <v>0</v>
      </c>
      <c r="AD539" s="759">
        <v>0</v>
      </c>
      <c r="AE539" s="782">
        <v>0</v>
      </c>
    </row>
    <row r="540" spans="1:31" ht="15.75">
      <c r="A540" s="784">
        <v>377</v>
      </c>
      <c r="B540" s="759">
        <v>2100677</v>
      </c>
      <c r="C540" s="1023">
        <v>41159</v>
      </c>
      <c r="D540" s="785" t="s">
        <v>1111</v>
      </c>
      <c r="E540" s="785" t="s">
        <v>1096</v>
      </c>
      <c r="F540" s="785"/>
      <c r="G540" s="785">
        <f t="shared" si="61"/>
        <v>950778</v>
      </c>
      <c r="H540" s="785">
        <v>0</v>
      </c>
      <c r="I540" s="785">
        <v>0</v>
      </c>
      <c r="J540" s="785">
        <f t="shared" si="62"/>
        <v>792315</v>
      </c>
      <c r="K540" s="786">
        <v>158463</v>
      </c>
      <c r="L540" s="785">
        <v>0</v>
      </c>
      <c r="M540" s="786">
        <v>0</v>
      </c>
      <c r="N540" s="784">
        <v>1202</v>
      </c>
      <c r="O540" s="785">
        <v>4729357</v>
      </c>
      <c r="P540" s="1091" t="s">
        <v>1590</v>
      </c>
      <c r="Q540" s="763" t="s">
        <v>1452</v>
      </c>
      <c r="R540" s="763" t="s">
        <v>1096</v>
      </c>
      <c r="S540" s="763" t="s">
        <v>1430</v>
      </c>
      <c r="T540" s="763">
        <f t="shared" si="63"/>
        <v>1016502</v>
      </c>
      <c r="U540" s="759">
        <v>0</v>
      </c>
      <c r="V540" s="759">
        <v>0</v>
      </c>
      <c r="W540" s="759">
        <v>0</v>
      </c>
      <c r="X540" s="759">
        <v>0</v>
      </c>
      <c r="Y540" s="759">
        <v>0</v>
      </c>
      <c r="Z540" s="763">
        <f t="shared" si="64"/>
        <v>847085</v>
      </c>
      <c r="AA540" s="763">
        <v>169417</v>
      </c>
      <c r="AB540" s="759">
        <v>0</v>
      </c>
      <c r="AC540" s="759">
        <v>0</v>
      </c>
      <c r="AD540" s="759">
        <v>0</v>
      </c>
      <c r="AE540" s="782">
        <v>0</v>
      </c>
    </row>
    <row r="541" spans="1:31" ht="15.75">
      <c r="A541" s="784">
        <v>378</v>
      </c>
      <c r="B541" s="759">
        <v>2100678</v>
      </c>
      <c r="C541" s="1023">
        <v>41160</v>
      </c>
      <c r="D541" s="785" t="s">
        <v>1481</v>
      </c>
      <c r="E541" s="785" t="s">
        <v>1096</v>
      </c>
      <c r="F541" s="785" t="s">
        <v>1430</v>
      </c>
      <c r="G541" s="785">
        <f t="shared" si="61"/>
        <v>202068</v>
      </c>
      <c r="H541" s="785">
        <v>0</v>
      </c>
      <c r="I541" s="785">
        <v>0</v>
      </c>
      <c r="J541" s="785">
        <f t="shared" si="62"/>
        <v>168390</v>
      </c>
      <c r="K541" s="786">
        <v>33678</v>
      </c>
      <c r="L541" s="785">
        <v>0</v>
      </c>
      <c r="M541" s="786">
        <v>0</v>
      </c>
      <c r="N541" s="784">
        <v>1159</v>
      </c>
      <c r="O541" s="785">
        <v>4729149</v>
      </c>
      <c r="P541" s="1091" t="s">
        <v>1592</v>
      </c>
      <c r="Q541" s="763" t="s">
        <v>1452</v>
      </c>
      <c r="R541" s="763" t="s">
        <v>1096</v>
      </c>
      <c r="S541" s="763" t="s">
        <v>1430</v>
      </c>
      <c r="T541" s="763">
        <f t="shared" si="63"/>
        <v>571776</v>
      </c>
      <c r="U541" s="759">
        <v>0</v>
      </c>
      <c r="V541" s="759">
        <v>0</v>
      </c>
      <c r="W541" s="759">
        <v>0</v>
      </c>
      <c r="X541" s="759">
        <v>0</v>
      </c>
      <c r="Y541" s="759">
        <v>0</v>
      </c>
      <c r="Z541" s="763">
        <f t="shared" si="64"/>
        <v>476480</v>
      </c>
      <c r="AA541" s="763">
        <v>95296</v>
      </c>
      <c r="AB541" s="759">
        <v>0</v>
      </c>
      <c r="AC541" s="759">
        <v>0</v>
      </c>
      <c r="AD541" s="759">
        <v>0</v>
      </c>
      <c r="AE541" s="782">
        <v>0</v>
      </c>
    </row>
    <row r="542" spans="1:31" ht="16.5" thickBot="1">
      <c r="A542" s="784">
        <v>379</v>
      </c>
      <c r="B542" s="759">
        <v>2100679</v>
      </c>
      <c r="C542" s="1023">
        <v>41161</v>
      </c>
      <c r="D542" s="785" t="s">
        <v>1114</v>
      </c>
      <c r="E542" s="785" t="s">
        <v>1115</v>
      </c>
      <c r="F542" s="785" t="s">
        <v>1116</v>
      </c>
      <c r="G542" s="785">
        <f t="shared" si="61"/>
        <v>57000</v>
      </c>
      <c r="H542" s="785">
        <v>0</v>
      </c>
      <c r="I542" s="785">
        <v>0</v>
      </c>
      <c r="J542" s="785">
        <f t="shared" si="62"/>
        <v>47500</v>
      </c>
      <c r="K542" s="786">
        <v>9500</v>
      </c>
      <c r="L542" s="785">
        <v>0</v>
      </c>
      <c r="M542" s="786">
        <v>0</v>
      </c>
      <c r="N542" s="784">
        <v>54</v>
      </c>
      <c r="O542" s="785">
        <v>2110318</v>
      </c>
      <c r="P542" s="1023">
        <v>41182</v>
      </c>
      <c r="Q542" s="763" t="s">
        <v>1595</v>
      </c>
      <c r="R542" s="763" t="s">
        <v>1096</v>
      </c>
      <c r="S542" s="763" t="s">
        <v>1528</v>
      </c>
      <c r="T542" s="1096">
        <f t="shared" si="63"/>
        <v>3299218.8</v>
      </c>
      <c r="U542" s="759">
        <v>0</v>
      </c>
      <c r="V542" s="759">
        <v>0</v>
      </c>
      <c r="W542" s="759">
        <v>0</v>
      </c>
      <c r="X542" s="759">
        <v>0</v>
      </c>
      <c r="Y542" s="759">
        <v>0</v>
      </c>
      <c r="Z542" s="763">
        <v>2749349</v>
      </c>
      <c r="AA542" s="1096">
        <f>Z542*0.2</f>
        <v>549869.8</v>
      </c>
      <c r="AB542" s="759">
        <v>0</v>
      </c>
      <c r="AC542" s="759">
        <v>0</v>
      </c>
      <c r="AD542" s="759">
        <v>0</v>
      </c>
      <c r="AE542" s="782">
        <v>0</v>
      </c>
    </row>
    <row r="543" spans="1:31" ht="16.5" thickBot="1">
      <c r="A543" s="784">
        <v>380</v>
      </c>
      <c r="B543" s="759">
        <v>2100680</v>
      </c>
      <c r="C543" s="1023">
        <v>41161</v>
      </c>
      <c r="D543" s="785" t="s">
        <v>1118</v>
      </c>
      <c r="E543" s="785" t="s">
        <v>1096</v>
      </c>
      <c r="F543" s="785" t="s">
        <v>1119</v>
      </c>
      <c r="G543" s="785">
        <f t="shared" si="61"/>
        <v>191184</v>
      </c>
      <c r="H543" s="785">
        <v>0</v>
      </c>
      <c r="I543" s="785">
        <v>0</v>
      </c>
      <c r="J543" s="785">
        <f t="shared" si="62"/>
        <v>159320</v>
      </c>
      <c r="K543" s="786">
        <v>31864</v>
      </c>
      <c r="L543" s="785">
        <v>0</v>
      </c>
      <c r="M543" s="786">
        <v>0</v>
      </c>
      <c r="N543" s="1389" t="s">
        <v>822</v>
      </c>
      <c r="O543" s="1390"/>
      <c r="P543" s="1390"/>
      <c r="Q543" s="1390"/>
      <c r="R543" s="1390"/>
      <c r="S543" s="1391"/>
      <c r="T543" s="1016">
        <f>SUM(T531:T542)</f>
        <v>13742530.8</v>
      </c>
      <c r="U543" s="1016">
        <f aca="true" t="shared" si="65" ref="U543:AE543">SUM(U531:U542)</f>
        <v>0</v>
      </c>
      <c r="V543" s="1016">
        <f t="shared" si="65"/>
        <v>0</v>
      </c>
      <c r="W543" s="1016">
        <f t="shared" si="65"/>
        <v>0</v>
      </c>
      <c r="X543" s="1016">
        <f t="shared" si="65"/>
        <v>0</v>
      </c>
      <c r="Y543" s="1016">
        <f t="shared" si="65"/>
        <v>0</v>
      </c>
      <c r="Z543" s="1016">
        <f t="shared" si="65"/>
        <v>11452109</v>
      </c>
      <c r="AA543" s="1016">
        <f t="shared" si="65"/>
        <v>2290421.8</v>
      </c>
      <c r="AB543" s="1016">
        <f t="shared" si="65"/>
        <v>0</v>
      </c>
      <c r="AC543" s="1016">
        <f t="shared" si="65"/>
        <v>0</v>
      </c>
      <c r="AD543" s="1016">
        <f t="shared" si="65"/>
        <v>0</v>
      </c>
      <c r="AE543" s="1016">
        <f t="shared" si="65"/>
        <v>0</v>
      </c>
    </row>
    <row r="544" spans="1:31" ht="16.5" thickBot="1">
      <c r="A544" s="784">
        <v>381</v>
      </c>
      <c r="B544" s="759">
        <v>2100681</v>
      </c>
      <c r="C544" s="1023">
        <v>41161</v>
      </c>
      <c r="D544" s="785" t="s">
        <v>1128</v>
      </c>
      <c r="E544" s="785" t="s">
        <v>1096</v>
      </c>
      <c r="F544" s="785" t="s">
        <v>1129</v>
      </c>
      <c r="G544" s="785">
        <f t="shared" si="61"/>
        <v>28500</v>
      </c>
      <c r="H544" s="785">
        <v>0</v>
      </c>
      <c r="I544" s="785">
        <v>0</v>
      </c>
      <c r="J544" s="785">
        <f t="shared" si="62"/>
        <v>23750</v>
      </c>
      <c r="K544" s="786">
        <v>4750</v>
      </c>
      <c r="L544" s="785">
        <v>0</v>
      </c>
      <c r="M544" s="786">
        <v>0</v>
      </c>
      <c r="N544" s="1392" t="s">
        <v>823</v>
      </c>
      <c r="O544" s="1393"/>
      <c r="P544" s="1393"/>
      <c r="Q544" s="1393"/>
      <c r="R544" s="1393"/>
      <c r="S544" s="1393"/>
      <c r="T544" s="1393"/>
      <c r="U544" s="781" t="s">
        <v>830</v>
      </c>
      <c r="V544" s="781" t="s">
        <v>831</v>
      </c>
      <c r="W544" s="781" t="s">
        <v>832</v>
      </c>
      <c r="X544" s="781" t="s">
        <v>833</v>
      </c>
      <c r="Y544" s="781" t="s">
        <v>834</v>
      </c>
      <c r="Z544" s="781" t="s">
        <v>849</v>
      </c>
      <c r="AA544" s="781" t="s">
        <v>850</v>
      </c>
      <c r="AB544" s="781" t="s">
        <v>851</v>
      </c>
      <c r="AC544" s="781" t="s">
        <v>852</v>
      </c>
      <c r="AD544" s="781" t="s">
        <v>853</v>
      </c>
      <c r="AE544" s="766" t="s">
        <v>854</v>
      </c>
    </row>
    <row r="545" spans="1:31" ht="15.75">
      <c r="A545" s="784">
        <v>382</v>
      </c>
      <c r="B545" s="759">
        <v>2100682</v>
      </c>
      <c r="C545" s="1023">
        <v>41163</v>
      </c>
      <c r="D545" s="785" t="s">
        <v>1570</v>
      </c>
      <c r="E545" s="785" t="s">
        <v>1096</v>
      </c>
      <c r="F545" s="785" t="s">
        <v>1174</v>
      </c>
      <c r="G545" s="785">
        <f t="shared" si="61"/>
        <v>180498</v>
      </c>
      <c r="H545" s="785">
        <v>0</v>
      </c>
      <c r="I545" s="785">
        <v>0</v>
      </c>
      <c r="J545" s="785">
        <f t="shared" si="62"/>
        <v>150415</v>
      </c>
      <c r="K545" s="786">
        <v>30083</v>
      </c>
      <c r="L545" s="785">
        <v>0</v>
      </c>
      <c r="M545" s="786">
        <v>0</v>
      </c>
      <c r="N545" s="731"/>
      <c r="O545" s="731"/>
      <c r="P545" s="731"/>
      <c r="Q545" s="731"/>
      <c r="R545" s="731"/>
      <c r="S545" s="731"/>
      <c r="T545" s="731"/>
      <c r="U545" s="731"/>
      <c r="V545" s="731"/>
      <c r="W545" s="731"/>
      <c r="X545" s="731"/>
      <c r="Y545" s="731"/>
      <c r="Z545" s="731"/>
      <c r="AA545" s="731"/>
      <c r="AB545" s="731"/>
      <c r="AC545" s="731"/>
      <c r="AD545" s="731"/>
      <c r="AE545" s="731"/>
    </row>
    <row r="546" spans="1:31" ht="15.75">
      <c r="A546" s="784">
        <v>383</v>
      </c>
      <c r="B546" s="759">
        <v>2100683</v>
      </c>
      <c r="C546" s="1023">
        <v>41164</v>
      </c>
      <c r="D546" s="785" t="s">
        <v>1111</v>
      </c>
      <c r="E546" s="785" t="s">
        <v>1096</v>
      </c>
      <c r="F546" s="785"/>
      <c r="G546" s="785">
        <f t="shared" si="61"/>
        <v>760860</v>
      </c>
      <c r="H546" s="785">
        <v>0</v>
      </c>
      <c r="I546" s="785">
        <v>0</v>
      </c>
      <c r="J546" s="785">
        <f t="shared" si="62"/>
        <v>634050</v>
      </c>
      <c r="K546" s="786">
        <v>126810</v>
      </c>
      <c r="L546" s="785">
        <v>0</v>
      </c>
      <c r="M546" s="786">
        <v>0</v>
      </c>
      <c r="N546" s="731"/>
      <c r="O546" s="731"/>
      <c r="P546" s="731"/>
      <c r="Q546" s="731"/>
      <c r="R546" s="731"/>
      <c r="S546" s="731"/>
      <c r="T546" s="731"/>
      <c r="U546" s="731"/>
      <c r="V546" s="731"/>
      <c r="W546" s="731"/>
      <c r="X546" s="731"/>
      <c r="Y546" s="731"/>
      <c r="Z546" s="731"/>
      <c r="AA546" s="731"/>
      <c r="AB546" s="731"/>
      <c r="AC546" s="731"/>
      <c r="AD546" s="731"/>
      <c r="AE546" s="731"/>
    </row>
    <row r="547" spans="1:31" ht="15.75">
      <c r="A547" s="784">
        <v>384</v>
      </c>
      <c r="B547" s="759">
        <v>2100684</v>
      </c>
      <c r="C547" s="1023">
        <v>41165</v>
      </c>
      <c r="D547" s="785" t="s">
        <v>1481</v>
      </c>
      <c r="E547" s="785" t="s">
        <v>1096</v>
      </c>
      <c r="F547" s="785" t="s">
        <v>1430</v>
      </c>
      <c r="G547" s="785">
        <f t="shared" si="61"/>
        <v>109998</v>
      </c>
      <c r="H547" s="785">
        <v>0</v>
      </c>
      <c r="I547" s="785">
        <v>0</v>
      </c>
      <c r="J547" s="785">
        <f t="shared" si="62"/>
        <v>91665</v>
      </c>
      <c r="K547" s="786">
        <v>18333</v>
      </c>
      <c r="L547" s="785">
        <v>0</v>
      </c>
      <c r="M547" s="786">
        <v>0</v>
      </c>
      <c r="N547" s="731" t="s">
        <v>856</v>
      </c>
      <c r="O547" s="731"/>
      <c r="P547" s="731"/>
      <c r="Q547" s="731"/>
      <c r="R547" s="731"/>
      <c r="S547" s="731"/>
      <c r="T547" s="731"/>
      <c r="U547" s="731"/>
      <c r="V547" s="731"/>
      <c r="W547" s="731"/>
      <c r="X547" s="731"/>
      <c r="Y547" s="731"/>
      <c r="Z547" s="731"/>
      <c r="AA547" s="731"/>
      <c r="AB547" s="731"/>
      <c r="AC547" s="731"/>
      <c r="AD547" s="1017" t="s">
        <v>1120</v>
      </c>
      <c r="AE547" s="731"/>
    </row>
    <row r="548" spans="1:31" ht="15.75">
      <c r="A548" s="784">
        <v>385</v>
      </c>
      <c r="B548" s="759">
        <v>2100685</v>
      </c>
      <c r="C548" s="785" t="s">
        <v>1571</v>
      </c>
      <c r="D548" s="785" t="s">
        <v>1095</v>
      </c>
      <c r="E548" s="785" t="s">
        <v>1568</v>
      </c>
      <c r="F548" s="785" t="s">
        <v>1097</v>
      </c>
      <c r="G548" s="785">
        <f t="shared" si="61"/>
        <v>49950</v>
      </c>
      <c r="H548" s="785">
        <v>0</v>
      </c>
      <c r="I548" s="785">
        <v>0</v>
      </c>
      <c r="J548" s="785">
        <f t="shared" si="62"/>
        <v>41625</v>
      </c>
      <c r="K548" s="786">
        <v>8325</v>
      </c>
      <c r="L548" s="785">
        <v>0</v>
      </c>
      <c r="M548" s="786">
        <v>0</v>
      </c>
      <c r="N548" s="731" t="s">
        <v>848</v>
      </c>
      <c r="O548" s="731"/>
      <c r="P548" s="731"/>
      <c r="Q548" s="731"/>
      <c r="R548" s="731"/>
      <c r="S548" s="731"/>
      <c r="T548" s="731"/>
      <c r="U548" s="731"/>
      <c r="V548" s="731"/>
      <c r="W548" s="731"/>
      <c r="X548" s="731"/>
      <c r="Y548" s="731"/>
      <c r="Z548" s="731"/>
      <c r="AA548" s="731"/>
      <c r="AB548" s="731"/>
      <c r="AC548" s="731"/>
      <c r="AD548" s="731" t="s">
        <v>1270</v>
      </c>
      <c r="AE548" s="731"/>
    </row>
    <row r="549" spans="1:31" ht="15.75">
      <c r="A549" s="784">
        <v>386</v>
      </c>
      <c r="B549" s="759">
        <v>2100686</v>
      </c>
      <c r="C549" s="785" t="s">
        <v>1572</v>
      </c>
      <c r="D549" s="785" t="s">
        <v>1485</v>
      </c>
      <c r="E549" s="785" t="s">
        <v>1096</v>
      </c>
      <c r="F549" s="785" t="s">
        <v>1132</v>
      </c>
      <c r="G549" s="785">
        <f t="shared" si="61"/>
        <v>57000</v>
      </c>
      <c r="H549" s="785">
        <v>0</v>
      </c>
      <c r="I549" s="785">
        <v>0</v>
      </c>
      <c r="J549" s="785">
        <f t="shared" si="62"/>
        <v>47500</v>
      </c>
      <c r="K549" s="786">
        <v>9500</v>
      </c>
      <c r="L549" s="785">
        <v>0</v>
      </c>
      <c r="M549" s="786">
        <v>0</v>
      </c>
      <c r="N549" s="731" t="s">
        <v>855</v>
      </c>
      <c r="O549" s="731"/>
      <c r="P549" s="731"/>
      <c r="Q549" s="731"/>
      <c r="R549" s="731"/>
      <c r="S549" s="731"/>
      <c r="T549" s="731"/>
      <c r="U549" s="731"/>
      <c r="V549" s="731"/>
      <c r="W549" s="731"/>
      <c r="X549" s="731"/>
      <c r="Y549" s="731"/>
      <c r="Z549" s="731"/>
      <c r="AA549" s="731"/>
      <c r="AB549" s="731"/>
      <c r="AC549" s="731"/>
      <c r="AD549" s="731"/>
      <c r="AE549" s="731"/>
    </row>
    <row r="550" spans="1:31" ht="15.75">
      <c r="A550" s="784">
        <v>387</v>
      </c>
      <c r="B550" s="759">
        <v>2100687</v>
      </c>
      <c r="C550" s="785" t="s">
        <v>1572</v>
      </c>
      <c r="D550" s="785" t="s">
        <v>1128</v>
      </c>
      <c r="E550" s="785" t="s">
        <v>1096</v>
      </c>
      <c r="F550" s="785" t="s">
        <v>1129</v>
      </c>
      <c r="G550" s="785">
        <f t="shared" si="61"/>
        <v>19200</v>
      </c>
      <c r="H550" s="785">
        <v>0</v>
      </c>
      <c r="I550" s="785">
        <v>0</v>
      </c>
      <c r="J550" s="785">
        <f t="shared" si="62"/>
        <v>16000</v>
      </c>
      <c r="K550" s="786">
        <v>3200</v>
      </c>
      <c r="L550" s="785">
        <v>0</v>
      </c>
      <c r="M550" s="786">
        <v>0</v>
      </c>
      <c r="O550" s="731"/>
      <c r="P550" s="731"/>
      <c r="Q550" s="731"/>
      <c r="R550" s="731"/>
      <c r="S550" s="731"/>
      <c r="T550" s="731"/>
      <c r="U550" s="731"/>
      <c r="V550" s="731"/>
      <c r="W550" s="731"/>
      <c r="X550" s="731"/>
      <c r="Y550" s="731"/>
      <c r="Z550" s="731"/>
      <c r="AA550" s="731"/>
      <c r="AB550" s="731"/>
      <c r="AC550" s="731"/>
      <c r="AD550" s="731"/>
      <c r="AE550" s="731"/>
    </row>
    <row r="551" spans="1:15" ht="15.75">
      <c r="A551" s="784">
        <v>388</v>
      </c>
      <c r="B551" s="759">
        <v>2100688</v>
      </c>
      <c r="C551" s="785" t="s">
        <v>1573</v>
      </c>
      <c r="D551" s="785" t="s">
        <v>1111</v>
      </c>
      <c r="E551" s="785" t="s">
        <v>1096</v>
      </c>
      <c r="F551" s="785"/>
      <c r="G551" s="785">
        <f t="shared" si="61"/>
        <v>911682</v>
      </c>
      <c r="H551" s="785">
        <v>0</v>
      </c>
      <c r="I551" s="785">
        <v>0</v>
      </c>
      <c r="J551" s="785">
        <f t="shared" si="62"/>
        <v>759735</v>
      </c>
      <c r="K551" s="786">
        <v>151947</v>
      </c>
      <c r="L551" s="785">
        <v>0</v>
      </c>
      <c r="M551" s="786">
        <v>0</v>
      </c>
      <c r="O551"/>
    </row>
    <row r="552" spans="1:13" ht="15.75">
      <c r="A552" s="784">
        <v>389</v>
      </c>
      <c r="B552" s="759">
        <v>2100689</v>
      </c>
      <c r="C552" s="785" t="s">
        <v>1574</v>
      </c>
      <c r="D552" s="785" t="s">
        <v>1161</v>
      </c>
      <c r="E552" s="785" t="s">
        <v>1096</v>
      </c>
      <c r="F552" s="785" t="s">
        <v>1162</v>
      </c>
      <c r="G552" s="785">
        <f t="shared" si="61"/>
        <v>113760</v>
      </c>
      <c r="H552" s="785">
        <v>0</v>
      </c>
      <c r="I552" s="785">
        <v>0</v>
      </c>
      <c r="J552" s="785">
        <f t="shared" si="62"/>
        <v>94800</v>
      </c>
      <c r="K552" s="786">
        <v>18960</v>
      </c>
      <c r="L552" s="785">
        <v>0</v>
      </c>
      <c r="M552" s="786">
        <v>0</v>
      </c>
    </row>
    <row r="553" spans="1:13" ht="15.75">
      <c r="A553" s="784">
        <v>390</v>
      </c>
      <c r="B553" s="759">
        <v>2100690</v>
      </c>
      <c r="C553" s="785" t="s">
        <v>1574</v>
      </c>
      <c r="D553" s="785" t="s">
        <v>1570</v>
      </c>
      <c r="E553" s="785" t="s">
        <v>1096</v>
      </c>
      <c r="F553" s="785" t="s">
        <v>1174</v>
      </c>
      <c r="G553" s="785">
        <f t="shared" si="61"/>
        <v>180498</v>
      </c>
      <c r="H553" s="785">
        <v>0</v>
      </c>
      <c r="I553" s="785">
        <v>0</v>
      </c>
      <c r="J553" s="785">
        <f t="shared" si="62"/>
        <v>150415</v>
      </c>
      <c r="K553" s="786">
        <v>30083</v>
      </c>
      <c r="L553" s="785">
        <v>0</v>
      </c>
      <c r="M553" s="786">
        <v>0</v>
      </c>
    </row>
    <row r="554" spans="1:13" ht="15.75">
      <c r="A554" s="784">
        <v>391</v>
      </c>
      <c r="B554" s="759">
        <v>2100691</v>
      </c>
      <c r="C554" s="785" t="s">
        <v>1575</v>
      </c>
      <c r="D554" s="785" t="s">
        <v>1185</v>
      </c>
      <c r="E554" s="785" t="s">
        <v>1096</v>
      </c>
      <c r="F554" s="785" t="s">
        <v>1186</v>
      </c>
      <c r="G554" s="785">
        <f t="shared" si="61"/>
        <v>22800</v>
      </c>
      <c r="H554" s="785">
        <v>0</v>
      </c>
      <c r="I554" s="785">
        <v>0</v>
      </c>
      <c r="J554" s="785">
        <f t="shared" si="62"/>
        <v>19000</v>
      </c>
      <c r="K554" s="786">
        <v>3800</v>
      </c>
      <c r="L554" s="785">
        <v>0</v>
      </c>
      <c r="M554" s="786">
        <v>0</v>
      </c>
    </row>
    <row r="555" spans="1:13" ht="15.75">
      <c r="A555" s="784">
        <v>392</v>
      </c>
      <c r="B555" s="759">
        <v>2100692</v>
      </c>
      <c r="C555" s="785" t="s">
        <v>1575</v>
      </c>
      <c r="D555" s="785" t="s">
        <v>1576</v>
      </c>
      <c r="E555" s="785" t="s">
        <v>1096</v>
      </c>
      <c r="F555" s="785" t="s">
        <v>1577</v>
      </c>
      <c r="G555" s="785">
        <f t="shared" si="61"/>
        <v>180000</v>
      </c>
      <c r="H555" s="785">
        <v>0</v>
      </c>
      <c r="I555" s="785">
        <v>0</v>
      </c>
      <c r="J555" s="785">
        <f t="shared" si="62"/>
        <v>150000</v>
      </c>
      <c r="K555" s="786">
        <v>30000</v>
      </c>
      <c r="L555" s="785">
        <v>0</v>
      </c>
      <c r="M555" s="786">
        <v>0</v>
      </c>
    </row>
    <row r="556" spans="1:13" ht="15.75">
      <c r="A556" s="784">
        <v>393</v>
      </c>
      <c r="B556" s="759">
        <v>2100693</v>
      </c>
      <c r="C556" s="785" t="s">
        <v>1578</v>
      </c>
      <c r="D556" s="785" t="s">
        <v>1566</v>
      </c>
      <c r="E556" s="785" t="s">
        <v>1096</v>
      </c>
      <c r="F556" s="785" t="s">
        <v>1567</v>
      </c>
      <c r="G556" s="785">
        <f t="shared" si="61"/>
        <v>228000</v>
      </c>
      <c r="H556" s="785">
        <v>0</v>
      </c>
      <c r="I556" s="785">
        <v>0</v>
      </c>
      <c r="J556" s="785">
        <f t="shared" si="62"/>
        <v>190000</v>
      </c>
      <c r="K556" s="786">
        <v>38000</v>
      </c>
      <c r="L556" s="785">
        <v>0</v>
      </c>
      <c r="M556" s="786">
        <v>0</v>
      </c>
    </row>
    <row r="557" spans="1:13" ht="15.75">
      <c r="A557" s="784">
        <v>394</v>
      </c>
      <c r="B557" s="759">
        <v>2100694</v>
      </c>
      <c r="C557" s="785" t="s">
        <v>1579</v>
      </c>
      <c r="D557" s="785" t="s">
        <v>1111</v>
      </c>
      <c r="E557" s="785" t="s">
        <v>1096</v>
      </c>
      <c r="F557" s="785"/>
      <c r="G557" s="785">
        <f t="shared" si="61"/>
        <v>741078</v>
      </c>
      <c r="H557" s="785">
        <v>0</v>
      </c>
      <c r="I557" s="785">
        <v>0</v>
      </c>
      <c r="J557" s="785">
        <f t="shared" si="62"/>
        <v>617565</v>
      </c>
      <c r="K557" s="786">
        <v>123513</v>
      </c>
      <c r="L557" s="785">
        <v>0</v>
      </c>
      <c r="M557" s="786">
        <v>0</v>
      </c>
    </row>
    <row r="558" spans="1:13" ht="15.75">
      <c r="A558" s="784">
        <v>395</v>
      </c>
      <c r="B558" s="759">
        <v>2100695</v>
      </c>
      <c r="C558" s="785" t="s">
        <v>1579</v>
      </c>
      <c r="D558" s="785" t="s">
        <v>1580</v>
      </c>
      <c r="E558" s="785" t="s">
        <v>1096</v>
      </c>
      <c r="F558" s="785" t="s">
        <v>1581</v>
      </c>
      <c r="G558" s="785">
        <f t="shared" si="61"/>
        <v>106590</v>
      </c>
      <c r="H558" s="785">
        <v>0</v>
      </c>
      <c r="I558" s="785">
        <v>0</v>
      </c>
      <c r="J558" s="785">
        <f t="shared" si="62"/>
        <v>88825</v>
      </c>
      <c r="K558" s="786">
        <v>17765</v>
      </c>
      <c r="L558" s="785">
        <v>0</v>
      </c>
      <c r="M558" s="786">
        <v>0</v>
      </c>
    </row>
    <row r="559" spans="1:13" ht="15.75">
      <c r="A559" s="784">
        <v>396</v>
      </c>
      <c r="B559" s="759">
        <v>2100696</v>
      </c>
      <c r="C559" s="785" t="s">
        <v>1582</v>
      </c>
      <c r="D559" s="785" t="s">
        <v>1481</v>
      </c>
      <c r="E559" s="785" t="s">
        <v>1096</v>
      </c>
      <c r="F559" s="785" t="s">
        <v>1430</v>
      </c>
      <c r="G559" s="785">
        <f t="shared" si="61"/>
        <v>218592</v>
      </c>
      <c r="H559" s="785">
        <v>0</v>
      </c>
      <c r="I559" s="785">
        <v>0</v>
      </c>
      <c r="J559" s="785">
        <f t="shared" si="62"/>
        <v>182160</v>
      </c>
      <c r="K559" s="786">
        <v>36432</v>
      </c>
      <c r="L559" s="785">
        <v>0</v>
      </c>
      <c r="M559" s="786">
        <v>0</v>
      </c>
    </row>
    <row r="560" spans="1:13" ht="15.75">
      <c r="A560" s="784">
        <v>397</v>
      </c>
      <c r="B560" s="759">
        <v>2100697</v>
      </c>
      <c r="C560" s="785" t="s">
        <v>1583</v>
      </c>
      <c r="D560" s="785" t="s">
        <v>1584</v>
      </c>
      <c r="E560" s="785" t="s">
        <v>1568</v>
      </c>
      <c r="F560" s="785" t="s">
        <v>1097</v>
      </c>
      <c r="G560" s="785">
        <f t="shared" si="61"/>
        <v>51498</v>
      </c>
      <c r="H560" s="785">
        <v>0</v>
      </c>
      <c r="I560" s="785">
        <v>0</v>
      </c>
      <c r="J560" s="785">
        <f t="shared" si="62"/>
        <v>42915</v>
      </c>
      <c r="K560" s="786">
        <v>8583</v>
      </c>
      <c r="L560" s="785">
        <v>0</v>
      </c>
      <c r="M560" s="786">
        <v>0</v>
      </c>
    </row>
    <row r="561" spans="1:13" ht="15.75">
      <c r="A561" s="784">
        <v>398</v>
      </c>
      <c r="B561" s="759">
        <v>2100698</v>
      </c>
      <c r="C561" s="785" t="s">
        <v>1585</v>
      </c>
      <c r="D561" s="785" t="s">
        <v>1586</v>
      </c>
      <c r="E561" s="785" t="s">
        <v>1096</v>
      </c>
      <c r="F561" s="785" t="s">
        <v>1174</v>
      </c>
      <c r="G561" s="785">
        <f t="shared" si="61"/>
        <v>180498</v>
      </c>
      <c r="H561" s="785">
        <v>0</v>
      </c>
      <c r="I561" s="785">
        <v>0</v>
      </c>
      <c r="J561" s="785">
        <f t="shared" si="62"/>
        <v>150415</v>
      </c>
      <c r="K561" s="786">
        <v>30083</v>
      </c>
      <c r="L561" s="785">
        <v>0</v>
      </c>
      <c r="M561" s="786">
        <v>0</v>
      </c>
    </row>
    <row r="562" spans="1:13" ht="15.75">
      <c r="A562" s="784">
        <v>399</v>
      </c>
      <c r="B562" s="759">
        <v>2100699</v>
      </c>
      <c r="C562" s="785" t="s">
        <v>1587</v>
      </c>
      <c r="D562" s="785" t="s">
        <v>1196</v>
      </c>
      <c r="E562" s="785" t="s">
        <v>1096</v>
      </c>
      <c r="F562" s="785" t="s">
        <v>1197</v>
      </c>
      <c r="G562" s="785">
        <f t="shared" si="61"/>
        <v>24702</v>
      </c>
      <c r="H562" s="785">
        <v>0</v>
      </c>
      <c r="I562" s="785">
        <v>0</v>
      </c>
      <c r="J562" s="785">
        <f t="shared" si="62"/>
        <v>20585</v>
      </c>
      <c r="K562" s="786">
        <v>4117</v>
      </c>
      <c r="L562" s="785">
        <v>0</v>
      </c>
      <c r="M562" s="786">
        <v>0</v>
      </c>
    </row>
    <row r="563" spans="1:13" ht="15.75">
      <c r="A563" s="784">
        <v>400</v>
      </c>
      <c r="B563" s="759">
        <v>2100700</v>
      </c>
      <c r="C563" s="785" t="s">
        <v>1587</v>
      </c>
      <c r="D563" s="785" t="s">
        <v>1111</v>
      </c>
      <c r="E563" s="785" t="s">
        <v>1096</v>
      </c>
      <c r="F563" s="785"/>
      <c r="G563" s="785">
        <f t="shared" si="61"/>
        <v>758382</v>
      </c>
      <c r="H563" s="785">
        <v>0</v>
      </c>
      <c r="I563" s="785">
        <v>0</v>
      </c>
      <c r="J563" s="785">
        <f t="shared" si="62"/>
        <v>631985</v>
      </c>
      <c r="K563" s="786">
        <v>126397</v>
      </c>
      <c r="L563" s="785">
        <v>0</v>
      </c>
      <c r="M563" s="786">
        <v>0</v>
      </c>
    </row>
    <row r="564" spans="1:13" ht="15.75">
      <c r="A564" s="784">
        <v>401</v>
      </c>
      <c r="B564" s="759">
        <v>2100701</v>
      </c>
      <c r="C564" s="785" t="s">
        <v>1588</v>
      </c>
      <c r="D564" s="785" t="s">
        <v>1146</v>
      </c>
      <c r="E564" s="785" t="s">
        <v>1096</v>
      </c>
      <c r="F564" s="785" t="s">
        <v>1147</v>
      </c>
      <c r="G564" s="785">
        <f t="shared" si="61"/>
        <v>80178</v>
      </c>
      <c r="H564" s="785">
        <v>0</v>
      </c>
      <c r="I564" s="785">
        <v>0</v>
      </c>
      <c r="J564" s="785">
        <f t="shared" si="62"/>
        <v>66815</v>
      </c>
      <c r="K564" s="786">
        <v>13363</v>
      </c>
      <c r="L564" s="785">
        <v>0</v>
      </c>
      <c r="M564" s="786">
        <v>0</v>
      </c>
    </row>
    <row r="565" spans="1:13" ht="15.75">
      <c r="A565" s="784">
        <v>402</v>
      </c>
      <c r="B565" s="759">
        <v>2100702</v>
      </c>
      <c r="C565" s="785" t="s">
        <v>1589</v>
      </c>
      <c r="D565" s="785" t="s">
        <v>1481</v>
      </c>
      <c r="E565" s="785" t="s">
        <v>1096</v>
      </c>
      <c r="F565" s="785" t="s">
        <v>1430</v>
      </c>
      <c r="G565" s="785">
        <f t="shared" si="61"/>
        <v>139122</v>
      </c>
      <c r="H565" s="785">
        <v>0</v>
      </c>
      <c r="I565" s="785">
        <v>0</v>
      </c>
      <c r="J565" s="785">
        <f t="shared" si="62"/>
        <v>115935</v>
      </c>
      <c r="K565" s="786">
        <v>23187</v>
      </c>
      <c r="L565" s="785">
        <v>0</v>
      </c>
      <c r="M565" s="786">
        <v>0</v>
      </c>
    </row>
    <row r="566" spans="1:13" ht="15.75">
      <c r="A566" s="784">
        <v>403</v>
      </c>
      <c r="B566" s="759">
        <v>2100703</v>
      </c>
      <c r="C566" s="785" t="s">
        <v>1589</v>
      </c>
      <c r="D566" s="785" t="s">
        <v>1566</v>
      </c>
      <c r="E566" s="785" t="s">
        <v>1096</v>
      </c>
      <c r="F566" s="785" t="s">
        <v>1567</v>
      </c>
      <c r="G566" s="785">
        <f t="shared" si="61"/>
        <v>201000</v>
      </c>
      <c r="H566" s="785">
        <v>0</v>
      </c>
      <c r="I566" s="785">
        <v>0</v>
      </c>
      <c r="J566" s="785">
        <f t="shared" si="62"/>
        <v>167500</v>
      </c>
      <c r="K566" s="786">
        <v>33500</v>
      </c>
      <c r="L566" s="785">
        <v>0</v>
      </c>
      <c r="M566" s="786">
        <v>0</v>
      </c>
    </row>
    <row r="567" spans="1:13" ht="15.75">
      <c r="A567" s="784">
        <v>404</v>
      </c>
      <c r="B567" s="759">
        <v>2100704</v>
      </c>
      <c r="C567" s="785" t="s">
        <v>1590</v>
      </c>
      <c r="D567" s="785" t="s">
        <v>1471</v>
      </c>
      <c r="E567" s="785" t="s">
        <v>1096</v>
      </c>
      <c r="F567" s="785" t="s">
        <v>1164</v>
      </c>
      <c r="G567" s="785">
        <f t="shared" si="61"/>
        <v>57000</v>
      </c>
      <c r="H567" s="785">
        <v>0</v>
      </c>
      <c r="I567" s="785">
        <v>0</v>
      </c>
      <c r="J567" s="785">
        <f t="shared" si="62"/>
        <v>47500</v>
      </c>
      <c r="K567" s="786">
        <v>9500</v>
      </c>
      <c r="L567" s="785">
        <v>0</v>
      </c>
      <c r="M567" s="786">
        <v>0</v>
      </c>
    </row>
    <row r="568" spans="1:13" ht="15.75">
      <c r="A568" s="784">
        <v>405</v>
      </c>
      <c r="B568" s="759">
        <v>2100705</v>
      </c>
      <c r="C568" s="785" t="s">
        <v>1590</v>
      </c>
      <c r="D568" s="785" t="s">
        <v>1481</v>
      </c>
      <c r="E568" s="785" t="s">
        <v>1096</v>
      </c>
      <c r="F568" s="785" t="s">
        <v>1430</v>
      </c>
      <c r="G568" s="785">
        <f t="shared" si="61"/>
        <v>97434</v>
      </c>
      <c r="H568" s="785">
        <v>0</v>
      </c>
      <c r="I568" s="785">
        <v>0</v>
      </c>
      <c r="J568" s="785">
        <f t="shared" si="62"/>
        <v>81195</v>
      </c>
      <c r="K568" s="786">
        <v>16239</v>
      </c>
      <c r="L568" s="785">
        <v>0</v>
      </c>
      <c r="M568" s="786">
        <v>0</v>
      </c>
    </row>
    <row r="569" spans="1:13" ht="15.75">
      <c r="A569" s="784">
        <v>406</v>
      </c>
      <c r="B569" s="759">
        <v>2100706</v>
      </c>
      <c r="C569" s="785" t="s">
        <v>1590</v>
      </c>
      <c r="D569" s="785" t="s">
        <v>1591</v>
      </c>
      <c r="E569" s="785" t="s">
        <v>1096</v>
      </c>
      <c r="F569" s="785" t="s">
        <v>1443</v>
      </c>
      <c r="G569" s="785">
        <f t="shared" si="61"/>
        <v>570000</v>
      </c>
      <c r="H569" s="785">
        <v>0</v>
      </c>
      <c r="I569" s="785">
        <v>0</v>
      </c>
      <c r="J569" s="785">
        <f t="shared" si="62"/>
        <v>475000</v>
      </c>
      <c r="K569" s="786">
        <v>95000</v>
      </c>
      <c r="L569" s="785">
        <v>0</v>
      </c>
      <c r="M569" s="786">
        <v>0</v>
      </c>
    </row>
    <row r="570" spans="1:13" ht="15.75">
      <c r="A570" s="784">
        <v>407</v>
      </c>
      <c r="B570" s="759">
        <v>2100707</v>
      </c>
      <c r="C570" s="785" t="s">
        <v>1592</v>
      </c>
      <c r="D570" s="785" t="s">
        <v>1137</v>
      </c>
      <c r="E570" s="785" t="s">
        <v>1096</v>
      </c>
      <c r="F570" s="785" t="s">
        <v>1138</v>
      </c>
      <c r="G570" s="785">
        <f t="shared" si="61"/>
        <v>28500</v>
      </c>
      <c r="H570" s="785">
        <v>0</v>
      </c>
      <c r="I570" s="785">
        <v>0</v>
      </c>
      <c r="J570" s="785">
        <f t="shared" si="62"/>
        <v>23750</v>
      </c>
      <c r="K570" s="786">
        <v>4750</v>
      </c>
      <c r="L570" s="785">
        <v>0</v>
      </c>
      <c r="M570" s="786">
        <v>0</v>
      </c>
    </row>
    <row r="571" spans="1:13" ht="15.75">
      <c r="A571" s="784">
        <v>408</v>
      </c>
      <c r="B571" s="759">
        <v>2100708</v>
      </c>
      <c r="C571" s="785" t="s">
        <v>1592</v>
      </c>
      <c r="D571" s="785" t="s">
        <v>1063</v>
      </c>
      <c r="E571" s="785" t="s">
        <v>1096</v>
      </c>
      <c r="F571" s="785" t="s">
        <v>1150</v>
      </c>
      <c r="G571" s="785">
        <f t="shared" si="61"/>
        <v>15360</v>
      </c>
      <c r="H571" s="785">
        <v>0</v>
      </c>
      <c r="I571" s="785">
        <v>0</v>
      </c>
      <c r="J571" s="785">
        <f t="shared" si="62"/>
        <v>12800</v>
      </c>
      <c r="K571" s="786">
        <v>2560</v>
      </c>
      <c r="L571" s="785">
        <v>0</v>
      </c>
      <c r="M571" s="786">
        <v>0</v>
      </c>
    </row>
    <row r="572" spans="1:13" ht="15.75">
      <c r="A572" s="784">
        <v>409</v>
      </c>
      <c r="B572" s="759">
        <v>2100709</v>
      </c>
      <c r="C572" s="785" t="s">
        <v>1593</v>
      </c>
      <c r="D572" s="785" t="s">
        <v>1152</v>
      </c>
      <c r="E572" s="785" t="s">
        <v>1096</v>
      </c>
      <c r="F572" s="785" t="s">
        <v>1153</v>
      </c>
      <c r="G572" s="785">
        <f t="shared" si="61"/>
        <v>836250</v>
      </c>
      <c r="H572" s="785">
        <v>0</v>
      </c>
      <c r="I572" s="785">
        <v>0</v>
      </c>
      <c r="J572" s="785">
        <f t="shared" si="62"/>
        <v>696875</v>
      </c>
      <c r="K572" s="786">
        <v>139375</v>
      </c>
      <c r="L572" s="785">
        <v>0</v>
      </c>
      <c r="M572" s="786">
        <v>0</v>
      </c>
    </row>
    <row r="573" spans="1:13" ht="15.75">
      <c r="A573" s="784">
        <v>410</v>
      </c>
      <c r="B573" s="759">
        <v>2100710</v>
      </c>
      <c r="C573" s="785" t="s">
        <v>1593</v>
      </c>
      <c r="D573" s="785" t="s">
        <v>1101</v>
      </c>
      <c r="E573" s="785" t="s">
        <v>1096</v>
      </c>
      <c r="F573" s="785" t="s">
        <v>1102</v>
      </c>
      <c r="G573" s="785">
        <f t="shared" si="61"/>
        <v>57000</v>
      </c>
      <c r="H573" s="785">
        <v>0</v>
      </c>
      <c r="I573" s="785">
        <v>0</v>
      </c>
      <c r="J573" s="785">
        <f t="shared" si="62"/>
        <v>47500</v>
      </c>
      <c r="K573" s="786">
        <v>9500</v>
      </c>
      <c r="L573" s="785">
        <v>0</v>
      </c>
      <c r="M573" s="786">
        <v>0</v>
      </c>
    </row>
    <row r="574" spans="1:13" ht="15.75">
      <c r="A574" s="784">
        <v>411</v>
      </c>
      <c r="B574" s="759">
        <v>2100711</v>
      </c>
      <c r="C574" s="785" t="s">
        <v>1593</v>
      </c>
      <c r="D574" s="785" t="s">
        <v>1155</v>
      </c>
      <c r="E574" s="785" t="s">
        <v>1096</v>
      </c>
      <c r="F574" s="785" t="s">
        <v>1156</v>
      </c>
      <c r="G574" s="785">
        <f t="shared" si="61"/>
        <v>157476</v>
      </c>
      <c r="H574" s="785">
        <v>0</v>
      </c>
      <c r="I574" s="785">
        <v>0</v>
      </c>
      <c r="J574" s="785">
        <f t="shared" si="62"/>
        <v>131230</v>
      </c>
      <c r="K574" s="786">
        <v>26246</v>
      </c>
      <c r="L574" s="785">
        <v>0</v>
      </c>
      <c r="M574" s="786">
        <v>0</v>
      </c>
    </row>
    <row r="575" spans="1:13" ht="15.75">
      <c r="A575" s="784">
        <v>412</v>
      </c>
      <c r="B575" s="759">
        <v>2100712</v>
      </c>
      <c r="C575" s="785" t="s">
        <v>1593</v>
      </c>
      <c r="D575" s="785" t="s">
        <v>1211</v>
      </c>
      <c r="E575" s="785" t="s">
        <v>1096</v>
      </c>
      <c r="F575" s="785" t="s">
        <v>1158</v>
      </c>
      <c r="G575" s="785">
        <f t="shared" si="61"/>
        <v>274638</v>
      </c>
      <c r="H575" s="785">
        <v>0</v>
      </c>
      <c r="I575" s="785">
        <v>0</v>
      </c>
      <c r="J575" s="785">
        <f t="shared" si="62"/>
        <v>228865</v>
      </c>
      <c r="K575" s="786">
        <v>45773</v>
      </c>
      <c r="L575" s="785">
        <v>0</v>
      </c>
      <c r="M575" s="786">
        <v>0</v>
      </c>
    </row>
    <row r="576" spans="1:13" ht="15.75">
      <c r="A576" s="784">
        <v>413</v>
      </c>
      <c r="B576" s="759">
        <v>2100713</v>
      </c>
      <c r="C576" s="785" t="s">
        <v>1593</v>
      </c>
      <c r="D576" s="785" t="s">
        <v>1063</v>
      </c>
      <c r="E576" s="785" t="s">
        <v>1096</v>
      </c>
      <c r="F576" s="785" t="s">
        <v>1150</v>
      </c>
      <c r="G576" s="785">
        <f t="shared" si="61"/>
        <v>17040</v>
      </c>
      <c r="H576" s="785">
        <v>0</v>
      </c>
      <c r="I576" s="785">
        <v>0</v>
      </c>
      <c r="J576" s="785">
        <f t="shared" si="62"/>
        <v>14200</v>
      </c>
      <c r="K576" s="786">
        <v>2840</v>
      </c>
      <c r="L576" s="785">
        <v>0</v>
      </c>
      <c r="M576" s="786">
        <v>0</v>
      </c>
    </row>
    <row r="577" spans="1:13" ht="16.5" thickBot="1">
      <c r="A577" s="784">
        <v>414</v>
      </c>
      <c r="B577" s="759">
        <v>2100714</v>
      </c>
      <c r="C577" s="1023">
        <v>41182</v>
      </c>
      <c r="D577" s="785" t="s">
        <v>1111</v>
      </c>
      <c r="E577" s="785" t="s">
        <v>1096</v>
      </c>
      <c r="F577" s="785"/>
      <c r="G577" s="785">
        <f t="shared" si="61"/>
        <v>1092288</v>
      </c>
      <c r="H577" s="785">
        <v>0</v>
      </c>
      <c r="I577" s="785">
        <v>0</v>
      </c>
      <c r="J577" s="785">
        <f t="shared" si="62"/>
        <v>910240</v>
      </c>
      <c r="K577" s="786">
        <v>182048</v>
      </c>
      <c r="L577" s="785">
        <v>0</v>
      </c>
      <c r="M577" s="786">
        <v>0</v>
      </c>
    </row>
    <row r="578" spans="1:13" ht="16.5" thickBot="1">
      <c r="A578" s="1389" t="s">
        <v>822</v>
      </c>
      <c r="B578" s="1390"/>
      <c r="C578" s="1390"/>
      <c r="D578" s="1390"/>
      <c r="E578" s="1390"/>
      <c r="F578" s="1391"/>
      <c r="G578" s="1020">
        <f>SUM(G531:G577)</f>
        <v>10550502</v>
      </c>
      <c r="H578" s="1020">
        <v>0</v>
      </c>
      <c r="I578" s="1020">
        <v>0</v>
      </c>
      <c r="J578" s="1020">
        <f>SUM(J531:J577)</f>
        <v>8792085</v>
      </c>
      <c r="K578" s="1021">
        <f>SUM(K531:K577)</f>
        <v>1758417</v>
      </c>
      <c r="L578" s="1020">
        <v>0</v>
      </c>
      <c r="M578" s="1021">
        <v>0</v>
      </c>
    </row>
    <row r="579" spans="1:13" ht="16.5" thickBot="1">
      <c r="A579" s="1392" t="s">
        <v>823</v>
      </c>
      <c r="B579" s="1393"/>
      <c r="C579" s="1393"/>
      <c r="D579" s="1393"/>
      <c r="E579" s="1393"/>
      <c r="F579" s="1393"/>
      <c r="G579" s="1393"/>
      <c r="H579" s="781" t="s">
        <v>824</v>
      </c>
      <c r="I579" s="765" t="s">
        <v>825</v>
      </c>
      <c r="J579" s="781" t="s">
        <v>826</v>
      </c>
      <c r="K579" s="766" t="s">
        <v>827</v>
      </c>
      <c r="L579" s="781" t="s">
        <v>828</v>
      </c>
      <c r="M579" s="766" t="s">
        <v>829</v>
      </c>
    </row>
    <row r="580" spans="1:13" ht="15.75">
      <c r="A580" s="731"/>
      <c r="B580" s="731"/>
      <c r="C580" s="731"/>
      <c r="D580" s="731"/>
      <c r="E580" s="731"/>
      <c r="F580" s="731"/>
      <c r="G580" s="731"/>
      <c r="H580" s="731"/>
      <c r="I580" s="731"/>
      <c r="J580" s="731"/>
      <c r="K580" s="731"/>
      <c r="L580" s="731"/>
      <c r="M580" s="731"/>
    </row>
    <row r="581" spans="1:13" ht="15.75">
      <c r="A581" s="731"/>
      <c r="B581" s="731"/>
      <c r="C581" s="731"/>
      <c r="D581" s="731"/>
      <c r="E581" s="731"/>
      <c r="F581" s="731"/>
      <c r="G581" s="731"/>
      <c r="H581" s="731"/>
      <c r="I581" s="731"/>
      <c r="J581" s="731"/>
      <c r="K581" s="731"/>
      <c r="L581" s="731"/>
      <c r="M581" s="731"/>
    </row>
    <row r="582" spans="1:13" ht="15.75">
      <c r="A582" s="731"/>
      <c r="B582" s="731"/>
      <c r="C582" s="731"/>
      <c r="D582" s="731"/>
      <c r="E582" s="731"/>
      <c r="F582" s="731"/>
      <c r="G582" s="731"/>
      <c r="H582" s="731"/>
      <c r="I582" s="731"/>
      <c r="J582" s="1017" t="s">
        <v>1249</v>
      </c>
      <c r="K582" s="731"/>
      <c r="L582" s="731"/>
      <c r="M582" s="731"/>
    </row>
    <row r="583" spans="1:13" ht="15.75">
      <c r="A583" s="731"/>
      <c r="B583" s="731"/>
      <c r="C583" s="731"/>
      <c r="D583" s="731"/>
      <c r="E583" s="731"/>
      <c r="F583" s="731"/>
      <c r="G583" s="731"/>
      <c r="H583" s="731"/>
      <c r="I583" s="731"/>
      <c r="J583" s="731" t="s">
        <v>1122</v>
      </c>
      <c r="K583" s="731"/>
      <c r="L583" s="731"/>
      <c r="M583" s="731"/>
    </row>
    <row r="584" spans="1:13" ht="15.75">
      <c r="A584" s="731" t="s">
        <v>856</v>
      </c>
      <c r="B584" s="731"/>
      <c r="C584" s="731"/>
      <c r="D584" s="731"/>
      <c r="E584" s="731"/>
      <c r="F584" s="731"/>
      <c r="G584" s="731"/>
      <c r="H584" s="731"/>
      <c r="I584" s="731"/>
      <c r="J584" s="731"/>
      <c r="K584" s="731"/>
      <c r="L584" s="731"/>
      <c r="M584" s="731"/>
    </row>
    <row r="585" spans="1:13" ht="15.75">
      <c r="A585" s="731" t="s">
        <v>848</v>
      </c>
      <c r="B585" s="731"/>
      <c r="C585" s="731"/>
      <c r="D585" s="731"/>
      <c r="E585" s="731"/>
      <c r="F585" s="731"/>
      <c r="G585" s="731"/>
      <c r="H585" s="731"/>
      <c r="I585" s="731"/>
      <c r="J585" s="731"/>
      <c r="K585" s="731"/>
      <c r="L585" s="731"/>
      <c r="M585" s="731"/>
    </row>
    <row r="586" spans="1:13" ht="15.75">
      <c r="A586" s="731" t="s">
        <v>855</v>
      </c>
      <c r="B586"/>
      <c r="K586" s="731"/>
      <c r="L586" s="731"/>
      <c r="M586" s="731"/>
    </row>
    <row r="590" spans="1:31" ht="19.5">
      <c r="A590" s="730" t="s">
        <v>794</v>
      </c>
      <c r="B590" s="731"/>
      <c r="C590" s="731"/>
      <c r="D590" s="731"/>
      <c r="E590" s="731"/>
      <c r="F590" s="731"/>
      <c r="G590" s="731"/>
      <c r="H590" s="731"/>
      <c r="I590" s="731"/>
      <c r="J590" s="731"/>
      <c r="K590" s="731"/>
      <c r="L590" s="731"/>
      <c r="M590" s="731"/>
      <c r="N590" s="730" t="s">
        <v>795</v>
      </c>
      <c r="O590" s="731"/>
      <c r="P590" s="731"/>
      <c r="Q590" s="731"/>
      <c r="R590" s="731"/>
      <c r="S590" s="731"/>
      <c r="T590" s="731"/>
      <c r="U590" s="731"/>
      <c r="V590" s="731"/>
      <c r="W590" s="731"/>
      <c r="X590" s="731"/>
      <c r="Y590" s="731"/>
      <c r="Z590" s="731"/>
      <c r="AA590" s="731"/>
      <c r="AB590" s="731"/>
      <c r="AC590" s="731"/>
      <c r="AD590" s="731"/>
      <c r="AE590" s="731"/>
    </row>
    <row r="591" spans="1:31" ht="15.75">
      <c r="A591" s="733" t="s">
        <v>796</v>
      </c>
      <c r="B591" s="733"/>
      <c r="C591" s="731" t="s">
        <v>1094</v>
      </c>
      <c r="D591" s="731"/>
      <c r="E591" s="731"/>
      <c r="F591" s="731"/>
      <c r="G591" s="731"/>
      <c r="H591" s="731"/>
      <c r="I591" s="731"/>
      <c r="J591" s="731"/>
      <c r="K591" s="731"/>
      <c r="L591" s="731"/>
      <c r="M591" s="731"/>
      <c r="N591" s="733" t="s">
        <v>796</v>
      </c>
      <c r="O591" s="733"/>
      <c r="P591" s="731" t="s">
        <v>1094</v>
      </c>
      <c r="Q591" s="731"/>
      <c r="R591" s="731"/>
      <c r="S591" s="731"/>
      <c r="T591" s="731"/>
      <c r="U591" s="731"/>
      <c r="V591" s="731"/>
      <c r="W591" s="731"/>
      <c r="X591" s="731"/>
      <c r="Y591" s="731"/>
      <c r="Z591" s="731"/>
      <c r="AA591" s="731"/>
      <c r="AB591" s="731"/>
      <c r="AC591" s="731"/>
      <c r="AD591" s="731"/>
      <c r="AE591" s="731"/>
    </row>
    <row r="592" spans="1:31" ht="15.75">
      <c r="A592" s="733" t="s">
        <v>413</v>
      </c>
      <c r="B592" s="733"/>
      <c r="C592" s="731" t="s">
        <v>1043</v>
      </c>
      <c r="D592" s="731"/>
      <c r="E592" s="731"/>
      <c r="F592" s="731"/>
      <c r="G592" s="731"/>
      <c r="H592" s="731"/>
      <c r="I592" s="731"/>
      <c r="J592" s="731"/>
      <c r="K592" s="731"/>
      <c r="L592" s="731"/>
      <c r="M592" s="731"/>
      <c r="N592" s="733" t="s">
        <v>413</v>
      </c>
      <c r="O592" s="733"/>
      <c r="P592" s="731" t="s">
        <v>1043</v>
      </c>
      <c r="Q592" s="731"/>
      <c r="R592" s="731"/>
      <c r="S592" s="731"/>
      <c r="T592" s="731"/>
      <c r="U592" s="731"/>
      <c r="V592" s="731"/>
      <c r="W592" s="731"/>
      <c r="X592" s="731"/>
      <c r="Y592" s="731"/>
      <c r="Z592" s="731"/>
      <c r="AA592" s="731"/>
      <c r="AB592" s="731"/>
      <c r="AC592" s="731"/>
      <c r="AD592" s="731"/>
      <c r="AE592" s="731"/>
    </row>
    <row r="593" spans="1:31" ht="15.75">
      <c r="A593" s="733" t="s">
        <v>797</v>
      </c>
      <c r="B593" s="733"/>
      <c r="C593" s="731">
        <v>2012</v>
      </c>
      <c r="D593" s="731"/>
      <c r="E593" s="731"/>
      <c r="F593" s="731"/>
      <c r="G593" s="731"/>
      <c r="H593" s="731"/>
      <c r="I593" s="731"/>
      <c r="J593" s="731"/>
      <c r="K593" s="731"/>
      <c r="L593" s="731"/>
      <c r="M593" s="731"/>
      <c r="N593" s="733" t="s">
        <v>797</v>
      </c>
      <c r="O593" s="733"/>
      <c r="P593" s="731">
        <v>2012</v>
      </c>
      <c r="Q593" s="731"/>
      <c r="R593" s="731"/>
      <c r="S593" s="731"/>
      <c r="T593" s="731"/>
      <c r="U593" s="731"/>
      <c r="V593" s="731"/>
      <c r="W593" s="731"/>
      <c r="X593" s="731"/>
      <c r="Y593" s="731"/>
      <c r="Z593" s="731"/>
      <c r="AA593" s="731"/>
      <c r="AB593" s="731"/>
      <c r="AC593" s="731"/>
      <c r="AD593" s="731"/>
      <c r="AE593" s="731"/>
    </row>
    <row r="594" spans="1:31" ht="15.75">
      <c r="A594" s="733" t="s">
        <v>166</v>
      </c>
      <c r="B594" s="733"/>
      <c r="C594" s="731">
        <v>10</v>
      </c>
      <c r="D594" s="731"/>
      <c r="E594" s="731"/>
      <c r="F594" s="731"/>
      <c r="G594" s="731"/>
      <c r="H594" s="731"/>
      <c r="I594" s="731"/>
      <c r="J594" s="731"/>
      <c r="K594" s="731"/>
      <c r="L594" s="731"/>
      <c r="M594" s="731"/>
      <c r="N594" s="733" t="s">
        <v>166</v>
      </c>
      <c r="O594" s="733"/>
      <c r="P594" s="731">
        <v>10</v>
      </c>
      <c r="Q594" s="731"/>
      <c r="R594" s="731"/>
      <c r="S594" s="731"/>
      <c r="T594" s="731"/>
      <c r="U594" s="731"/>
      <c r="V594" s="731"/>
      <c r="W594" s="731"/>
      <c r="X594" s="731"/>
      <c r="Y594" s="731"/>
      <c r="Z594" s="731"/>
      <c r="AA594" s="731"/>
      <c r="AB594" s="731"/>
      <c r="AC594" s="731"/>
      <c r="AD594" s="731"/>
      <c r="AE594" s="731"/>
    </row>
    <row r="595" spans="1:31" ht="16.5" thickBot="1">
      <c r="A595" s="733"/>
      <c r="B595" s="733"/>
      <c r="C595" s="731"/>
      <c r="D595" s="731"/>
      <c r="E595" s="731"/>
      <c r="F595" s="731"/>
      <c r="G595" s="731"/>
      <c r="H595" s="731"/>
      <c r="I595" s="731"/>
      <c r="J595" s="731"/>
      <c r="K595" s="731"/>
      <c r="L595" s="731"/>
      <c r="M595" s="731"/>
      <c r="N595" s="733"/>
      <c r="O595" s="733"/>
      <c r="P595" s="731"/>
      <c r="Q595" s="731"/>
      <c r="R595" s="731"/>
      <c r="S595" s="731"/>
      <c r="T595" s="731"/>
      <c r="U595" s="731"/>
      <c r="V595" s="731"/>
      <c r="W595" s="731"/>
      <c r="X595" s="731"/>
      <c r="Y595" s="731"/>
      <c r="Z595" s="731"/>
      <c r="AA595" s="731"/>
      <c r="AB595" s="731"/>
      <c r="AC595" s="731"/>
      <c r="AD595" s="731"/>
      <c r="AE595" s="731"/>
    </row>
    <row r="596" spans="1:31" ht="16.5" thickBot="1">
      <c r="A596" s="731" t="s">
        <v>799</v>
      </c>
      <c r="B596" s="1103"/>
      <c r="C596" s="731" t="s">
        <v>835</v>
      </c>
      <c r="D596" s="731"/>
      <c r="E596" s="731"/>
      <c r="F596" s="731"/>
      <c r="G596" s="731"/>
      <c r="H596" s="731"/>
      <c r="I596" s="731"/>
      <c r="J596" s="731"/>
      <c r="K596" s="731"/>
      <c r="L596" s="731"/>
      <c r="M596" s="731"/>
      <c r="N596" s="731" t="s">
        <v>799</v>
      </c>
      <c r="O596" s="1103"/>
      <c r="P596" s="731" t="s">
        <v>835</v>
      </c>
      <c r="Q596" s="731"/>
      <c r="R596" s="731"/>
      <c r="S596" s="731"/>
      <c r="T596" s="731"/>
      <c r="U596" s="731"/>
      <c r="V596" s="731"/>
      <c r="W596" s="731"/>
      <c r="X596" s="731"/>
      <c r="Y596" s="731"/>
      <c r="Z596" s="731"/>
      <c r="AA596" s="731"/>
      <c r="AB596" s="731"/>
      <c r="AC596" s="731"/>
      <c r="AD596" s="731"/>
      <c r="AE596" s="731"/>
    </row>
    <row r="597" spans="1:31" ht="16.5" thickBot="1">
      <c r="A597" s="731"/>
      <c r="B597" s="731"/>
      <c r="C597" s="731"/>
      <c r="D597" s="731"/>
      <c r="E597" s="731"/>
      <c r="F597" s="731"/>
      <c r="G597" s="731"/>
      <c r="H597" s="731"/>
      <c r="I597" s="731"/>
      <c r="J597" s="731"/>
      <c r="K597" s="731"/>
      <c r="L597" s="731"/>
      <c r="M597" s="731"/>
      <c r="N597" s="731"/>
      <c r="O597" s="731"/>
      <c r="P597" s="733"/>
      <c r="Q597" s="731"/>
      <c r="R597" s="731"/>
      <c r="S597" s="731"/>
      <c r="T597" s="731"/>
      <c r="U597" s="731"/>
      <c r="V597" s="731"/>
      <c r="W597" s="731"/>
      <c r="X597" s="731"/>
      <c r="Y597" s="731"/>
      <c r="Z597" s="731"/>
      <c r="AA597" s="731"/>
      <c r="AB597" s="731"/>
      <c r="AC597" s="731"/>
      <c r="AD597" s="731"/>
      <c r="AE597" s="731"/>
    </row>
    <row r="598" spans="1:31" ht="16.5" thickBot="1">
      <c r="A598" s="1401" t="s">
        <v>800</v>
      </c>
      <c r="B598" s="1409"/>
      <c r="C598" s="1402"/>
      <c r="D598" s="1401" t="s">
        <v>801</v>
      </c>
      <c r="E598" s="1409"/>
      <c r="F598" s="1402"/>
      <c r="G598" s="1398" t="s">
        <v>802</v>
      </c>
      <c r="H598" s="1398" t="s">
        <v>803</v>
      </c>
      <c r="I598" s="1398" t="s">
        <v>804</v>
      </c>
      <c r="J598" s="1401" t="s">
        <v>836</v>
      </c>
      <c r="K598" s="1402"/>
      <c r="L598" s="1401" t="s">
        <v>837</v>
      </c>
      <c r="M598" s="1402"/>
      <c r="N598" s="1405" t="s">
        <v>800</v>
      </c>
      <c r="O598" s="1406"/>
      <c r="P598" s="1407"/>
      <c r="Q598" s="1405" t="s">
        <v>805</v>
      </c>
      <c r="R598" s="1406"/>
      <c r="S598" s="1407"/>
      <c r="T598" s="1398" t="s">
        <v>806</v>
      </c>
      <c r="U598" s="1387" t="s">
        <v>807</v>
      </c>
      <c r="V598" s="1397"/>
      <c r="W598" s="1397"/>
      <c r="X598" s="1397"/>
      <c r="Y598" s="1397"/>
      <c r="Z598" s="1397"/>
      <c r="AA598" s="1397"/>
      <c r="AB598" s="1397"/>
      <c r="AC598" s="1397"/>
      <c r="AD598" s="1397"/>
      <c r="AE598" s="1388"/>
    </row>
    <row r="599" spans="1:31" ht="16.5" thickBot="1">
      <c r="A599" s="1403"/>
      <c r="B599" s="1410"/>
      <c r="C599" s="1404"/>
      <c r="D599" s="1403"/>
      <c r="E599" s="1410"/>
      <c r="F599" s="1404"/>
      <c r="G599" s="1408"/>
      <c r="H599" s="1408"/>
      <c r="I599" s="1408"/>
      <c r="J599" s="1403"/>
      <c r="K599" s="1404"/>
      <c r="L599" s="1403"/>
      <c r="M599" s="1404"/>
      <c r="N599" s="1398" t="s">
        <v>808</v>
      </c>
      <c r="O599" s="1398" t="s">
        <v>809</v>
      </c>
      <c r="P599" s="1398" t="s">
        <v>810</v>
      </c>
      <c r="Q599" s="1398" t="s">
        <v>811</v>
      </c>
      <c r="R599" s="1398" t="s">
        <v>812</v>
      </c>
      <c r="S599" s="1398" t="s">
        <v>813</v>
      </c>
      <c r="T599" s="1408"/>
      <c r="U599" s="1398" t="s">
        <v>814</v>
      </c>
      <c r="V599" s="1387" t="s">
        <v>838</v>
      </c>
      <c r="W599" s="1400"/>
      <c r="X599" s="1387" t="s">
        <v>839</v>
      </c>
      <c r="Y599" s="1400"/>
      <c r="Z599" s="1387" t="s">
        <v>840</v>
      </c>
      <c r="AA599" s="1388"/>
      <c r="AB599" s="1387" t="s">
        <v>841</v>
      </c>
      <c r="AC599" s="1388"/>
      <c r="AD599" s="1387" t="s">
        <v>815</v>
      </c>
      <c r="AE599" s="1388"/>
    </row>
    <row r="600" spans="1:31" ht="48" thickBot="1">
      <c r="A600" s="748" t="s">
        <v>808</v>
      </c>
      <c r="B600" s="749" t="s">
        <v>809</v>
      </c>
      <c r="C600" s="750" t="s">
        <v>810</v>
      </c>
      <c r="D600" s="743" t="s">
        <v>816</v>
      </c>
      <c r="E600" s="746" t="s">
        <v>812</v>
      </c>
      <c r="F600" s="751" t="s">
        <v>406</v>
      </c>
      <c r="G600" s="1399"/>
      <c r="H600" s="1399"/>
      <c r="I600" s="1399"/>
      <c r="J600" s="751" t="s">
        <v>817</v>
      </c>
      <c r="K600" s="744" t="s">
        <v>818</v>
      </c>
      <c r="L600" s="751" t="s">
        <v>817</v>
      </c>
      <c r="M600" s="744" t="s">
        <v>818</v>
      </c>
      <c r="N600" s="1399"/>
      <c r="O600" s="1399"/>
      <c r="P600" s="1399"/>
      <c r="Q600" s="1399"/>
      <c r="R600" s="1399"/>
      <c r="S600" s="1399"/>
      <c r="T600" s="1399"/>
      <c r="U600" s="1399"/>
      <c r="V600" s="745" t="s">
        <v>817</v>
      </c>
      <c r="W600" s="752" t="s">
        <v>818</v>
      </c>
      <c r="X600" s="745" t="s">
        <v>817</v>
      </c>
      <c r="Y600" s="752" t="s">
        <v>818</v>
      </c>
      <c r="Z600" s="744" t="s">
        <v>819</v>
      </c>
      <c r="AA600" s="744" t="s">
        <v>820</v>
      </c>
      <c r="AB600" s="744" t="s">
        <v>819</v>
      </c>
      <c r="AC600" s="744" t="s">
        <v>820</v>
      </c>
      <c r="AD600" s="744" t="s">
        <v>819</v>
      </c>
      <c r="AE600" s="744" t="s">
        <v>820</v>
      </c>
    </row>
    <row r="601" spans="1:31" ht="29.25" thickBot="1">
      <c r="A601" s="754" t="s">
        <v>510</v>
      </c>
      <c r="B601" s="755" t="s">
        <v>511</v>
      </c>
      <c r="C601" s="755" t="s">
        <v>598</v>
      </c>
      <c r="D601" s="755" t="s">
        <v>620</v>
      </c>
      <c r="E601" s="755" t="s">
        <v>622</v>
      </c>
      <c r="F601" s="755" t="s">
        <v>634</v>
      </c>
      <c r="G601" s="755" t="s">
        <v>842</v>
      </c>
      <c r="H601" s="755" t="s">
        <v>638</v>
      </c>
      <c r="I601" s="756" t="s">
        <v>640</v>
      </c>
      <c r="J601" s="755" t="s">
        <v>642</v>
      </c>
      <c r="K601" s="757" t="s">
        <v>644</v>
      </c>
      <c r="L601" s="755" t="s">
        <v>646</v>
      </c>
      <c r="M601" s="757" t="s">
        <v>650</v>
      </c>
      <c r="N601" s="777" t="s">
        <v>510</v>
      </c>
      <c r="O601" s="778" t="s">
        <v>511</v>
      </c>
      <c r="P601" s="778" t="s">
        <v>598</v>
      </c>
      <c r="Q601" s="778" t="s">
        <v>620</v>
      </c>
      <c r="R601" s="778" t="s">
        <v>622</v>
      </c>
      <c r="S601" s="778" t="s">
        <v>634</v>
      </c>
      <c r="T601" s="779" t="s">
        <v>843</v>
      </c>
      <c r="U601" s="778" t="s">
        <v>638</v>
      </c>
      <c r="V601" s="778" t="s">
        <v>640</v>
      </c>
      <c r="W601" s="778" t="s">
        <v>642</v>
      </c>
      <c r="X601" s="778" t="s">
        <v>644</v>
      </c>
      <c r="Y601" s="778" t="s">
        <v>646</v>
      </c>
      <c r="Z601" s="778" t="s">
        <v>650</v>
      </c>
      <c r="AA601" s="778" t="s">
        <v>821</v>
      </c>
      <c r="AB601" s="778" t="s">
        <v>844</v>
      </c>
      <c r="AC601" s="778" t="s">
        <v>845</v>
      </c>
      <c r="AD601" s="778" t="s">
        <v>846</v>
      </c>
      <c r="AE601" s="780" t="s">
        <v>847</v>
      </c>
    </row>
    <row r="602" spans="1:31" ht="15.75">
      <c r="A602" s="758">
        <v>415</v>
      </c>
      <c r="B602" s="759">
        <v>2100715</v>
      </c>
      <c r="C602" s="760">
        <v>41183</v>
      </c>
      <c r="D602" s="759" t="s">
        <v>1619</v>
      </c>
      <c r="E602" s="759">
        <v>0</v>
      </c>
      <c r="F602" s="759">
        <v>0</v>
      </c>
      <c r="G602" s="759">
        <v>0</v>
      </c>
      <c r="H602" s="759">
        <v>0</v>
      </c>
      <c r="I602" s="759">
        <v>0</v>
      </c>
      <c r="J602" s="759">
        <v>0</v>
      </c>
      <c r="K602" s="782">
        <v>0</v>
      </c>
      <c r="L602" s="759">
        <v>0</v>
      </c>
      <c r="M602" s="782">
        <v>0</v>
      </c>
      <c r="N602" s="758">
        <v>130563719</v>
      </c>
      <c r="O602" s="759">
        <v>130563719</v>
      </c>
      <c r="P602" s="1089" t="s">
        <v>1649</v>
      </c>
      <c r="Q602" s="759" t="s">
        <v>1650</v>
      </c>
      <c r="R602" s="759" t="s">
        <v>1096</v>
      </c>
      <c r="S602" s="759" t="s">
        <v>1170</v>
      </c>
      <c r="T602" s="759">
        <f>U602+Z602+AA602</f>
        <v>16978</v>
      </c>
      <c r="U602" s="759">
        <v>100</v>
      </c>
      <c r="V602" s="759">
        <v>0</v>
      </c>
      <c r="W602" s="759">
        <v>0</v>
      </c>
      <c r="X602" s="759">
        <v>0</v>
      </c>
      <c r="Y602" s="759">
        <v>0</v>
      </c>
      <c r="Z602" s="759">
        <f aca="true" t="shared" si="66" ref="Z602:Z616">AA602*5</f>
        <v>14065</v>
      </c>
      <c r="AA602" s="759">
        <v>2813</v>
      </c>
      <c r="AB602" s="759">
        <v>0</v>
      </c>
      <c r="AC602" s="759">
        <v>0</v>
      </c>
      <c r="AD602" s="759">
        <v>0</v>
      </c>
      <c r="AE602" s="782">
        <v>0</v>
      </c>
    </row>
    <row r="603" spans="1:31" ht="15.75">
      <c r="A603" s="758">
        <v>416</v>
      </c>
      <c r="B603" s="759">
        <v>2100716</v>
      </c>
      <c r="C603" s="760">
        <v>41184</v>
      </c>
      <c r="D603" s="759" t="s">
        <v>1620</v>
      </c>
      <c r="E603" s="759" t="s">
        <v>1096</v>
      </c>
      <c r="F603" s="759" t="s">
        <v>1621</v>
      </c>
      <c r="G603" s="759">
        <f>J603+K603</f>
        <v>228000</v>
      </c>
      <c r="H603" s="759">
        <v>0</v>
      </c>
      <c r="I603" s="759">
        <v>0</v>
      </c>
      <c r="J603" s="759">
        <f>K603*5</f>
        <v>190000</v>
      </c>
      <c r="K603" s="782">
        <v>38000</v>
      </c>
      <c r="L603" s="759">
        <v>0</v>
      </c>
      <c r="M603" s="782">
        <v>0</v>
      </c>
      <c r="N603" s="759">
        <v>111125382</v>
      </c>
      <c r="O603" s="759">
        <v>111125382</v>
      </c>
      <c r="P603" s="1126">
        <v>41184</v>
      </c>
      <c r="Q603" s="759" t="s">
        <v>1098</v>
      </c>
      <c r="R603" s="759" t="s">
        <v>1096</v>
      </c>
      <c r="S603" s="759" t="s">
        <v>1100</v>
      </c>
      <c r="T603" s="759">
        <f>Z603+AA603</f>
        <v>22488</v>
      </c>
      <c r="U603" s="759">
        <v>0</v>
      </c>
      <c r="V603" s="759">
        <v>0</v>
      </c>
      <c r="W603" s="759">
        <v>0</v>
      </c>
      <c r="X603" s="759">
        <v>0</v>
      </c>
      <c r="Y603" s="759">
        <v>0</v>
      </c>
      <c r="Z603" s="759">
        <f t="shared" si="66"/>
        <v>18740</v>
      </c>
      <c r="AA603" s="759">
        <v>3748</v>
      </c>
      <c r="AB603" s="759">
        <v>0</v>
      </c>
      <c r="AC603" s="759">
        <v>0</v>
      </c>
      <c r="AD603" s="759">
        <v>0</v>
      </c>
      <c r="AE603" s="782">
        <v>0</v>
      </c>
    </row>
    <row r="604" spans="1:31" ht="15.75">
      <c r="A604" s="758">
        <v>417</v>
      </c>
      <c r="B604" s="759">
        <v>2100717</v>
      </c>
      <c r="C604" s="760">
        <v>41184</v>
      </c>
      <c r="D604" s="763" t="s">
        <v>1380</v>
      </c>
      <c r="E604" s="763" t="s">
        <v>1096</v>
      </c>
      <c r="F604" s="759"/>
      <c r="G604" s="759">
        <f>K604+J604</f>
        <v>80640</v>
      </c>
      <c r="H604" s="759">
        <v>0</v>
      </c>
      <c r="I604" s="759">
        <v>0</v>
      </c>
      <c r="J604" s="759">
        <f>K604*5</f>
        <v>67200</v>
      </c>
      <c r="K604" s="782">
        <v>13440</v>
      </c>
      <c r="L604" s="759">
        <v>0</v>
      </c>
      <c r="M604" s="782">
        <v>0</v>
      </c>
      <c r="N604" s="758">
        <v>1213</v>
      </c>
      <c r="O604" s="759">
        <v>4729368</v>
      </c>
      <c r="P604" s="1126">
        <v>41184</v>
      </c>
      <c r="Q604" s="759" t="s">
        <v>1623</v>
      </c>
      <c r="R604" s="759" t="s">
        <v>1096</v>
      </c>
      <c r="S604" s="759" t="s">
        <v>1430</v>
      </c>
      <c r="T604" s="759">
        <f>Z604+AA604</f>
        <v>1344000</v>
      </c>
      <c r="U604" s="759">
        <v>0</v>
      </c>
      <c r="V604" s="759">
        <v>0</v>
      </c>
      <c r="W604" s="759">
        <v>0</v>
      </c>
      <c r="X604" s="759">
        <v>0</v>
      </c>
      <c r="Y604" s="759">
        <v>0</v>
      </c>
      <c r="Z604" s="759">
        <f t="shared" si="66"/>
        <v>1120000</v>
      </c>
      <c r="AA604" s="759">
        <v>224000</v>
      </c>
      <c r="AB604" s="759">
        <v>0</v>
      </c>
      <c r="AC604" s="759">
        <v>0</v>
      </c>
      <c r="AD604" s="759">
        <v>0</v>
      </c>
      <c r="AE604" s="782">
        <v>0</v>
      </c>
    </row>
    <row r="605" spans="1:31" ht="15.75">
      <c r="A605" s="758">
        <v>418</v>
      </c>
      <c r="B605" s="759">
        <v>2100718</v>
      </c>
      <c r="C605" s="760">
        <v>41184</v>
      </c>
      <c r="D605" s="759" t="s">
        <v>1622</v>
      </c>
      <c r="E605" s="759" t="s">
        <v>1096</v>
      </c>
      <c r="F605" s="759" t="s">
        <v>1172</v>
      </c>
      <c r="G605" s="759">
        <f>J605+K605</f>
        <v>30018</v>
      </c>
      <c r="H605" s="759">
        <v>0</v>
      </c>
      <c r="I605" s="759">
        <v>0</v>
      </c>
      <c r="J605" s="759">
        <f>K605*5</f>
        <v>25015</v>
      </c>
      <c r="K605" s="782">
        <v>5003</v>
      </c>
      <c r="L605" s="759">
        <v>0</v>
      </c>
      <c r="M605" s="782">
        <v>0</v>
      </c>
      <c r="N605" s="758">
        <v>1215</v>
      </c>
      <c r="O605" s="759">
        <v>4729370</v>
      </c>
      <c r="P605" s="1126">
        <v>41184</v>
      </c>
      <c r="Q605" s="759" t="s">
        <v>1623</v>
      </c>
      <c r="R605" s="759" t="s">
        <v>1096</v>
      </c>
      <c r="S605" s="759" t="s">
        <v>1430</v>
      </c>
      <c r="T605" s="759">
        <f>AA605+Z605</f>
        <v>2447958</v>
      </c>
      <c r="U605" s="759">
        <v>0</v>
      </c>
      <c r="V605" s="759">
        <v>0</v>
      </c>
      <c r="W605" s="759">
        <v>0</v>
      </c>
      <c r="X605" s="759">
        <v>0</v>
      </c>
      <c r="Y605" s="759">
        <v>0</v>
      </c>
      <c r="Z605" s="759">
        <f t="shared" si="66"/>
        <v>2039965</v>
      </c>
      <c r="AA605" s="759">
        <v>407993</v>
      </c>
      <c r="AB605" s="759">
        <v>0</v>
      </c>
      <c r="AC605" s="759">
        <v>0</v>
      </c>
      <c r="AD605" s="759">
        <v>0</v>
      </c>
      <c r="AE605" s="782">
        <v>0</v>
      </c>
    </row>
    <row r="606" spans="1:31" ht="15.75">
      <c r="A606" s="758">
        <v>419</v>
      </c>
      <c r="B606" s="759">
        <v>2100719</v>
      </c>
      <c r="C606" s="760">
        <v>41185</v>
      </c>
      <c r="D606" s="759" t="s">
        <v>1623</v>
      </c>
      <c r="E606" s="759" t="s">
        <v>1096</v>
      </c>
      <c r="F606" s="759" t="s">
        <v>1430</v>
      </c>
      <c r="G606" s="759">
        <f>J606+K606</f>
        <v>90948</v>
      </c>
      <c r="H606" s="759">
        <v>0</v>
      </c>
      <c r="I606" s="759">
        <v>0</v>
      </c>
      <c r="J606" s="759">
        <f>K606*5</f>
        <v>75790</v>
      </c>
      <c r="K606" s="782">
        <v>15158</v>
      </c>
      <c r="L606" s="759">
        <v>0</v>
      </c>
      <c r="M606" s="782">
        <v>0</v>
      </c>
      <c r="N606" s="762">
        <v>1228</v>
      </c>
      <c r="O606" s="763">
        <v>4729383</v>
      </c>
      <c r="P606" s="1132">
        <v>41186</v>
      </c>
      <c r="Q606" s="763" t="s">
        <v>1623</v>
      </c>
      <c r="R606" s="763" t="s">
        <v>1096</v>
      </c>
      <c r="S606" s="763" t="s">
        <v>1430</v>
      </c>
      <c r="T606" s="763">
        <f>AA606+Z606</f>
        <v>1022592</v>
      </c>
      <c r="U606" s="763">
        <v>0</v>
      </c>
      <c r="V606" s="763">
        <v>0</v>
      </c>
      <c r="W606" s="763">
        <v>0</v>
      </c>
      <c r="X606" s="763">
        <v>0</v>
      </c>
      <c r="Y606" s="763">
        <v>0</v>
      </c>
      <c r="Z606" s="763">
        <f t="shared" si="66"/>
        <v>852160</v>
      </c>
      <c r="AA606" s="763">
        <v>170432</v>
      </c>
      <c r="AB606" s="763">
        <v>0</v>
      </c>
      <c r="AC606" s="763">
        <v>0</v>
      </c>
      <c r="AD606" s="763">
        <v>0</v>
      </c>
      <c r="AE606" s="783">
        <v>0</v>
      </c>
    </row>
    <row r="607" spans="1:31" ht="15.75">
      <c r="A607" s="758">
        <v>420</v>
      </c>
      <c r="B607" s="759">
        <v>2100720</v>
      </c>
      <c r="C607" s="760">
        <v>41186</v>
      </c>
      <c r="D607" s="763" t="s">
        <v>1380</v>
      </c>
      <c r="E607" s="763" t="s">
        <v>1096</v>
      </c>
      <c r="F607" s="759"/>
      <c r="G607" s="759">
        <f>K607+J607</f>
        <v>470400</v>
      </c>
      <c r="H607" s="759">
        <v>0</v>
      </c>
      <c r="I607" s="759">
        <v>0</v>
      </c>
      <c r="J607" s="759">
        <f>K607*5</f>
        <v>392000</v>
      </c>
      <c r="K607" s="782">
        <v>78400</v>
      </c>
      <c r="L607" s="759">
        <v>0</v>
      </c>
      <c r="M607" s="782">
        <v>0</v>
      </c>
      <c r="N607" s="762">
        <v>1245</v>
      </c>
      <c r="O607" s="763">
        <v>4729400</v>
      </c>
      <c r="P607" s="1132">
        <v>41190</v>
      </c>
      <c r="Q607" s="763" t="s">
        <v>1623</v>
      </c>
      <c r="R607" s="763" t="s">
        <v>1096</v>
      </c>
      <c r="S607" s="763" t="s">
        <v>1430</v>
      </c>
      <c r="T607" s="763">
        <f>AA607+Z607</f>
        <v>5533278</v>
      </c>
      <c r="U607" s="763">
        <v>0</v>
      </c>
      <c r="V607" s="763">
        <v>0</v>
      </c>
      <c r="W607" s="763">
        <v>0</v>
      </c>
      <c r="X607" s="763">
        <v>0</v>
      </c>
      <c r="Y607" s="763">
        <v>0</v>
      </c>
      <c r="Z607" s="763">
        <f t="shared" si="66"/>
        <v>4611065</v>
      </c>
      <c r="AA607" s="763">
        <v>922213</v>
      </c>
      <c r="AB607" s="763">
        <v>0</v>
      </c>
      <c r="AC607" s="763">
        <v>0</v>
      </c>
      <c r="AD607" s="763">
        <v>0</v>
      </c>
      <c r="AE607" s="783">
        <v>0</v>
      </c>
    </row>
    <row r="608" spans="1:31" ht="15.75">
      <c r="A608" s="758">
        <v>421</v>
      </c>
      <c r="B608" s="759">
        <v>2100721</v>
      </c>
      <c r="C608" s="760">
        <v>41186</v>
      </c>
      <c r="D608" s="759" t="s">
        <v>1624</v>
      </c>
      <c r="E608" s="759" t="s">
        <v>1096</v>
      </c>
      <c r="F608" s="759" t="s">
        <v>1124</v>
      </c>
      <c r="G608" s="759">
        <f aca="true" t="shared" si="67" ref="G608:G633">J608+K608</f>
        <v>113940</v>
      </c>
      <c r="H608" s="759">
        <v>0</v>
      </c>
      <c r="I608" s="759">
        <v>0</v>
      </c>
      <c r="J608" s="759">
        <f aca="true" t="shared" si="68" ref="J608:J633">K608*5</f>
        <v>94950</v>
      </c>
      <c r="K608" s="782">
        <v>18990</v>
      </c>
      <c r="L608" s="759">
        <v>0</v>
      </c>
      <c r="M608" s="782">
        <v>0</v>
      </c>
      <c r="N608" s="762">
        <v>94</v>
      </c>
      <c r="O608" s="763">
        <v>1602443</v>
      </c>
      <c r="P608" s="1132">
        <v>41190</v>
      </c>
      <c r="Q608" s="763" t="s">
        <v>1651</v>
      </c>
      <c r="R608" s="763" t="s">
        <v>1096</v>
      </c>
      <c r="S608" s="763" t="s">
        <v>1652</v>
      </c>
      <c r="T608" s="763">
        <f>Z608+AA608</f>
        <v>207000</v>
      </c>
      <c r="U608" s="763">
        <v>0</v>
      </c>
      <c r="V608" s="763">
        <v>0</v>
      </c>
      <c r="W608" s="763">
        <v>0</v>
      </c>
      <c r="X608" s="763">
        <v>0</v>
      </c>
      <c r="Y608" s="763">
        <v>0</v>
      </c>
      <c r="Z608" s="763">
        <f t="shared" si="66"/>
        <v>172500</v>
      </c>
      <c r="AA608" s="763">
        <v>34500</v>
      </c>
      <c r="AB608" s="763">
        <v>0</v>
      </c>
      <c r="AC608" s="763">
        <v>0</v>
      </c>
      <c r="AD608" s="763">
        <v>0</v>
      </c>
      <c r="AE608" s="783">
        <v>0</v>
      </c>
    </row>
    <row r="609" spans="1:31" ht="15.75">
      <c r="A609" s="758">
        <v>422</v>
      </c>
      <c r="B609" s="759">
        <v>2100722</v>
      </c>
      <c r="C609" s="760">
        <v>41186</v>
      </c>
      <c r="D609" s="759" t="s">
        <v>1623</v>
      </c>
      <c r="E609" s="759" t="s">
        <v>1099</v>
      </c>
      <c r="F609" s="759" t="s">
        <v>1430</v>
      </c>
      <c r="G609" s="759">
        <f t="shared" si="67"/>
        <v>80406</v>
      </c>
      <c r="H609" s="759">
        <v>0</v>
      </c>
      <c r="I609" s="759">
        <v>0</v>
      </c>
      <c r="J609" s="759">
        <f t="shared" si="68"/>
        <v>67005</v>
      </c>
      <c r="K609" s="782">
        <v>13401</v>
      </c>
      <c r="L609" s="759">
        <v>0</v>
      </c>
      <c r="M609" s="782">
        <v>0</v>
      </c>
      <c r="N609" s="762">
        <v>1266</v>
      </c>
      <c r="O609" s="763">
        <v>4729421</v>
      </c>
      <c r="P609" s="1132">
        <v>41194</v>
      </c>
      <c r="Q609" s="763" t="s">
        <v>1623</v>
      </c>
      <c r="R609" s="763" t="s">
        <v>1096</v>
      </c>
      <c r="S609" s="763" t="s">
        <v>1430</v>
      </c>
      <c r="T609" s="763">
        <f>AA609+Z609</f>
        <v>2356326</v>
      </c>
      <c r="U609" s="763">
        <v>0</v>
      </c>
      <c r="V609" s="763">
        <v>0</v>
      </c>
      <c r="W609" s="763">
        <v>0</v>
      </c>
      <c r="X609" s="763">
        <v>0</v>
      </c>
      <c r="Y609" s="763">
        <v>0</v>
      </c>
      <c r="Z609" s="763">
        <f t="shared" si="66"/>
        <v>1963605</v>
      </c>
      <c r="AA609" s="763">
        <v>392721</v>
      </c>
      <c r="AB609" s="763">
        <v>0</v>
      </c>
      <c r="AC609" s="763">
        <v>0</v>
      </c>
      <c r="AD609" s="763">
        <v>0</v>
      </c>
      <c r="AE609" s="783">
        <v>0</v>
      </c>
    </row>
    <row r="610" spans="1:31" ht="15.75">
      <c r="A610" s="762">
        <v>423</v>
      </c>
      <c r="B610" s="759">
        <v>2100723</v>
      </c>
      <c r="C610" s="760">
        <v>41186</v>
      </c>
      <c r="D610" s="763" t="s">
        <v>1625</v>
      </c>
      <c r="E610" s="763" t="s">
        <v>1096</v>
      </c>
      <c r="F610" s="763" t="s">
        <v>1176</v>
      </c>
      <c r="G610" s="763">
        <f t="shared" si="67"/>
        <v>113340</v>
      </c>
      <c r="H610" s="763">
        <v>0</v>
      </c>
      <c r="I610" s="763">
        <v>0</v>
      </c>
      <c r="J610" s="763">
        <f t="shared" si="68"/>
        <v>94450</v>
      </c>
      <c r="K610" s="783">
        <v>18890</v>
      </c>
      <c r="L610" s="763">
        <v>0</v>
      </c>
      <c r="M610" s="783">
        <v>0</v>
      </c>
      <c r="N610" s="758">
        <v>131584276</v>
      </c>
      <c r="O610" s="758">
        <v>131584276</v>
      </c>
      <c r="P610" s="1089" t="s">
        <v>1653</v>
      </c>
      <c r="Q610" s="759" t="s">
        <v>1650</v>
      </c>
      <c r="R610" s="759" t="s">
        <v>1096</v>
      </c>
      <c r="S610" s="759" t="s">
        <v>1170</v>
      </c>
      <c r="T610" s="759">
        <f>U610+Z610+AA610</f>
        <v>16450</v>
      </c>
      <c r="U610" s="759">
        <v>100</v>
      </c>
      <c r="V610" s="759">
        <v>0</v>
      </c>
      <c r="W610" s="759">
        <v>0</v>
      </c>
      <c r="X610" s="759">
        <v>0</v>
      </c>
      <c r="Y610" s="759">
        <v>0</v>
      </c>
      <c r="Z610" s="759">
        <f t="shared" si="66"/>
        <v>13625</v>
      </c>
      <c r="AA610" s="759">
        <v>2725</v>
      </c>
      <c r="AB610" s="759">
        <v>0</v>
      </c>
      <c r="AC610" s="759">
        <v>0</v>
      </c>
      <c r="AD610" s="759">
        <v>0</v>
      </c>
      <c r="AE610" s="782">
        <v>0</v>
      </c>
    </row>
    <row r="611" spans="1:31" ht="15.75">
      <c r="A611" s="762">
        <v>424</v>
      </c>
      <c r="B611" s="759">
        <v>2100724</v>
      </c>
      <c r="C611" s="764">
        <v>41187</v>
      </c>
      <c r="D611" s="763" t="s">
        <v>1128</v>
      </c>
      <c r="E611" s="763" t="s">
        <v>1096</v>
      </c>
      <c r="F611" s="763" t="s">
        <v>1129</v>
      </c>
      <c r="G611" s="763">
        <f t="shared" si="67"/>
        <v>28500</v>
      </c>
      <c r="H611" s="763">
        <v>0</v>
      </c>
      <c r="I611" s="763">
        <v>0</v>
      </c>
      <c r="J611" s="763">
        <f t="shared" si="68"/>
        <v>23750</v>
      </c>
      <c r="K611" s="783">
        <v>4750</v>
      </c>
      <c r="L611" s="763">
        <v>0</v>
      </c>
      <c r="M611" s="783">
        <v>0</v>
      </c>
      <c r="N611" s="762">
        <v>797</v>
      </c>
      <c r="O611" s="763">
        <v>6024797</v>
      </c>
      <c r="P611" s="1090" t="s">
        <v>1653</v>
      </c>
      <c r="Q611" s="763" t="s">
        <v>1654</v>
      </c>
      <c r="R611" s="763" t="s">
        <v>1096</v>
      </c>
      <c r="S611" s="763" t="s">
        <v>1216</v>
      </c>
      <c r="T611" s="763">
        <f aca="true" t="shared" si="69" ref="T611:T616">AA611+Z611</f>
        <v>21000</v>
      </c>
      <c r="U611" s="763">
        <v>0</v>
      </c>
      <c r="V611" s="763">
        <v>0</v>
      </c>
      <c r="W611" s="763">
        <v>0</v>
      </c>
      <c r="X611" s="763">
        <v>0</v>
      </c>
      <c r="Y611" s="763">
        <v>0</v>
      </c>
      <c r="Z611" s="763">
        <f t="shared" si="66"/>
        <v>17500</v>
      </c>
      <c r="AA611" s="763">
        <v>3500</v>
      </c>
      <c r="AB611" s="763">
        <v>0</v>
      </c>
      <c r="AC611" s="763">
        <v>0</v>
      </c>
      <c r="AD611" s="763">
        <v>0</v>
      </c>
      <c r="AE611" s="783">
        <v>0</v>
      </c>
    </row>
    <row r="612" spans="1:31" ht="15.75">
      <c r="A612" s="784">
        <v>425</v>
      </c>
      <c r="B612" s="759">
        <v>2100725</v>
      </c>
      <c r="C612" s="764">
        <v>41187</v>
      </c>
      <c r="D612" s="785" t="s">
        <v>1623</v>
      </c>
      <c r="E612" s="785" t="s">
        <v>1096</v>
      </c>
      <c r="F612" s="785" t="s">
        <v>1430</v>
      </c>
      <c r="G612" s="785">
        <f t="shared" si="67"/>
        <v>199704</v>
      </c>
      <c r="H612" s="785">
        <v>0</v>
      </c>
      <c r="I612" s="785">
        <v>0</v>
      </c>
      <c r="J612" s="785">
        <f t="shared" si="68"/>
        <v>166420</v>
      </c>
      <c r="K612" s="786">
        <v>33284</v>
      </c>
      <c r="L612" s="785">
        <v>0</v>
      </c>
      <c r="M612" s="786">
        <v>0</v>
      </c>
      <c r="N612" s="762">
        <v>1293</v>
      </c>
      <c r="O612" s="763">
        <v>4729448</v>
      </c>
      <c r="P612" s="1090" t="s">
        <v>1633</v>
      </c>
      <c r="Q612" s="763" t="s">
        <v>1623</v>
      </c>
      <c r="R612" s="763" t="s">
        <v>1096</v>
      </c>
      <c r="S612" s="763" t="s">
        <v>1430</v>
      </c>
      <c r="T612" s="763">
        <f t="shared" si="69"/>
        <v>1299462</v>
      </c>
      <c r="U612" s="763">
        <v>0</v>
      </c>
      <c r="V612" s="763">
        <v>0</v>
      </c>
      <c r="W612" s="763">
        <v>0</v>
      </c>
      <c r="X612" s="763">
        <v>0</v>
      </c>
      <c r="Y612" s="763">
        <v>0</v>
      </c>
      <c r="Z612" s="763">
        <f t="shared" si="66"/>
        <v>1082885</v>
      </c>
      <c r="AA612" s="763">
        <v>216577</v>
      </c>
      <c r="AB612" s="763">
        <v>0</v>
      </c>
      <c r="AC612" s="763">
        <v>0</v>
      </c>
      <c r="AD612" s="763">
        <v>0</v>
      </c>
      <c r="AE612" s="783">
        <v>0</v>
      </c>
    </row>
    <row r="613" spans="1:31" ht="15.75">
      <c r="A613" s="784">
        <v>426</v>
      </c>
      <c r="B613" s="759">
        <v>2100726</v>
      </c>
      <c r="C613" s="1023">
        <v>41190</v>
      </c>
      <c r="D613" s="785" t="s">
        <v>1137</v>
      </c>
      <c r="E613" s="785" t="s">
        <v>1096</v>
      </c>
      <c r="F613" s="785" t="s">
        <v>1138</v>
      </c>
      <c r="G613" s="785">
        <f t="shared" si="67"/>
        <v>14250</v>
      </c>
      <c r="H613" s="785">
        <v>0</v>
      </c>
      <c r="I613" s="785">
        <v>0</v>
      </c>
      <c r="J613" s="785">
        <f t="shared" si="68"/>
        <v>11875</v>
      </c>
      <c r="K613" s="786">
        <v>2375</v>
      </c>
      <c r="L613" s="785">
        <v>0</v>
      </c>
      <c r="M613" s="786">
        <v>0</v>
      </c>
      <c r="N613" s="762">
        <v>55</v>
      </c>
      <c r="O613" s="763">
        <v>88436583</v>
      </c>
      <c r="P613" s="1090" t="s">
        <v>1655</v>
      </c>
      <c r="Q613" s="763" t="s">
        <v>1656</v>
      </c>
      <c r="R613" s="763" t="s">
        <v>1096</v>
      </c>
      <c r="S613" s="763" t="s">
        <v>1657</v>
      </c>
      <c r="T613" s="763">
        <f t="shared" si="69"/>
        <v>132000</v>
      </c>
      <c r="U613" s="763">
        <v>0</v>
      </c>
      <c r="V613" s="763">
        <v>0</v>
      </c>
      <c r="W613" s="763">
        <v>0</v>
      </c>
      <c r="X613" s="763">
        <v>0</v>
      </c>
      <c r="Y613" s="763">
        <v>0</v>
      </c>
      <c r="Z613" s="763">
        <f t="shared" si="66"/>
        <v>110000</v>
      </c>
      <c r="AA613" s="763">
        <v>22000</v>
      </c>
      <c r="AB613" s="763">
        <v>0</v>
      </c>
      <c r="AC613" s="763">
        <v>0</v>
      </c>
      <c r="AD613" s="763">
        <v>0</v>
      </c>
      <c r="AE613" s="783">
        <v>0</v>
      </c>
    </row>
    <row r="614" spans="1:31" ht="15.75">
      <c r="A614" s="784">
        <v>427</v>
      </c>
      <c r="B614" s="759">
        <v>2100727</v>
      </c>
      <c r="C614" s="1023">
        <v>41190</v>
      </c>
      <c r="D614" s="763" t="s">
        <v>1380</v>
      </c>
      <c r="E614" s="763" t="s">
        <v>1096</v>
      </c>
      <c r="F614" s="785"/>
      <c r="G614" s="785">
        <f t="shared" si="67"/>
        <v>473598</v>
      </c>
      <c r="H614" s="785">
        <v>0</v>
      </c>
      <c r="I614" s="785">
        <v>0</v>
      </c>
      <c r="J614" s="785">
        <f t="shared" si="68"/>
        <v>394665</v>
      </c>
      <c r="K614" s="786">
        <v>78933</v>
      </c>
      <c r="L614" s="785">
        <v>0</v>
      </c>
      <c r="M614" s="786">
        <v>0</v>
      </c>
      <c r="N614" s="762">
        <v>1247</v>
      </c>
      <c r="O614" s="763">
        <v>5108527</v>
      </c>
      <c r="P614" s="1090" t="s">
        <v>1638</v>
      </c>
      <c r="Q614" s="763" t="s">
        <v>1623</v>
      </c>
      <c r="R614" s="763" t="s">
        <v>1099</v>
      </c>
      <c r="S614" s="763" t="s">
        <v>1430</v>
      </c>
      <c r="T614" s="763">
        <f t="shared" si="69"/>
        <v>1116948</v>
      </c>
      <c r="U614" s="763">
        <v>0</v>
      </c>
      <c r="V614" s="763">
        <v>0</v>
      </c>
      <c r="W614" s="763">
        <v>0</v>
      </c>
      <c r="X614" s="763">
        <v>0</v>
      </c>
      <c r="Y614" s="763">
        <v>0</v>
      </c>
      <c r="Z614" s="763">
        <f t="shared" si="66"/>
        <v>930790</v>
      </c>
      <c r="AA614" s="763">
        <v>186158</v>
      </c>
      <c r="AB614" s="763">
        <v>0</v>
      </c>
      <c r="AC614" s="763">
        <v>0</v>
      </c>
      <c r="AD614" s="763">
        <v>0</v>
      </c>
      <c r="AE614" s="783">
        <v>0</v>
      </c>
    </row>
    <row r="615" spans="1:31" ht="15.75">
      <c r="A615" s="784">
        <v>428</v>
      </c>
      <c r="B615" s="759">
        <v>2100728</v>
      </c>
      <c r="C615" s="1023">
        <v>41190</v>
      </c>
      <c r="D615" s="785" t="s">
        <v>1180</v>
      </c>
      <c r="E615" s="785" t="s">
        <v>1096</v>
      </c>
      <c r="F615" s="785" t="s">
        <v>1459</v>
      </c>
      <c r="G615" s="785">
        <f t="shared" si="67"/>
        <v>275502</v>
      </c>
      <c r="H615" s="785">
        <v>0</v>
      </c>
      <c r="I615" s="785">
        <v>0</v>
      </c>
      <c r="J615" s="785">
        <f t="shared" si="68"/>
        <v>229585</v>
      </c>
      <c r="K615" s="786">
        <v>45917</v>
      </c>
      <c r="L615" s="785">
        <v>0</v>
      </c>
      <c r="M615" s="786">
        <v>0</v>
      </c>
      <c r="N615" s="762">
        <v>1334</v>
      </c>
      <c r="O615" s="763">
        <v>5108739</v>
      </c>
      <c r="P615" s="1090" t="s">
        <v>1640</v>
      </c>
      <c r="Q615" s="763" t="s">
        <v>1623</v>
      </c>
      <c r="R615" s="763" t="s">
        <v>1096</v>
      </c>
      <c r="S615" s="763" t="s">
        <v>1430</v>
      </c>
      <c r="T615" s="763">
        <f t="shared" si="69"/>
        <v>1110594</v>
      </c>
      <c r="U615" s="763">
        <v>0</v>
      </c>
      <c r="V615" s="763">
        <v>0</v>
      </c>
      <c r="W615" s="763">
        <v>0</v>
      </c>
      <c r="X615" s="763">
        <v>0</v>
      </c>
      <c r="Y615" s="763">
        <v>0</v>
      </c>
      <c r="Z615" s="763">
        <f t="shared" si="66"/>
        <v>925495</v>
      </c>
      <c r="AA615" s="763">
        <v>185099</v>
      </c>
      <c r="AB615" s="763">
        <v>0</v>
      </c>
      <c r="AC615" s="763">
        <v>0</v>
      </c>
      <c r="AD615" s="763">
        <v>0</v>
      </c>
      <c r="AE615" s="783">
        <v>0</v>
      </c>
    </row>
    <row r="616" spans="1:31" ht="16.5" thickBot="1">
      <c r="A616" s="784">
        <v>429</v>
      </c>
      <c r="B616" s="759">
        <v>2100729</v>
      </c>
      <c r="C616" s="1023">
        <v>41191</v>
      </c>
      <c r="D616" s="785" t="s">
        <v>1455</v>
      </c>
      <c r="E616" s="785" t="s">
        <v>1096</v>
      </c>
      <c r="F616" s="785" t="s">
        <v>1456</v>
      </c>
      <c r="G616" s="785">
        <f t="shared" si="67"/>
        <v>41802</v>
      </c>
      <c r="H616" s="785">
        <v>0</v>
      </c>
      <c r="I616" s="785">
        <v>0</v>
      </c>
      <c r="J616" s="785">
        <f t="shared" si="68"/>
        <v>34835</v>
      </c>
      <c r="K616" s="786">
        <v>6967</v>
      </c>
      <c r="L616" s="785">
        <v>0</v>
      </c>
      <c r="M616" s="786">
        <v>0</v>
      </c>
      <c r="N616" s="762">
        <v>73</v>
      </c>
      <c r="O616" s="763">
        <v>88853274</v>
      </c>
      <c r="P616" s="1090" t="s">
        <v>1648</v>
      </c>
      <c r="Q616" s="763" t="s">
        <v>1658</v>
      </c>
      <c r="R616" s="763" t="s">
        <v>1096</v>
      </c>
      <c r="S616" s="763" t="s">
        <v>1659</v>
      </c>
      <c r="T616" s="763">
        <f t="shared" si="69"/>
        <v>7530660</v>
      </c>
      <c r="U616" s="763">
        <v>0</v>
      </c>
      <c r="V616" s="763">
        <v>0</v>
      </c>
      <c r="W616" s="763">
        <v>0</v>
      </c>
      <c r="X616" s="763">
        <v>0</v>
      </c>
      <c r="Y616" s="763">
        <v>0</v>
      </c>
      <c r="Z616" s="763">
        <f t="shared" si="66"/>
        <v>6275550</v>
      </c>
      <c r="AA616" s="763">
        <v>1255110</v>
      </c>
      <c r="AB616" s="763">
        <v>0</v>
      </c>
      <c r="AC616" s="763">
        <v>0</v>
      </c>
      <c r="AD616" s="763">
        <v>0</v>
      </c>
      <c r="AE616" s="783">
        <v>0</v>
      </c>
    </row>
    <row r="617" spans="1:31" ht="16.5" thickBot="1">
      <c r="A617" s="784">
        <v>430</v>
      </c>
      <c r="B617" s="759">
        <v>2100730</v>
      </c>
      <c r="C617" s="1023">
        <v>41191</v>
      </c>
      <c r="D617" s="785" t="s">
        <v>1159</v>
      </c>
      <c r="E617" s="785" t="s">
        <v>1096</v>
      </c>
      <c r="F617" s="785" t="s">
        <v>1626</v>
      </c>
      <c r="G617" s="785">
        <f t="shared" si="67"/>
        <v>94998</v>
      </c>
      <c r="H617" s="785">
        <v>0</v>
      </c>
      <c r="I617" s="785">
        <v>0</v>
      </c>
      <c r="J617" s="785">
        <f t="shared" si="68"/>
        <v>79165</v>
      </c>
      <c r="K617" s="786">
        <v>15833</v>
      </c>
      <c r="L617" s="785">
        <v>0</v>
      </c>
      <c r="M617" s="786">
        <v>0</v>
      </c>
      <c r="N617" s="1389" t="s">
        <v>822</v>
      </c>
      <c r="O617" s="1390"/>
      <c r="P617" s="1390"/>
      <c r="Q617" s="1390"/>
      <c r="R617" s="1390"/>
      <c r="S617" s="1391"/>
      <c r="T617" s="1016">
        <f>SUM(T602:T616)</f>
        <v>24177734</v>
      </c>
      <c r="U617" s="1016">
        <v>0</v>
      </c>
      <c r="V617" s="1016">
        <v>0</v>
      </c>
      <c r="W617" s="1016">
        <v>0</v>
      </c>
      <c r="X617" s="1016">
        <v>0</v>
      </c>
      <c r="Y617" s="1016">
        <v>0</v>
      </c>
      <c r="Z617" s="1016">
        <f>SUM(Z602:Z616)</f>
        <v>20147945</v>
      </c>
      <c r="AA617" s="1016">
        <f>SUM(AA602:AA616)</f>
        <v>4029589</v>
      </c>
      <c r="AB617" s="1016">
        <v>0</v>
      </c>
      <c r="AC617" s="1016">
        <v>0</v>
      </c>
      <c r="AD617" s="1016">
        <v>0</v>
      </c>
      <c r="AE617" s="1016">
        <v>0</v>
      </c>
    </row>
    <row r="618" spans="1:31" ht="16.5" thickBot="1">
      <c r="A618" s="784">
        <v>431</v>
      </c>
      <c r="B618" s="759">
        <v>2100731</v>
      </c>
      <c r="C618" s="1023">
        <v>41192</v>
      </c>
      <c r="D618" s="785" t="s">
        <v>1346</v>
      </c>
      <c r="E618" s="785" t="s">
        <v>1096</v>
      </c>
      <c r="F618" s="1242" t="s">
        <v>1184</v>
      </c>
      <c r="G618" s="785">
        <f t="shared" si="67"/>
        <v>104502</v>
      </c>
      <c r="H618" s="785">
        <v>0</v>
      </c>
      <c r="I618" s="785">
        <v>0</v>
      </c>
      <c r="J618" s="785">
        <f t="shared" si="68"/>
        <v>87085</v>
      </c>
      <c r="K618" s="786">
        <v>17417</v>
      </c>
      <c r="L618" s="785">
        <v>0</v>
      </c>
      <c r="M618" s="786">
        <v>0</v>
      </c>
      <c r="N618" s="1392" t="s">
        <v>823</v>
      </c>
      <c r="O618" s="1393"/>
      <c r="P618" s="1393"/>
      <c r="Q618" s="1393"/>
      <c r="R618" s="1393"/>
      <c r="S618" s="1393"/>
      <c r="T618" s="1393"/>
      <c r="U618" s="781" t="s">
        <v>830</v>
      </c>
      <c r="V618" s="781" t="s">
        <v>831</v>
      </c>
      <c r="W618" s="781" t="s">
        <v>832</v>
      </c>
      <c r="X618" s="781" t="s">
        <v>833</v>
      </c>
      <c r="Y618" s="781" t="s">
        <v>834</v>
      </c>
      <c r="Z618" s="781" t="s">
        <v>849</v>
      </c>
      <c r="AA618" s="781" t="s">
        <v>850</v>
      </c>
      <c r="AB618" s="781" t="s">
        <v>851</v>
      </c>
      <c r="AC618" s="781" t="s">
        <v>852</v>
      </c>
      <c r="AD618" s="781" t="s">
        <v>853</v>
      </c>
      <c r="AE618" s="766" t="s">
        <v>854</v>
      </c>
    </row>
    <row r="619" spans="1:31" ht="15.75">
      <c r="A619" s="784">
        <v>432</v>
      </c>
      <c r="B619" s="759">
        <v>2100732</v>
      </c>
      <c r="C619" s="1023">
        <v>41192</v>
      </c>
      <c r="D619" s="785" t="s">
        <v>1627</v>
      </c>
      <c r="E619" s="785" t="s">
        <v>1096</v>
      </c>
      <c r="F619" s="785" t="s">
        <v>1194</v>
      </c>
      <c r="G619" s="785">
        <f t="shared" si="67"/>
        <v>28500</v>
      </c>
      <c r="H619" s="785">
        <v>0</v>
      </c>
      <c r="I619" s="785">
        <v>0</v>
      </c>
      <c r="J619" s="785">
        <f t="shared" si="68"/>
        <v>23750</v>
      </c>
      <c r="K619" s="786">
        <v>4750</v>
      </c>
      <c r="L619" s="785">
        <v>0</v>
      </c>
      <c r="M619" s="786">
        <v>0</v>
      </c>
      <c r="N619" s="731"/>
      <c r="O619" s="731"/>
      <c r="P619" s="731"/>
      <c r="Q619" s="731"/>
      <c r="R619" s="731"/>
      <c r="S619" s="731"/>
      <c r="T619" s="731"/>
      <c r="U619" s="731"/>
      <c r="V619" s="731"/>
      <c r="W619" s="731"/>
      <c r="X619" s="731"/>
      <c r="Y619" s="731"/>
      <c r="Z619" s="731"/>
      <c r="AA619" s="731"/>
      <c r="AB619" s="731"/>
      <c r="AC619" s="731"/>
      <c r="AD619" s="731"/>
      <c r="AE619" s="731"/>
    </row>
    <row r="620" spans="1:31" ht="15.75">
      <c r="A620" s="784">
        <v>433</v>
      </c>
      <c r="B620" s="759">
        <v>2100733</v>
      </c>
      <c r="C620" s="1023">
        <v>41193</v>
      </c>
      <c r="D620" s="785" t="s">
        <v>1628</v>
      </c>
      <c r="E620" s="785" t="s">
        <v>1096</v>
      </c>
      <c r="F620" s="785" t="s">
        <v>1231</v>
      </c>
      <c r="G620" s="785">
        <f t="shared" si="67"/>
        <v>471714</v>
      </c>
      <c r="H620" s="785">
        <v>0</v>
      </c>
      <c r="I620" s="785">
        <v>0</v>
      </c>
      <c r="J620" s="785">
        <f t="shared" si="68"/>
        <v>393095</v>
      </c>
      <c r="K620" s="786">
        <v>78619</v>
      </c>
      <c r="L620" s="785">
        <v>0</v>
      </c>
      <c r="M620" s="786">
        <v>0</v>
      </c>
      <c r="N620" s="731"/>
      <c r="O620" s="731"/>
      <c r="P620" s="731"/>
      <c r="Q620" s="731"/>
      <c r="R620" s="731"/>
      <c r="S620" s="731"/>
      <c r="T620" s="731"/>
      <c r="U620" s="731"/>
      <c r="V620" s="731"/>
      <c r="W620" s="731"/>
      <c r="X620" s="731"/>
      <c r="Y620" s="731"/>
      <c r="Z620" s="731"/>
      <c r="AA620" s="731"/>
      <c r="AB620" s="731"/>
      <c r="AC620" s="731"/>
      <c r="AD620" s="731"/>
      <c r="AE620" s="731"/>
    </row>
    <row r="621" spans="1:31" ht="15.75">
      <c r="A621" s="784">
        <v>434</v>
      </c>
      <c r="B621" s="759">
        <v>2100734</v>
      </c>
      <c r="C621" s="1023">
        <v>41194</v>
      </c>
      <c r="D621" s="785" t="s">
        <v>1128</v>
      </c>
      <c r="E621" s="785" t="s">
        <v>1096</v>
      </c>
      <c r="F621" s="785" t="s">
        <v>1129</v>
      </c>
      <c r="G621" s="785">
        <f t="shared" si="67"/>
        <v>19200</v>
      </c>
      <c r="H621" s="785">
        <v>0</v>
      </c>
      <c r="I621" s="785">
        <v>0</v>
      </c>
      <c r="J621" s="785">
        <f t="shared" si="68"/>
        <v>16000</v>
      </c>
      <c r="K621" s="786">
        <v>3200</v>
      </c>
      <c r="L621" s="785">
        <v>0</v>
      </c>
      <c r="M621" s="786">
        <v>0</v>
      </c>
      <c r="N621" s="731"/>
      <c r="O621" s="731"/>
      <c r="P621" s="731"/>
      <c r="Q621" s="731"/>
      <c r="R621" s="731"/>
      <c r="S621" s="731"/>
      <c r="T621" s="731"/>
      <c r="U621" s="731"/>
      <c r="V621" s="731"/>
      <c r="W621" s="731"/>
      <c r="X621" s="731"/>
      <c r="Y621" s="731"/>
      <c r="Z621" s="731"/>
      <c r="AA621" s="731"/>
      <c r="AB621" s="731"/>
      <c r="AC621" s="731"/>
      <c r="AD621" s="1017" t="s">
        <v>1120</v>
      </c>
      <c r="AE621" s="731"/>
    </row>
    <row r="622" spans="1:31" ht="15.75">
      <c r="A622" s="784">
        <v>435</v>
      </c>
      <c r="B622" s="759">
        <v>2100735</v>
      </c>
      <c r="C622" s="1023">
        <v>41194</v>
      </c>
      <c r="D622" s="785" t="s">
        <v>1629</v>
      </c>
      <c r="E622" s="785" t="s">
        <v>1096</v>
      </c>
      <c r="F622" s="785" t="s">
        <v>1132</v>
      </c>
      <c r="G622" s="785">
        <f t="shared" si="67"/>
        <v>28500</v>
      </c>
      <c r="H622" s="785">
        <v>0</v>
      </c>
      <c r="I622" s="785">
        <v>0</v>
      </c>
      <c r="J622" s="785">
        <f t="shared" si="68"/>
        <v>23750</v>
      </c>
      <c r="K622" s="786">
        <v>4750</v>
      </c>
      <c r="L622" s="785">
        <v>0</v>
      </c>
      <c r="M622" s="786">
        <v>0</v>
      </c>
      <c r="N622" s="731"/>
      <c r="O622" s="731"/>
      <c r="P622" s="731"/>
      <c r="Q622" s="731"/>
      <c r="R622" s="731"/>
      <c r="S622" s="731"/>
      <c r="T622" s="731"/>
      <c r="U622" s="731"/>
      <c r="V622" s="731"/>
      <c r="W622" s="731"/>
      <c r="X622" s="731"/>
      <c r="Y622" s="731"/>
      <c r="Z622" s="731"/>
      <c r="AA622" s="731"/>
      <c r="AB622" s="731"/>
      <c r="AC622" s="731"/>
      <c r="AD622" s="731" t="s">
        <v>1270</v>
      </c>
      <c r="AE622" s="731"/>
    </row>
    <row r="623" spans="1:31" ht="15.75">
      <c r="A623" s="784">
        <v>436</v>
      </c>
      <c r="B623" s="759">
        <v>2100736</v>
      </c>
      <c r="C623" s="785" t="s">
        <v>1630</v>
      </c>
      <c r="D623" s="763" t="s">
        <v>1380</v>
      </c>
      <c r="E623" s="763" t="s">
        <v>1096</v>
      </c>
      <c r="F623" s="785"/>
      <c r="G623" s="785">
        <f t="shared" si="67"/>
        <v>959562</v>
      </c>
      <c r="H623" s="785">
        <v>0</v>
      </c>
      <c r="I623" s="785">
        <v>0</v>
      </c>
      <c r="J623" s="785">
        <f t="shared" si="68"/>
        <v>799635</v>
      </c>
      <c r="K623" s="786">
        <v>159927</v>
      </c>
      <c r="L623" s="785">
        <v>0</v>
      </c>
      <c r="M623" s="786">
        <v>0</v>
      </c>
      <c r="N623" s="731" t="s">
        <v>856</v>
      </c>
      <c r="O623" s="731"/>
      <c r="P623" s="731"/>
      <c r="Q623" s="731"/>
      <c r="R623" s="731"/>
      <c r="S623" s="731"/>
      <c r="T623" s="731"/>
      <c r="U623" s="731"/>
      <c r="V623" s="731"/>
      <c r="W623" s="731"/>
      <c r="X623" s="731"/>
      <c r="Y623" s="731"/>
      <c r="Z623" s="731"/>
      <c r="AA623" s="731"/>
      <c r="AB623" s="731"/>
      <c r="AC623" s="731"/>
      <c r="AD623" s="731"/>
      <c r="AE623" s="731"/>
    </row>
    <row r="624" spans="1:31" ht="15.75">
      <c r="A624" s="784">
        <v>437</v>
      </c>
      <c r="B624" s="759">
        <v>2100737</v>
      </c>
      <c r="C624" s="785" t="s">
        <v>1631</v>
      </c>
      <c r="D624" s="785" t="s">
        <v>1623</v>
      </c>
      <c r="E624" s="785" t="s">
        <v>1096</v>
      </c>
      <c r="F624" s="785" t="s">
        <v>1430</v>
      </c>
      <c r="G624" s="785">
        <f t="shared" si="67"/>
        <v>185502</v>
      </c>
      <c r="H624" s="785">
        <v>0</v>
      </c>
      <c r="I624" s="785">
        <v>0</v>
      </c>
      <c r="J624" s="785">
        <f t="shared" si="68"/>
        <v>154585</v>
      </c>
      <c r="K624" s="786">
        <v>30917</v>
      </c>
      <c r="L624" s="785">
        <v>0</v>
      </c>
      <c r="M624" s="786">
        <v>0</v>
      </c>
      <c r="N624" s="731" t="s">
        <v>848</v>
      </c>
      <c r="O624" s="731"/>
      <c r="P624" s="731"/>
      <c r="Q624" s="731"/>
      <c r="R624" s="731"/>
      <c r="S624" s="731"/>
      <c r="T624" s="731"/>
      <c r="U624" s="731"/>
      <c r="V624" s="731"/>
      <c r="W624" s="731"/>
      <c r="X624" s="731"/>
      <c r="Y624" s="731"/>
      <c r="Z624" s="731"/>
      <c r="AA624" s="731"/>
      <c r="AB624" s="731"/>
      <c r="AC624" s="731"/>
      <c r="AD624" s="731"/>
      <c r="AE624" s="731"/>
    </row>
    <row r="625" spans="1:15" ht="15.75">
      <c r="A625" s="784">
        <v>438</v>
      </c>
      <c r="B625" s="759">
        <v>2100738</v>
      </c>
      <c r="C625" s="785" t="s">
        <v>1631</v>
      </c>
      <c r="D625" s="785" t="s">
        <v>1196</v>
      </c>
      <c r="E625" s="785" t="s">
        <v>1096</v>
      </c>
      <c r="F625" s="785" t="s">
        <v>1197</v>
      </c>
      <c r="G625" s="785">
        <f t="shared" si="67"/>
        <v>26598</v>
      </c>
      <c r="H625" s="785">
        <v>0</v>
      </c>
      <c r="I625" s="785">
        <v>0</v>
      </c>
      <c r="J625" s="785">
        <f t="shared" si="68"/>
        <v>22165</v>
      </c>
      <c r="K625" s="786">
        <v>4433</v>
      </c>
      <c r="L625" s="785">
        <v>0</v>
      </c>
      <c r="M625" s="786">
        <v>0</v>
      </c>
      <c r="N625" s="731" t="s">
        <v>855</v>
      </c>
      <c r="O625"/>
    </row>
    <row r="626" spans="1:14" ht="15.75">
      <c r="A626" s="784">
        <v>439</v>
      </c>
      <c r="B626" s="759">
        <v>2100739</v>
      </c>
      <c r="C626" s="785" t="s">
        <v>1632</v>
      </c>
      <c r="D626" s="785" t="s">
        <v>1063</v>
      </c>
      <c r="E626" s="785" t="s">
        <v>1096</v>
      </c>
      <c r="F626" s="785" t="s">
        <v>1150</v>
      </c>
      <c r="G626" s="785">
        <f t="shared" si="67"/>
        <v>15360</v>
      </c>
      <c r="H626" s="785">
        <v>0</v>
      </c>
      <c r="I626" s="785">
        <v>0</v>
      </c>
      <c r="J626" s="785">
        <f t="shared" si="68"/>
        <v>12800</v>
      </c>
      <c r="K626" s="786">
        <v>2560</v>
      </c>
      <c r="L626" s="785">
        <v>0</v>
      </c>
      <c r="M626" s="786">
        <v>0</v>
      </c>
      <c r="N626" s="731"/>
    </row>
    <row r="627" spans="1:14" ht="15.75">
      <c r="A627" s="784">
        <v>440</v>
      </c>
      <c r="B627" s="759">
        <v>2100740</v>
      </c>
      <c r="C627" s="785" t="s">
        <v>1633</v>
      </c>
      <c r="D627" s="785" t="s">
        <v>1259</v>
      </c>
      <c r="E627" s="785" t="s">
        <v>1096</v>
      </c>
      <c r="F627" s="785" t="s">
        <v>1162</v>
      </c>
      <c r="G627" s="785">
        <f t="shared" si="67"/>
        <v>113220</v>
      </c>
      <c r="H627" s="785">
        <v>0</v>
      </c>
      <c r="I627" s="785">
        <v>0</v>
      </c>
      <c r="J627" s="785">
        <f t="shared" si="68"/>
        <v>94350</v>
      </c>
      <c r="K627" s="786">
        <v>18870</v>
      </c>
      <c r="L627" s="785">
        <v>0</v>
      </c>
      <c r="M627" s="786">
        <v>0</v>
      </c>
      <c r="N627" s="731"/>
    </row>
    <row r="628" spans="1:14" ht="15.75">
      <c r="A628" s="784">
        <v>441</v>
      </c>
      <c r="B628" s="759">
        <v>2100741</v>
      </c>
      <c r="C628" s="785" t="s">
        <v>1633</v>
      </c>
      <c r="D628" s="785" t="s">
        <v>1623</v>
      </c>
      <c r="E628" s="785" t="s">
        <v>1096</v>
      </c>
      <c r="F628" s="785" t="s">
        <v>1430</v>
      </c>
      <c r="G628" s="785">
        <f t="shared" si="67"/>
        <v>464430</v>
      </c>
      <c r="H628" s="785">
        <v>0</v>
      </c>
      <c r="I628" s="785">
        <v>0</v>
      </c>
      <c r="J628" s="785">
        <f t="shared" si="68"/>
        <v>387025</v>
      </c>
      <c r="K628" s="786">
        <v>77405</v>
      </c>
      <c r="L628" s="785">
        <v>0</v>
      </c>
      <c r="M628" s="786">
        <v>0</v>
      </c>
      <c r="N628" s="731"/>
    </row>
    <row r="629" spans="1:14" ht="15.75">
      <c r="A629" s="784">
        <v>442</v>
      </c>
      <c r="B629" s="759">
        <v>2100742</v>
      </c>
      <c r="C629" s="785" t="s">
        <v>1633</v>
      </c>
      <c r="D629" s="785" t="s">
        <v>1152</v>
      </c>
      <c r="E629" s="785" t="s">
        <v>1096</v>
      </c>
      <c r="F629" s="785" t="s">
        <v>1153</v>
      </c>
      <c r="G629" s="785">
        <f t="shared" si="67"/>
        <v>456000</v>
      </c>
      <c r="H629" s="785">
        <v>0</v>
      </c>
      <c r="I629" s="785">
        <v>0</v>
      </c>
      <c r="J629" s="785">
        <f t="shared" si="68"/>
        <v>380000</v>
      </c>
      <c r="K629" s="786">
        <v>76000</v>
      </c>
      <c r="L629" s="785">
        <v>0</v>
      </c>
      <c r="M629" s="786">
        <v>0</v>
      </c>
      <c r="N629" s="731"/>
    </row>
    <row r="630" spans="1:14" ht="15.75">
      <c r="A630" s="784">
        <v>443</v>
      </c>
      <c r="B630" s="759">
        <v>2100743</v>
      </c>
      <c r="C630" s="785" t="s">
        <v>1634</v>
      </c>
      <c r="D630" s="785" t="s">
        <v>1471</v>
      </c>
      <c r="E630" s="785" t="s">
        <v>1096</v>
      </c>
      <c r="F630" s="785" t="s">
        <v>1164</v>
      </c>
      <c r="G630" s="785">
        <f t="shared" si="67"/>
        <v>44880</v>
      </c>
      <c r="H630" s="785">
        <v>0</v>
      </c>
      <c r="I630" s="785">
        <v>0</v>
      </c>
      <c r="J630" s="785">
        <f t="shared" si="68"/>
        <v>37400</v>
      </c>
      <c r="K630" s="786">
        <v>7480</v>
      </c>
      <c r="L630" s="785">
        <v>0</v>
      </c>
      <c r="M630" s="786">
        <v>0</v>
      </c>
      <c r="N630" s="731"/>
    </row>
    <row r="631" spans="1:14" ht="15.75">
      <c r="A631" s="784">
        <v>444</v>
      </c>
      <c r="B631" s="759">
        <v>2100744</v>
      </c>
      <c r="C631" s="785" t="s">
        <v>1635</v>
      </c>
      <c r="D631" s="785" t="s">
        <v>1636</v>
      </c>
      <c r="E631" s="785" t="s">
        <v>1096</v>
      </c>
      <c r="F631" s="785" t="s">
        <v>1637</v>
      </c>
      <c r="G631" s="785">
        <f t="shared" si="67"/>
        <v>716208</v>
      </c>
      <c r="H631" s="785">
        <v>0</v>
      </c>
      <c r="I631" s="785">
        <v>0</v>
      </c>
      <c r="J631" s="785">
        <f t="shared" si="68"/>
        <v>596840</v>
      </c>
      <c r="K631" s="786">
        <v>119368</v>
      </c>
      <c r="L631" s="785">
        <v>0</v>
      </c>
      <c r="M631" s="786">
        <v>0</v>
      </c>
      <c r="N631" s="731"/>
    </row>
    <row r="632" spans="1:14" ht="15.75">
      <c r="A632" s="784">
        <v>445</v>
      </c>
      <c r="B632" s="759">
        <v>2100745</v>
      </c>
      <c r="C632" s="785" t="s">
        <v>1638</v>
      </c>
      <c r="D632" s="785" t="s">
        <v>1180</v>
      </c>
      <c r="E632" s="785" t="s">
        <v>1096</v>
      </c>
      <c r="F632" s="785" t="s">
        <v>1459</v>
      </c>
      <c r="G632" s="785">
        <f t="shared" si="67"/>
        <v>273018</v>
      </c>
      <c r="H632" s="785">
        <v>0</v>
      </c>
      <c r="I632" s="785">
        <v>0</v>
      </c>
      <c r="J632" s="785">
        <f t="shared" si="68"/>
        <v>227515</v>
      </c>
      <c r="K632" s="786">
        <v>45503</v>
      </c>
      <c r="L632" s="785">
        <v>0</v>
      </c>
      <c r="M632" s="786">
        <v>0</v>
      </c>
      <c r="N632" s="731"/>
    </row>
    <row r="633" spans="1:14" ht="15.75">
      <c r="A633" s="784">
        <v>446</v>
      </c>
      <c r="B633" s="759">
        <v>2100746</v>
      </c>
      <c r="C633" s="785" t="s">
        <v>1638</v>
      </c>
      <c r="D633" s="763" t="s">
        <v>1380</v>
      </c>
      <c r="E633" s="763" t="s">
        <v>1096</v>
      </c>
      <c r="F633" s="785"/>
      <c r="G633" s="785">
        <f t="shared" si="67"/>
        <v>689094</v>
      </c>
      <c r="H633" s="785">
        <v>0</v>
      </c>
      <c r="I633" s="785">
        <v>0</v>
      </c>
      <c r="J633" s="785">
        <f t="shared" si="68"/>
        <v>574245</v>
      </c>
      <c r="K633" s="786">
        <v>114849</v>
      </c>
      <c r="L633" s="785">
        <v>0</v>
      </c>
      <c r="M633" s="786">
        <v>0</v>
      </c>
      <c r="N633" s="731"/>
    </row>
    <row r="634" spans="1:14" ht="15.75">
      <c r="A634" s="784">
        <v>447</v>
      </c>
      <c r="B634" s="759">
        <v>2100747</v>
      </c>
      <c r="C634" s="785" t="s">
        <v>1639</v>
      </c>
      <c r="D634" s="785" t="s">
        <v>1620</v>
      </c>
      <c r="E634" s="785" t="s">
        <v>1096</v>
      </c>
      <c r="F634" s="785" t="s">
        <v>1621</v>
      </c>
      <c r="G634" s="785">
        <f>J634+K634</f>
        <v>243102</v>
      </c>
      <c r="H634" s="785">
        <v>0</v>
      </c>
      <c r="I634" s="785">
        <v>0</v>
      </c>
      <c r="J634" s="785">
        <f>K634*5</f>
        <v>202585</v>
      </c>
      <c r="K634" s="786">
        <v>40517</v>
      </c>
      <c r="L634" s="785">
        <v>0</v>
      </c>
      <c r="M634" s="786">
        <v>0</v>
      </c>
      <c r="N634" s="731"/>
    </row>
    <row r="635" spans="1:14" ht="15.75">
      <c r="A635" s="784">
        <v>448</v>
      </c>
      <c r="B635" s="759">
        <v>2100748</v>
      </c>
      <c r="C635" s="785" t="s">
        <v>1639</v>
      </c>
      <c r="D635" s="785" t="s">
        <v>1146</v>
      </c>
      <c r="E635" s="785" t="s">
        <v>1096</v>
      </c>
      <c r="F635" s="785" t="s">
        <v>1147</v>
      </c>
      <c r="G635" s="785">
        <f>J635+K635</f>
        <v>108060</v>
      </c>
      <c r="H635" s="785">
        <v>0</v>
      </c>
      <c r="I635" s="785">
        <v>0</v>
      </c>
      <c r="J635" s="785">
        <f>K635*5</f>
        <v>90050</v>
      </c>
      <c r="K635" s="786">
        <v>18010</v>
      </c>
      <c r="L635" s="785">
        <v>0</v>
      </c>
      <c r="M635" s="786">
        <v>0</v>
      </c>
      <c r="N635" s="731"/>
    </row>
    <row r="636" spans="1:14" ht="15.75">
      <c r="A636" s="784">
        <v>449</v>
      </c>
      <c r="B636" s="759">
        <v>2100749</v>
      </c>
      <c r="C636" s="785" t="s">
        <v>1640</v>
      </c>
      <c r="D636" s="785" t="s">
        <v>1188</v>
      </c>
      <c r="E636" s="785" t="s">
        <v>1096</v>
      </c>
      <c r="F636" s="785" t="s">
        <v>1189</v>
      </c>
      <c r="G636" s="785">
        <f>J636+K636</f>
        <v>84150</v>
      </c>
      <c r="H636" s="785">
        <v>0</v>
      </c>
      <c r="I636" s="785">
        <v>0</v>
      </c>
      <c r="J636" s="785">
        <f>K636*5</f>
        <v>70125</v>
      </c>
      <c r="K636" s="786">
        <v>14025</v>
      </c>
      <c r="L636" s="785">
        <v>0</v>
      </c>
      <c r="M636" s="786">
        <v>0</v>
      </c>
      <c r="N636" s="731"/>
    </row>
    <row r="637" spans="1:14" ht="15.75">
      <c r="A637" s="784">
        <v>450</v>
      </c>
      <c r="B637" s="759">
        <v>2100750</v>
      </c>
      <c r="C637" s="785" t="s">
        <v>1640</v>
      </c>
      <c r="D637" s="785" t="s">
        <v>1641</v>
      </c>
      <c r="E637" s="785" t="s">
        <v>1096</v>
      </c>
      <c r="F637" s="785" t="s">
        <v>1642</v>
      </c>
      <c r="G637" s="785">
        <f>J637+K637</f>
        <v>239358</v>
      </c>
      <c r="H637" s="785">
        <v>0</v>
      </c>
      <c r="I637" s="785">
        <v>0</v>
      </c>
      <c r="J637" s="785">
        <f>K637*5</f>
        <v>199465</v>
      </c>
      <c r="K637" s="786">
        <v>39893</v>
      </c>
      <c r="L637" s="785">
        <v>0</v>
      </c>
      <c r="M637" s="786">
        <v>0</v>
      </c>
      <c r="N637" s="731"/>
    </row>
    <row r="638" spans="1:14" ht="15.75">
      <c r="A638" s="784">
        <v>451</v>
      </c>
      <c r="B638" s="759">
        <v>2100751</v>
      </c>
      <c r="C638" s="785" t="s">
        <v>1640</v>
      </c>
      <c r="D638" s="763" t="s">
        <v>1380</v>
      </c>
      <c r="E638" s="763" t="s">
        <v>1096</v>
      </c>
      <c r="F638" s="785"/>
      <c r="G638" s="785">
        <f>J638+K638</f>
        <v>587178</v>
      </c>
      <c r="H638" s="785">
        <v>0</v>
      </c>
      <c r="I638" s="785">
        <v>0</v>
      </c>
      <c r="J638" s="785">
        <f>K638*5</f>
        <v>489315</v>
      </c>
      <c r="K638" s="786">
        <v>97863</v>
      </c>
      <c r="L638" s="785">
        <v>0</v>
      </c>
      <c r="M638" s="786">
        <v>0</v>
      </c>
      <c r="N638" s="731"/>
    </row>
    <row r="639" spans="1:14" ht="15.75">
      <c r="A639" s="784">
        <v>452</v>
      </c>
      <c r="B639" s="759">
        <v>2100752</v>
      </c>
      <c r="C639" s="785" t="s">
        <v>1640</v>
      </c>
      <c r="D639" s="785" t="s">
        <v>1203</v>
      </c>
      <c r="E639" s="785" t="s">
        <v>1096</v>
      </c>
      <c r="F639" s="785" t="s">
        <v>1204</v>
      </c>
      <c r="G639" s="785">
        <f aca="true" t="shared" si="70" ref="G639:G646">J639+K639</f>
        <v>22440</v>
      </c>
      <c r="H639" s="785">
        <v>0</v>
      </c>
      <c r="I639" s="785">
        <v>0</v>
      </c>
      <c r="J639" s="785">
        <f aca="true" t="shared" si="71" ref="J639:J646">K639*5</f>
        <v>18700</v>
      </c>
      <c r="K639" s="786">
        <v>3740</v>
      </c>
      <c r="L639" s="785">
        <v>0</v>
      </c>
      <c r="M639" s="786">
        <v>0</v>
      </c>
      <c r="N639" s="731"/>
    </row>
    <row r="640" spans="1:14" ht="15.75">
      <c r="A640" s="784">
        <v>453</v>
      </c>
      <c r="B640" s="759">
        <v>2100753</v>
      </c>
      <c r="C640" s="785" t="s">
        <v>1643</v>
      </c>
      <c r="D640" s="785" t="s">
        <v>1063</v>
      </c>
      <c r="E640" s="785" t="s">
        <v>1096</v>
      </c>
      <c r="F640" s="785" t="s">
        <v>1150</v>
      </c>
      <c r="G640" s="785">
        <f t="shared" si="70"/>
        <v>27174</v>
      </c>
      <c r="H640" s="785">
        <v>0</v>
      </c>
      <c r="I640" s="785">
        <v>0</v>
      </c>
      <c r="J640" s="785">
        <f t="shared" si="71"/>
        <v>22645</v>
      </c>
      <c r="K640" s="786">
        <v>4529</v>
      </c>
      <c r="L640" s="785">
        <v>0</v>
      </c>
      <c r="M640" s="786">
        <v>0</v>
      </c>
      <c r="N640" s="731"/>
    </row>
    <row r="641" spans="1:14" ht="15.75">
      <c r="A641" s="784">
        <v>454</v>
      </c>
      <c r="B641" s="759">
        <v>2100754</v>
      </c>
      <c r="C641" s="785" t="s">
        <v>1644</v>
      </c>
      <c r="D641" s="785" t="s">
        <v>1118</v>
      </c>
      <c r="E641" s="785" t="s">
        <v>1096</v>
      </c>
      <c r="F641" s="785" t="s">
        <v>1119</v>
      </c>
      <c r="G641" s="785">
        <f t="shared" si="70"/>
        <v>233934</v>
      </c>
      <c r="H641" s="785">
        <v>0</v>
      </c>
      <c r="I641" s="785">
        <v>0</v>
      </c>
      <c r="J641" s="785">
        <f t="shared" si="71"/>
        <v>194945</v>
      </c>
      <c r="K641" s="786">
        <v>38989</v>
      </c>
      <c r="L641" s="785">
        <v>0</v>
      </c>
      <c r="M641" s="786">
        <v>0</v>
      </c>
      <c r="N641" s="731"/>
    </row>
    <row r="642" spans="1:14" ht="15.75">
      <c r="A642" s="784">
        <v>455</v>
      </c>
      <c r="B642" s="759">
        <v>2100755</v>
      </c>
      <c r="C642" s="785" t="s">
        <v>1644</v>
      </c>
      <c r="D642" s="785" t="s">
        <v>1623</v>
      </c>
      <c r="E642" s="785" t="s">
        <v>1096</v>
      </c>
      <c r="F642" s="785" t="s">
        <v>1430</v>
      </c>
      <c r="G642" s="785">
        <f t="shared" si="70"/>
        <v>201522</v>
      </c>
      <c r="H642" s="785">
        <v>0</v>
      </c>
      <c r="I642" s="785">
        <v>0</v>
      </c>
      <c r="J642" s="785">
        <f t="shared" si="71"/>
        <v>167935</v>
      </c>
      <c r="K642" s="786">
        <v>33587</v>
      </c>
      <c r="L642" s="785">
        <v>0</v>
      </c>
      <c r="M642" s="786">
        <v>0</v>
      </c>
      <c r="N642" s="731"/>
    </row>
    <row r="643" spans="1:14" ht="15.75">
      <c r="A643" s="784">
        <v>456</v>
      </c>
      <c r="B643" s="759">
        <v>2100756</v>
      </c>
      <c r="C643" s="785" t="s">
        <v>1644</v>
      </c>
      <c r="D643" s="785" t="s">
        <v>1623</v>
      </c>
      <c r="E643" s="785" t="s">
        <v>1099</v>
      </c>
      <c r="F643" s="785" t="s">
        <v>1430</v>
      </c>
      <c r="G643" s="785">
        <f t="shared" si="70"/>
        <v>86610</v>
      </c>
      <c r="H643" s="785">
        <v>0</v>
      </c>
      <c r="I643" s="785">
        <v>0</v>
      </c>
      <c r="J643" s="785">
        <f t="shared" si="71"/>
        <v>72175</v>
      </c>
      <c r="K643" s="786">
        <v>14435</v>
      </c>
      <c r="L643" s="785">
        <v>0</v>
      </c>
      <c r="M643" s="786">
        <v>0</v>
      </c>
      <c r="N643" s="731"/>
    </row>
    <row r="644" spans="1:14" ht="15.75">
      <c r="A644" s="784">
        <v>457</v>
      </c>
      <c r="B644" s="759">
        <v>2100757</v>
      </c>
      <c r="C644" s="785" t="s">
        <v>1644</v>
      </c>
      <c r="D644" s="785" t="s">
        <v>1623</v>
      </c>
      <c r="E644" s="785" t="s">
        <v>1096</v>
      </c>
      <c r="F644" s="785" t="s">
        <v>1430</v>
      </c>
      <c r="G644" s="785">
        <f t="shared" si="70"/>
        <v>204894</v>
      </c>
      <c r="H644" s="785">
        <v>0</v>
      </c>
      <c r="I644" s="785">
        <v>0</v>
      </c>
      <c r="J644" s="785">
        <f t="shared" si="71"/>
        <v>170745</v>
      </c>
      <c r="K644" s="786">
        <v>34149</v>
      </c>
      <c r="L644" s="785">
        <v>0</v>
      </c>
      <c r="M644" s="786">
        <v>0</v>
      </c>
      <c r="N644" s="731"/>
    </row>
    <row r="645" spans="1:14" ht="15.75">
      <c r="A645" s="784">
        <v>458</v>
      </c>
      <c r="B645" s="759">
        <v>2100758</v>
      </c>
      <c r="C645" s="785" t="s">
        <v>1645</v>
      </c>
      <c r="D645" s="785" t="s">
        <v>1636</v>
      </c>
      <c r="E645" s="785" t="s">
        <v>1096</v>
      </c>
      <c r="F645" s="785" t="s">
        <v>1637</v>
      </c>
      <c r="G645" s="785">
        <f t="shared" si="70"/>
        <v>710598</v>
      </c>
      <c r="H645" s="785">
        <v>0</v>
      </c>
      <c r="I645" s="785">
        <v>0</v>
      </c>
      <c r="J645" s="785">
        <f t="shared" si="71"/>
        <v>592165</v>
      </c>
      <c r="K645" s="786">
        <v>118433</v>
      </c>
      <c r="L645" s="785">
        <v>0</v>
      </c>
      <c r="M645" s="786">
        <v>0</v>
      </c>
      <c r="N645" s="731"/>
    </row>
    <row r="646" spans="1:14" ht="15.75">
      <c r="A646" s="784">
        <v>459</v>
      </c>
      <c r="B646" s="759">
        <v>2100759</v>
      </c>
      <c r="C646" s="785" t="s">
        <v>1646</v>
      </c>
      <c r="D646" s="763" t="s">
        <v>1380</v>
      </c>
      <c r="E646" s="785" t="s">
        <v>1096</v>
      </c>
      <c r="F646" s="785"/>
      <c r="G646" s="785">
        <f t="shared" si="70"/>
        <v>847110</v>
      </c>
      <c r="H646" s="785">
        <v>0</v>
      </c>
      <c r="I646" s="785">
        <v>0</v>
      </c>
      <c r="J646" s="785">
        <f t="shared" si="71"/>
        <v>705925</v>
      </c>
      <c r="K646" s="786">
        <v>141185</v>
      </c>
      <c r="L646" s="785">
        <v>0</v>
      </c>
      <c r="M646" s="786">
        <v>0</v>
      </c>
      <c r="N646" s="731"/>
    </row>
    <row r="647" spans="1:14" ht="15.75">
      <c r="A647" s="784">
        <v>460</v>
      </c>
      <c r="B647" s="759">
        <v>2100760</v>
      </c>
      <c r="C647" s="785" t="s">
        <v>1647</v>
      </c>
      <c r="D647" s="785" t="s">
        <v>1211</v>
      </c>
      <c r="E647" s="785" t="s">
        <v>1096</v>
      </c>
      <c r="F647" s="785" t="s">
        <v>1158</v>
      </c>
      <c r="G647" s="785">
        <f>J647+K647</f>
        <v>288948</v>
      </c>
      <c r="H647" s="785">
        <v>0</v>
      </c>
      <c r="I647" s="785">
        <v>0</v>
      </c>
      <c r="J647" s="785">
        <f>K647*5</f>
        <v>240790</v>
      </c>
      <c r="K647" s="786">
        <v>48158</v>
      </c>
      <c r="L647" s="785">
        <v>0</v>
      </c>
      <c r="M647" s="786">
        <v>0</v>
      </c>
      <c r="N647" s="731"/>
    </row>
    <row r="648" spans="1:14" ht="15.75">
      <c r="A648" s="784">
        <v>461</v>
      </c>
      <c r="B648" s="759">
        <v>2100761</v>
      </c>
      <c r="C648" s="785" t="s">
        <v>1648</v>
      </c>
      <c r="D648" s="785" t="s">
        <v>1152</v>
      </c>
      <c r="E648" s="785" t="s">
        <v>1096</v>
      </c>
      <c r="F648" s="785" t="s">
        <v>1153</v>
      </c>
      <c r="G648" s="785">
        <f>J648+K648</f>
        <v>441048</v>
      </c>
      <c r="H648" s="785">
        <v>0</v>
      </c>
      <c r="I648" s="785">
        <v>0</v>
      </c>
      <c r="J648" s="785">
        <f>K648*5</f>
        <v>367540</v>
      </c>
      <c r="K648" s="786">
        <v>73508</v>
      </c>
      <c r="L648" s="785">
        <v>0</v>
      </c>
      <c r="M648" s="786">
        <v>0</v>
      </c>
      <c r="N648" s="731"/>
    </row>
    <row r="649" spans="1:14" ht="15.75">
      <c r="A649" s="784">
        <v>462</v>
      </c>
      <c r="B649" s="759">
        <v>2100762</v>
      </c>
      <c r="C649" s="785" t="s">
        <v>1648</v>
      </c>
      <c r="D649" s="785" t="s">
        <v>1155</v>
      </c>
      <c r="E649" s="785" t="s">
        <v>1096</v>
      </c>
      <c r="F649" s="785" t="s">
        <v>1156</v>
      </c>
      <c r="G649" s="785">
        <f>J649+K649</f>
        <v>158382</v>
      </c>
      <c r="H649" s="785">
        <v>0</v>
      </c>
      <c r="I649" s="785">
        <v>0</v>
      </c>
      <c r="J649" s="785">
        <f>K649*5</f>
        <v>131985</v>
      </c>
      <c r="K649" s="786">
        <v>26397</v>
      </c>
      <c r="L649" s="785">
        <v>0</v>
      </c>
      <c r="M649" s="786">
        <v>0</v>
      </c>
      <c r="N649" s="731"/>
    </row>
    <row r="650" spans="1:14" ht="16.5" thickBot="1">
      <c r="A650" s="784">
        <v>463</v>
      </c>
      <c r="B650" s="759">
        <v>2100763</v>
      </c>
      <c r="C650" s="785" t="s">
        <v>1648</v>
      </c>
      <c r="D650" s="763" t="s">
        <v>1380</v>
      </c>
      <c r="E650" s="785" t="s">
        <v>1096</v>
      </c>
      <c r="F650" s="785"/>
      <c r="G650" s="785">
        <f>J650+K650</f>
        <v>251514</v>
      </c>
      <c r="H650" s="785">
        <v>0</v>
      </c>
      <c r="I650" s="785">
        <v>0</v>
      </c>
      <c r="J650" s="785">
        <f>K650*5</f>
        <v>209595</v>
      </c>
      <c r="K650" s="786">
        <v>41919</v>
      </c>
      <c r="L650" s="785">
        <v>0</v>
      </c>
      <c r="M650" s="786">
        <v>0</v>
      </c>
      <c r="N650" s="731"/>
    </row>
    <row r="651" spans="1:14" ht="16.5" thickBot="1">
      <c r="A651" s="1389" t="s">
        <v>822</v>
      </c>
      <c r="B651" s="1390"/>
      <c r="C651" s="1390"/>
      <c r="D651" s="1390"/>
      <c r="E651" s="1390"/>
      <c r="F651" s="1391"/>
      <c r="G651" s="1020">
        <f>SUM(G602:G650)</f>
        <v>11668356</v>
      </c>
      <c r="H651" s="785">
        <v>0</v>
      </c>
      <c r="I651" s="785">
        <v>0</v>
      </c>
      <c r="J651" s="1020">
        <f>SUM(J602:J650)</f>
        <v>9723630</v>
      </c>
      <c r="K651" s="1021">
        <f>SUM(K602:K650)</f>
        <v>1944726</v>
      </c>
      <c r="L651" s="785">
        <v>0</v>
      </c>
      <c r="M651" s="786">
        <v>0</v>
      </c>
      <c r="N651" s="731"/>
    </row>
    <row r="652" spans="1:14" ht="16.5" thickBot="1">
      <c r="A652" s="1392" t="s">
        <v>823</v>
      </c>
      <c r="B652" s="1393"/>
      <c r="C652" s="1393"/>
      <c r="D652" s="1393"/>
      <c r="E652" s="1393"/>
      <c r="F652" s="1393"/>
      <c r="G652" s="1393"/>
      <c r="H652" s="781" t="s">
        <v>824</v>
      </c>
      <c r="I652" s="765" t="s">
        <v>825</v>
      </c>
      <c r="J652" s="781" t="s">
        <v>826</v>
      </c>
      <c r="K652" s="766" t="s">
        <v>827</v>
      </c>
      <c r="L652" s="781" t="s">
        <v>828</v>
      </c>
      <c r="M652" s="766" t="s">
        <v>829</v>
      </c>
      <c r="N652" s="731"/>
    </row>
    <row r="653" spans="1:14" ht="15.75">
      <c r="A653" s="731"/>
      <c r="B653" s="731"/>
      <c r="C653" s="731"/>
      <c r="D653" s="731"/>
      <c r="E653" s="731"/>
      <c r="F653" s="731"/>
      <c r="G653" s="731"/>
      <c r="H653" s="731"/>
      <c r="I653" s="731"/>
      <c r="J653" s="731"/>
      <c r="K653" s="731"/>
      <c r="L653" s="731"/>
      <c r="M653" s="731"/>
      <c r="N653" s="731"/>
    </row>
    <row r="654" spans="1:14" ht="15.75">
      <c r="A654" s="731"/>
      <c r="B654" s="731"/>
      <c r="C654" s="731"/>
      <c r="D654" s="731"/>
      <c r="E654" s="731"/>
      <c r="F654" s="731"/>
      <c r="G654" s="731"/>
      <c r="H654" s="731"/>
      <c r="I654" s="731"/>
      <c r="J654" s="731"/>
      <c r="K654" s="731"/>
      <c r="L654" s="731"/>
      <c r="M654" s="731"/>
      <c r="N654" s="731"/>
    </row>
    <row r="655" spans="1:14" ht="15.75">
      <c r="A655" s="731"/>
      <c r="B655" s="731"/>
      <c r="C655" s="731"/>
      <c r="D655" s="731"/>
      <c r="E655" s="731"/>
      <c r="F655" s="731"/>
      <c r="G655" s="731"/>
      <c r="H655" s="731"/>
      <c r="I655" s="731"/>
      <c r="J655" s="1017" t="s">
        <v>1249</v>
      </c>
      <c r="K655" s="731"/>
      <c r="L655" s="731"/>
      <c r="M655" s="731"/>
      <c r="N655" s="731"/>
    </row>
    <row r="656" spans="1:14" ht="15.75">
      <c r="A656" s="731"/>
      <c r="B656" s="731"/>
      <c r="C656" s="731"/>
      <c r="D656" s="731"/>
      <c r="E656" s="731"/>
      <c r="F656" s="731"/>
      <c r="G656" s="731"/>
      <c r="H656" s="731"/>
      <c r="I656" s="731"/>
      <c r="J656" s="731" t="s">
        <v>1270</v>
      </c>
      <c r="K656" s="731"/>
      <c r="L656" s="731"/>
      <c r="M656" s="731"/>
      <c r="N656" s="731"/>
    </row>
    <row r="657" spans="1:14" ht="15.75">
      <c r="A657" s="731" t="s">
        <v>856</v>
      </c>
      <c r="B657" s="731"/>
      <c r="C657" s="731"/>
      <c r="D657" s="731"/>
      <c r="E657" s="731"/>
      <c r="F657" s="731"/>
      <c r="G657" s="731"/>
      <c r="H657" s="731"/>
      <c r="I657" s="731"/>
      <c r="J657" s="731"/>
      <c r="K657" s="731"/>
      <c r="L657" s="731"/>
      <c r="M657" s="731"/>
      <c r="N657" s="731"/>
    </row>
    <row r="658" spans="1:14" ht="15.75">
      <c r="A658" s="731" t="s">
        <v>848</v>
      </c>
      <c r="B658" s="731"/>
      <c r="C658" s="731"/>
      <c r="D658" s="731"/>
      <c r="E658" s="731"/>
      <c r="F658" s="731"/>
      <c r="G658" s="731"/>
      <c r="H658" s="731"/>
      <c r="I658" s="731"/>
      <c r="J658" s="731"/>
      <c r="K658" s="731"/>
      <c r="L658" s="731"/>
      <c r="M658" s="731"/>
      <c r="N658" s="731"/>
    </row>
    <row r="659" spans="1:14" ht="15.75">
      <c r="A659" s="731" t="s">
        <v>855</v>
      </c>
      <c r="B659"/>
      <c r="K659" s="731"/>
      <c r="L659" s="731"/>
      <c r="M659" s="731"/>
      <c r="N659" s="731"/>
    </row>
    <row r="660" spans="1:14" ht="15.75">
      <c r="A660" s="731"/>
      <c r="B660" s="731"/>
      <c r="C660" s="731"/>
      <c r="D660" s="731"/>
      <c r="E660" s="731"/>
      <c r="F660" s="731"/>
      <c r="G660" s="731"/>
      <c r="H660" s="731"/>
      <c r="I660" s="731"/>
      <c r="J660" s="731"/>
      <c r="K660" s="731"/>
      <c r="L660" s="731"/>
      <c r="M660" s="731"/>
      <c r="N660" s="731"/>
    </row>
    <row r="663" spans="1:31" ht="19.5">
      <c r="A663" s="730" t="s">
        <v>794</v>
      </c>
      <c r="B663" s="731"/>
      <c r="C663" s="731"/>
      <c r="D663" s="731"/>
      <c r="E663" s="731"/>
      <c r="F663" s="731"/>
      <c r="G663" s="731"/>
      <c r="H663" s="731"/>
      <c r="I663" s="731"/>
      <c r="J663" s="731"/>
      <c r="K663" s="731"/>
      <c r="L663" s="731"/>
      <c r="M663" s="731"/>
      <c r="N663" s="730" t="s">
        <v>795</v>
      </c>
      <c r="O663" s="731"/>
      <c r="P663" s="731"/>
      <c r="Q663" s="731"/>
      <c r="R663" s="731"/>
      <c r="S663" s="731"/>
      <c r="T663" s="731"/>
      <c r="U663" s="731"/>
      <c r="V663" s="731"/>
      <c r="W663" s="731"/>
      <c r="X663" s="731"/>
      <c r="Y663" s="731"/>
      <c r="Z663" s="731"/>
      <c r="AA663" s="731"/>
      <c r="AB663" s="731"/>
      <c r="AC663" s="731"/>
      <c r="AD663" s="731"/>
      <c r="AE663" s="731"/>
    </row>
    <row r="664" spans="1:31" ht="15.75">
      <c r="A664" s="733" t="s">
        <v>796</v>
      </c>
      <c r="B664" s="733"/>
      <c r="C664" s="731" t="s">
        <v>1166</v>
      </c>
      <c r="D664" s="731"/>
      <c r="E664" s="731"/>
      <c r="F664" s="731"/>
      <c r="G664" s="731"/>
      <c r="H664" s="731"/>
      <c r="I664" s="731"/>
      <c r="J664" s="731"/>
      <c r="K664" s="731"/>
      <c r="L664" s="731"/>
      <c r="M664" s="731"/>
      <c r="N664" s="733" t="s">
        <v>796</v>
      </c>
      <c r="O664" s="733"/>
      <c r="P664" s="731" t="s">
        <v>1042</v>
      </c>
      <c r="Q664" s="731"/>
      <c r="R664" s="731"/>
      <c r="S664" s="731"/>
      <c r="T664" s="731"/>
      <c r="U664" s="731"/>
      <c r="V664" s="731"/>
      <c r="W664" s="731"/>
      <c r="X664" s="731"/>
      <c r="Y664" s="731"/>
      <c r="Z664" s="731"/>
      <c r="AA664" s="731"/>
      <c r="AB664" s="731"/>
      <c r="AC664" s="731"/>
      <c r="AD664" s="731"/>
      <c r="AE664" s="731"/>
    </row>
    <row r="665" spans="1:31" ht="15.75">
      <c r="A665" s="733" t="s">
        <v>413</v>
      </c>
      <c r="B665" s="733"/>
      <c r="C665" s="731" t="s">
        <v>1043</v>
      </c>
      <c r="D665" s="731"/>
      <c r="E665" s="731"/>
      <c r="F665" s="731"/>
      <c r="G665" s="731"/>
      <c r="H665" s="731"/>
      <c r="I665" s="731"/>
      <c r="J665" s="731"/>
      <c r="K665" s="731"/>
      <c r="L665" s="731"/>
      <c r="M665" s="731"/>
      <c r="N665" s="733" t="s">
        <v>413</v>
      </c>
      <c r="O665" s="733"/>
      <c r="P665" s="731" t="s">
        <v>1043</v>
      </c>
      <c r="Q665" s="731"/>
      <c r="R665" s="731"/>
      <c r="S665" s="731"/>
      <c r="T665" s="731"/>
      <c r="U665" s="731"/>
      <c r="V665" s="731"/>
      <c r="W665" s="731"/>
      <c r="X665" s="731"/>
      <c r="Y665" s="731"/>
      <c r="Z665" s="731"/>
      <c r="AA665" s="731"/>
      <c r="AB665" s="731"/>
      <c r="AC665" s="731"/>
      <c r="AD665" s="731"/>
      <c r="AE665" s="731"/>
    </row>
    <row r="666" spans="1:31" ht="15.75">
      <c r="A666" s="733" t="s">
        <v>797</v>
      </c>
      <c r="B666" s="733"/>
      <c r="C666" s="731">
        <v>2012</v>
      </c>
      <c r="D666" s="731"/>
      <c r="E666" s="731"/>
      <c r="F666" s="731"/>
      <c r="G666" s="731"/>
      <c r="H666" s="731"/>
      <c r="I666" s="731"/>
      <c r="J666" s="731"/>
      <c r="K666" s="731"/>
      <c r="L666" s="731"/>
      <c r="M666" s="731"/>
      <c r="N666" s="733" t="s">
        <v>797</v>
      </c>
      <c r="O666" s="733"/>
      <c r="P666" s="731">
        <v>2012</v>
      </c>
      <c r="Q666" s="731"/>
      <c r="R666" s="731"/>
      <c r="S666" s="731"/>
      <c r="T666" s="731"/>
      <c r="U666" s="731"/>
      <c r="V666" s="731"/>
      <c r="W666" s="731"/>
      <c r="X666" s="731"/>
      <c r="Y666" s="731"/>
      <c r="Z666" s="731"/>
      <c r="AA666" s="731"/>
      <c r="AB666" s="731"/>
      <c r="AC666" s="731"/>
      <c r="AD666" s="731"/>
      <c r="AE666" s="731"/>
    </row>
    <row r="667" spans="1:31" ht="15.75">
      <c r="A667" s="733" t="s">
        <v>166</v>
      </c>
      <c r="B667" s="733"/>
      <c r="C667" s="731">
        <v>11</v>
      </c>
      <c r="D667" s="731"/>
      <c r="E667" s="731"/>
      <c r="F667" s="731"/>
      <c r="G667" s="731"/>
      <c r="H667" s="731"/>
      <c r="I667" s="731"/>
      <c r="J667" s="731"/>
      <c r="K667" s="731"/>
      <c r="L667" s="731"/>
      <c r="M667" s="731"/>
      <c r="N667" s="733" t="s">
        <v>166</v>
      </c>
      <c r="O667" s="733"/>
      <c r="P667" s="731">
        <v>11</v>
      </c>
      <c r="Q667" s="731"/>
      <c r="R667" s="731"/>
      <c r="S667" s="731"/>
      <c r="T667" s="731"/>
      <c r="U667" s="731"/>
      <c r="V667" s="731"/>
      <c r="W667" s="731"/>
      <c r="X667" s="731"/>
      <c r="Y667" s="731"/>
      <c r="Z667" s="731"/>
      <c r="AA667" s="731"/>
      <c r="AB667" s="731"/>
      <c r="AC667" s="731"/>
      <c r="AD667" s="731"/>
      <c r="AE667" s="731"/>
    </row>
    <row r="668" spans="1:31" ht="16.5" thickBot="1">
      <c r="A668" s="733"/>
      <c r="B668" s="733"/>
      <c r="C668" s="731"/>
      <c r="D668" s="731"/>
      <c r="E668" s="731"/>
      <c r="F668" s="731"/>
      <c r="G668" s="731"/>
      <c r="H668" s="731"/>
      <c r="I668" s="731"/>
      <c r="J668" s="731"/>
      <c r="K668" s="731"/>
      <c r="L668" s="731"/>
      <c r="M668" s="731"/>
      <c r="N668" s="733"/>
      <c r="O668" s="733"/>
      <c r="P668" s="731"/>
      <c r="Q668" s="731"/>
      <c r="R668" s="731"/>
      <c r="S668" s="731"/>
      <c r="T668" s="731"/>
      <c r="U668" s="731"/>
      <c r="V668" s="731"/>
      <c r="W668" s="731"/>
      <c r="X668" s="731"/>
      <c r="Y668" s="731"/>
      <c r="Z668" s="731"/>
      <c r="AA668" s="731"/>
      <c r="AB668" s="731"/>
      <c r="AC668" s="731"/>
      <c r="AD668" s="731"/>
      <c r="AE668" s="731"/>
    </row>
    <row r="669" spans="1:31" ht="16.5" thickBot="1">
      <c r="A669" s="731" t="s">
        <v>799</v>
      </c>
      <c r="B669" s="1103"/>
      <c r="C669" s="731" t="s">
        <v>835</v>
      </c>
      <c r="D669" s="731"/>
      <c r="E669" s="731"/>
      <c r="F669" s="731"/>
      <c r="G669" s="731"/>
      <c r="H669" s="731"/>
      <c r="I669" s="731"/>
      <c r="J669" s="731"/>
      <c r="K669" s="731"/>
      <c r="L669" s="731"/>
      <c r="M669" s="731"/>
      <c r="N669" s="731" t="s">
        <v>799</v>
      </c>
      <c r="O669" s="1103"/>
      <c r="P669" s="731" t="s">
        <v>835</v>
      </c>
      <c r="Q669" s="731"/>
      <c r="R669" s="731"/>
      <c r="S669" s="731"/>
      <c r="T669" s="731"/>
      <c r="U669" s="731"/>
      <c r="V669" s="731"/>
      <c r="W669" s="731"/>
      <c r="X669" s="731"/>
      <c r="Y669" s="731"/>
      <c r="Z669" s="731"/>
      <c r="AA669" s="731"/>
      <c r="AB669" s="731"/>
      <c r="AC669" s="731"/>
      <c r="AD669" s="731"/>
      <c r="AE669" s="731"/>
    </row>
    <row r="670" spans="1:31" ht="16.5" thickBot="1">
      <c r="A670" s="731"/>
      <c r="B670" s="731"/>
      <c r="C670" s="731"/>
      <c r="D670" s="731"/>
      <c r="E670" s="731"/>
      <c r="F670" s="731"/>
      <c r="G670" s="731"/>
      <c r="H670" s="731"/>
      <c r="I670" s="731"/>
      <c r="J670" s="731"/>
      <c r="K670" s="731"/>
      <c r="L670" s="731"/>
      <c r="M670" s="731"/>
      <c r="N670" s="731"/>
      <c r="O670" s="731"/>
      <c r="P670" s="733"/>
      <c r="Q670" s="731"/>
      <c r="R670" s="731"/>
      <c r="S670" s="731"/>
      <c r="T670" s="731"/>
      <c r="U670" s="731"/>
      <c r="V670" s="731"/>
      <c r="W670" s="731"/>
      <c r="X670" s="731"/>
      <c r="Y670" s="731"/>
      <c r="Z670" s="731"/>
      <c r="AA670" s="731"/>
      <c r="AB670" s="731"/>
      <c r="AC670" s="731"/>
      <c r="AD670" s="731"/>
      <c r="AE670" s="731"/>
    </row>
    <row r="671" spans="1:31" ht="16.5" thickBot="1">
      <c r="A671" s="1401" t="s">
        <v>800</v>
      </c>
      <c r="B671" s="1409"/>
      <c r="C671" s="1402"/>
      <c r="D671" s="1401" t="s">
        <v>801</v>
      </c>
      <c r="E671" s="1409"/>
      <c r="F671" s="1402"/>
      <c r="G671" s="1398" t="s">
        <v>802</v>
      </c>
      <c r="H671" s="1398" t="s">
        <v>803</v>
      </c>
      <c r="I671" s="1398" t="s">
        <v>804</v>
      </c>
      <c r="J671" s="1401" t="s">
        <v>836</v>
      </c>
      <c r="K671" s="1402"/>
      <c r="L671" s="1401" t="s">
        <v>837</v>
      </c>
      <c r="M671" s="1402"/>
      <c r="N671" s="1405" t="s">
        <v>800</v>
      </c>
      <c r="O671" s="1406"/>
      <c r="P671" s="1407"/>
      <c r="Q671" s="1405" t="s">
        <v>805</v>
      </c>
      <c r="R671" s="1406"/>
      <c r="S671" s="1407"/>
      <c r="T671" s="1398" t="s">
        <v>806</v>
      </c>
      <c r="U671" s="1387" t="s">
        <v>807</v>
      </c>
      <c r="V671" s="1397"/>
      <c r="W671" s="1397"/>
      <c r="X671" s="1397"/>
      <c r="Y671" s="1397"/>
      <c r="Z671" s="1397"/>
      <c r="AA671" s="1397"/>
      <c r="AB671" s="1397"/>
      <c r="AC671" s="1397"/>
      <c r="AD671" s="1397"/>
      <c r="AE671" s="1388"/>
    </row>
    <row r="672" spans="1:31" ht="16.5" thickBot="1">
      <c r="A672" s="1403"/>
      <c r="B672" s="1410"/>
      <c r="C672" s="1404"/>
      <c r="D672" s="1403"/>
      <c r="E672" s="1410"/>
      <c r="F672" s="1404"/>
      <c r="G672" s="1408"/>
      <c r="H672" s="1408"/>
      <c r="I672" s="1408"/>
      <c r="J672" s="1403"/>
      <c r="K672" s="1404"/>
      <c r="L672" s="1403"/>
      <c r="M672" s="1404"/>
      <c r="N672" s="1398" t="s">
        <v>808</v>
      </c>
      <c r="O672" s="1398" t="s">
        <v>809</v>
      </c>
      <c r="P672" s="1398" t="s">
        <v>810</v>
      </c>
      <c r="Q672" s="1398" t="s">
        <v>811</v>
      </c>
      <c r="R672" s="1398" t="s">
        <v>812</v>
      </c>
      <c r="S672" s="1398" t="s">
        <v>813</v>
      </c>
      <c r="T672" s="1408"/>
      <c r="U672" s="1398" t="s">
        <v>814</v>
      </c>
      <c r="V672" s="1387" t="s">
        <v>838</v>
      </c>
      <c r="W672" s="1400"/>
      <c r="X672" s="1387" t="s">
        <v>839</v>
      </c>
      <c r="Y672" s="1400"/>
      <c r="Z672" s="1387" t="s">
        <v>840</v>
      </c>
      <c r="AA672" s="1388"/>
      <c r="AB672" s="1387" t="s">
        <v>841</v>
      </c>
      <c r="AC672" s="1388"/>
      <c r="AD672" s="1387" t="s">
        <v>815</v>
      </c>
      <c r="AE672" s="1388"/>
    </row>
    <row r="673" spans="1:31" ht="48" thickBot="1">
      <c r="A673" s="748" t="s">
        <v>808</v>
      </c>
      <c r="B673" s="749" t="s">
        <v>809</v>
      </c>
      <c r="C673" s="750" t="s">
        <v>810</v>
      </c>
      <c r="D673" s="743" t="s">
        <v>816</v>
      </c>
      <c r="E673" s="746" t="s">
        <v>812</v>
      </c>
      <c r="F673" s="751" t="s">
        <v>406</v>
      </c>
      <c r="G673" s="1399"/>
      <c r="H673" s="1399"/>
      <c r="I673" s="1399"/>
      <c r="J673" s="751" t="s">
        <v>817</v>
      </c>
      <c r="K673" s="744" t="s">
        <v>818</v>
      </c>
      <c r="L673" s="751" t="s">
        <v>817</v>
      </c>
      <c r="M673" s="744" t="s">
        <v>818</v>
      </c>
      <c r="N673" s="1399"/>
      <c r="O673" s="1399"/>
      <c r="P673" s="1399"/>
      <c r="Q673" s="1399"/>
      <c r="R673" s="1399"/>
      <c r="S673" s="1399"/>
      <c r="T673" s="1399"/>
      <c r="U673" s="1399"/>
      <c r="V673" s="745" t="s">
        <v>817</v>
      </c>
      <c r="W673" s="752" t="s">
        <v>818</v>
      </c>
      <c r="X673" s="745" t="s">
        <v>817</v>
      </c>
      <c r="Y673" s="752" t="s">
        <v>818</v>
      </c>
      <c r="Z673" s="744" t="s">
        <v>819</v>
      </c>
      <c r="AA673" s="744" t="s">
        <v>820</v>
      </c>
      <c r="AB673" s="744" t="s">
        <v>819</v>
      </c>
      <c r="AC673" s="744" t="s">
        <v>820</v>
      </c>
      <c r="AD673" s="744" t="s">
        <v>819</v>
      </c>
      <c r="AE673" s="744" t="s">
        <v>820</v>
      </c>
    </row>
    <row r="674" spans="1:31" ht="29.25" thickBot="1">
      <c r="A674" s="754" t="s">
        <v>510</v>
      </c>
      <c r="B674" s="755" t="s">
        <v>511</v>
      </c>
      <c r="C674" s="755" t="s">
        <v>598</v>
      </c>
      <c r="D674" s="755" t="s">
        <v>620</v>
      </c>
      <c r="E674" s="755" t="s">
        <v>622</v>
      </c>
      <c r="F674" s="755" t="s">
        <v>634</v>
      </c>
      <c r="G674" s="755" t="s">
        <v>842</v>
      </c>
      <c r="H674" s="755" t="s">
        <v>638</v>
      </c>
      <c r="I674" s="756" t="s">
        <v>640</v>
      </c>
      <c r="J674" s="755" t="s">
        <v>642</v>
      </c>
      <c r="K674" s="757" t="s">
        <v>644</v>
      </c>
      <c r="L674" s="755" t="s">
        <v>646</v>
      </c>
      <c r="M674" s="757" t="s">
        <v>650</v>
      </c>
      <c r="N674" s="777" t="s">
        <v>510</v>
      </c>
      <c r="O674" s="778" t="s">
        <v>511</v>
      </c>
      <c r="P674" s="778" t="s">
        <v>598</v>
      </c>
      <c r="Q674" s="778" t="s">
        <v>620</v>
      </c>
      <c r="R674" s="778" t="s">
        <v>622</v>
      </c>
      <c r="S674" s="778" t="s">
        <v>634</v>
      </c>
      <c r="T674" s="779" t="s">
        <v>843</v>
      </c>
      <c r="U674" s="778" t="s">
        <v>638</v>
      </c>
      <c r="V674" s="778" t="s">
        <v>640</v>
      </c>
      <c r="W674" s="778" t="s">
        <v>642</v>
      </c>
      <c r="X674" s="778" t="s">
        <v>644</v>
      </c>
      <c r="Y674" s="778" t="s">
        <v>646</v>
      </c>
      <c r="Z674" s="778" t="s">
        <v>650</v>
      </c>
      <c r="AA674" s="778" t="s">
        <v>821</v>
      </c>
      <c r="AB674" s="778" t="s">
        <v>844</v>
      </c>
      <c r="AC674" s="778" t="s">
        <v>845</v>
      </c>
      <c r="AD674" s="778" t="s">
        <v>846</v>
      </c>
      <c r="AE674" s="780" t="s">
        <v>847</v>
      </c>
    </row>
    <row r="675" spans="1:31" ht="15.75">
      <c r="A675" s="758">
        <v>464</v>
      </c>
      <c r="B675" s="759">
        <v>2100764</v>
      </c>
      <c r="C675" s="760">
        <v>41214</v>
      </c>
      <c r="D675" s="759" t="s">
        <v>1660</v>
      </c>
      <c r="E675" s="759" t="s">
        <v>1096</v>
      </c>
      <c r="F675" s="759" t="s">
        <v>1132</v>
      </c>
      <c r="G675" s="759">
        <f aca="true" t="shared" si="72" ref="G675:G725">K675+J675</f>
        <v>93498</v>
      </c>
      <c r="H675" s="759">
        <v>0</v>
      </c>
      <c r="I675" s="759">
        <v>0</v>
      </c>
      <c r="J675" s="759">
        <f aca="true" t="shared" si="73" ref="J675:J725">K675*5</f>
        <v>77915</v>
      </c>
      <c r="K675" s="782">
        <v>15583</v>
      </c>
      <c r="L675" s="759">
        <v>0</v>
      </c>
      <c r="M675" s="759">
        <v>0</v>
      </c>
      <c r="N675" s="762">
        <v>30283</v>
      </c>
      <c r="O675" s="763">
        <v>30283</v>
      </c>
      <c r="P675" s="763" t="s">
        <v>1632</v>
      </c>
      <c r="Q675" s="759" t="s">
        <v>1650</v>
      </c>
      <c r="R675" s="759" t="s">
        <v>1096</v>
      </c>
      <c r="S675" s="759" t="s">
        <v>1170</v>
      </c>
      <c r="T675" s="759">
        <f aca="true" t="shared" si="74" ref="T675:T685">AA675+Z675</f>
        <v>332790</v>
      </c>
      <c r="U675" s="759">
        <v>0</v>
      </c>
      <c r="V675" s="759">
        <v>0</v>
      </c>
      <c r="W675" s="759">
        <v>0</v>
      </c>
      <c r="X675" s="759">
        <v>0</v>
      </c>
      <c r="Y675" s="759">
        <v>0</v>
      </c>
      <c r="Z675" s="759">
        <f aca="true" t="shared" si="75" ref="Z675:Z685">AA675*5</f>
        <v>277325</v>
      </c>
      <c r="AA675" s="759">
        <v>55465</v>
      </c>
      <c r="AB675" s="759">
        <v>0</v>
      </c>
      <c r="AC675" s="759">
        <v>0</v>
      </c>
      <c r="AD675" s="759">
        <v>0</v>
      </c>
      <c r="AE675" s="759">
        <v>0</v>
      </c>
    </row>
    <row r="676" spans="1:31" ht="15.75">
      <c r="A676" s="758">
        <v>465</v>
      </c>
      <c r="B676" s="759">
        <v>2100765</v>
      </c>
      <c r="C676" s="760">
        <v>41214</v>
      </c>
      <c r="D676" s="759" t="s">
        <v>1661</v>
      </c>
      <c r="E676" s="759" t="s">
        <v>1096</v>
      </c>
      <c r="F676" s="759" t="s">
        <v>1124</v>
      </c>
      <c r="G676" s="759">
        <f t="shared" si="72"/>
        <v>9444</v>
      </c>
      <c r="H676" s="759">
        <v>0</v>
      </c>
      <c r="I676" s="759">
        <v>0</v>
      </c>
      <c r="J676" s="759">
        <f t="shared" si="73"/>
        <v>7870</v>
      </c>
      <c r="K676" s="782">
        <v>1574</v>
      </c>
      <c r="L676" s="759">
        <v>0</v>
      </c>
      <c r="M676" s="759">
        <v>0</v>
      </c>
      <c r="N676" s="758">
        <v>111153975</v>
      </c>
      <c r="O676" s="758">
        <v>111153975</v>
      </c>
      <c r="P676" s="760">
        <v>41215</v>
      </c>
      <c r="Q676" s="759" t="s">
        <v>1098</v>
      </c>
      <c r="R676" s="759" t="s">
        <v>1096</v>
      </c>
      <c r="S676" s="759" t="s">
        <v>1100</v>
      </c>
      <c r="T676" s="759">
        <f t="shared" si="74"/>
        <v>37770</v>
      </c>
      <c r="U676" s="759">
        <v>0</v>
      </c>
      <c r="V676" s="759">
        <v>0</v>
      </c>
      <c r="W676" s="759">
        <v>0</v>
      </c>
      <c r="X676" s="759">
        <v>0</v>
      </c>
      <c r="Y676" s="759">
        <v>0</v>
      </c>
      <c r="Z676" s="759">
        <f t="shared" si="75"/>
        <v>31475</v>
      </c>
      <c r="AA676" s="759">
        <v>6295</v>
      </c>
      <c r="AB676" s="759">
        <v>0</v>
      </c>
      <c r="AC676" s="759">
        <v>0</v>
      </c>
      <c r="AD676" s="759">
        <v>0</v>
      </c>
      <c r="AE676" s="759">
        <v>0</v>
      </c>
    </row>
    <row r="677" spans="1:31" ht="15.75">
      <c r="A677" s="758">
        <v>466</v>
      </c>
      <c r="B677" s="759">
        <v>2100766</v>
      </c>
      <c r="C677" s="760">
        <v>41214</v>
      </c>
      <c r="D677" s="763" t="s">
        <v>1625</v>
      </c>
      <c r="E677" s="763" t="s">
        <v>1096</v>
      </c>
      <c r="F677" s="763" t="s">
        <v>1176</v>
      </c>
      <c r="G677" s="759">
        <f t="shared" si="72"/>
        <v>148482</v>
      </c>
      <c r="H677" s="759">
        <v>0</v>
      </c>
      <c r="I677" s="759">
        <v>0</v>
      </c>
      <c r="J677" s="759">
        <f t="shared" si="73"/>
        <v>123735</v>
      </c>
      <c r="K677" s="782">
        <v>24747</v>
      </c>
      <c r="L677" s="759">
        <v>0</v>
      </c>
      <c r="M677" s="759">
        <v>0</v>
      </c>
      <c r="N677" s="758">
        <v>1390</v>
      </c>
      <c r="O677" s="759">
        <v>5108795</v>
      </c>
      <c r="P677" s="760">
        <v>41214</v>
      </c>
      <c r="Q677" s="763" t="s">
        <v>1623</v>
      </c>
      <c r="R677" s="763" t="s">
        <v>1096</v>
      </c>
      <c r="S677" s="763" t="s">
        <v>1430</v>
      </c>
      <c r="T677" s="759">
        <f t="shared" si="74"/>
        <v>998208</v>
      </c>
      <c r="U677" s="759">
        <v>0</v>
      </c>
      <c r="V677" s="759">
        <v>0</v>
      </c>
      <c r="W677" s="759">
        <v>0</v>
      </c>
      <c r="X677" s="759">
        <v>0</v>
      </c>
      <c r="Y677" s="759">
        <v>0</v>
      </c>
      <c r="Z677" s="759">
        <f t="shared" si="75"/>
        <v>831840</v>
      </c>
      <c r="AA677" s="759">
        <v>166368</v>
      </c>
      <c r="AB677" s="759">
        <v>0</v>
      </c>
      <c r="AC677" s="759">
        <v>0</v>
      </c>
      <c r="AD677" s="759">
        <v>0</v>
      </c>
      <c r="AE677" s="759">
        <v>0</v>
      </c>
    </row>
    <row r="678" spans="1:31" ht="15.75">
      <c r="A678" s="758">
        <v>467</v>
      </c>
      <c r="B678" s="759">
        <v>2100767</v>
      </c>
      <c r="C678" s="760">
        <v>41215</v>
      </c>
      <c r="D678" s="785" t="s">
        <v>1627</v>
      </c>
      <c r="E678" s="785" t="s">
        <v>1096</v>
      </c>
      <c r="F678" s="785" t="s">
        <v>1194</v>
      </c>
      <c r="G678" s="759">
        <f t="shared" si="72"/>
        <v>37398</v>
      </c>
      <c r="H678" s="759">
        <v>0</v>
      </c>
      <c r="I678" s="759">
        <v>0</v>
      </c>
      <c r="J678" s="759">
        <f t="shared" si="73"/>
        <v>31165</v>
      </c>
      <c r="K678" s="782">
        <v>6233</v>
      </c>
      <c r="L678" s="759">
        <v>0</v>
      </c>
      <c r="M678" s="759">
        <v>0</v>
      </c>
      <c r="N678" s="758">
        <v>1406</v>
      </c>
      <c r="O678" s="759">
        <v>5108811</v>
      </c>
      <c r="P678" s="760">
        <v>41218</v>
      </c>
      <c r="Q678" s="763" t="s">
        <v>1623</v>
      </c>
      <c r="R678" s="763" t="s">
        <v>1096</v>
      </c>
      <c r="S678" s="763" t="s">
        <v>1430</v>
      </c>
      <c r="T678" s="759">
        <f t="shared" si="74"/>
        <v>1364562</v>
      </c>
      <c r="U678" s="759">
        <v>0</v>
      </c>
      <c r="V678" s="759">
        <v>0</v>
      </c>
      <c r="W678" s="759">
        <v>0</v>
      </c>
      <c r="X678" s="759">
        <v>0</v>
      </c>
      <c r="Y678" s="759">
        <v>0</v>
      </c>
      <c r="Z678" s="759">
        <f t="shared" si="75"/>
        <v>1137135</v>
      </c>
      <c r="AA678" s="759">
        <v>227427</v>
      </c>
      <c r="AB678" s="759">
        <v>0</v>
      </c>
      <c r="AC678" s="759">
        <v>0</v>
      </c>
      <c r="AD678" s="759">
        <v>0</v>
      </c>
      <c r="AE678" s="759">
        <v>0</v>
      </c>
    </row>
    <row r="679" spans="1:31" ht="15.75">
      <c r="A679" s="758">
        <v>468</v>
      </c>
      <c r="B679" s="759">
        <v>2100768</v>
      </c>
      <c r="C679" s="760">
        <v>41215</v>
      </c>
      <c r="D679" s="785" t="s">
        <v>1455</v>
      </c>
      <c r="E679" s="785" t="s">
        <v>1096</v>
      </c>
      <c r="F679" s="785" t="s">
        <v>1456</v>
      </c>
      <c r="G679" s="759">
        <f t="shared" si="72"/>
        <v>31788</v>
      </c>
      <c r="H679" s="759">
        <v>0</v>
      </c>
      <c r="I679" s="759">
        <v>0</v>
      </c>
      <c r="J679" s="759">
        <f t="shared" si="73"/>
        <v>26490</v>
      </c>
      <c r="K679" s="782">
        <v>5298</v>
      </c>
      <c r="L679" s="759">
        <v>0</v>
      </c>
      <c r="M679" s="759">
        <v>0</v>
      </c>
      <c r="N679" s="758">
        <v>1442</v>
      </c>
      <c r="O679" s="759">
        <v>5108847</v>
      </c>
      <c r="P679" s="760">
        <v>41221</v>
      </c>
      <c r="Q679" s="763" t="s">
        <v>1623</v>
      </c>
      <c r="R679" s="763" t="s">
        <v>1096</v>
      </c>
      <c r="S679" s="763" t="s">
        <v>1430</v>
      </c>
      <c r="T679" s="759">
        <f t="shared" si="74"/>
        <v>996780</v>
      </c>
      <c r="U679" s="759">
        <v>0</v>
      </c>
      <c r="V679" s="759">
        <v>0</v>
      </c>
      <c r="W679" s="759">
        <v>0</v>
      </c>
      <c r="X679" s="759">
        <v>0</v>
      </c>
      <c r="Y679" s="759">
        <v>0</v>
      </c>
      <c r="Z679" s="759">
        <f t="shared" si="75"/>
        <v>830650</v>
      </c>
      <c r="AA679" s="759">
        <v>166130</v>
      </c>
      <c r="AB679" s="759">
        <v>0</v>
      </c>
      <c r="AC679" s="759">
        <v>0</v>
      </c>
      <c r="AD679" s="759">
        <v>0</v>
      </c>
      <c r="AE679" s="759">
        <v>0</v>
      </c>
    </row>
    <row r="680" spans="1:31" ht="15.75">
      <c r="A680" s="758">
        <v>469</v>
      </c>
      <c r="B680" s="759">
        <v>2100769</v>
      </c>
      <c r="C680" s="760">
        <v>41215</v>
      </c>
      <c r="D680" s="785" t="s">
        <v>1259</v>
      </c>
      <c r="E680" s="785" t="s">
        <v>1096</v>
      </c>
      <c r="F680" s="785" t="s">
        <v>1162</v>
      </c>
      <c r="G680" s="759">
        <f t="shared" si="72"/>
        <v>111402</v>
      </c>
      <c r="H680" s="759">
        <v>0</v>
      </c>
      <c r="I680" s="759">
        <v>0</v>
      </c>
      <c r="J680" s="759">
        <f t="shared" si="73"/>
        <v>92835</v>
      </c>
      <c r="K680" s="782">
        <v>18567</v>
      </c>
      <c r="L680" s="759">
        <v>0</v>
      </c>
      <c r="M680" s="759">
        <v>0</v>
      </c>
      <c r="N680" s="758">
        <v>1457</v>
      </c>
      <c r="O680" s="759">
        <v>5108862</v>
      </c>
      <c r="P680" s="760">
        <v>41225</v>
      </c>
      <c r="Q680" s="763" t="s">
        <v>1623</v>
      </c>
      <c r="R680" s="763" t="s">
        <v>1096</v>
      </c>
      <c r="S680" s="763" t="s">
        <v>1430</v>
      </c>
      <c r="T680" s="759">
        <f t="shared" si="74"/>
        <v>1009236</v>
      </c>
      <c r="U680" s="759">
        <v>0</v>
      </c>
      <c r="V680" s="759">
        <v>0</v>
      </c>
      <c r="W680" s="759">
        <v>0</v>
      </c>
      <c r="X680" s="759">
        <v>0</v>
      </c>
      <c r="Y680" s="759">
        <v>0</v>
      </c>
      <c r="Z680" s="759">
        <f t="shared" si="75"/>
        <v>841030</v>
      </c>
      <c r="AA680" s="759">
        <v>168206</v>
      </c>
      <c r="AB680" s="759">
        <v>0</v>
      </c>
      <c r="AC680" s="759">
        <v>0</v>
      </c>
      <c r="AD680" s="759">
        <v>0</v>
      </c>
      <c r="AE680" s="759">
        <v>0</v>
      </c>
    </row>
    <row r="681" spans="1:31" ht="15.75">
      <c r="A681" s="758">
        <v>470</v>
      </c>
      <c r="B681" s="759">
        <v>2100770</v>
      </c>
      <c r="C681" s="760">
        <v>41215</v>
      </c>
      <c r="D681" s="763" t="s">
        <v>1445</v>
      </c>
      <c r="E681" s="763" t="s">
        <v>1096</v>
      </c>
      <c r="F681" s="763" t="s">
        <v>1231</v>
      </c>
      <c r="G681" s="759">
        <f t="shared" si="72"/>
        <v>240498</v>
      </c>
      <c r="H681" s="759">
        <v>0</v>
      </c>
      <c r="I681" s="759">
        <v>0</v>
      </c>
      <c r="J681" s="759">
        <f t="shared" si="73"/>
        <v>200415</v>
      </c>
      <c r="K681" s="782">
        <v>40083</v>
      </c>
      <c r="L681" s="759">
        <v>0</v>
      </c>
      <c r="M681" s="759">
        <v>0</v>
      </c>
      <c r="N681" s="762">
        <v>1478</v>
      </c>
      <c r="O681" s="763">
        <v>518883</v>
      </c>
      <c r="P681" s="763" t="s">
        <v>1667</v>
      </c>
      <c r="Q681" s="763" t="s">
        <v>1623</v>
      </c>
      <c r="R681" s="763" t="s">
        <v>1096</v>
      </c>
      <c r="S681" s="763" t="s">
        <v>1430</v>
      </c>
      <c r="T681" s="763">
        <f t="shared" si="74"/>
        <v>431418</v>
      </c>
      <c r="U681" s="759">
        <v>0</v>
      </c>
      <c r="V681" s="759">
        <v>0</v>
      </c>
      <c r="W681" s="759">
        <v>0</v>
      </c>
      <c r="X681" s="759">
        <v>0</v>
      </c>
      <c r="Y681" s="759">
        <v>0</v>
      </c>
      <c r="Z681" s="763">
        <f t="shared" si="75"/>
        <v>359515</v>
      </c>
      <c r="AA681" s="763">
        <v>71903</v>
      </c>
      <c r="AB681" s="759">
        <v>0</v>
      </c>
      <c r="AC681" s="759">
        <v>0</v>
      </c>
      <c r="AD681" s="759">
        <v>0</v>
      </c>
      <c r="AE681" s="759">
        <v>0</v>
      </c>
    </row>
    <row r="682" spans="1:31" ht="15.75">
      <c r="A682" s="762">
        <v>471</v>
      </c>
      <c r="B682" s="763">
        <v>2100771</v>
      </c>
      <c r="C682" s="764">
        <v>41216</v>
      </c>
      <c r="D682" s="763" t="s">
        <v>1380</v>
      </c>
      <c r="E682" s="763" t="s">
        <v>1096</v>
      </c>
      <c r="F682" s="763"/>
      <c r="G682" s="763">
        <f t="shared" si="72"/>
        <v>377742</v>
      </c>
      <c r="H682" s="759">
        <v>0</v>
      </c>
      <c r="I682" s="759">
        <v>0</v>
      </c>
      <c r="J682" s="763">
        <f t="shared" si="73"/>
        <v>314785</v>
      </c>
      <c r="K682" s="783">
        <v>62957</v>
      </c>
      <c r="L682" s="759">
        <v>0</v>
      </c>
      <c r="M682" s="759">
        <v>0</v>
      </c>
      <c r="N682" s="762">
        <v>236</v>
      </c>
      <c r="O682" s="763">
        <v>3618759</v>
      </c>
      <c r="P682" s="763" t="s">
        <v>1667</v>
      </c>
      <c r="Q682" s="763" t="s">
        <v>1687</v>
      </c>
      <c r="R682" s="763" t="s">
        <v>1450</v>
      </c>
      <c r="S682" s="763" t="s">
        <v>1688</v>
      </c>
      <c r="T682" s="763">
        <f t="shared" si="74"/>
        <v>43200</v>
      </c>
      <c r="U682" s="759">
        <v>0</v>
      </c>
      <c r="V682" s="759">
        <v>0</v>
      </c>
      <c r="W682" s="759">
        <v>0</v>
      </c>
      <c r="X682" s="759">
        <v>0</v>
      </c>
      <c r="Y682" s="759">
        <v>0</v>
      </c>
      <c r="Z682" s="763">
        <f t="shared" si="75"/>
        <v>36000</v>
      </c>
      <c r="AA682" s="763">
        <v>7200</v>
      </c>
      <c r="AB682" s="759">
        <v>0</v>
      </c>
      <c r="AC682" s="759">
        <v>0</v>
      </c>
      <c r="AD682" s="759">
        <v>0</v>
      </c>
      <c r="AE682" s="759">
        <v>0</v>
      </c>
    </row>
    <row r="683" spans="1:31" ht="15.75">
      <c r="A683" s="762">
        <v>472</v>
      </c>
      <c r="B683" s="763">
        <v>2100772</v>
      </c>
      <c r="C683" s="764">
        <v>41218</v>
      </c>
      <c r="D683" s="763" t="s">
        <v>1332</v>
      </c>
      <c r="E683" s="763" t="s">
        <v>1096</v>
      </c>
      <c r="F683" s="763" t="s">
        <v>1174</v>
      </c>
      <c r="G683" s="763">
        <f t="shared" si="72"/>
        <v>251970</v>
      </c>
      <c r="H683" s="759">
        <v>0</v>
      </c>
      <c r="I683" s="759">
        <v>0</v>
      </c>
      <c r="J683" s="763">
        <f t="shared" si="73"/>
        <v>209975</v>
      </c>
      <c r="K683" s="783">
        <v>41995</v>
      </c>
      <c r="L683" s="759">
        <v>0</v>
      </c>
      <c r="M683" s="759">
        <v>0</v>
      </c>
      <c r="N683" s="762">
        <v>1494</v>
      </c>
      <c r="O683" s="763">
        <v>5108899</v>
      </c>
      <c r="P683" s="763" t="s">
        <v>1678</v>
      </c>
      <c r="Q683" s="763" t="s">
        <v>1623</v>
      </c>
      <c r="R683" s="763" t="s">
        <v>1096</v>
      </c>
      <c r="S683" s="763" t="s">
        <v>1430</v>
      </c>
      <c r="T683" s="763">
        <f t="shared" si="74"/>
        <v>1106856</v>
      </c>
      <c r="U683" s="759">
        <v>0</v>
      </c>
      <c r="V683" s="759">
        <v>0</v>
      </c>
      <c r="W683" s="759">
        <v>0</v>
      </c>
      <c r="X683" s="759">
        <v>0</v>
      </c>
      <c r="Y683" s="759">
        <v>0</v>
      </c>
      <c r="Z683" s="763">
        <f t="shared" si="75"/>
        <v>922380</v>
      </c>
      <c r="AA683" s="763">
        <v>184476</v>
      </c>
      <c r="AB683" s="759">
        <v>0</v>
      </c>
      <c r="AC683" s="759">
        <v>0</v>
      </c>
      <c r="AD683" s="759">
        <v>0</v>
      </c>
      <c r="AE683" s="759">
        <v>0</v>
      </c>
    </row>
    <row r="684" spans="1:31" ht="15.75">
      <c r="A684" s="762">
        <v>473</v>
      </c>
      <c r="B684" s="763">
        <v>2100773</v>
      </c>
      <c r="C684" s="764">
        <v>41219</v>
      </c>
      <c r="D684" s="785" t="s">
        <v>1137</v>
      </c>
      <c r="E684" s="785" t="s">
        <v>1096</v>
      </c>
      <c r="F684" s="785" t="s">
        <v>1138</v>
      </c>
      <c r="G684" s="763">
        <f t="shared" si="72"/>
        <v>28050</v>
      </c>
      <c r="H684" s="759">
        <v>0</v>
      </c>
      <c r="I684" s="759">
        <v>0</v>
      </c>
      <c r="J684" s="763">
        <f t="shared" si="73"/>
        <v>23375</v>
      </c>
      <c r="K684" s="783">
        <v>4675</v>
      </c>
      <c r="L684" s="759">
        <v>0</v>
      </c>
      <c r="M684" s="759">
        <v>0</v>
      </c>
      <c r="N684" s="762">
        <v>1507</v>
      </c>
      <c r="O684" s="763">
        <v>5108962</v>
      </c>
      <c r="P684" s="763" t="s">
        <v>1682</v>
      </c>
      <c r="Q684" s="763" t="s">
        <v>1623</v>
      </c>
      <c r="R684" s="763" t="s">
        <v>1096</v>
      </c>
      <c r="S684" s="763" t="s">
        <v>1430</v>
      </c>
      <c r="T684" s="763">
        <f t="shared" si="74"/>
        <v>956634</v>
      </c>
      <c r="U684" s="759">
        <v>0</v>
      </c>
      <c r="V684" s="759">
        <v>0</v>
      </c>
      <c r="W684" s="759">
        <v>0</v>
      </c>
      <c r="X684" s="759">
        <v>0</v>
      </c>
      <c r="Y684" s="759">
        <v>0</v>
      </c>
      <c r="Z684" s="763">
        <f t="shared" si="75"/>
        <v>797195</v>
      </c>
      <c r="AA684" s="763">
        <v>159439</v>
      </c>
      <c r="AB684" s="759">
        <v>0</v>
      </c>
      <c r="AC684" s="759">
        <v>0</v>
      </c>
      <c r="AD684" s="759">
        <v>0</v>
      </c>
      <c r="AE684" s="759">
        <v>0</v>
      </c>
    </row>
    <row r="685" spans="1:31" ht="16.5" thickBot="1">
      <c r="A685" s="762">
        <v>474</v>
      </c>
      <c r="B685" s="763">
        <v>2100774</v>
      </c>
      <c r="C685" s="764">
        <v>41219</v>
      </c>
      <c r="D685" s="763" t="s">
        <v>1662</v>
      </c>
      <c r="E685" s="763" t="s">
        <v>1096</v>
      </c>
      <c r="F685" s="763" t="s">
        <v>1282</v>
      </c>
      <c r="G685" s="763">
        <f t="shared" si="72"/>
        <v>58380</v>
      </c>
      <c r="H685" s="759">
        <v>0</v>
      </c>
      <c r="I685" s="759">
        <v>0</v>
      </c>
      <c r="J685" s="763">
        <f t="shared" si="73"/>
        <v>48650</v>
      </c>
      <c r="K685" s="783">
        <v>9730</v>
      </c>
      <c r="L685" s="759">
        <v>0</v>
      </c>
      <c r="M685" s="759">
        <v>0</v>
      </c>
      <c r="N685" s="762">
        <v>1516</v>
      </c>
      <c r="O685" s="763">
        <v>5108971</v>
      </c>
      <c r="P685" s="763" t="s">
        <v>1684</v>
      </c>
      <c r="Q685" s="763" t="s">
        <v>1623</v>
      </c>
      <c r="R685" s="763" t="s">
        <v>1096</v>
      </c>
      <c r="S685" s="763" t="s">
        <v>1430</v>
      </c>
      <c r="T685" s="763">
        <f t="shared" si="74"/>
        <v>1309002</v>
      </c>
      <c r="U685" s="759">
        <v>0</v>
      </c>
      <c r="V685" s="759">
        <v>0</v>
      </c>
      <c r="W685" s="759">
        <v>0</v>
      </c>
      <c r="X685" s="759">
        <v>0</v>
      </c>
      <c r="Y685" s="759">
        <v>0</v>
      </c>
      <c r="Z685" s="763">
        <f t="shared" si="75"/>
        <v>1090835</v>
      </c>
      <c r="AA685" s="763">
        <v>218167</v>
      </c>
      <c r="AB685" s="759">
        <v>0</v>
      </c>
      <c r="AC685" s="759">
        <v>0</v>
      </c>
      <c r="AD685" s="759">
        <v>0</v>
      </c>
      <c r="AE685" s="759">
        <v>0</v>
      </c>
    </row>
    <row r="686" spans="1:31" ht="16.5" thickBot="1">
      <c r="A686" s="762">
        <v>475</v>
      </c>
      <c r="B686" s="763">
        <v>2100775</v>
      </c>
      <c r="C686" s="764">
        <v>41219</v>
      </c>
      <c r="D686" s="785" t="s">
        <v>1623</v>
      </c>
      <c r="E686" s="785" t="s">
        <v>1096</v>
      </c>
      <c r="F686" s="785" t="s">
        <v>1430</v>
      </c>
      <c r="G686" s="763">
        <f t="shared" si="72"/>
        <v>192168</v>
      </c>
      <c r="H686" s="759">
        <v>0</v>
      </c>
      <c r="I686" s="759">
        <v>0</v>
      </c>
      <c r="J686" s="763">
        <f t="shared" si="73"/>
        <v>160140</v>
      </c>
      <c r="K686" s="783">
        <v>32028</v>
      </c>
      <c r="L686" s="759">
        <v>0</v>
      </c>
      <c r="M686" s="759">
        <v>0</v>
      </c>
      <c r="N686" s="1389" t="s">
        <v>822</v>
      </c>
      <c r="O686" s="1390"/>
      <c r="P686" s="1390"/>
      <c r="Q686" s="1390"/>
      <c r="R686" s="1390"/>
      <c r="S686" s="1391"/>
      <c r="T686" s="1016">
        <f>SUM(T675:T685)</f>
        <v>8586456</v>
      </c>
      <c r="U686" s="759">
        <v>0</v>
      </c>
      <c r="V686" s="759">
        <v>0</v>
      </c>
      <c r="W686" s="759">
        <v>0</v>
      </c>
      <c r="X686" s="759">
        <v>0</v>
      </c>
      <c r="Y686" s="759">
        <v>0</v>
      </c>
      <c r="Z686" s="1016">
        <f>SUM(Z675:Z685)</f>
        <v>7155380</v>
      </c>
      <c r="AA686" s="1016">
        <f>SUM(AA675:AA685)</f>
        <v>1431076</v>
      </c>
      <c r="AB686" s="759">
        <v>0</v>
      </c>
      <c r="AC686" s="759">
        <v>0</v>
      </c>
      <c r="AD686" s="759">
        <v>0</v>
      </c>
      <c r="AE686" s="759">
        <v>0</v>
      </c>
    </row>
    <row r="687" spans="1:31" ht="16.5" thickBot="1">
      <c r="A687" s="762">
        <v>476</v>
      </c>
      <c r="B687" s="763">
        <v>2100776</v>
      </c>
      <c r="C687" s="764">
        <v>41220</v>
      </c>
      <c r="D687" s="763" t="s">
        <v>1663</v>
      </c>
      <c r="E687" s="763" t="s">
        <v>1568</v>
      </c>
      <c r="F687" s="763" t="s">
        <v>1097</v>
      </c>
      <c r="G687" s="763">
        <f t="shared" si="72"/>
        <v>47982</v>
      </c>
      <c r="H687" s="759">
        <v>0</v>
      </c>
      <c r="I687" s="759">
        <v>0</v>
      </c>
      <c r="J687" s="763">
        <f t="shared" si="73"/>
        <v>39985</v>
      </c>
      <c r="K687" s="783">
        <v>7997</v>
      </c>
      <c r="L687" s="759">
        <v>0</v>
      </c>
      <c r="M687" s="759">
        <v>0</v>
      </c>
      <c r="N687" s="1392" t="s">
        <v>823</v>
      </c>
      <c r="O687" s="1393"/>
      <c r="P687" s="1393"/>
      <c r="Q687" s="1393"/>
      <c r="R687" s="1393"/>
      <c r="S687" s="1393"/>
      <c r="T687" s="1393"/>
      <c r="U687" s="781" t="s">
        <v>830</v>
      </c>
      <c r="V687" s="781" t="s">
        <v>831</v>
      </c>
      <c r="W687" s="781" t="s">
        <v>832</v>
      </c>
      <c r="X687" s="781" t="s">
        <v>833</v>
      </c>
      <c r="Y687" s="781" t="s">
        <v>834</v>
      </c>
      <c r="Z687" s="781" t="s">
        <v>849</v>
      </c>
      <c r="AA687" s="781" t="s">
        <v>850</v>
      </c>
      <c r="AB687" s="781" t="s">
        <v>851</v>
      </c>
      <c r="AC687" s="781" t="s">
        <v>852</v>
      </c>
      <c r="AD687" s="781" t="s">
        <v>853</v>
      </c>
      <c r="AE687" s="766" t="s">
        <v>854</v>
      </c>
    </row>
    <row r="688" spans="1:31" ht="15.75">
      <c r="A688" s="762">
        <v>477</v>
      </c>
      <c r="B688" s="763">
        <v>2100777</v>
      </c>
      <c r="C688" s="764">
        <v>41220</v>
      </c>
      <c r="D688" s="763" t="s">
        <v>1664</v>
      </c>
      <c r="E688" s="763" t="s">
        <v>1096</v>
      </c>
      <c r="F688" s="763" t="s">
        <v>1221</v>
      </c>
      <c r="G688" s="763">
        <f t="shared" si="72"/>
        <v>30630</v>
      </c>
      <c r="H688" s="759">
        <v>0</v>
      </c>
      <c r="I688" s="759">
        <v>0</v>
      </c>
      <c r="J688" s="763">
        <f t="shared" si="73"/>
        <v>25525</v>
      </c>
      <c r="K688" s="783">
        <v>5105</v>
      </c>
      <c r="L688" s="759">
        <v>0</v>
      </c>
      <c r="M688" s="759">
        <v>0</v>
      </c>
      <c r="N688" s="731"/>
      <c r="O688" s="731"/>
      <c r="P688" s="731"/>
      <c r="Q688" s="731"/>
      <c r="R688" s="731"/>
      <c r="S688" s="731"/>
      <c r="T688" s="731"/>
      <c r="U688" s="731"/>
      <c r="V688" s="731"/>
      <c r="W688" s="731"/>
      <c r="X688" s="731"/>
      <c r="Y688" s="731"/>
      <c r="Z688" s="731"/>
      <c r="AA688" s="731"/>
      <c r="AB688" s="731"/>
      <c r="AC688" s="731"/>
      <c r="AD688" s="731"/>
      <c r="AE688" s="731"/>
    </row>
    <row r="689" spans="1:31" ht="15.75">
      <c r="A689" s="762">
        <v>478</v>
      </c>
      <c r="B689" s="763">
        <v>2100778</v>
      </c>
      <c r="C689" s="764">
        <v>41221</v>
      </c>
      <c r="D689" s="763" t="s">
        <v>1620</v>
      </c>
      <c r="E689" s="763" t="s">
        <v>1096</v>
      </c>
      <c r="F689" s="763" t="s">
        <v>1621</v>
      </c>
      <c r="G689" s="763">
        <f t="shared" si="72"/>
        <v>120000</v>
      </c>
      <c r="H689" s="759">
        <v>0</v>
      </c>
      <c r="I689" s="759">
        <v>0</v>
      </c>
      <c r="J689" s="763">
        <f t="shared" si="73"/>
        <v>100000</v>
      </c>
      <c r="K689" s="783">
        <v>20000</v>
      </c>
      <c r="L689" s="759">
        <v>0</v>
      </c>
      <c r="M689" s="759">
        <v>0</v>
      </c>
      <c r="N689" s="731"/>
      <c r="O689" s="731"/>
      <c r="P689" s="731"/>
      <c r="Q689" s="731"/>
      <c r="R689" s="731"/>
      <c r="S689" s="731"/>
      <c r="T689" s="731"/>
      <c r="U689" s="731"/>
      <c r="V689" s="731"/>
      <c r="W689" s="731"/>
      <c r="X689" s="731"/>
      <c r="Y689" s="731"/>
      <c r="Z689" s="731"/>
      <c r="AA689" s="731"/>
      <c r="AB689" s="731"/>
      <c r="AC689" s="731"/>
      <c r="AD689" s="731"/>
      <c r="AE689" s="731"/>
    </row>
    <row r="690" spans="1:31" ht="15.75">
      <c r="A690" s="762">
        <v>479</v>
      </c>
      <c r="B690" s="763">
        <v>2100779</v>
      </c>
      <c r="C690" s="764">
        <v>41221</v>
      </c>
      <c r="D690" s="785" t="s">
        <v>1118</v>
      </c>
      <c r="E690" s="785" t="s">
        <v>1096</v>
      </c>
      <c r="F690" s="785" t="s">
        <v>1119</v>
      </c>
      <c r="G690" s="763">
        <f t="shared" si="72"/>
        <v>238428</v>
      </c>
      <c r="H690" s="759">
        <v>0</v>
      </c>
      <c r="I690" s="759">
        <v>0</v>
      </c>
      <c r="J690" s="763">
        <f t="shared" si="73"/>
        <v>198690</v>
      </c>
      <c r="K690" s="783">
        <v>39738</v>
      </c>
      <c r="L690" s="759">
        <v>0</v>
      </c>
      <c r="M690" s="759">
        <v>0</v>
      </c>
      <c r="N690" s="731"/>
      <c r="O690" s="731"/>
      <c r="P690" s="731"/>
      <c r="Q690" s="731"/>
      <c r="R690" s="731"/>
      <c r="S690" s="731"/>
      <c r="T690" s="731"/>
      <c r="U690" s="731"/>
      <c r="V690" s="731"/>
      <c r="W690" s="731"/>
      <c r="X690" s="731"/>
      <c r="Y690" s="731"/>
      <c r="Z690" s="731"/>
      <c r="AA690" s="731"/>
      <c r="AB690" s="1017" t="s">
        <v>1120</v>
      </c>
      <c r="AC690" s="731"/>
      <c r="AD690" s="1017"/>
      <c r="AE690" s="731"/>
    </row>
    <row r="691" spans="1:31" ht="15.75">
      <c r="A691" s="762">
        <v>480</v>
      </c>
      <c r="B691" s="763">
        <v>2100780</v>
      </c>
      <c r="C691" s="764">
        <v>41222</v>
      </c>
      <c r="D691" s="763" t="s">
        <v>1380</v>
      </c>
      <c r="E691" s="763" t="s">
        <v>1096</v>
      </c>
      <c r="F691" s="763"/>
      <c r="G691" s="763">
        <f t="shared" si="72"/>
        <v>501162</v>
      </c>
      <c r="H691" s="759">
        <v>0</v>
      </c>
      <c r="I691" s="759">
        <v>0</v>
      </c>
      <c r="J691" s="763">
        <f t="shared" si="73"/>
        <v>417635</v>
      </c>
      <c r="K691" s="783">
        <v>83527</v>
      </c>
      <c r="L691" s="759">
        <v>0</v>
      </c>
      <c r="M691" s="759">
        <v>0</v>
      </c>
      <c r="N691" s="731"/>
      <c r="O691" s="731"/>
      <c r="P691" s="731"/>
      <c r="Q691" s="731"/>
      <c r="R691" s="731"/>
      <c r="S691" s="731"/>
      <c r="T691" s="731"/>
      <c r="U691" s="731"/>
      <c r="V691" s="731"/>
      <c r="W691" s="731"/>
      <c r="X691" s="731"/>
      <c r="Y691" s="731"/>
      <c r="Z691" s="731"/>
      <c r="AA691" s="731"/>
      <c r="AB691" s="731" t="s">
        <v>1270</v>
      </c>
      <c r="AC691" s="731"/>
      <c r="AD691" s="1017"/>
      <c r="AE691" s="731"/>
    </row>
    <row r="692" spans="1:31" ht="15.75">
      <c r="A692" s="762">
        <v>481</v>
      </c>
      <c r="B692" s="763">
        <v>2100781</v>
      </c>
      <c r="C692" s="764">
        <v>41223</v>
      </c>
      <c r="D692" s="763" t="s">
        <v>1623</v>
      </c>
      <c r="E692" s="763" t="s">
        <v>1096</v>
      </c>
      <c r="F692" s="763" t="s">
        <v>1430</v>
      </c>
      <c r="G692" s="763">
        <f t="shared" si="72"/>
        <v>143832</v>
      </c>
      <c r="H692" s="759">
        <v>0</v>
      </c>
      <c r="I692" s="759">
        <v>0</v>
      </c>
      <c r="J692" s="763">
        <f t="shared" si="73"/>
        <v>119860</v>
      </c>
      <c r="K692" s="783">
        <v>23972</v>
      </c>
      <c r="L692" s="759">
        <v>0</v>
      </c>
      <c r="M692" s="759">
        <v>0</v>
      </c>
      <c r="N692" s="731" t="s">
        <v>856</v>
      </c>
      <c r="O692" s="731"/>
      <c r="P692" s="731"/>
      <c r="Q692" s="731"/>
      <c r="R692" s="731"/>
      <c r="S692" s="731"/>
      <c r="T692" s="731"/>
      <c r="U692" s="731"/>
      <c r="V692" s="731"/>
      <c r="W692" s="731"/>
      <c r="X692" s="731"/>
      <c r="Y692" s="731"/>
      <c r="Z692" s="731"/>
      <c r="AA692" s="731"/>
      <c r="AB692" s="731"/>
      <c r="AC692" s="731"/>
      <c r="AD692" s="731"/>
      <c r="AE692" s="731"/>
    </row>
    <row r="693" spans="1:31" ht="15.75">
      <c r="A693" s="762">
        <v>482</v>
      </c>
      <c r="B693" s="763">
        <v>2100782</v>
      </c>
      <c r="C693" s="764">
        <v>41225</v>
      </c>
      <c r="D693" s="763" t="s">
        <v>1623</v>
      </c>
      <c r="E693" s="763" t="s">
        <v>1096</v>
      </c>
      <c r="F693" s="763" t="s">
        <v>1430</v>
      </c>
      <c r="G693" s="763">
        <f t="shared" si="72"/>
        <v>91596</v>
      </c>
      <c r="H693" s="759">
        <v>0</v>
      </c>
      <c r="I693" s="759">
        <v>0</v>
      </c>
      <c r="J693" s="763">
        <f t="shared" si="73"/>
        <v>76330</v>
      </c>
      <c r="K693" s="783">
        <v>15266</v>
      </c>
      <c r="L693" s="759">
        <v>0</v>
      </c>
      <c r="M693" s="759">
        <v>0</v>
      </c>
      <c r="N693" s="731" t="s">
        <v>848</v>
      </c>
      <c r="O693" s="731"/>
      <c r="P693" s="731"/>
      <c r="Q693" s="731"/>
      <c r="R693" s="731"/>
      <c r="S693" s="731"/>
      <c r="T693" s="731"/>
      <c r="U693" s="731"/>
      <c r="V693" s="731"/>
      <c r="W693" s="731"/>
      <c r="X693" s="731"/>
      <c r="Y693" s="731"/>
      <c r="Z693" s="731"/>
      <c r="AA693" s="731"/>
      <c r="AB693" s="731"/>
      <c r="AC693" s="731"/>
      <c r="AD693" s="731"/>
      <c r="AE693" s="731"/>
    </row>
    <row r="694" spans="1:15" ht="15.75">
      <c r="A694" s="762">
        <v>483</v>
      </c>
      <c r="B694" s="763">
        <v>2100783</v>
      </c>
      <c r="C694" s="763" t="s">
        <v>1665</v>
      </c>
      <c r="D694" s="785" t="s">
        <v>1146</v>
      </c>
      <c r="E694" s="785" t="s">
        <v>1096</v>
      </c>
      <c r="F694" s="785" t="s">
        <v>1147</v>
      </c>
      <c r="G694" s="763">
        <f t="shared" si="72"/>
        <v>126000</v>
      </c>
      <c r="H694" s="759">
        <v>0</v>
      </c>
      <c r="I694" s="759">
        <v>0</v>
      </c>
      <c r="J694" s="763">
        <f t="shared" si="73"/>
        <v>105000</v>
      </c>
      <c r="K694" s="783">
        <v>21000</v>
      </c>
      <c r="L694" s="759">
        <v>0</v>
      </c>
      <c r="M694" s="759">
        <v>0</v>
      </c>
      <c r="N694" s="731" t="s">
        <v>855</v>
      </c>
      <c r="O694"/>
    </row>
    <row r="695" spans="1:15" ht="15.75">
      <c r="A695" s="762">
        <v>484</v>
      </c>
      <c r="B695" s="763">
        <v>2100784</v>
      </c>
      <c r="C695" s="763" t="s">
        <v>1666</v>
      </c>
      <c r="D695" s="763" t="s">
        <v>1663</v>
      </c>
      <c r="E695" s="763" t="s">
        <v>1568</v>
      </c>
      <c r="F695" s="763" t="s">
        <v>1097</v>
      </c>
      <c r="G695" s="763">
        <f t="shared" si="72"/>
        <v>49002</v>
      </c>
      <c r="H695" s="759">
        <v>0</v>
      </c>
      <c r="I695" s="759">
        <v>0</v>
      </c>
      <c r="J695" s="763">
        <f t="shared" si="73"/>
        <v>40835</v>
      </c>
      <c r="K695" s="783">
        <v>8167</v>
      </c>
      <c r="L695" s="759">
        <v>0</v>
      </c>
      <c r="M695" s="759">
        <v>0</v>
      </c>
      <c r="O695"/>
    </row>
    <row r="696" spans="1:13" ht="15.75">
      <c r="A696" s="762">
        <v>485</v>
      </c>
      <c r="B696" s="763">
        <v>2100785</v>
      </c>
      <c r="C696" s="763" t="s">
        <v>1666</v>
      </c>
      <c r="D696" s="763" t="s">
        <v>1380</v>
      </c>
      <c r="E696" s="763" t="s">
        <v>1096</v>
      </c>
      <c r="F696" s="763"/>
      <c r="G696" s="763">
        <f t="shared" si="72"/>
        <v>878898</v>
      </c>
      <c r="H696" s="759">
        <v>0</v>
      </c>
      <c r="I696" s="759">
        <v>0</v>
      </c>
      <c r="J696" s="763">
        <f t="shared" si="73"/>
        <v>732415</v>
      </c>
      <c r="K696" s="783">
        <v>146483</v>
      </c>
      <c r="L696" s="759">
        <v>0</v>
      </c>
      <c r="M696" s="759">
        <v>0</v>
      </c>
    </row>
    <row r="697" spans="1:13" ht="15.75">
      <c r="A697" s="762">
        <v>486</v>
      </c>
      <c r="B697" s="763">
        <v>2100786</v>
      </c>
      <c r="C697" s="763" t="s">
        <v>1667</v>
      </c>
      <c r="D697" s="785" t="s">
        <v>1128</v>
      </c>
      <c r="E697" s="785" t="s">
        <v>1096</v>
      </c>
      <c r="F697" s="785" t="s">
        <v>1129</v>
      </c>
      <c r="G697" s="763">
        <f t="shared" si="72"/>
        <v>18702</v>
      </c>
      <c r="H697" s="759">
        <v>0</v>
      </c>
      <c r="I697" s="759">
        <v>0</v>
      </c>
      <c r="J697" s="763">
        <f t="shared" si="73"/>
        <v>15585</v>
      </c>
      <c r="K697" s="783">
        <v>3117</v>
      </c>
      <c r="L697" s="759">
        <v>0</v>
      </c>
      <c r="M697" s="759">
        <v>0</v>
      </c>
    </row>
    <row r="698" spans="1:13" ht="15.75">
      <c r="A698" s="762">
        <v>487</v>
      </c>
      <c r="B698" s="763">
        <v>2100787</v>
      </c>
      <c r="C698" s="763" t="s">
        <v>1667</v>
      </c>
      <c r="D698" s="763" t="s">
        <v>1663</v>
      </c>
      <c r="E698" s="763" t="s">
        <v>1568</v>
      </c>
      <c r="F698" s="763" t="s">
        <v>1097</v>
      </c>
      <c r="G698" s="763">
        <f t="shared" si="72"/>
        <v>41010</v>
      </c>
      <c r="H698" s="759">
        <v>0</v>
      </c>
      <c r="I698" s="759">
        <v>0</v>
      </c>
      <c r="J698" s="763">
        <f t="shared" si="73"/>
        <v>34175</v>
      </c>
      <c r="K698" s="783">
        <v>6835</v>
      </c>
      <c r="L698" s="759">
        <v>0</v>
      </c>
      <c r="M698" s="759">
        <v>0</v>
      </c>
    </row>
    <row r="699" spans="1:13" ht="15.75">
      <c r="A699" s="762">
        <v>488</v>
      </c>
      <c r="B699" s="763">
        <v>2100788</v>
      </c>
      <c r="C699" s="763" t="s">
        <v>1668</v>
      </c>
      <c r="D699" s="785" t="s">
        <v>1152</v>
      </c>
      <c r="E699" s="785" t="s">
        <v>1096</v>
      </c>
      <c r="F699" s="785" t="s">
        <v>1153</v>
      </c>
      <c r="G699" s="763">
        <f t="shared" si="72"/>
        <v>373998</v>
      </c>
      <c r="H699" s="759">
        <v>0</v>
      </c>
      <c r="I699" s="759">
        <v>0</v>
      </c>
      <c r="J699" s="763">
        <f t="shared" si="73"/>
        <v>311665</v>
      </c>
      <c r="K699" s="783">
        <v>62333</v>
      </c>
      <c r="L699" s="759">
        <v>0</v>
      </c>
      <c r="M699" s="759">
        <v>0</v>
      </c>
    </row>
    <row r="700" spans="1:13" ht="15.75">
      <c r="A700" s="762">
        <v>489</v>
      </c>
      <c r="B700" s="763">
        <v>2100789</v>
      </c>
      <c r="C700" s="763" t="s">
        <v>1669</v>
      </c>
      <c r="D700" s="785" t="s">
        <v>1623</v>
      </c>
      <c r="E700" s="785" t="s">
        <v>1096</v>
      </c>
      <c r="F700" s="785" t="s">
        <v>1430</v>
      </c>
      <c r="G700" s="763">
        <f t="shared" si="72"/>
        <v>40812</v>
      </c>
      <c r="H700" s="759">
        <v>0</v>
      </c>
      <c r="I700" s="759">
        <v>0</v>
      </c>
      <c r="J700" s="763">
        <f t="shared" si="73"/>
        <v>34010</v>
      </c>
      <c r="K700" s="783">
        <v>6802</v>
      </c>
      <c r="L700" s="759">
        <v>0</v>
      </c>
      <c r="M700" s="759">
        <v>0</v>
      </c>
    </row>
    <row r="701" spans="1:13" ht="15.75">
      <c r="A701" s="762">
        <v>490</v>
      </c>
      <c r="B701" s="763">
        <v>2100790</v>
      </c>
      <c r="C701" s="763" t="s">
        <v>1669</v>
      </c>
      <c r="D701" s="763" t="s">
        <v>1670</v>
      </c>
      <c r="E701" s="763" t="s">
        <v>1096</v>
      </c>
      <c r="F701" s="763" t="s">
        <v>1671</v>
      </c>
      <c r="G701" s="763">
        <f t="shared" si="72"/>
        <v>243102</v>
      </c>
      <c r="H701" s="759">
        <v>0</v>
      </c>
      <c r="I701" s="759">
        <v>0</v>
      </c>
      <c r="J701" s="763">
        <f t="shared" si="73"/>
        <v>202585</v>
      </c>
      <c r="K701" s="783">
        <v>40517</v>
      </c>
      <c r="L701" s="759">
        <v>0</v>
      </c>
      <c r="M701" s="759">
        <v>0</v>
      </c>
    </row>
    <row r="702" spans="1:13" ht="15.75">
      <c r="A702" s="762">
        <v>491</v>
      </c>
      <c r="B702" s="763">
        <v>2100791</v>
      </c>
      <c r="C702" s="763" t="s">
        <v>1669</v>
      </c>
      <c r="D702" s="785" t="s">
        <v>1063</v>
      </c>
      <c r="E702" s="785" t="s">
        <v>1096</v>
      </c>
      <c r="F702" s="785" t="s">
        <v>1150</v>
      </c>
      <c r="G702" s="763">
        <f t="shared" si="72"/>
        <v>24312</v>
      </c>
      <c r="H702" s="759">
        <v>0</v>
      </c>
      <c r="I702" s="759">
        <v>0</v>
      </c>
      <c r="J702" s="763">
        <f t="shared" si="73"/>
        <v>20260</v>
      </c>
      <c r="K702" s="783">
        <v>4052</v>
      </c>
      <c r="L702" s="759">
        <v>0</v>
      </c>
      <c r="M702" s="759">
        <v>0</v>
      </c>
    </row>
    <row r="703" spans="1:13" ht="15.75">
      <c r="A703" s="762">
        <v>492</v>
      </c>
      <c r="B703" s="763">
        <v>2100792</v>
      </c>
      <c r="C703" s="763" t="s">
        <v>1669</v>
      </c>
      <c r="D703" s="763" t="s">
        <v>1620</v>
      </c>
      <c r="E703" s="763" t="s">
        <v>1096</v>
      </c>
      <c r="F703" s="763" t="s">
        <v>1621</v>
      </c>
      <c r="G703" s="763">
        <f t="shared" si="72"/>
        <v>130002</v>
      </c>
      <c r="H703" s="759">
        <v>0</v>
      </c>
      <c r="I703" s="759">
        <v>0</v>
      </c>
      <c r="J703" s="763">
        <f t="shared" si="73"/>
        <v>108335</v>
      </c>
      <c r="K703" s="783">
        <v>21667</v>
      </c>
      <c r="L703" s="759">
        <v>0</v>
      </c>
      <c r="M703" s="759">
        <v>0</v>
      </c>
    </row>
    <row r="704" spans="1:13" ht="15.75">
      <c r="A704" s="762">
        <v>493</v>
      </c>
      <c r="B704" s="763">
        <v>2100793</v>
      </c>
      <c r="C704" s="763" t="s">
        <v>1672</v>
      </c>
      <c r="D704" s="785" t="s">
        <v>1623</v>
      </c>
      <c r="E704" s="785" t="s">
        <v>1096</v>
      </c>
      <c r="F704" s="785" t="s">
        <v>1430</v>
      </c>
      <c r="G704" s="763">
        <f t="shared" si="72"/>
        <v>102540</v>
      </c>
      <c r="H704" s="759">
        <v>0</v>
      </c>
      <c r="I704" s="759">
        <v>0</v>
      </c>
      <c r="J704" s="763">
        <f t="shared" si="73"/>
        <v>85450</v>
      </c>
      <c r="K704" s="783">
        <v>17090</v>
      </c>
      <c r="L704" s="759">
        <v>0</v>
      </c>
      <c r="M704" s="759">
        <v>0</v>
      </c>
    </row>
    <row r="705" spans="1:13" ht="15.75">
      <c r="A705" s="762">
        <v>494</v>
      </c>
      <c r="B705" s="763">
        <v>2100794</v>
      </c>
      <c r="C705" s="763" t="s">
        <v>1672</v>
      </c>
      <c r="D705" s="763" t="s">
        <v>1673</v>
      </c>
      <c r="E705" s="763" t="s">
        <v>1096</v>
      </c>
      <c r="F705" s="763" t="s">
        <v>1674</v>
      </c>
      <c r="G705" s="763">
        <f t="shared" si="72"/>
        <v>241002</v>
      </c>
      <c r="H705" s="759">
        <v>0</v>
      </c>
      <c r="I705" s="759">
        <v>0</v>
      </c>
      <c r="J705" s="763">
        <f t="shared" si="73"/>
        <v>200835</v>
      </c>
      <c r="K705" s="783">
        <v>40167</v>
      </c>
      <c r="L705" s="759">
        <v>0</v>
      </c>
      <c r="M705" s="759">
        <v>0</v>
      </c>
    </row>
    <row r="706" spans="1:13" ht="15.75">
      <c r="A706" s="762">
        <v>495</v>
      </c>
      <c r="B706" s="763">
        <v>2100795</v>
      </c>
      <c r="C706" s="763" t="s">
        <v>1675</v>
      </c>
      <c r="D706" s="785" t="s">
        <v>1471</v>
      </c>
      <c r="E706" s="785" t="s">
        <v>1096</v>
      </c>
      <c r="F706" s="785" t="s">
        <v>1164</v>
      </c>
      <c r="G706" s="763">
        <f t="shared" si="72"/>
        <v>37800</v>
      </c>
      <c r="H706" s="759">
        <v>0</v>
      </c>
      <c r="I706" s="759">
        <v>0</v>
      </c>
      <c r="J706" s="763">
        <f t="shared" si="73"/>
        <v>31500</v>
      </c>
      <c r="K706" s="783">
        <v>6300</v>
      </c>
      <c r="L706" s="759">
        <v>0</v>
      </c>
      <c r="M706" s="759">
        <v>0</v>
      </c>
    </row>
    <row r="707" spans="1:13" ht="15.75">
      <c r="A707" s="762">
        <v>496</v>
      </c>
      <c r="B707" s="763">
        <v>2100796</v>
      </c>
      <c r="C707" s="763" t="s">
        <v>1675</v>
      </c>
      <c r="D707" s="763" t="s">
        <v>1676</v>
      </c>
      <c r="E707" s="763" t="s">
        <v>1096</v>
      </c>
      <c r="F707" s="763" t="s">
        <v>1677</v>
      </c>
      <c r="G707" s="763">
        <f t="shared" si="72"/>
        <v>243102</v>
      </c>
      <c r="H707" s="759">
        <v>0</v>
      </c>
      <c r="I707" s="759">
        <v>0</v>
      </c>
      <c r="J707" s="763">
        <f t="shared" si="73"/>
        <v>202585</v>
      </c>
      <c r="K707" s="783">
        <v>40517</v>
      </c>
      <c r="L707" s="759">
        <v>0</v>
      </c>
      <c r="M707" s="759">
        <v>0</v>
      </c>
    </row>
    <row r="708" spans="1:13" ht="15.75">
      <c r="A708" s="762">
        <v>497</v>
      </c>
      <c r="B708" s="763">
        <v>2100797</v>
      </c>
      <c r="C708" s="763" t="s">
        <v>1678</v>
      </c>
      <c r="D708" s="763" t="s">
        <v>1380</v>
      </c>
      <c r="E708" s="763" t="s">
        <v>1096</v>
      </c>
      <c r="F708" s="763"/>
      <c r="G708" s="763">
        <f t="shared" si="72"/>
        <v>1118262</v>
      </c>
      <c r="H708" s="759">
        <v>0</v>
      </c>
      <c r="I708" s="759">
        <v>0</v>
      </c>
      <c r="J708" s="763">
        <f t="shared" si="73"/>
        <v>931885</v>
      </c>
      <c r="K708" s="783">
        <v>186377</v>
      </c>
      <c r="L708" s="759">
        <v>0</v>
      </c>
      <c r="M708" s="759">
        <v>0</v>
      </c>
    </row>
    <row r="709" spans="1:13" ht="15.75">
      <c r="A709" s="762">
        <v>498</v>
      </c>
      <c r="B709" s="763">
        <v>2100798</v>
      </c>
      <c r="C709" s="763" t="s">
        <v>1679</v>
      </c>
      <c r="D709" s="763" t="s">
        <v>1670</v>
      </c>
      <c r="E709" s="763" t="s">
        <v>1096</v>
      </c>
      <c r="F709" s="763" t="s">
        <v>1671</v>
      </c>
      <c r="G709" s="763">
        <f t="shared" si="72"/>
        <v>247776</v>
      </c>
      <c r="H709" s="759">
        <v>0</v>
      </c>
      <c r="I709" s="759">
        <v>0</v>
      </c>
      <c r="J709" s="763">
        <f t="shared" si="73"/>
        <v>206480</v>
      </c>
      <c r="K709" s="783">
        <v>41296</v>
      </c>
      <c r="L709" s="759">
        <v>0</v>
      </c>
      <c r="M709" s="759">
        <v>0</v>
      </c>
    </row>
    <row r="710" spans="1:13" ht="15.75">
      <c r="A710" s="762">
        <v>499</v>
      </c>
      <c r="B710" s="763">
        <v>2100799</v>
      </c>
      <c r="C710" s="763" t="s">
        <v>1679</v>
      </c>
      <c r="D710" s="785" t="s">
        <v>1128</v>
      </c>
      <c r="E710" s="785" t="s">
        <v>1096</v>
      </c>
      <c r="F710" s="785" t="s">
        <v>1129</v>
      </c>
      <c r="G710" s="763">
        <f t="shared" si="72"/>
        <v>28050</v>
      </c>
      <c r="H710" s="759">
        <v>0</v>
      </c>
      <c r="I710" s="759">
        <v>0</v>
      </c>
      <c r="J710" s="763">
        <f t="shared" si="73"/>
        <v>23375</v>
      </c>
      <c r="K710" s="783">
        <v>4675</v>
      </c>
      <c r="L710" s="759">
        <v>0</v>
      </c>
      <c r="M710" s="759">
        <v>0</v>
      </c>
    </row>
    <row r="711" spans="1:13" ht="15.75">
      <c r="A711" s="762">
        <v>500</v>
      </c>
      <c r="B711" s="763">
        <v>2100800</v>
      </c>
      <c r="C711" s="763" t="s">
        <v>1679</v>
      </c>
      <c r="D711" s="785" t="s">
        <v>1196</v>
      </c>
      <c r="E711" s="785" t="s">
        <v>1096</v>
      </c>
      <c r="F711" s="785" t="s">
        <v>1197</v>
      </c>
      <c r="G711" s="763">
        <f t="shared" si="72"/>
        <v>24312</v>
      </c>
      <c r="H711" s="759">
        <v>0</v>
      </c>
      <c r="I711" s="759">
        <v>0</v>
      </c>
      <c r="J711" s="763">
        <f t="shared" si="73"/>
        <v>20260</v>
      </c>
      <c r="K711" s="783">
        <v>4052</v>
      </c>
      <c r="L711" s="759">
        <v>0</v>
      </c>
      <c r="M711" s="759">
        <v>0</v>
      </c>
    </row>
    <row r="712" spans="1:13" ht="15.75">
      <c r="A712" s="784">
        <v>501</v>
      </c>
      <c r="B712" s="785">
        <v>2100801</v>
      </c>
      <c r="C712" s="763" t="s">
        <v>1679</v>
      </c>
      <c r="D712" s="785" t="s">
        <v>1680</v>
      </c>
      <c r="E712" s="785" t="s">
        <v>1096</v>
      </c>
      <c r="F712" s="785" t="s">
        <v>1150</v>
      </c>
      <c r="G712" s="785">
        <f t="shared" si="72"/>
        <v>14958</v>
      </c>
      <c r="H712" s="759">
        <v>0</v>
      </c>
      <c r="I712" s="759">
        <v>0</v>
      </c>
      <c r="J712" s="785">
        <f t="shared" si="73"/>
        <v>12465</v>
      </c>
      <c r="K712" s="786">
        <v>2493</v>
      </c>
      <c r="L712" s="759">
        <v>0</v>
      </c>
      <c r="M712" s="759">
        <v>0</v>
      </c>
    </row>
    <row r="713" spans="1:13" ht="15.75">
      <c r="A713" s="784">
        <v>502</v>
      </c>
      <c r="B713" s="785">
        <v>2100802</v>
      </c>
      <c r="C713" s="785" t="s">
        <v>1681</v>
      </c>
      <c r="D713" s="785" t="s">
        <v>1623</v>
      </c>
      <c r="E713" s="785" t="s">
        <v>1096</v>
      </c>
      <c r="F713" s="785" t="s">
        <v>1430</v>
      </c>
      <c r="G713" s="785">
        <f t="shared" si="72"/>
        <v>98718</v>
      </c>
      <c r="H713" s="759">
        <v>0</v>
      </c>
      <c r="I713" s="759">
        <v>0</v>
      </c>
      <c r="J713" s="785">
        <f t="shared" si="73"/>
        <v>82265</v>
      </c>
      <c r="K713" s="786">
        <v>16453</v>
      </c>
      <c r="L713" s="759">
        <v>0</v>
      </c>
      <c r="M713" s="759">
        <v>0</v>
      </c>
    </row>
    <row r="714" spans="1:13" ht="15.75">
      <c r="A714" s="784">
        <v>503</v>
      </c>
      <c r="B714" s="785">
        <v>2100803</v>
      </c>
      <c r="C714" s="785" t="s">
        <v>1681</v>
      </c>
      <c r="D714" s="785" t="s">
        <v>1380</v>
      </c>
      <c r="E714" s="785" t="s">
        <v>1096</v>
      </c>
      <c r="F714" s="785"/>
      <c r="G714" s="785">
        <f t="shared" si="72"/>
        <v>1021956</v>
      </c>
      <c r="H714" s="759">
        <v>0</v>
      </c>
      <c r="I714" s="759">
        <v>0</v>
      </c>
      <c r="J714" s="785">
        <f t="shared" si="73"/>
        <v>851630</v>
      </c>
      <c r="K714" s="786">
        <v>170326</v>
      </c>
      <c r="L714" s="759">
        <v>0</v>
      </c>
      <c r="M714" s="759">
        <v>0</v>
      </c>
    </row>
    <row r="715" spans="1:13" ht="15.75">
      <c r="A715" s="784">
        <v>504</v>
      </c>
      <c r="B715" s="785">
        <v>2100804</v>
      </c>
      <c r="C715" s="785" t="s">
        <v>1682</v>
      </c>
      <c r="D715" s="785" t="s">
        <v>1152</v>
      </c>
      <c r="E715" s="785" t="s">
        <v>1096</v>
      </c>
      <c r="F715" s="785" t="s">
        <v>1153</v>
      </c>
      <c r="G715" s="785">
        <f t="shared" si="72"/>
        <v>384906</v>
      </c>
      <c r="H715" s="759">
        <v>0</v>
      </c>
      <c r="I715" s="759">
        <v>0</v>
      </c>
      <c r="J715" s="785">
        <f t="shared" si="73"/>
        <v>320755</v>
      </c>
      <c r="K715" s="786">
        <v>64151</v>
      </c>
      <c r="L715" s="759">
        <v>0</v>
      </c>
      <c r="M715" s="759">
        <v>0</v>
      </c>
    </row>
    <row r="716" spans="1:13" ht="15.75">
      <c r="A716" s="784">
        <v>505</v>
      </c>
      <c r="B716" s="785">
        <v>2100805</v>
      </c>
      <c r="C716" s="785" t="s">
        <v>1683</v>
      </c>
      <c r="D716" s="785" t="s">
        <v>1063</v>
      </c>
      <c r="E716" s="785" t="s">
        <v>1096</v>
      </c>
      <c r="F716" s="785" t="s">
        <v>1150</v>
      </c>
      <c r="G716" s="785">
        <f t="shared" si="72"/>
        <v>27864</v>
      </c>
      <c r="H716" s="759">
        <v>0</v>
      </c>
      <c r="I716" s="759">
        <v>0</v>
      </c>
      <c r="J716" s="785">
        <f t="shared" si="73"/>
        <v>23220</v>
      </c>
      <c r="K716" s="786">
        <v>4644</v>
      </c>
      <c r="L716" s="759">
        <v>0</v>
      </c>
      <c r="M716" s="759">
        <v>0</v>
      </c>
    </row>
    <row r="717" spans="1:13" ht="15.75">
      <c r="A717" s="784">
        <v>506</v>
      </c>
      <c r="B717" s="785">
        <v>2100806</v>
      </c>
      <c r="C717" s="785" t="s">
        <v>1683</v>
      </c>
      <c r="D717" s="785" t="s">
        <v>1623</v>
      </c>
      <c r="E717" s="785" t="s">
        <v>1096</v>
      </c>
      <c r="F717" s="785" t="s">
        <v>1430</v>
      </c>
      <c r="G717" s="785">
        <f t="shared" si="72"/>
        <v>170640</v>
      </c>
      <c r="H717" s="759">
        <v>0</v>
      </c>
      <c r="I717" s="759">
        <v>0</v>
      </c>
      <c r="J717" s="785">
        <f t="shared" si="73"/>
        <v>142200</v>
      </c>
      <c r="K717" s="786">
        <v>28440</v>
      </c>
      <c r="L717" s="759">
        <v>0</v>
      </c>
      <c r="M717" s="759">
        <v>0</v>
      </c>
    </row>
    <row r="718" spans="1:13" ht="15.75">
      <c r="A718" s="784">
        <v>507</v>
      </c>
      <c r="B718" s="785">
        <v>2100807</v>
      </c>
      <c r="C718" s="785" t="s">
        <v>1683</v>
      </c>
      <c r="D718" s="785" t="s">
        <v>1380</v>
      </c>
      <c r="E718" s="785" t="s">
        <v>1096</v>
      </c>
      <c r="F718" s="785"/>
      <c r="G718" s="785">
        <f t="shared" si="72"/>
        <v>781662</v>
      </c>
      <c r="H718" s="759">
        <v>0</v>
      </c>
      <c r="I718" s="759">
        <v>0</v>
      </c>
      <c r="J718" s="785">
        <f t="shared" si="73"/>
        <v>651385</v>
      </c>
      <c r="K718" s="786">
        <v>130277</v>
      </c>
      <c r="L718" s="759">
        <v>0</v>
      </c>
      <c r="M718" s="759">
        <v>0</v>
      </c>
    </row>
    <row r="719" spans="1:13" ht="15.75">
      <c r="A719" s="784">
        <v>508</v>
      </c>
      <c r="B719" s="785">
        <v>2100808</v>
      </c>
      <c r="C719" s="785" t="s">
        <v>1683</v>
      </c>
      <c r="D719" s="763" t="s">
        <v>1332</v>
      </c>
      <c r="E719" s="763" t="s">
        <v>1096</v>
      </c>
      <c r="F719" s="763" t="s">
        <v>1174</v>
      </c>
      <c r="G719" s="785">
        <f t="shared" si="72"/>
        <v>261798</v>
      </c>
      <c r="H719" s="759">
        <v>0</v>
      </c>
      <c r="I719" s="759">
        <v>0</v>
      </c>
      <c r="J719" s="785">
        <f t="shared" si="73"/>
        <v>218165</v>
      </c>
      <c r="K719" s="786">
        <v>43633</v>
      </c>
      <c r="L719" s="759">
        <v>0</v>
      </c>
      <c r="M719" s="759">
        <v>0</v>
      </c>
    </row>
    <row r="720" spans="1:13" ht="15.75">
      <c r="A720" s="784">
        <v>509</v>
      </c>
      <c r="B720" s="785">
        <v>2100809</v>
      </c>
      <c r="C720" s="785" t="s">
        <v>1684</v>
      </c>
      <c r="D720" s="763" t="s">
        <v>1663</v>
      </c>
      <c r="E720" s="763" t="s">
        <v>1568</v>
      </c>
      <c r="F720" s="763" t="s">
        <v>1097</v>
      </c>
      <c r="G720" s="785">
        <f t="shared" si="72"/>
        <v>46500</v>
      </c>
      <c r="H720" s="759">
        <v>0</v>
      </c>
      <c r="I720" s="759">
        <v>0</v>
      </c>
      <c r="J720" s="785">
        <f t="shared" si="73"/>
        <v>38750</v>
      </c>
      <c r="K720" s="786">
        <v>7750</v>
      </c>
      <c r="L720" s="759">
        <v>0</v>
      </c>
      <c r="M720" s="759">
        <v>0</v>
      </c>
    </row>
    <row r="721" spans="1:13" ht="15.75">
      <c r="A721" s="784">
        <v>510</v>
      </c>
      <c r="B721" s="785">
        <v>2100810</v>
      </c>
      <c r="C721" s="785" t="s">
        <v>1685</v>
      </c>
      <c r="D721" s="785" t="s">
        <v>1623</v>
      </c>
      <c r="E721" s="785" t="s">
        <v>1096</v>
      </c>
      <c r="F721" s="785" t="s">
        <v>1430</v>
      </c>
      <c r="G721" s="785">
        <f t="shared" si="72"/>
        <v>129498</v>
      </c>
      <c r="H721" s="759">
        <v>0</v>
      </c>
      <c r="I721" s="759">
        <v>0</v>
      </c>
      <c r="J721" s="785">
        <f t="shared" si="73"/>
        <v>107915</v>
      </c>
      <c r="K721" s="786">
        <v>21583</v>
      </c>
      <c r="L721" s="759">
        <v>0</v>
      </c>
      <c r="M721" s="759">
        <v>0</v>
      </c>
    </row>
    <row r="722" spans="1:13" ht="15.75">
      <c r="A722" s="784">
        <v>511</v>
      </c>
      <c r="B722" s="785">
        <v>2100812</v>
      </c>
      <c r="C722" s="785" t="s">
        <v>1686</v>
      </c>
      <c r="D722" s="763" t="s">
        <v>1670</v>
      </c>
      <c r="E722" s="763" t="s">
        <v>1096</v>
      </c>
      <c r="F722" s="763" t="s">
        <v>1671</v>
      </c>
      <c r="G722" s="785">
        <f t="shared" si="72"/>
        <v>248712</v>
      </c>
      <c r="H722" s="759">
        <v>0</v>
      </c>
      <c r="I722" s="759">
        <v>0</v>
      </c>
      <c r="J722" s="785">
        <f t="shared" si="73"/>
        <v>207260</v>
      </c>
      <c r="K722" s="786">
        <v>41452</v>
      </c>
      <c r="L722" s="759">
        <v>0</v>
      </c>
      <c r="M722" s="759">
        <v>0</v>
      </c>
    </row>
    <row r="723" spans="1:13" ht="15.75">
      <c r="A723" s="784">
        <v>512</v>
      </c>
      <c r="B723" s="785">
        <v>2100812</v>
      </c>
      <c r="C723" s="785" t="s">
        <v>1686</v>
      </c>
      <c r="D723" s="763" t="s">
        <v>1676</v>
      </c>
      <c r="E723" s="763" t="s">
        <v>1096</v>
      </c>
      <c r="F723" s="763" t="s">
        <v>1677</v>
      </c>
      <c r="G723" s="785">
        <f t="shared" si="72"/>
        <v>691902</v>
      </c>
      <c r="H723" s="759">
        <v>0</v>
      </c>
      <c r="I723" s="759">
        <v>0</v>
      </c>
      <c r="J723" s="785">
        <f t="shared" si="73"/>
        <v>576585</v>
      </c>
      <c r="K723" s="786">
        <v>115317</v>
      </c>
      <c r="L723" s="759">
        <v>0</v>
      </c>
      <c r="M723" s="759">
        <v>0</v>
      </c>
    </row>
    <row r="724" spans="1:13" ht="15.75">
      <c r="A724" s="784">
        <v>513</v>
      </c>
      <c r="B724" s="785">
        <v>2100813</v>
      </c>
      <c r="C724" s="785" t="s">
        <v>1686</v>
      </c>
      <c r="D724" s="785" t="s">
        <v>1155</v>
      </c>
      <c r="E724" s="785" t="s">
        <v>1096</v>
      </c>
      <c r="F724" s="785" t="s">
        <v>1156</v>
      </c>
      <c r="G724" s="785">
        <f>K724+J724</f>
        <v>157218</v>
      </c>
      <c r="H724" s="759">
        <v>0</v>
      </c>
      <c r="I724" s="759">
        <v>0</v>
      </c>
      <c r="J724" s="785">
        <f>K724*5</f>
        <v>131015</v>
      </c>
      <c r="K724" s="786">
        <v>26203</v>
      </c>
      <c r="L724" s="759"/>
      <c r="M724" s="759"/>
    </row>
    <row r="725" spans="1:13" ht="16.5" thickBot="1">
      <c r="A725" s="784">
        <v>514</v>
      </c>
      <c r="B725" s="785">
        <v>2100814</v>
      </c>
      <c r="C725" s="785" t="s">
        <v>1686</v>
      </c>
      <c r="D725" s="785" t="s">
        <v>1380</v>
      </c>
      <c r="E725" s="785" t="s">
        <v>1096</v>
      </c>
      <c r="F725" s="785" t="s">
        <v>1156</v>
      </c>
      <c r="G725" s="785">
        <f t="shared" si="72"/>
        <v>837762</v>
      </c>
      <c r="H725" s="759">
        <v>0</v>
      </c>
      <c r="I725" s="759">
        <v>0</v>
      </c>
      <c r="J725" s="785">
        <f t="shared" si="73"/>
        <v>698135</v>
      </c>
      <c r="K725" s="786">
        <v>139627</v>
      </c>
      <c r="L725" s="759">
        <v>0</v>
      </c>
      <c r="M725" s="759">
        <v>0</v>
      </c>
    </row>
    <row r="726" spans="1:13" ht="16.5" thickBot="1">
      <c r="A726" s="1389" t="s">
        <v>822</v>
      </c>
      <c r="B726" s="1390"/>
      <c r="C726" s="1390"/>
      <c r="D726" s="1390"/>
      <c r="E726" s="1390"/>
      <c r="F726" s="1391"/>
      <c r="G726" s="1020">
        <f>SUM(G675:G725)</f>
        <v>11597226</v>
      </c>
      <c r="H726" s="759">
        <v>0</v>
      </c>
      <c r="I726" s="759">
        <v>0</v>
      </c>
      <c r="J726" s="1246">
        <f>SUM(J675:J725)</f>
        <v>9664355</v>
      </c>
      <c r="K726" s="1021">
        <f>SUM(K675:K725)</f>
        <v>1932871</v>
      </c>
      <c r="L726" s="759">
        <v>0</v>
      </c>
      <c r="M726" s="759">
        <v>0</v>
      </c>
    </row>
    <row r="727" spans="1:13" ht="16.5" thickBot="1">
      <c r="A727" s="1392" t="s">
        <v>823</v>
      </c>
      <c r="B727" s="1393"/>
      <c r="C727" s="1393"/>
      <c r="D727" s="1393"/>
      <c r="E727" s="1393"/>
      <c r="F727" s="1393"/>
      <c r="G727" s="1393"/>
      <c r="H727" s="781" t="s">
        <v>824</v>
      </c>
      <c r="I727" s="765" t="s">
        <v>825</v>
      </c>
      <c r="J727" s="781" t="s">
        <v>826</v>
      </c>
      <c r="K727" s="766" t="s">
        <v>827</v>
      </c>
      <c r="L727" s="781" t="s">
        <v>828</v>
      </c>
      <c r="M727" s="766" t="s">
        <v>829</v>
      </c>
    </row>
    <row r="728" spans="1:13" ht="15.75">
      <c r="A728" s="731"/>
      <c r="B728" s="731"/>
      <c r="C728" s="731"/>
      <c r="D728" s="731"/>
      <c r="E728" s="731"/>
      <c r="F728" s="731"/>
      <c r="G728" s="731"/>
      <c r="H728" s="731"/>
      <c r="I728" s="731"/>
      <c r="J728" s="731"/>
      <c r="K728" s="731"/>
      <c r="L728" s="731"/>
      <c r="M728" s="731"/>
    </row>
    <row r="729" spans="1:13" ht="15.75">
      <c r="A729" s="731"/>
      <c r="B729" s="731"/>
      <c r="C729" s="731"/>
      <c r="D729" s="731"/>
      <c r="E729" s="731"/>
      <c r="F729" s="731"/>
      <c r="G729" s="731"/>
      <c r="H729" s="731"/>
      <c r="I729" s="731"/>
      <c r="J729" s="731"/>
      <c r="K729" s="731"/>
      <c r="L729" s="731"/>
      <c r="M729" s="731"/>
    </row>
    <row r="730" spans="1:13" ht="15.75">
      <c r="A730" s="731"/>
      <c r="B730" s="731"/>
      <c r="C730" s="731"/>
      <c r="D730" s="731"/>
      <c r="E730" s="731"/>
      <c r="F730" s="731"/>
      <c r="G730" s="731"/>
      <c r="H730" s="731"/>
      <c r="I730" s="731"/>
      <c r="J730" s="1017" t="s">
        <v>1249</v>
      </c>
      <c r="K730" s="731"/>
      <c r="L730" s="731"/>
      <c r="M730" s="731"/>
    </row>
    <row r="731" spans="1:13" ht="15.75">
      <c r="A731" s="731"/>
      <c r="B731" s="731"/>
      <c r="C731" s="731"/>
      <c r="D731" s="731"/>
      <c r="E731" s="731"/>
      <c r="F731" s="731"/>
      <c r="G731" s="731"/>
      <c r="H731" s="731"/>
      <c r="I731" s="731"/>
      <c r="J731" s="731" t="s">
        <v>1270</v>
      </c>
      <c r="K731" s="731"/>
      <c r="L731" s="731"/>
      <c r="M731" s="731"/>
    </row>
    <row r="732" spans="1:13" ht="15.75">
      <c r="A732" s="731" t="s">
        <v>856</v>
      </c>
      <c r="B732" s="731"/>
      <c r="C732" s="731"/>
      <c r="D732" s="731"/>
      <c r="E732" s="731"/>
      <c r="F732" s="731"/>
      <c r="G732" s="731"/>
      <c r="H732" s="731"/>
      <c r="I732" s="731"/>
      <c r="J732" s="731"/>
      <c r="K732" s="731"/>
      <c r="L732" s="731"/>
      <c r="M732" s="731"/>
    </row>
    <row r="733" spans="1:13" ht="15.75">
      <c r="A733" s="731" t="s">
        <v>848</v>
      </c>
      <c r="B733" s="731"/>
      <c r="C733" s="731"/>
      <c r="D733" s="731"/>
      <c r="E733" s="731"/>
      <c r="F733" s="731"/>
      <c r="G733" s="731"/>
      <c r="H733" s="731"/>
      <c r="I733" s="731"/>
      <c r="J733" s="731"/>
      <c r="K733" s="731"/>
      <c r="L733" s="731"/>
      <c r="M733" s="731"/>
    </row>
    <row r="734" spans="1:13" ht="15.75">
      <c r="A734" s="731" t="s">
        <v>855</v>
      </c>
      <c r="B734"/>
      <c r="K734" s="731"/>
      <c r="L734" s="731"/>
      <c r="M734" s="731"/>
    </row>
    <row r="739" spans="1:31" ht="19.5">
      <c r="A739" s="730" t="s">
        <v>794</v>
      </c>
      <c r="B739" s="731"/>
      <c r="C739" s="731"/>
      <c r="D739" s="731"/>
      <c r="E739" s="731"/>
      <c r="F739" s="731"/>
      <c r="G739" s="731"/>
      <c r="H739" s="731"/>
      <c r="I739" s="731"/>
      <c r="J739" s="731"/>
      <c r="K739" s="731"/>
      <c r="L739" s="731"/>
      <c r="M739" s="731"/>
      <c r="N739" s="730" t="s">
        <v>795</v>
      </c>
      <c r="O739" s="731"/>
      <c r="P739" s="731"/>
      <c r="Q739" s="731"/>
      <c r="R739" s="731"/>
      <c r="S739" s="731"/>
      <c r="T739" s="731"/>
      <c r="U739" s="731"/>
      <c r="V739" s="731"/>
      <c r="W739" s="731"/>
      <c r="X739" s="731"/>
      <c r="Y739" s="731"/>
      <c r="Z739" s="731"/>
      <c r="AA739" s="731"/>
      <c r="AB739" s="731"/>
      <c r="AC739" s="731"/>
      <c r="AD739" s="731"/>
      <c r="AE739" s="731"/>
    </row>
    <row r="740" spans="1:31" ht="15.75">
      <c r="A740" s="733" t="s">
        <v>796</v>
      </c>
      <c r="B740" s="733"/>
      <c r="C740" s="731" t="s">
        <v>1042</v>
      </c>
      <c r="D740" s="731"/>
      <c r="E740" s="731"/>
      <c r="F740" s="731"/>
      <c r="G740" s="731"/>
      <c r="H740" s="731"/>
      <c r="I740" s="731"/>
      <c r="J740" s="731"/>
      <c r="K740" s="731"/>
      <c r="L740" s="731"/>
      <c r="M740" s="731"/>
      <c r="N740" s="733" t="s">
        <v>796</v>
      </c>
      <c r="O740" s="733"/>
      <c r="P740" s="731" t="s">
        <v>1042</v>
      </c>
      <c r="Q740" s="731"/>
      <c r="R740" s="731"/>
      <c r="S740" s="731"/>
      <c r="T740" s="731"/>
      <c r="U740" s="731"/>
      <c r="V740" s="731"/>
      <c r="W740" s="731"/>
      <c r="X740" s="731"/>
      <c r="Y740" s="731"/>
      <c r="Z740" s="731"/>
      <c r="AA740" s="731"/>
      <c r="AB740" s="731"/>
      <c r="AC740" s="731"/>
      <c r="AD740" s="731"/>
      <c r="AE740" s="731"/>
    </row>
    <row r="741" spans="1:31" ht="15.75">
      <c r="A741" s="733" t="s">
        <v>413</v>
      </c>
      <c r="B741" s="733"/>
      <c r="C741" s="731" t="s">
        <v>1043</v>
      </c>
      <c r="D741" s="731"/>
      <c r="E741" s="731"/>
      <c r="F741" s="731"/>
      <c r="G741" s="731"/>
      <c r="H741" s="731"/>
      <c r="I741" s="731"/>
      <c r="J741" s="731"/>
      <c r="K741" s="731"/>
      <c r="L741" s="731"/>
      <c r="M741" s="731"/>
      <c r="N741" s="733" t="s">
        <v>413</v>
      </c>
      <c r="O741" s="733"/>
      <c r="P741" s="731" t="s">
        <v>1043</v>
      </c>
      <c r="Q741" s="731"/>
      <c r="R741" s="731"/>
      <c r="S741" s="731"/>
      <c r="T741" s="731"/>
      <c r="U741" s="731"/>
      <c r="V741" s="731"/>
      <c r="W741" s="731"/>
      <c r="X741" s="731"/>
      <c r="Y741" s="731"/>
      <c r="Z741" s="731"/>
      <c r="AA741" s="731"/>
      <c r="AB741" s="731"/>
      <c r="AC741" s="731"/>
      <c r="AD741" s="731"/>
      <c r="AE741" s="731"/>
    </row>
    <row r="742" spans="1:31" ht="15.75">
      <c r="A742" s="733" t="s">
        <v>797</v>
      </c>
      <c r="B742" s="733"/>
      <c r="C742" s="731">
        <v>2012</v>
      </c>
      <c r="D742" s="731"/>
      <c r="E742" s="731"/>
      <c r="F742" s="731"/>
      <c r="G742" s="731"/>
      <c r="H742" s="731"/>
      <c r="I742" s="731"/>
      <c r="J742" s="731"/>
      <c r="K742" s="731"/>
      <c r="L742" s="731"/>
      <c r="M742" s="731"/>
      <c r="N742" s="733" t="s">
        <v>797</v>
      </c>
      <c r="O742" s="733"/>
      <c r="P742" s="731">
        <v>2012</v>
      </c>
      <c r="Q742" s="731"/>
      <c r="R742" s="731"/>
      <c r="S742" s="731"/>
      <c r="T742" s="731"/>
      <c r="U742" s="731"/>
      <c r="V742" s="731"/>
      <c r="W742" s="731"/>
      <c r="X742" s="731"/>
      <c r="Y742" s="731"/>
      <c r="Z742" s="731"/>
      <c r="AA742" s="731"/>
      <c r="AB742" s="731"/>
      <c r="AC742" s="731"/>
      <c r="AD742" s="731"/>
      <c r="AE742" s="731"/>
    </row>
    <row r="743" spans="1:31" ht="15.75">
      <c r="A743" s="733" t="s">
        <v>166</v>
      </c>
      <c r="B743" s="733"/>
      <c r="C743" s="731">
        <v>12</v>
      </c>
      <c r="D743" s="731"/>
      <c r="E743" s="731"/>
      <c r="F743" s="731"/>
      <c r="G743" s="731"/>
      <c r="H743" s="731"/>
      <c r="I743" s="731"/>
      <c r="J743" s="731"/>
      <c r="K743" s="731"/>
      <c r="L743" s="731"/>
      <c r="M743" s="731"/>
      <c r="N743" s="733" t="s">
        <v>166</v>
      </c>
      <c r="O743" s="733"/>
      <c r="P743" s="731">
        <v>12</v>
      </c>
      <c r="Q743" s="731"/>
      <c r="R743" s="731"/>
      <c r="S743" s="731"/>
      <c r="T743" s="731"/>
      <c r="U743" s="731"/>
      <c r="V743" s="731"/>
      <c r="W743" s="731"/>
      <c r="X743" s="731"/>
      <c r="Y743" s="731"/>
      <c r="Z743" s="731"/>
      <c r="AA743" s="731"/>
      <c r="AB743" s="731"/>
      <c r="AC743" s="731"/>
      <c r="AD743" s="731"/>
      <c r="AE743" s="731"/>
    </row>
    <row r="744" spans="1:31" ht="16.5" thickBot="1">
      <c r="A744" s="733"/>
      <c r="B744" s="733"/>
      <c r="C744" s="731"/>
      <c r="D744" s="731"/>
      <c r="E744" s="731"/>
      <c r="F744" s="731"/>
      <c r="G744" s="731"/>
      <c r="H744" s="731"/>
      <c r="I744" s="731"/>
      <c r="J744" s="731"/>
      <c r="K744" s="731"/>
      <c r="L744" s="731"/>
      <c r="M744" s="731"/>
      <c r="N744" s="733"/>
      <c r="O744" s="733"/>
      <c r="P744" s="731"/>
      <c r="Q744" s="731"/>
      <c r="R744" s="731"/>
      <c r="S744" s="731"/>
      <c r="T744" s="731"/>
      <c r="U744" s="731"/>
      <c r="V744" s="731"/>
      <c r="W744" s="731"/>
      <c r="X744" s="731"/>
      <c r="Y744" s="731"/>
      <c r="Z744" s="731"/>
      <c r="AA744" s="731"/>
      <c r="AB744" s="731"/>
      <c r="AC744" s="731"/>
      <c r="AD744" s="731"/>
      <c r="AE744" s="731"/>
    </row>
    <row r="745" spans="1:31" ht="16.5" thickBot="1">
      <c r="A745" s="731" t="s">
        <v>799</v>
      </c>
      <c r="B745" s="1103"/>
      <c r="C745" s="731" t="s">
        <v>835</v>
      </c>
      <c r="D745" s="731"/>
      <c r="E745" s="731"/>
      <c r="F745" s="731"/>
      <c r="G745" s="731"/>
      <c r="H745" s="731"/>
      <c r="I745" s="731"/>
      <c r="J745" s="731"/>
      <c r="K745" s="731"/>
      <c r="L745" s="731"/>
      <c r="M745" s="731"/>
      <c r="N745" s="731" t="s">
        <v>799</v>
      </c>
      <c r="O745" s="1103"/>
      <c r="P745" s="731" t="s">
        <v>835</v>
      </c>
      <c r="Q745" s="731"/>
      <c r="R745" s="731"/>
      <c r="S745" s="731"/>
      <c r="T745" s="731"/>
      <c r="U745" s="731"/>
      <c r="V745" s="731"/>
      <c r="W745" s="731"/>
      <c r="X745" s="731"/>
      <c r="Y745" s="731"/>
      <c r="Z745" s="731"/>
      <c r="AA745" s="731"/>
      <c r="AB745" s="731"/>
      <c r="AC745" s="731"/>
      <c r="AD745" s="731"/>
      <c r="AE745" s="731"/>
    </row>
    <row r="746" spans="1:31" ht="16.5" thickBot="1">
      <c r="A746" s="731"/>
      <c r="B746" s="731"/>
      <c r="C746" s="731"/>
      <c r="D746" s="731"/>
      <c r="E746" s="731"/>
      <c r="F746" s="731"/>
      <c r="G746" s="731"/>
      <c r="H746" s="731"/>
      <c r="I746" s="731"/>
      <c r="J746" s="731"/>
      <c r="K746" s="731"/>
      <c r="L746" s="731"/>
      <c r="M746" s="731"/>
      <c r="N746" s="731"/>
      <c r="O746" s="731"/>
      <c r="P746" s="733"/>
      <c r="Q746" s="731"/>
      <c r="R746" s="731"/>
      <c r="S746" s="731"/>
      <c r="T746" s="731"/>
      <c r="U746" s="731"/>
      <c r="V746" s="731"/>
      <c r="W746" s="731"/>
      <c r="X746" s="731"/>
      <c r="Y746" s="731"/>
      <c r="Z746" s="731"/>
      <c r="AA746" s="731"/>
      <c r="AB746" s="731"/>
      <c r="AC746" s="731"/>
      <c r="AD746" s="731"/>
      <c r="AE746" s="731"/>
    </row>
    <row r="747" spans="1:31" ht="16.5" thickBot="1">
      <c r="A747" s="1401" t="s">
        <v>800</v>
      </c>
      <c r="B747" s="1409"/>
      <c r="C747" s="1402"/>
      <c r="D747" s="1401" t="s">
        <v>801</v>
      </c>
      <c r="E747" s="1409"/>
      <c r="F747" s="1402"/>
      <c r="G747" s="1398" t="s">
        <v>802</v>
      </c>
      <c r="H747" s="1398" t="s">
        <v>803</v>
      </c>
      <c r="I747" s="1398" t="s">
        <v>804</v>
      </c>
      <c r="J747" s="1401" t="s">
        <v>836</v>
      </c>
      <c r="K747" s="1402"/>
      <c r="L747" s="1401" t="s">
        <v>837</v>
      </c>
      <c r="M747" s="1402"/>
      <c r="N747" s="1405" t="s">
        <v>800</v>
      </c>
      <c r="O747" s="1406"/>
      <c r="P747" s="1407"/>
      <c r="Q747" s="1405" t="s">
        <v>805</v>
      </c>
      <c r="R747" s="1406"/>
      <c r="S747" s="1407"/>
      <c r="T747" s="1398" t="s">
        <v>806</v>
      </c>
      <c r="U747" s="1387" t="s">
        <v>807</v>
      </c>
      <c r="V747" s="1397"/>
      <c r="W747" s="1397"/>
      <c r="X747" s="1397"/>
      <c r="Y747" s="1397"/>
      <c r="Z747" s="1397"/>
      <c r="AA747" s="1397"/>
      <c r="AB747" s="1397"/>
      <c r="AC747" s="1397"/>
      <c r="AD747" s="1397"/>
      <c r="AE747" s="1388"/>
    </row>
    <row r="748" spans="1:31" ht="16.5" thickBot="1">
      <c r="A748" s="1403"/>
      <c r="B748" s="1410"/>
      <c r="C748" s="1404"/>
      <c r="D748" s="1403"/>
      <c r="E748" s="1410"/>
      <c r="F748" s="1404"/>
      <c r="G748" s="1408"/>
      <c r="H748" s="1408"/>
      <c r="I748" s="1408"/>
      <c r="J748" s="1403"/>
      <c r="K748" s="1404"/>
      <c r="L748" s="1403"/>
      <c r="M748" s="1404"/>
      <c r="N748" s="1398" t="s">
        <v>808</v>
      </c>
      <c r="O748" s="1398" t="s">
        <v>809</v>
      </c>
      <c r="P748" s="1398" t="s">
        <v>810</v>
      </c>
      <c r="Q748" s="1398" t="s">
        <v>811</v>
      </c>
      <c r="R748" s="1398" t="s">
        <v>812</v>
      </c>
      <c r="S748" s="1398" t="s">
        <v>813</v>
      </c>
      <c r="T748" s="1408"/>
      <c r="U748" s="1398" t="s">
        <v>814</v>
      </c>
      <c r="V748" s="1387" t="s">
        <v>838</v>
      </c>
      <c r="W748" s="1400"/>
      <c r="X748" s="1387" t="s">
        <v>839</v>
      </c>
      <c r="Y748" s="1400"/>
      <c r="Z748" s="1387" t="s">
        <v>840</v>
      </c>
      <c r="AA748" s="1388"/>
      <c r="AB748" s="1387" t="s">
        <v>841</v>
      </c>
      <c r="AC748" s="1388"/>
      <c r="AD748" s="1387" t="s">
        <v>815</v>
      </c>
      <c r="AE748" s="1388"/>
    </row>
    <row r="749" spans="1:31" ht="48" thickBot="1">
      <c r="A749" s="748" t="s">
        <v>808</v>
      </c>
      <c r="B749" s="749" t="s">
        <v>809</v>
      </c>
      <c r="C749" s="750" t="s">
        <v>810</v>
      </c>
      <c r="D749" s="743" t="s">
        <v>816</v>
      </c>
      <c r="E749" s="746" t="s">
        <v>812</v>
      </c>
      <c r="F749" s="751" t="s">
        <v>406</v>
      </c>
      <c r="G749" s="1399"/>
      <c r="H749" s="1399"/>
      <c r="I749" s="1399"/>
      <c r="J749" s="751" t="s">
        <v>817</v>
      </c>
      <c r="K749" s="744" t="s">
        <v>818</v>
      </c>
      <c r="L749" s="751" t="s">
        <v>817</v>
      </c>
      <c r="M749" s="744" t="s">
        <v>818</v>
      </c>
      <c r="N749" s="1399"/>
      <c r="O749" s="1399"/>
      <c r="P749" s="1399"/>
      <c r="Q749" s="1399"/>
      <c r="R749" s="1399"/>
      <c r="S749" s="1399"/>
      <c r="T749" s="1399"/>
      <c r="U749" s="1399"/>
      <c r="V749" s="745" t="s">
        <v>817</v>
      </c>
      <c r="W749" s="752" t="s">
        <v>818</v>
      </c>
      <c r="X749" s="745" t="s">
        <v>817</v>
      </c>
      <c r="Y749" s="752" t="s">
        <v>818</v>
      </c>
      <c r="Z749" s="744" t="s">
        <v>819</v>
      </c>
      <c r="AA749" s="744" t="s">
        <v>820</v>
      </c>
      <c r="AB749" s="744" t="s">
        <v>819</v>
      </c>
      <c r="AC749" s="744" t="s">
        <v>820</v>
      </c>
      <c r="AD749" s="744" t="s">
        <v>819</v>
      </c>
      <c r="AE749" s="744" t="s">
        <v>820</v>
      </c>
    </row>
    <row r="750" spans="1:31" ht="29.25" thickBot="1">
      <c r="A750" s="754" t="s">
        <v>510</v>
      </c>
      <c r="B750" s="755" t="s">
        <v>511</v>
      </c>
      <c r="C750" s="755" t="s">
        <v>598</v>
      </c>
      <c r="D750" s="755" t="s">
        <v>620</v>
      </c>
      <c r="E750" s="755" t="s">
        <v>622</v>
      </c>
      <c r="F750" s="755" t="s">
        <v>634</v>
      </c>
      <c r="G750" s="755" t="s">
        <v>842</v>
      </c>
      <c r="H750" s="755" t="s">
        <v>638</v>
      </c>
      <c r="I750" s="756" t="s">
        <v>640</v>
      </c>
      <c r="J750" s="755" t="s">
        <v>642</v>
      </c>
      <c r="K750" s="757" t="s">
        <v>644</v>
      </c>
      <c r="L750" s="755" t="s">
        <v>646</v>
      </c>
      <c r="M750" s="757" t="s">
        <v>650</v>
      </c>
      <c r="N750" s="777" t="s">
        <v>510</v>
      </c>
      <c r="O750" s="778" t="s">
        <v>511</v>
      </c>
      <c r="P750" s="778" t="s">
        <v>598</v>
      </c>
      <c r="Q750" s="778" t="s">
        <v>620</v>
      </c>
      <c r="R750" s="778" t="s">
        <v>622</v>
      </c>
      <c r="S750" s="778" t="s">
        <v>634</v>
      </c>
      <c r="T750" s="779" t="s">
        <v>843</v>
      </c>
      <c r="U750" s="778" t="s">
        <v>638</v>
      </c>
      <c r="V750" s="778" t="s">
        <v>640</v>
      </c>
      <c r="W750" s="778" t="s">
        <v>642</v>
      </c>
      <c r="X750" s="778" t="s">
        <v>644</v>
      </c>
      <c r="Y750" s="778" t="s">
        <v>646</v>
      </c>
      <c r="Z750" s="778" t="s">
        <v>650</v>
      </c>
      <c r="AA750" s="778" t="s">
        <v>821</v>
      </c>
      <c r="AB750" s="778" t="s">
        <v>844</v>
      </c>
      <c r="AC750" s="778" t="s">
        <v>845</v>
      </c>
      <c r="AD750" s="778" t="s">
        <v>846</v>
      </c>
      <c r="AE750" s="780" t="s">
        <v>847</v>
      </c>
    </row>
    <row r="751" spans="1:31" ht="15.75">
      <c r="A751" s="758">
        <v>515</v>
      </c>
      <c r="B751" s="759">
        <v>2100815</v>
      </c>
      <c r="C751" s="760">
        <v>41244</v>
      </c>
      <c r="D751" s="759" t="s">
        <v>1689</v>
      </c>
      <c r="E751" s="759" t="s">
        <v>1096</v>
      </c>
      <c r="F751" s="759" t="s">
        <v>1690</v>
      </c>
      <c r="G751" s="759">
        <f aca="true" t="shared" si="76" ref="G751:G793">K751+J751</f>
        <v>235620</v>
      </c>
      <c r="H751" s="785">
        <v>0</v>
      </c>
      <c r="I751" s="785">
        <v>0</v>
      </c>
      <c r="J751" s="759">
        <f aca="true" t="shared" si="77" ref="J751:J793">K751*5</f>
        <v>196350</v>
      </c>
      <c r="K751" s="782">
        <v>39270</v>
      </c>
      <c r="L751" s="785">
        <v>0</v>
      </c>
      <c r="M751" s="785">
        <v>0</v>
      </c>
      <c r="N751" s="758">
        <v>132660038</v>
      </c>
      <c r="O751" s="758">
        <v>132660038</v>
      </c>
      <c r="P751" s="759" t="s">
        <v>1681</v>
      </c>
      <c r="Q751" s="759" t="s">
        <v>1650</v>
      </c>
      <c r="R751" s="759" t="s">
        <v>1096</v>
      </c>
      <c r="S751" s="759" t="s">
        <v>1170</v>
      </c>
      <c r="T751" s="759">
        <f>AA751+Z751+U751</f>
        <v>20230</v>
      </c>
      <c r="U751" s="759">
        <v>100</v>
      </c>
      <c r="V751" s="759">
        <v>0</v>
      </c>
      <c r="W751" s="759">
        <v>0</v>
      </c>
      <c r="X751" s="759">
        <v>0</v>
      </c>
      <c r="Y751" s="759">
        <v>0</v>
      </c>
      <c r="Z751" s="759">
        <f>AA751*5</f>
        <v>16775</v>
      </c>
      <c r="AA751" s="759">
        <v>3355</v>
      </c>
      <c r="AB751" s="759">
        <v>0</v>
      </c>
      <c r="AC751" s="759">
        <v>0</v>
      </c>
      <c r="AD751" s="759">
        <v>0</v>
      </c>
      <c r="AE751" s="759">
        <v>0</v>
      </c>
    </row>
    <row r="752" spans="1:31" ht="15.75">
      <c r="A752" s="758">
        <v>516</v>
      </c>
      <c r="B752" s="759">
        <v>2100816</v>
      </c>
      <c r="C752" s="760">
        <v>41246</v>
      </c>
      <c r="D752" s="759" t="s">
        <v>1691</v>
      </c>
      <c r="E752" s="759" t="s">
        <v>1096</v>
      </c>
      <c r="F752" s="759" t="s">
        <v>1172</v>
      </c>
      <c r="G752" s="759">
        <f t="shared" si="76"/>
        <v>30000</v>
      </c>
      <c r="H752" s="785">
        <v>0</v>
      </c>
      <c r="I752" s="785">
        <v>0</v>
      </c>
      <c r="J752" s="759">
        <f t="shared" si="77"/>
        <v>25000</v>
      </c>
      <c r="K752" s="782">
        <v>5000</v>
      </c>
      <c r="L752" s="785">
        <v>0</v>
      </c>
      <c r="M752" s="785">
        <v>0</v>
      </c>
      <c r="N752" s="758">
        <v>113238579</v>
      </c>
      <c r="O752" s="758">
        <v>113238579</v>
      </c>
      <c r="P752" s="759" t="s">
        <v>1686</v>
      </c>
      <c r="Q752" s="759" t="s">
        <v>1098</v>
      </c>
      <c r="R752" s="759" t="s">
        <v>1099</v>
      </c>
      <c r="S752" s="759" t="s">
        <v>1100</v>
      </c>
      <c r="T752" s="759">
        <f aca="true" t="shared" si="78" ref="T752:T763">AA752+Z752</f>
        <v>6234</v>
      </c>
      <c r="U752" s="759">
        <v>0</v>
      </c>
      <c r="V752" s="759">
        <v>0</v>
      </c>
      <c r="W752" s="759"/>
      <c r="X752" s="759">
        <v>0</v>
      </c>
      <c r="Y752" s="759">
        <v>0</v>
      </c>
      <c r="Z752" s="759">
        <f aca="true" t="shared" si="79" ref="Z752:Z763">AA752*5</f>
        <v>5195</v>
      </c>
      <c r="AA752" s="759">
        <v>1039</v>
      </c>
      <c r="AB752" s="759">
        <v>0</v>
      </c>
      <c r="AC752" s="759">
        <v>0</v>
      </c>
      <c r="AD752" s="759">
        <v>0</v>
      </c>
      <c r="AE752" s="759">
        <v>0</v>
      </c>
    </row>
    <row r="753" spans="1:31" ht="15.75">
      <c r="A753" s="758">
        <v>517</v>
      </c>
      <c r="B753" s="759">
        <v>2100817</v>
      </c>
      <c r="C753" s="760">
        <v>41246</v>
      </c>
      <c r="D753" s="759" t="s">
        <v>1398</v>
      </c>
      <c r="E753" s="759" t="s">
        <v>1096</v>
      </c>
      <c r="F753" s="759" t="s">
        <v>1186</v>
      </c>
      <c r="G753" s="759">
        <f t="shared" si="76"/>
        <v>19998</v>
      </c>
      <c r="H753" s="785">
        <v>0</v>
      </c>
      <c r="I753" s="785">
        <v>0</v>
      </c>
      <c r="J753" s="759">
        <f t="shared" si="77"/>
        <v>16665</v>
      </c>
      <c r="K753" s="782">
        <v>3333</v>
      </c>
      <c r="L753" s="785">
        <v>0</v>
      </c>
      <c r="M753" s="785">
        <v>0</v>
      </c>
      <c r="N753" s="758">
        <v>1536</v>
      </c>
      <c r="O753" s="759">
        <v>5108991</v>
      </c>
      <c r="P753" s="760">
        <v>41246</v>
      </c>
      <c r="Q753" s="763" t="s">
        <v>1623</v>
      </c>
      <c r="R753" s="763" t="s">
        <v>1096</v>
      </c>
      <c r="S753" s="763" t="s">
        <v>1430</v>
      </c>
      <c r="T753" s="759">
        <f t="shared" si="78"/>
        <v>1309002</v>
      </c>
      <c r="U753" s="759">
        <v>0</v>
      </c>
      <c r="V753" s="759">
        <v>0</v>
      </c>
      <c r="W753" s="759"/>
      <c r="X753" s="759">
        <v>0</v>
      </c>
      <c r="Y753" s="759">
        <v>0</v>
      </c>
      <c r="Z753" s="759">
        <f t="shared" si="79"/>
        <v>1090835</v>
      </c>
      <c r="AA753" s="759">
        <v>218167</v>
      </c>
      <c r="AB753" s="759">
        <v>0</v>
      </c>
      <c r="AC753" s="759">
        <v>0</v>
      </c>
      <c r="AD753" s="759">
        <v>0</v>
      </c>
      <c r="AE753" s="759">
        <v>0</v>
      </c>
    </row>
    <row r="754" spans="1:31" ht="15.75">
      <c r="A754" s="758">
        <v>518</v>
      </c>
      <c r="B754" s="759">
        <v>2100818</v>
      </c>
      <c r="C754" s="760">
        <v>41247</v>
      </c>
      <c r="D754" s="759" t="s">
        <v>1537</v>
      </c>
      <c r="E754" s="759" t="s">
        <v>1096</v>
      </c>
      <c r="F754" s="759" t="s">
        <v>1231</v>
      </c>
      <c r="G754" s="759">
        <f t="shared" si="76"/>
        <v>273900</v>
      </c>
      <c r="H754" s="785">
        <v>0</v>
      </c>
      <c r="I754" s="785">
        <v>0</v>
      </c>
      <c r="J754" s="759">
        <f t="shared" si="77"/>
        <v>228250</v>
      </c>
      <c r="K754" s="782">
        <v>45650</v>
      </c>
      <c r="L754" s="785">
        <v>0</v>
      </c>
      <c r="M754" s="785">
        <v>0</v>
      </c>
      <c r="N754" s="758">
        <v>1549</v>
      </c>
      <c r="O754" s="759">
        <v>5929754</v>
      </c>
      <c r="P754" s="760">
        <v>41248</v>
      </c>
      <c r="Q754" s="763" t="s">
        <v>1623</v>
      </c>
      <c r="R754" s="763" t="s">
        <v>1096</v>
      </c>
      <c r="S754" s="763" t="s">
        <v>1430</v>
      </c>
      <c r="T754" s="759">
        <f t="shared" si="78"/>
        <v>946596</v>
      </c>
      <c r="U754" s="759">
        <v>0</v>
      </c>
      <c r="V754" s="759">
        <v>0</v>
      </c>
      <c r="W754" s="759"/>
      <c r="X754" s="759">
        <v>0</v>
      </c>
      <c r="Y754" s="759">
        <v>0</v>
      </c>
      <c r="Z754" s="759">
        <f t="shared" si="79"/>
        <v>788830</v>
      </c>
      <c r="AA754" s="759">
        <v>157766</v>
      </c>
      <c r="AB754" s="759">
        <v>0</v>
      </c>
      <c r="AC754" s="759">
        <v>0</v>
      </c>
      <c r="AD754" s="759">
        <v>0</v>
      </c>
      <c r="AE754" s="759">
        <v>0</v>
      </c>
    </row>
    <row r="755" spans="1:31" ht="15.75">
      <c r="A755" s="758">
        <v>519</v>
      </c>
      <c r="B755" s="759">
        <v>2100819</v>
      </c>
      <c r="C755" s="760">
        <v>41247</v>
      </c>
      <c r="D755" s="759" t="s">
        <v>1348</v>
      </c>
      <c r="E755" s="759" t="s">
        <v>1096</v>
      </c>
      <c r="F755" s="759" t="s">
        <v>1176</v>
      </c>
      <c r="G755" s="759">
        <f t="shared" si="76"/>
        <v>202998</v>
      </c>
      <c r="H755" s="785">
        <v>0</v>
      </c>
      <c r="I755" s="785">
        <v>0</v>
      </c>
      <c r="J755" s="759">
        <f t="shared" si="77"/>
        <v>169165</v>
      </c>
      <c r="K755" s="782">
        <v>33833</v>
      </c>
      <c r="L755" s="785">
        <v>0</v>
      </c>
      <c r="M755" s="785">
        <v>0</v>
      </c>
      <c r="N755" s="758">
        <v>1567</v>
      </c>
      <c r="O755" s="759">
        <v>5929772</v>
      </c>
      <c r="P755" s="760">
        <v>41250</v>
      </c>
      <c r="Q755" s="763" t="s">
        <v>1623</v>
      </c>
      <c r="R755" s="763" t="s">
        <v>1096</v>
      </c>
      <c r="S755" s="763" t="s">
        <v>1430</v>
      </c>
      <c r="T755" s="759">
        <f t="shared" si="78"/>
        <v>1026444</v>
      </c>
      <c r="U755" s="759">
        <v>0</v>
      </c>
      <c r="V755" s="759">
        <v>0</v>
      </c>
      <c r="W755" s="759"/>
      <c r="X755" s="759">
        <v>0</v>
      </c>
      <c r="Y755" s="759">
        <v>0</v>
      </c>
      <c r="Z755" s="759">
        <f t="shared" si="79"/>
        <v>855370</v>
      </c>
      <c r="AA755" s="759">
        <v>171074</v>
      </c>
      <c r="AB755" s="759">
        <v>0</v>
      </c>
      <c r="AC755" s="759">
        <v>0</v>
      </c>
      <c r="AD755" s="759">
        <v>0</v>
      </c>
      <c r="AE755" s="759">
        <v>0</v>
      </c>
    </row>
    <row r="756" spans="1:31" ht="15.75">
      <c r="A756" s="758">
        <v>520</v>
      </c>
      <c r="B756" s="759">
        <v>2100820</v>
      </c>
      <c r="C756" s="760">
        <v>41247</v>
      </c>
      <c r="D756" s="759" t="s">
        <v>1095</v>
      </c>
      <c r="E756" s="759" t="s">
        <v>1568</v>
      </c>
      <c r="F756" s="759" t="s">
        <v>1097</v>
      </c>
      <c r="G756" s="759">
        <f t="shared" si="76"/>
        <v>50004</v>
      </c>
      <c r="H756" s="785">
        <v>0</v>
      </c>
      <c r="I756" s="785">
        <v>0</v>
      </c>
      <c r="J756" s="759">
        <f t="shared" si="77"/>
        <v>41670</v>
      </c>
      <c r="K756" s="782">
        <v>8334</v>
      </c>
      <c r="L756" s="785">
        <v>0</v>
      </c>
      <c r="M756" s="785">
        <v>0</v>
      </c>
      <c r="N756" s="762">
        <v>1575</v>
      </c>
      <c r="O756" s="763">
        <v>5929780</v>
      </c>
      <c r="P756" s="764">
        <v>41253</v>
      </c>
      <c r="Q756" s="763" t="s">
        <v>1623</v>
      </c>
      <c r="R756" s="763" t="s">
        <v>1096</v>
      </c>
      <c r="S756" s="763" t="s">
        <v>1430</v>
      </c>
      <c r="T756" s="763">
        <f t="shared" si="78"/>
        <v>1309002</v>
      </c>
      <c r="U756" s="763">
        <v>0</v>
      </c>
      <c r="V756" s="763">
        <v>0</v>
      </c>
      <c r="W756" s="763"/>
      <c r="X756" s="763">
        <v>0</v>
      </c>
      <c r="Y756" s="763">
        <v>0</v>
      </c>
      <c r="Z756" s="763">
        <f t="shared" si="79"/>
        <v>1090835</v>
      </c>
      <c r="AA756" s="763">
        <v>218167</v>
      </c>
      <c r="AB756" s="763">
        <v>0</v>
      </c>
      <c r="AC756" s="763">
        <v>0</v>
      </c>
      <c r="AD756" s="763">
        <v>0</v>
      </c>
      <c r="AE756" s="763">
        <v>0</v>
      </c>
    </row>
    <row r="757" spans="1:31" ht="15.75">
      <c r="A757" s="758">
        <v>521</v>
      </c>
      <c r="B757" s="759">
        <v>2100821</v>
      </c>
      <c r="C757" s="760">
        <v>41248</v>
      </c>
      <c r="D757" s="759" t="s">
        <v>1111</v>
      </c>
      <c r="E757" s="759" t="s">
        <v>1096</v>
      </c>
      <c r="F757" s="759"/>
      <c r="G757" s="759">
        <f t="shared" si="76"/>
        <v>646272</v>
      </c>
      <c r="H757" s="785">
        <v>0</v>
      </c>
      <c r="I757" s="785">
        <v>0</v>
      </c>
      <c r="J757" s="759">
        <f t="shared" si="77"/>
        <v>538560</v>
      </c>
      <c r="K757" s="782">
        <v>107712</v>
      </c>
      <c r="L757" s="785">
        <v>0</v>
      </c>
      <c r="M757" s="785">
        <v>0</v>
      </c>
      <c r="N757" s="762">
        <v>1588</v>
      </c>
      <c r="O757" s="763">
        <v>5929793</v>
      </c>
      <c r="P757" s="763" t="s">
        <v>1697</v>
      </c>
      <c r="Q757" s="763" t="s">
        <v>1623</v>
      </c>
      <c r="R757" s="763" t="s">
        <v>1096</v>
      </c>
      <c r="S757" s="763" t="s">
        <v>1430</v>
      </c>
      <c r="T757" s="763">
        <f t="shared" si="78"/>
        <v>1398384</v>
      </c>
      <c r="U757" s="763">
        <v>0</v>
      </c>
      <c r="V757" s="763">
        <v>0</v>
      </c>
      <c r="W757" s="763"/>
      <c r="X757" s="763">
        <v>0</v>
      </c>
      <c r="Y757" s="763">
        <v>0</v>
      </c>
      <c r="Z757" s="763">
        <f t="shared" si="79"/>
        <v>1165320</v>
      </c>
      <c r="AA757" s="763">
        <v>233064</v>
      </c>
      <c r="AB757" s="763">
        <v>0</v>
      </c>
      <c r="AC757" s="763">
        <v>0</v>
      </c>
      <c r="AD757" s="763">
        <v>0</v>
      </c>
      <c r="AE757" s="763">
        <v>0</v>
      </c>
    </row>
    <row r="758" spans="1:31" ht="15.75">
      <c r="A758" s="762">
        <v>522</v>
      </c>
      <c r="B758" s="763">
        <v>2100822</v>
      </c>
      <c r="C758" s="764">
        <v>41249</v>
      </c>
      <c r="D758" s="763" t="s">
        <v>1193</v>
      </c>
      <c r="E758" s="763" t="s">
        <v>1096</v>
      </c>
      <c r="F758" s="763" t="s">
        <v>1194</v>
      </c>
      <c r="G758" s="763">
        <f t="shared" si="76"/>
        <v>37398</v>
      </c>
      <c r="H758" s="785">
        <v>0</v>
      </c>
      <c r="I758" s="785">
        <v>0</v>
      </c>
      <c r="J758" s="763">
        <f t="shared" si="77"/>
        <v>31165</v>
      </c>
      <c r="K758" s="783">
        <v>6233</v>
      </c>
      <c r="L758" s="785">
        <v>0</v>
      </c>
      <c r="M758" s="785">
        <v>0</v>
      </c>
      <c r="N758" s="762">
        <v>1596</v>
      </c>
      <c r="O758" s="763">
        <v>5929801</v>
      </c>
      <c r="P758" s="763" t="s">
        <v>1700</v>
      </c>
      <c r="Q758" s="763" t="s">
        <v>1623</v>
      </c>
      <c r="R758" s="763" t="s">
        <v>1096</v>
      </c>
      <c r="S758" s="763" t="s">
        <v>1430</v>
      </c>
      <c r="T758" s="763">
        <f t="shared" si="78"/>
        <v>2331702</v>
      </c>
      <c r="U758" s="763">
        <v>0</v>
      </c>
      <c r="V758" s="763">
        <v>0</v>
      </c>
      <c r="W758" s="763"/>
      <c r="X758" s="763">
        <v>0</v>
      </c>
      <c r="Y758" s="763">
        <v>0</v>
      </c>
      <c r="Z758" s="763">
        <f t="shared" si="79"/>
        <v>1943085</v>
      </c>
      <c r="AA758" s="763">
        <v>388617</v>
      </c>
      <c r="AB758" s="763">
        <v>0</v>
      </c>
      <c r="AC758" s="763">
        <v>0</v>
      </c>
      <c r="AD758" s="763">
        <v>0</v>
      </c>
      <c r="AE758" s="763">
        <v>0</v>
      </c>
    </row>
    <row r="759" spans="1:31" ht="15.75">
      <c r="A759" s="762">
        <v>523</v>
      </c>
      <c r="B759" s="763">
        <v>2100823</v>
      </c>
      <c r="C759" s="764">
        <v>41249</v>
      </c>
      <c r="D759" s="763" t="s">
        <v>1346</v>
      </c>
      <c r="E759" s="763" t="s">
        <v>1096</v>
      </c>
      <c r="F759" s="763" t="s">
        <v>1184</v>
      </c>
      <c r="G759" s="763">
        <f t="shared" si="76"/>
        <v>63582</v>
      </c>
      <c r="H759" s="785">
        <v>0</v>
      </c>
      <c r="I759" s="785">
        <v>0</v>
      </c>
      <c r="J759" s="763">
        <f t="shared" si="77"/>
        <v>52985</v>
      </c>
      <c r="K759" s="783">
        <v>10597</v>
      </c>
      <c r="L759" s="785">
        <v>0</v>
      </c>
      <c r="M759" s="785">
        <v>0</v>
      </c>
      <c r="N759" s="762">
        <v>1605</v>
      </c>
      <c r="O759" s="763">
        <v>5929810</v>
      </c>
      <c r="P759" s="763" t="s">
        <v>1702</v>
      </c>
      <c r="Q759" s="763" t="s">
        <v>1623</v>
      </c>
      <c r="R759" s="763" t="s">
        <v>1096</v>
      </c>
      <c r="S759" s="763" t="s">
        <v>1430</v>
      </c>
      <c r="T759" s="763">
        <f t="shared" si="78"/>
        <v>1004376</v>
      </c>
      <c r="U759" s="763">
        <v>0</v>
      </c>
      <c r="V759" s="763">
        <v>0</v>
      </c>
      <c r="W759" s="763"/>
      <c r="X759" s="763">
        <v>0</v>
      </c>
      <c r="Y759" s="763">
        <v>0</v>
      </c>
      <c r="Z759" s="763">
        <f t="shared" si="79"/>
        <v>836980</v>
      </c>
      <c r="AA759" s="763">
        <v>167396</v>
      </c>
      <c r="AB759" s="763">
        <v>0</v>
      </c>
      <c r="AC759" s="763">
        <v>0</v>
      </c>
      <c r="AD759" s="763">
        <v>0</v>
      </c>
      <c r="AE759" s="763">
        <v>0</v>
      </c>
    </row>
    <row r="760" spans="1:31" ht="15.75">
      <c r="A760" s="784">
        <v>524</v>
      </c>
      <c r="B760" s="785">
        <v>2100824</v>
      </c>
      <c r="C760" s="764">
        <v>41249</v>
      </c>
      <c r="D760" s="763" t="s">
        <v>1623</v>
      </c>
      <c r="E760" s="763" t="s">
        <v>1096</v>
      </c>
      <c r="F760" s="763" t="s">
        <v>1430</v>
      </c>
      <c r="G760" s="785">
        <f t="shared" si="76"/>
        <v>238002</v>
      </c>
      <c r="H760" s="785">
        <v>0</v>
      </c>
      <c r="I760" s="785">
        <v>0</v>
      </c>
      <c r="J760" s="785">
        <f t="shared" si="77"/>
        <v>198335</v>
      </c>
      <c r="K760" s="786">
        <v>39667</v>
      </c>
      <c r="L760" s="785">
        <v>0</v>
      </c>
      <c r="M760" s="785">
        <v>0</v>
      </c>
      <c r="N760" s="784">
        <v>1609</v>
      </c>
      <c r="O760" s="785">
        <v>5929814</v>
      </c>
      <c r="P760" s="785" t="s">
        <v>1703</v>
      </c>
      <c r="Q760" s="763" t="s">
        <v>1623</v>
      </c>
      <c r="R760" s="763" t="s">
        <v>1096</v>
      </c>
      <c r="S760" s="763" t="s">
        <v>1430</v>
      </c>
      <c r="T760" s="763">
        <f t="shared" si="78"/>
        <v>1030746</v>
      </c>
      <c r="U760" s="763">
        <v>0</v>
      </c>
      <c r="V760" s="763">
        <v>0</v>
      </c>
      <c r="W760" s="763"/>
      <c r="X760" s="763">
        <v>0</v>
      </c>
      <c r="Y760" s="763">
        <v>0</v>
      </c>
      <c r="Z760" s="763">
        <f t="shared" si="79"/>
        <v>858955</v>
      </c>
      <c r="AA760" s="763">
        <v>171791</v>
      </c>
      <c r="AB760" s="763">
        <v>0</v>
      </c>
      <c r="AC760" s="763">
        <v>0</v>
      </c>
      <c r="AD760" s="763">
        <v>0</v>
      </c>
      <c r="AE760" s="763">
        <v>0</v>
      </c>
    </row>
    <row r="761" spans="1:31" ht="15.75">
      <c r="A761" s="784">
        <v>525</v>
      </c>
      <c r="B761" s="785">
        <v>2100825</v>
      </c>
      <c r="C761" s="1023">
        <v>41250</v>
      </c>
      <c r="D761" s="759" t="s">
        <v>1661</v>
      </c>
      <c r="E761" s="759" t="s">
        <v>1096</v>
      </c>
      <c r="F761" s="759" t="s">
        <v>1124</v>
      </c>
      <c r="G761" s="785">
        <f t="shared" si="76"/>
        <v>123228</v>
      </c>
      <c r="H761" s="785">
        <v>0</v>
      </c>
      <c r="I761" s="785">
        <v>0</v>
      </c>
      <c r="J761" s="785">
        <f t="shared" si="77"/>
        <v>102690</v>
      </c>
      <c r="K761" s="786">
        <v>20538</v>
      </c>
      <c r="L761" s="785">
        <v>0</v>
      </c>
      <c r="M761" s="785">
        <v>0</v>
      </c>
      <c r="N761" s="784">
        <v>76</v>
      </c>
      <c r="O761" s="785">
        <v>88853278</v>
      </c>
      <c r="P761" s="1023">
        <v>41274</v>
      </c>
      <c r="Q761" s="763" t="s">
        <v>1717</v>
      </c>
      <c r="R761" s="763" t="s">
        <v>1096</v>
      </c>
      <c r="S761" s="763" t="s">
        <v>1659</v>
      </c>
      <c r="T761" s="763">
        <f>Z761+AA761</f>
        <v>7845895</v>
      </c>
      <c r="U761" s="763"/>
      <c r="V761" s="763"/>
      <c r="W761" s="763"/>
      <c r="X761" s="763"/>
      <c r="Y761" s="763"/>
      <c r="Z761" s="763">
        <v>6538246</v>
      </c>
      <c r="AA761" s="763">
        <v>1307649</v>
      </c>
      <c r="AB761" s="763"/>
      <c r="AC761" s="763"/>
      <c r="AD761" s="763"/>
      <c r="AE761" s="763"/>
    </row>
    <row r="762" spans="1:31" ht="15.75">
      <c r="A762" s="784">
        <v>526</v>
      </c>
      <c r="B762" s="785">
        <v>2100826</v>
      </c>
      <c r="C762" s="1023">
        <v>41250</v>
      </c>
      <c r="D762" s="785" t="s">
        <v>1196</v>
      </c>
      <c r="E762" s="785" t="s">
        <v>1096</v>
      </c>
      <c r="F762" s="785" t="s">
        <v>1197</v>
      </c>
      <c r="G762" s="785">
        <f t="shared" si="76"/>
        <v>48618</v>
      </c>
      <c r="H762" s="785">
        <v>0</v>
      </c>
      <c r="I762" s="785">
        <v>0</v>
      </c>
      <c r="J762" s="785">
        <f t="shared" si="77"/>
        <v>40515</v>
      </c>
      <c r="K762" s="786">
        <v>8103</v>
      </c>
      <c r="L762" s="785">
        <v>0</v>
      </c>
      <c r="M762" s="785">
        <v>0</v>
      </c>
      <c r="N762" s="784">
        <v>1638</v>
      </c>
      <c r="O762" s="785">
        <v>5929843</v>
      </c>
      <c r="P762" s="785" t="s">
        <v>1715</v>
      </c>
      <c r="Q762" s="763" t="s">
        <v>1623</v>
      </c>
      <c r="R762" s="763" t="s">
        <v>1096</v>
      </c>
      <c r="S762" s="763" t="s">
        <v>1430</v>
      </c>
      <c r="T762" s="763">
        <f t="shared" si="78"/>
        <v>1214562</v>
      </c>
      <c r="U762" s="763">
        <v>0</v>
      </c>
      <c r="V762" s="763">
        <v>0</v>
      </c>
      <c r="W762" s="763"/>
      <c r="X762" s="763">
        <v>0</v>
      </c>
      <c r="Y762" s="763">
        <v>0</v>
      </c>
      <c r="Z762" s="763">
        <f t="shared" si="79"/>
        <v>1012135</v>
      </c>
      <c r="AA762" s="763">
        <v>202427</v>
      </c>
      <c r="AB762" s="763">
        <v>0</v>
      </c>
      <c r="AC762" s="763">
        <v>0</v>
      </c>
      <c r="AD762" s="763">
        <v>0</v>
      </c>
      <c r="AE762" s="763">
        <v>0</v>
      </c>
    </row>
    <row r="763" spans="1:31" ht="16.5" thickBot="1">
      <c r="A763" s="784">
        <v>527</v>
      </c>
      <c r="B763" s="785">
        <v>2100827</v>
      </c>
      <c r="C763" s="1023">
        <v>41250</v>
      </c>
      <c r="D763" s="759" t="s">
        <v>1661</v>
      </c>
      <c r="E763" s="759" t="s">
        <v>1096</v>
      </c>
      <c r="F763" s="759" t="s">
        <v>1124</v>
      </c>
      <c r="G763" s="785">
        <f t="shared" si="76"/>
        <v>26892</v>
      </c>
      <c r="H763" s="785">
        <v>0</v>
      </c>
      <c r="I763" s="785">
        <v>0</v>
      </c>
      <c r="J763" s="785">
        <f t="shared" si="77"/>
        <v>22410</v>
      </c>
      <c r="K763" s="786">
        <v>4482</v>
      </c>
      <c r="L763" s="785">
        <v>0</v>
      </c>
      <c r="M763" s="785">
        <v>0</v>
      </c>
      <c r="N763" s="784">
        <v>71</v>
      </c>
      <c r="O763" s="785">
        <v>2110336</v>
      </c>
      <c r="P763" s="785" t="s">
        <v>1718</v>
      </c>
      <c r="Q763" s="785" t="s">
        <v>1719</v>
      </c>
      <c r="R763" s="785" t="s">
        <v>1096</v>
      </c>
      <c r="S763" s="785" t="s">
        <v>1528</v>
      </c>
      <c r="T763" s="763">
        <f t="shared" si="78"/>
        <v>4523394</v>
      </c>
      <c r="U763" s="763">
        <v>0</v>
      </c>
      <c r="V763" s="763">
        <v>0</v>
      </c>
      <c r="W763" s="763"/>
      <c r="X763" s="763">
        <v>0</v>
      </c>
      <c r="Y763" s="763">
        <v>0</v>
      </c>
      <c r="Z763" s="763">
        <f t="shared" si="79"/>
        <v>3769495</v>
      </c>
      <c r="AA763" s="763">
        <v>753899</v>
      </c>
      <c r="AB763" s="763">
        <v>0</v>
      </c>
      <c r="AC763" s="763">
        <v>0</v>
      </c>
      <c r="AD763" s="763">
        <v>0</v>
      </c>
      <c r="AE763" s="763">
        <v>0</v>
      </c>
    </row>
    <row r="764" spans="1:31" ht="16.5" thickBot="1">
      <c r="A764" s="784">
        <v>528</v>
      </c>
      <c r="B764" s="785">
        <v>2100828</v>
      </c>
      <c r="C764" s="1023">
        <v>41250</v>
      </c>
      <c r="D764" s="785" t="s">
        <v>1106</v>
      </c>
      <c r="E764" s="785" t="s">
        <v>1096</v>
      </c>
      <c r="F764" s="785" t="s">
        <v>1107</v>
      </c>
      <c r="G764" s="785">
        <f t="shared" si="76"/>
        <v>7482</v>
      </c>
      <c r="H764" s="785">
        <v>0</v>
      </c>
      <c r="I764" s="785">
        <v>0</v>
      </c>
      <c r="J764" s="785">
        <f t="shared" si="77"/>
        <v>6235</v>
      </c>
      <c r="K764" s="786">
        <v>1247</v>
      </c>
      <c r="L764" s="785">
        <v>0</v>
      </c>
      <c r="M764" s="785">
        <v>0</v>
      </c>
      <c r="N764" s="1389" t="s">
        <v>822</v>
      </c>
      <c r="O764" s="1390"/>
      <c r="P764" s="1390"/>
      <c r="Q764" s="1390"/>
      <c r="R764" s="1390"/>
      <c r="S764" s="1391"/>
      <c r="T764" s="1016">
        <f>SUM(T751:T763)</f>
        <v>23966567</v>
      </c>
      <c r="U764" s="1016">
        <f>SUM(U751:U763)</f>
        <v>100</v>
      </c>
      <c r="V764" s="1016">
        <v>0</v>
      </c>
      <c r="W764" s="1016"/>
      <c r="X764" s="1016">
        <v>0</v>
      </c>
      <c r="Y764" s="1016">
        <v>0</v>
      </c>
      <c r="Z764" s="1016">
        <f>SUM(Z751:Z763)</f>
        <v>19972056</v>
      </c>
      <c r="AA764" s="1016">
        <f>SUM(AA751:AA763)</f>
        <v>3994411</v>
      </c>
      <c r="AB764" s="1016">
        <v>0</v>
      </c>
      <c r="AC764" s="1016">
        <v>0</v>
      </c>
      <c r="AD764" s="1016">
        <v>0</v>
      </c>
      <c r="AE764" s="1016">
        <v>0</v>
      </c>
    </row>
    <row r="765" spans="1:31" ht="16.5" thickBot="1">
      <c r="A765" s="784">
        <v>529</v>
      </c>
      <c r="B765" s="785">
        <v>2100829</v>
      </c>
      <c r="C765" s="1023">
        <v>41250</v>
      </c>
      <c r="D765" s="759" t="s">
        <v>1111</v>
      </c>
      <c r="E765" s="759" t="s">
        <v>1096</v>
      </c>
      <c r="F765" s="785"/>
      <c r="G765" s="785">
        <f t="shared" si="76"/>
        <v>645708</v>
      </c>
      <c r="H765" s="785">
        <v>0</v>
      </c>
      <c r="I765" s="785">
        <v>0</v>
      </c>
      <c r="J765" s="785">
        <f t="shared" si="77"/>
        <v>538090</v>
      </c>
      <c r="K765" s="786">
        <v>107618</v>
      </c>
      <c r="L765" s="785">
        <v>0</v>
      </c>
      <c r="M765" s="785">
        <v>0</v>
      </c>
      <c r="N765" s="1392" t="s">
        <v>823</v>
      </c>
      <c r="O765" s="1393"/>
      <c r="P765" s="1393"/>
      <c r="Q765" s="1393"/>
      <c r="R765" s="1393"/>
      <c r="S765" s="1393"/>
      <c r="T765" s="1393"/>
      <c r="U765" s="781" t="s">
        <v>830</v>
      </c>
      <c r="V765" s="781" t="s">
        <v>831</v>
      </c>
      <c r="W765" s="781" t="s">
        <v>832</v>
      </c>
      <c r="X765" s="781" t="s">
        <v>833</v>
      </c>
      <c r="Y765" s="781" t="s">
        <v>834</v>
      </c>
      <c r="Z765" s="781" t="s">
        <v>849</v>
      </c>
      <c r="AA765" s="781" t="s">
        <v>850</v>
      </c>
      <c r="AB765" s="781" t="s">
        <v>851</v>
      </c>
      <c r="AC765" s="781" t="s">
        <v>852</v>
      </c>
      <c r="AD765" s="781" t="s">
        <v>853</v>
      </c>
      <c r="AE765" s="766" t="s">
        <v>854</v>
      </c>
    </row>
    <row r="766" spans="1:31" ht="15.75">
      <c r="A766" s="784">
        <v>530</v>
      </c>
      <c r="B766" s="785">
        <v>2100830</v>
      </c>
      <c r="C766" s="1023">
        <v>41251</v>
      </c>
      <c r="D766" s="785" t="s">
        <v>1623</v>
      </c>
      <c r="E766" s="785" t="s">
        <v>1096</v>
      </c>
      <c r="F766" s="785" t="s">
        <v>1430</v>
      </c>
      <c r="G766" s="785">
        <f t="shared" si="76"/>
        <v>314460</v>
      </c>
      <c r="H766" s="785">
        <v>0</v>
      </c>
      <c r="I766" s="785">
        <v>0</v>
      </c>
      <c r="J766" s="785">
        <f t="shared" si="77"/>
        <v>262050</v>
      </c>
      <c r="K766" s="786">
        <v>52410</v>
      </c>
      <c r="L766" s="785">
        <v>0</v>
      </c>
      <c r="M766" s="785">
        <v>0</v>
      </c>
      <c r="N766" s="731"/>
      <c r="O766" s="731"/>
      <c r="P766" s="731"/>
      <c r="Q766" s="731"/>
      <c r="R766" s="731"/>
      <c r="S766" s="731"/>
      <c r="T766" s="731"/>
      <c r="U766" s="731"/>
      <c r="V766" s="731"/>
      <c r="W766" s="731"/>
      <c r="X766" s="731"/>
      <c r="Y766" s="731"/>
      <c r="Z766" s="731"/>
      <c r="AA766" s="731"/>
      <c r="AB766" s="731"/>
      <c r="AC766" s="731"/>
      <c r="AD766" s="731"/>
      <c r="AE766" s="731"/>
    </row>
    <row r="767" spans="1:31" ht="15.75">
      <c r="A767" s="784">
        <v>531</v>
      </c>
      <c r="B767" s="785">
        <v>2100831</v>
      </c>
      <c r="C767" s="1023">
        <v>41252</v>
      </c>
      <c r="D767" s="785" t="s">
        <v>1620</v>
      </c>
      <c r="E767" s="785" t="s">
        <v>1450</v>
      </c>
      <c r="F767" s="785" t="s">
        <v>1621</v>
      </c>
      <c r="G767" s="785">
        <f t="shared" si="76"/>
        <v>130902</v>
      </c>
      <c r="H767" s="785">
        <v>0</v>
      </c>
      <c r="I767" s="785">
        <v>0</v>
      </c>
      <c r="J767" s="785">
        <f t="shared" si="77"/>
        <v>109085</v>
      </c>
      <c r="K767" s="786">
        <v>21817</v>
      </c>
      <c r="L767" s="785">
        <v>0</v>
      </c>
      <c r="M767" s="785">
        <v>0</v>
      </c>
      <c r="N767" s="731"/>
      <c r="O767" s="731"/>
      <c r="P767" s="731"/>
      <c r="Q767" s="731"/>
      <c r="R767" s="731"/>
      <c r="S767" s="731"/>
      <c r="T767" s="731"/>
      <c r="U767" s="731"/>
      <c r="V767" s="731"/>
      <c r="W767" s="731"/>
      <c r="X767" s="731"/>
      <c r="Y767" s="731"/>
      <c r="Z767" s="731"/>
      <c r="AA767" s="731"/>
      <c r="AB767" s="731"/>
      <c r="AC767" s="731"/>
      <c r="AD767" s="731"/>
      <c r="AE767" s="731"/>
    </row>
    <row r="768" spans="1:31" ht="15.75">
      <c r="A768" s="784">
        <v>532</v>
      </c>
      <c r="B768" s="785">
        <v>2100832</v>
      </c>
      <c r="C768" s="1023">
        <v>41253</v>
      </c>
      <c r="D768" s="785" t="s">
        <v>1692</v>
      </c>
      <c r="E768" s="785" t="s">
        <v>1096</v>
      </c>
      <c r="F768" s="785" t="s">
        <v>1693</v>
      </c>
      <c r="G768" s="785">
        <f t="shared" si="76"/>
        <v>187002</v>
      </c>
      <c r="H768" s="785">
        <v>0</v>
      </c>
      <c r="I768" s="785">
        <v>0</v>
      </c>
      <c r="J768" s="785">
        <f t="shared" si="77"/>
        <v>155835</v>
      </c>
      <c r="K768" s="786">
        <v>31167</v>
      </c>
      <c r="L768" s="785">
        <v>0</v>
      </c>
      <c r="M768" s="785">
        <v>0</v>
      </c>
      <c r="N768" s="731"/>
      <c r="O768" s="731"/>
      <c r="P768" s="731"/>
      <c r="Q768" s="731"/>
      <c r="R768" s="731"/>
      <c r="S768" s="731"/>
      <c r="T768" s="731"/>
      <c r="U768" s="731"/>
      <c r="V768" s="731"/>
      <c r="W768" s="731"/>
      <c r="X768" s="731"/>
      <c r="Y768" s="731"/>
      <c r="Z768" s="731"/>
      <c r="AA768" s="731"/>
      <c r="AB768" s="731"/>
      <c r="AC768" s="731"/>
      <c r="AD768" s="1017" t="s">
        <v>1120</v>
      </c>
      <c r="AE768" s="731"/>
    </row>
    <row r="769" spans="1:31" ht="15.75">
      <c r="A769" s="784">
        <v>533</v>
      </c>
      <c r="B769" s="785">
        <v>2100833</v>
      </c>
      <c r="C769" s="1023">
        <v>41253</v>
      </c>
      <c r="D769" s="785" t="s">
        <v>1689</v>
      </c>
      <c r="E769" s="785" t="s">
        <v>1096</v>
      </c>
      <c r="F769" s="785" t="s">
        <v>1690</v>
      </c>
      <c r="G769" s="785">
        <f t="shared" si="76"/>
        <v>503028</v>
      </c>
      <c r="H769" s="785">
        <v>0</v>
      </c>
      <c r="I769" s="785">
        <v>0</v>
      </c>
      <c r="J769" s="785">
        <f t="shared" si="77"/>
        <v>419190</v>
      </c>
      <c r="K769" s="786">
        <v>83838</v>
      </c>
      <c r="L769" s="785">
        <v>0</v>
      </c>
      <c r="M769" s="785">
        <v>0</v>
      </c>
      <c r="N769" s="731"/>
      <c r="O769" s="731"/>
      <c r="P769" s="731"/>
      <c r="Q769" s="731"/>
      <c r="R769" s="731"/>
      <c r="S769" s="731"/>
      <c r="T769" s="731"/>
      <c r="U769" s="731"/>
      <c r="V769" s="731"/>
      <c r="W769" s="731"/>
      <c r="X769" s="731"/>
      <c r="Y769" s="731"/>
      <c r="Z769" s="731"/>
      <c r="AA769" s="731"/>
      <c r="AB769" s="731"/>
      <c r="AC769" s="731"/>
      <c r="AD769" s="731" t="s">
        <v>1270</v>
      </c>
      <c r="AE769" s="731"/>
    </row>
    <row r="770" spans="1:31" ht="15.75">
      <c r="A770" s="784">
        <v>534</v>
      </c>
      <c r="B770" s="785">
        <v>2100834</v>
      </c>
      <c r="C770" s="1023">
        <v>41254</v>
      </c>
      <c r="D770" s="785" t="s">
        <v>1694</v>
      </c>
      <c r="E770" s="785" t="s">
        <v>1096</v>
      </c>
      <c r="F770" s="785" t="s">
        <v>1695</v>
      </c>
      <c r="G770" s="785">
        <f t="shared" si="76"/>
        <v>243102</v>
      </c>
      <c r="H770" s="785">
        <v>0</v>
      </c>
      <c r="I770" s="785">
        <v>0</v>
      </c>
      <c r="J770" s="785">
        <f t="shared" si="77"/>
        <v>202585</v>
      </c>
      <c r="K770" s="786">
        <v>40517</v>
      </c>
      <c r="L770" s="785">
        <v>0</v>
      </c>
      <c r="M770" s="785">
        <v>0</v>
      </c>
      <c r="N770" s="731" t="s">
        <v>856</v>
      </c>
      <c r="O770" s="731"/>
      <c r="P770" s="731"/>
      <c r="Q770" s="731"/>
      <c r="R770" s="731"/>
      <c r="S770" s="731"/>
      <c r="T770" s="731"/>
      <c r="U770" s="731"/>
      <c r="V770" s="731"/>
      <c r="W770" s="731"/>
      <c r="X770" s="731"/>
      <c r="Y770" s="731"/>
      <c r="Z770" s="731"/>
      <c r="AA770" s="731"/>
      <c r="AB770" s="731"/>
      <c r="AC770" s="731"/>
      <c r="AD770" s="731"/>
      <c r="AE770" s="731"/>
    </row>
    <row r="771" spans="1:31" ht="15.75">
      <c r="A771" s="784">
        <v>535</v>
      </c>
      <c r="B771" s="785">
        <v>2100835</v>
      </c>
      <c r="C771" s="1023">
        <v>41255</v>
      </c>
      <c r="D771" s="785" t="s">
        <v>1111</v>
      </c>
      <c r="E771" s="785" t="s">
        <v>1096</v>
      </c>
      <c r="F771" s="785"/>
      <c r="G771" s="785">
        <f t="shared" si="76"/>
        <v>1107042</v>
      </c>
      <c r="H771" s="785">
        <v>0</v>
      </c>
      <c r="I771" s="785">
        <v>0</v>
      </c>
      <c r="J771" s="785">
        <f t="shared" si="77"/>
        <v>922535</v>
      </c>
      <c r="K771" s="786">
        <v>184507</v>
      </c>
      <c r="L771" s="785">
        <v>0</v>
      </c>
      <c r="M771" s="785">
        <v>0</v>
      </c>
      <c r="N771" s="731" t="s">
        <v>848</v>
      </c>
      <c r="O771" s="731"/>
      <c r="P771" s="731"/>
      <c r="Q771" s="731"/>
      <c r="R771" s="731"/>
      <c r="S771" s="731"/>
      <c r="T771" s="731"/>
      <c r="U771" s="731"/>
      <c r="V771" s="731"/>
      <c r="W771" s="731"/>
      <c r="X771" s="731"/>
      <c r="Y771" s="731"/>
      <c r="Z771" s="731"/>
      <c r="AA771" s="731"/>
      <c r="AB771" s="731"/>
      <c r="AC771" s="731"/>
      <c r="AD771" s="731"/>
      <c r="AE771" s="731"/>
    </row>
    <row r="772" spans="1:15" ht="15.75">
      <c r="A772" s="784">
        <v>536</v>
      </c>
      <c r="B772" s="785">
        <v>2100836</v>
      </c>
      <c r="C772" s="1023">
        <v>41255</v>
      </c>
      <c r="D772" s="785" t="s">
        <v>1095</v>
      </c>
      <c r="E772" s="785" t="s">
        <v>1568</v>
      </c>
      <c r="F772" s="785" t="s">
        <v>1097</v>
      </c>
      <c r="G772" s="785">
        <f t="shared" si="76"/>
        <v>46506</v>
      </c>
      <c r="H772" s="785">
        <v>0</v>
      </c>
      <c r="I772" s="785">
        <v>0</v>
      </c>
      <c r="J772" s="785">
        <f t="shared" si="77"/>
        <v>38755</v>
      </c>
      <c r="K772" s="786">
        <v>7751</v>
      </c>
      <c r="L772" s="785">
        <v>0</v>
      </c>
      <c r="M772" s="785">
        <v>0</v>
      </c>
      <c r="N772" s="731" t="s">
        <v>855</v>
      </c>
      <c r="O772"/>
    </row>
    <row r="773" spans="1:13" ht="15.75">
      <c r="A773" s="784">
        <v>537</v>
      </c>
      <c r="B773" s="785">
        <v>2100837</v>
      </c>
      <c r="C773" s="1023">
        <v>41255</v>
      </c>
      <c r="D773" s="785" t="s">
        <v>1471</v>
      </c>
      <c r="E773" s="785" t="s">
        <v>1096</v>
      </c>
      <c r="F773" s="785" t="s">
        <v>1164</v>
      </c>
      <c r="G773" s="785">
        <f t="shared" si="76"/>
        <v>66600</v>
      </c>
      <c r="H773" s="785">
        <v>0</v>
      </c>
      <c r="I773" s="785">
        <v>0</v>
      </c>
      <c r="J773" s="785">
        <f t="shared" si="77"/>
        <v>55500</v>
      </c>
      <c r="K773" s="786">
        <v>11100</v>
      </c>
      <c r="L773" s="785">
        <v>0</v>
      </c>
      <c r="M773" s="785">
        <v>0</v>
      </c>
    </row>
    <row r="774" spans="1:13" ht="15.75">
      <c r="A774" s="784">
        <v>538</v>
      </c>
      <c r="B774" s="785">
        <v>2100838</v>
      </c>
      <c r="C774" s="1023" t="s">
        <v>1696</v>
      </c>
      <c r="D774" s="785" t="s">
        <v>1128</v>
      </c>
      <c r="E774" s="785" t="s">
        <v>1096</v>
      </c>
      <c r="F774" s="785" t="s">
        <v>1129</v>
      </c>
      <c r="G774" s="785">
        <f t="shared" si="76"/>
        <v>18702</v>
      </c>
      <c r="H774" s="785">
        <v>0</v>
      </c>
      <c r="I774" s="785">
        <v>0</v>
      </c>
      <c r="J774" s="785">
        <f t="shared" si="77"/>
        <v>15585</v>
      </c>
      <c r="K774" s="786">
        <v>3117</v>
      </c>
      <c r="L774" s="785">
        <v>0</v>
      </c>
      <c r="M774" s="785">
        <v>0</v>
      </c>
    </row>
    <row r="775" spans="1:13" ht="15.75">
      <c r="A775" s="784">
        <v>539</v>
      </c>
      <c r="B775" s="785">
        <v>2100839</v>
      </c>
      <c r="C775" s="1023" t="s">
        <v>1696</v>
      </c>
      <c r="D775" s="785" t="s">
        <v>1063</v>
      </c>
      <c r="E775" s="785" t="s">
        <v>1096</v>
      </c>
      <c r="F775" s="785" t="s">
        <v>1150</v>
      </c>
      <c r="G775" s="785">
        <f t="shared" si="76"/>
        <v>24312</v>
      </c>
      <c r="H775" s="785">
        <v>0</v>
      </c>
      <c r="I775" s="785">
        <v>0</v>
      </c>
      <c r="J775" s="785">
        <f t="shared" si="77"/>
        <v>20260</v>
      </c>
      <c r="K775" s="786">
        <v>4052</v>
      </c>
      <c r="L775" s="785">
        <v>0</v>
      </c>
      <c r="M775" s="785">
        <v>0</v>
      </c>
    </row>
    <row r="776" spans="1:13" ht="15.75">
      <c r="A776" s="784">
        <v>540</v>
      </c>
      <c r="B776" s="785">
        <v>2100840</v>
      </c>
      <c r="C776" s="1023" t="s">
        <v>1697</v>
      </c>
      <c r="D776" s="785" t="s">
        <v>1152</v>
      </c>
      <c r="E776" s="785" t="s">
        <v>1096</v>
      </c>
      <c r="F776" s="785" t="s">
        <v>1153</v>
      </c>
      <c r="G776" s="785">
        <f t="shared" si="76"/>
        <v>548382</v>
      </c>
      <c r="H776" s="785">
        <v>0</v>
      </c>
      <c r="I776" s="785">
        <v>0</v>
      </c>
      <c r="J776" s="785">
        <f t="shared" si="77"/>
        <v>456985</v>
      </c>
      <c r="K776" s="786">
        <v>91397</v>
      </c>
      <c r="L776" s="785">
        <v>0</v>
      </c>
      <c r="M776" s="785">
        <v>0</v>
      </c>
    </row>
    <row r="777" spans="1:13" ht="15.75">
      <c r="A777" s="784">
        <v>541</v>
      </c>
      <c r="B777" s="785">
        <v>2100841</v>
      </c>
      <c r="C777" s="1023" t="s">
        <v>1697</v>
      </c>
      <c r="D777" s="785" t="s">
        <v>1398</v>
      </c>
      <c r="E777" s="785" t="s">
        <v>1096</v>
      </c>
      <c r="F777" s="785" t="s">
        <v>1186</v>
      </c>
      <c r="G777" s="785">
        <f t="shared" si="76"/>
        <v>19998</v>
      </c>
      <c r="H777" s="785">
        <v>0</v>
      </c>
      <c r="I777" s="785">
        <v>0</v>
      </c>
      <c r="J777" s="785">
        <f t="shared" si="77"/>
        <v>16665</v>
      </c>
      <c r="K777" s="786">
        <v>3333</v>
      </c>
      <c r="L777" s="785">
        <v>0</v>
      </c>
      <c r="M777" s="785">
        <v>0</v>
      </c>
    </row>
    <row r="778" spans="1:13" ht="15.75">
      <c r="A778" s="784">
        <v>542</v>
      </c>
      <c r="B778" s="785">
        <v>2100842</v>
      </c>
      <c r="C778" s="1023" t="s">
        <v>1698</v>
      </c>
      <c r="D778" s="785" t="s">
        <v>1111</v>
      </c>
      <c r="E778" s="785" t="s">
        <v>1096</v>
      </c>
      <c r="F778" s="785"/>
      <c r="G778" s="785">
        <f t="shared" si="76"/>
        <v>851784</v>
      </c>
      <c r="H778" s="785">
        <v>0</v>
      </c>
      <c r="I778" s="785">
        <v>0</v>
      </c>
      <c r="J778" s="785">
        <f t="shared" si="77"/>
        <v>709820</v>
      </c>
      <c r="K778" s="786">
        <v>141964</v>
      </c>
      <c r="L778" s="785">
        <v>0</v>
      </c>
      <c r="M778" s="785">
        <v>0</v>
      </c>
    </row>
    <row r="779" spans="1:13" ht="15.75">
      <c r="A779" s="784">
        <v>543</v>
      </c>
      <c r="B779" s="785">
        <v>2100843</v>
      </c>
      <c r="C779" s="1023" t="s">
        <v>1699</v>
      </c>
      <c r="D779" s="785" t="s">
        <v>1118</v>
      </c>
      <c r="E779" s="785" t="s">
        <v>1096</v>
      </c>
      <c r="F779" s="785" t="s">
        <v>1119</v>
      </c>
      <c r="G779" s="785">
        <f t="shared" si="76"/>
        <v>233142</v>
      </c>
      <c r="H779" s="785">
        <v>0</v>
      </c>
      <c r="I779" s="785">
        <v>0</v>
      </c>
      <c r="J779" s="785">
        <f t="shared" si="77"/>
        <v>194285</v>
      </c>
      <c r="K779" s="786">
        <v>38857</v>
      </c>
      <c r="L779" s="785">
        <v>0</v>
      </c>
      <c r="M779" s="785">
        <v>0</v>
      </c>
    </row>
    <row r="780" spans="1:13" ht="15.75">
      <c r="A780" s="784">
        <v>544</v>
      </c>
      <c r="B780" s="785">
        <v>2100844</v>
      </c>
      <c r="C780" s="1023" t="s">
        <v>1700</v>
      </c>
      <c r="D780" s="785" t="s">
        <v>1095</v>
      </c>
      <c r="E780" s="785" t="s">
        <v>1568</v>
      </c>
      <c r="F780" s="785" t="s">
        <v>1097</v>
      </c>
      <c r="G780" s="785">
        <f t="shared" si="76"/>
        <v>42996</v>
      </c>
      <c r="H780" s="785">
        <v>0</v>
      </c>
      <c r="I780" s="785">
        <v>0</v>
      </c>
      <c r="J780" s="785">
        <f t="shared" si="77"/>
        <v>35830</v>
      </c>
      <c r="K780" s="786">
        <v>7166</v>
      </c>
      <c r="L780" s="785">
        <v>0</v>
      </c>
      <c r="M780" s="785">
        <v>0</v>
      </c>
    </row>
    <row r="781" spans="1:13" ht="15.75">
      <c r="A781" s="784">
        <v>545</v>
      </c>
      <c r="B781" s="785">
        <v>2100845</v>
      </c>
      <c r="C781" s="1023" t="s">
        <v>1700</v>
      </c>
      <c r="D781" s="785" t="s">
        <v>1137</v>
      </c>
      <c r="E781" s="785" t="s">
        <v>1096</v>
      </c>
      <c r="F781" s="785" t="s">
        <v>1138</v>
      </c>
      <c r="G781" s="785">
        <f t="shared" si="76"/>
        <v>14214</v>
      </c>
      <c r="H781" s="785">
        <v>0</v>
      </c>
      <c r="I781" s="785">
        <v>0</v>
      </c>
      <c r="J781" s="785">
        <f t="shared" si="77"/>
        <v>11845</v>
      </c>
      <c r="K781" s="786">
        <v>2369</v>
      </c>
      <c r="L781" s="785">
        <v>0</v>
      </c>
      <c r="M781" s="785">
        <v>0</v>
      </c>
    </row>
    <row r="782" spans="1:13" ht="15.75">
      <c r="A782" s="784">
        <v>546</v>
      </c>
      <c r="B782" s="785">
        <v>2100846</v>
      </c>
      <c r="C782" s="1023" t="s">
        <v>1701</v>
      </c>
      <c r="D782" s="785" t="s">
        <v>1620</v>
      </c>
      <c r="E782" s="785" t="s">
        <v>1450</v>
      </c>
      <c r="F782" s="785" t="s">
        <v>1621</v>
      </c>
      <c r="G782" s="785">
        <f t="shared" si="76"/>
        <v>120615</v>
      </c>
      <c r="H782" s="785">
        <v>0</v>
      </c>
      <c r="I782" s="785">
        <v>0</v>
      </c>
      <c r="J782" s="785">
        <f t="shared" si="77"/>
        <v>100512.5</v>
      </c>
      <c r="K782" s="786">
        <v>20102.5</v>
      </c>
      <c r="L782" s="785">
        <v>0</v>
      </c>
      <c r="M782" s="785">
        <v>0</v>
      </c>
    </row>
    <row r="783" spans="1:13" ht="15.75">
      <c r="A783" s="784">
        <v>547</v>
      </c>
      <c r="B783" s="785">
        <v>2100847</v>
      </c>
      <c r="C783" s="1023" t="s">
        <v>1701</v>
      </c>
      <c r="D783" s="785" t="s">
        <v>1146</v>
      </c>
      <c r="E783" s="785" t="s">
        <v>1096</v>
      </c>
      <c r="F783" s="785" t="s">
        <v>1147</v>
      </c>
      <c r="G783" s="785">
        <f t="shared" si="76"/>
        <v>110172</v>
      </c>
      <c r="H783" s="785">
        <v>0</v>
      </c>
      <c r="I783" s="785">
        <v>0</v>
      </c>
      <c r="J783" s="785">
        <f t="shared" si="77"/>
        <v>91810</v>
      </c>
      <c r="K783" s="786">
        <v>18362</v>
      </c>
      <c r="L783" s="785">
        <v>0</v>
      </c>
      <c r="M783" s="785">
        <v>0</v>
      </c>
    </row>
    <row r="784" spans="1:13" ht="15.75">
      <c r="A784" s="784">
        <v>548</v>
      </c>
      <c r="B784" s="785">
        <v>2100848</v>
      </c>
      <c r="C784" s="1023" t="s">
        <v>1702</v>
      </c>
      <c r="D784" s="785" t="s">
        <v>1128</v>
      </c>
      <c r="E784" s="785" t="s">
        <v>1096</v>
      </c>
      <c r="F784" s="785" t="s">
        <v>1129</v>
      </c>
      <c r="G784" s="785">
        <f t="shared" si="76"/>
        <v>28050</v>
      </c>
      <c r="H784" s="785">
        <v>0</v>
      </c>
      <c r="I784" s="785">
        <v>0</v>
      </c>
      <c r="J784" s="785">
        <f t="shared" si="77"/>
        <v>23375</v>
      </c>
      <c r="K784" s="786">
        <v>4675</v>
      </c>
      <c r="L784" s="785">
        <v>0</v>
      </c>
      <c r="M784" s="785">
        <v>0</v>
      </c>
    </row>
    <row r="785" spans="1:13" ht="15.75">
      <c r="A785" s="784">
        <v>549</v>
      </c>
      <c r="B785" s="785">
        <v>2100849</v>
      </c>
      <c r="C785" s="1023" t="s">
        <v>1703</v>
      </c>
      <c r="D785" s="785" t="s">
        <v>1111</v>
      </c>
      <c r="E785" s="785" t="s">
        <v>1096</v>
      </c>
      <c r="F785" s="785"/>
      <c r="G785" s="785">
        <f t="shared" si="76"/>
        <v>1034112</v>
      </c>
      <c r="H785" s="785">
        <v>0</v>
      </c>
      <c r="I785" s="785">
        <v>0</v>
      </c>
      <c r="J785" s="785">
        <f t="shared" si="77"/>
        <v>861760</v>
      </c>
      <c r="K785" s="786">
        <v>172352</v>
      </c>
      <c r="L785" s="785">
        <v>0</v>
      </c>
      <c r="M785" s="785">
        <v>0</v>
      </c>
    </row>
    <row r="786" spans="1:13" ht="15.75">
      <c r="A786" s="784">
        <v>550</v>
      </c>
      <c r="B786" s="785">
        <v>2100850</v>
      </c>
      <c r="C786" s="1023" t="s">
        <v>1703</v>
      </c>
      <c r="D786" s="785" t="s">
        <v>1704</v>
      </c>
      <c r="E786" s="785" t="s">
        <v>1096</v>
      </c>
      <c r="F786" s="785" t="s">
        <v>1705</v>
      </c>
      <c r="G786" s="785">
        <f t="shared" si="76"/>
        <v>11409</v>
      </c>
      <c r="H786" s="785">
        <v>0</v>
      </c>
      <c r="I786" s="785">
        <v>0</v>
      </c>
      <c r="J786" s="785">
        <f t="shared" si="77"/>
        <v>9507.5</v>
      </c>
      <c r="K786" s="786">
        <v>1901.5</v>
      </c>
      <c r="L786" s="785">
        <v>0</v>
      </c>
      <c r="M786" s="785">
        <v>0</v>
      </c>
    </row>
    <row r="787" spans="1:13" ht="15.75">
      <c r="A787" s="784">
        <v>551</v>
      </c>
      <c r="B787" s="785">
        <v>2100851</v>
      </c>
      <c r="C787" s="1023" t="s">
        <v>1706</v>
      </c>
      <c r="D787" s="785" t="s">
        <v>1707</v>
      </c>
      <c r="E787" s="785" t="s">
        <v>1096</v>
      </c>
      <c r="F787" s="785" t="s">
        <v>1708</v>
      </c>
      <c r="G787" s="785">
        <f t="shared" si="76"/>
        <v>200088</v>
      </c>
      <c r="H787" s="785">
        <v>0</v>
      </c>
      <c r="I787" s="785">
        <v>0</v>
      </c>
      <c r="J787" s="785">
        <f t="shared" si="77"/>
        <v>166740</v>
      </c>
      <c r="K787" s="786">
        <v>33348</v>
      </c>
      <c r="L787" s="785">
        <v>0</v>
      </c>
      <c r="M787" s="785">
        <v>0</v>
      </c>
    </row>
    <row r="788" spans="1:13" ht="15.75">
      <c r="A788" s="784">
        <v>552</v>
      </c>
      <c r="B788" s="785">
        <v>2100852</v>
      </c>
      <c r="C788" s="1023" t="s">
        <v>1709</v>
      </c>
      <c r="D788" s="785" t="s">
        <v>1623</v>
      </c>
      <c r="E788" s="785" t="s">
        <v>1096</v>
      </c>
      <c r="F788" s="785" t="s">
        <v>1430</v>
      </c>
      <c r="G788" s="785">
        <f t="shared" si="76"/>
        <v>716070</v>
      </c>
      <c r="H788" s="785">
        <v>0</v>
      </c>
      <c r="I788" s="785">
        <v>0</v>
      </c>
      <c r="J788" s="785">
        <f t="shared" si="77"/>
        <v>596725</v>
      </c>
      <c r="K788" s="786">
        <v>119345</v>
      </c>
      <c r="L788" s="785">
        <v>0</v>
      </c>
      <c r="M788" s="785">
        <v>0</v>
      </c>
    </row>
    <row r="789" spans="1:13" ht="15.75">
      <c r="A789" s="784">
        <v>553</v>
      </c>
      <c r="B789" s="785">
        <v>2100853</v>
      </c>
      <c r="C789" s="1023" t="s">
        <v>1710</v>
      </c>
      <c r="D789" s="785" t="s">
        <v>1673</v>
      </c>
      <c r="E789" s="785" t="s">
        <v>1096</v>
      </c>
      <c r="F789" s="785" t="s">
        <v>1711</v>
      </c>
      <c r="G789" s="785">
        <f t="shared" si="76"/>
        <v>115920</v>
      </c>
      <c r="H789" s="785">
        <v>0</v>
      </c>
      <c r="I789" s="785">
        <v>0</v>
      </c>
      <c r="J789" s="785">
        <f t="shared" si="77"/>
        <v>96600</v>
      </c>
      <c r="K789" s="786">
        <v>19320</v>
      </c>
      <c r="L789" s="785">
        <v>0</v>
      </c>
      <c r="M789" s="785">
        <v>0</v>
      </c>
    </row>
    <row r="790" spans="1:13" ht="15.75">
      <c r="A790" s="784">
        <v>554</v>
      </c>
      <c r="B790" s="785">
        <v>2100854</v>
      </c>
      <c r="C790" s="785" t="s">
        <v>1712</v>
      </c>
      <c r="D790" s="785" t="s">
        <v>1161</v>
      </c>
      <c r="E790" s="785" t="s">
        <v>1096</v>
      </c>
      <c r="F790" s="785" t="s">
        <v>1162</v>
      </c>
      <c r="G790" s="785">
        <f t="shared" si="76"/>
        <v>70038</v>
      </c>
      <c r="H790" s="785">
        <v>0</v>
      </c>
      <c r="I790" s="785">
        <v>0</v>
      </c>
      <c r="J790" s="785">
        <f t="shared" si="77"/>
        <v>58365</v>
      </c>
      <c r="K790" s="786">
        <v>11673</v>
      </c>
      <c r="L790" s="785">
        <v>0</v>
      </c>
      <c r="M790" s="785">
        <v>0</v>
      </c>
    </row>
    <row r="791" spans="1:13" ht="15.75">
      <c r="A791" s="784">
        <v>555</v>
      </c>
      <c r="B791" s="785">
        <v>2100855</v>
      </c>
      <c r="C791" s="1023" t="s">
        <v>1712</v>
      </c>
      <c r="D791" s="759" t="s">
        <v>1537</v>
      </c>
      <c r="E791" s="759" t="s">
        <v>1096</v>
      </c>
      <c r="F791" s="759" t="s">
        <v>1231</v>
      </c>
      <c r="G791" s="785">
        <f t="shared" si="76"/>
        <v>242055</v>
      </c>
      <c r="H791" s="785">
        <v>0</v>
      </c>
      <c r="I791" s="785">
        <v>0</v>
      </c>
      <c r="J791" s="785">
        <f t="shared" si="77"/>
        <v>201712.5</v>
      </c>
      <c r="K791" s="786">
        <v>40342.5</v>
      </c>
      <c r="L791" s="785">
        <v>0</v>
      </c>
      <c r="M791" s="785">
        <v>0</v>
      </c>
    </row>
    <row r="792" spans="1:13" ht="15.75">
      <c r="A792" s="784">
        <v>556</v>
      </c>
      <c r="B792" s="785">
        <v>2100856</v>
      </c>
      <c r="C792" s="1023" t="s">
        <v>1712</v>
      </c>
      <c r="D792" s="785" t="s">
        <v>1398</v>
      </c>
      <c r="E792" s="785" t="s">
        <v>1096</v>
      </c>
      <c r="F792" s="785" t="s">
        <v>1186</v>
      </c>
      <c r="G792" s="785">
        <f t="shared" si="76"/>
        <v>19998</v>
      </c>
      <c r="H792" s="785">
        <v>0</v>
      </c>
      <c r="I792" s="785">
        <v>0</v>
      </c>
      <c r="J792" s="785">
        <f t="shared" si="77"/>
        <v>16665</v>
      </c>
      <c r="K792" s="786">
        <v>3333</v>
      </c>
      <c r="L792" s="785">
        <v>0</v>
      </c>
      <c r="M792" s="785">
        <v>0</v>
      </c>
    </row>
    <row r="793" spans="1:13" ht="15.75">
      <c r="A793" s="784">
        <v>557</v>
      </c>
      <c r="B793" s="785">
        <v>2100857</v>
      </c>
      <c r="C793" s="1023" t="s">
        <v>1713</v>
      </c>
      <c r="D793" s="785" t="s">
        <v>1111</v>
      </c>
      <c r="E793" s="785" t="s">
        <v>1096</v>
      </c>
      <c r="F793" s="785"/>
      <c r="G793" s="785">
        <f t="shared" si="76"/>
        <v>796620</v>
      </c>
      <c r="H793" s="785">
        <v>0</v>
      </c>
      <c r="I793" s="785">
        <v>0</v>
      </c>
      <c r="J793" s="785">
        <f t="shared" si="77"/>
        <v>663850</v>
      </c>
      <c r="K793" s="786">
        <v>132770</v>
      </c>
      <c r="L793" s="785">
        <v>0</v>
      </c>
      <c r="M793" s="785">
        <v>0</v>
      </c>
    </row>
    <row r="794" spans="1:13" ht="15.75">
      <c r="A794" s="784">
        <v>558</v>
      </c>
      <c r="B794" s="785">
        <v>2100858</v>
      </c>
      <c r="C794" s="1023" t="s">
        <v>1714</v>
      </c>
      <c r="D794" s="785" t="s">
        <v>1620</v>
      </c>
      <c r="E794" s="785" t="s">
        <v>1450</v>
      </c>
      <c r="F794" s="785" t="s">
        <v>1621</v>
      </c>
      <c r="G794" s="785">
        <f>K794+J794</f>
        <v>224400</v>
      </c>
      <c r="H794" s="785">
        <v>0</v>
      </c>
      <c r="I794" s="785">
        <v>0</v>
      </c>
      <c r="J794" s="785">
        <f>K794*5</f>
        <v>187000</v>
      </c>
      <c r="K794" s="786">
        <v>37400</v>
      </c>
      <c r="L794" s="785">
        <v>0</v>
      </c>
      <c r="M794" s="785">
        <v>0</v>
      </c>
    </row>
    <row r="795" spans="1:13" ht="15.75">
      <c r="A795" s="784">
        <v>559</v>
      </c>
      <c r="B795" s="785">
        <v>2100859</v>
      </c>
      <c r="C795" s="1023" t="s">
        <v>1715</v>
      </c>
      <c r="D795" s="785" t="s">
        <v>1623</v>
      </c>
      <c r="E795" s="785" t="s">
        <v>1096</v>
      </c>
      <c r="F795" s="785" t="s">
        <v>1430</v>
      </c>
      <c r="G795" s="785">
        <f>K795+J795</f>
        <v>530646</v>
      </c>
      <c r="H795" s="785">
        <v>0</v>
      </c>
      <c r="I795" s="785">
        <v>0</v>
      </c>
      <c r="J795" s="785">
        <f>K795*5</f>
        <v>442205</v>
      </c>
      <c r="K795" s="786">
        <v>88441</v>
      </c>
      <c r="L795" s="785">
        <v>0</v>
      </c>
      <c r="M795" s="785">
        <v>0</v>
      </c>
    </row>
    <row r="796" spans="1:13" ht="15.75">
      <c r="A796" s="784">
        <v>560</v>
      </c>
      <c r="B796" s="785">
        <v>2100860</v>
      </c>
      <c r="C796" s="1023" t="s">
        <v>1715</v>
      </c>
      <c r="D796" s="785" t="s">
        <v>1275</v>
      </c>
      <c r="E796" s="785" t="s">
        <v>1096</v>
      </c>
      <c r="F796" s="785"/>
      <c r="G796" s="785">
        <v>0</v>
      </c>
      <c r="H796" s="785">
        <v>0</v>
      </c>
      <c r="I796" s="785">
        <v>0</v>
      </c>
      <c r="J796" s="785">
        <v>0</v>
      </c>
      <c r="K796" s="786">
        <v>0</v>
      </c>
      <c r="L796" s="785">
        <v>0</v>
      </c>
      <c r="M796" s="785">
        <v>0</v>
      </c>
    </row>
    <row r="797" spans="1:13" ht="15.75">
      <c r="A797" s="784">
        <v>561</v>
      </c>
      <c r="B797" s="785">
        <v>2100861</v>
      </c>
      <c r="C797" s="1023" t="s">
        <v>1715</v>
      </c>
      <c r="D797" s="785" t="s">
        <v>1063</v>
      </c>
      <c r="E797" s="785" t="s">
        <v>1096</v>
      </c>
      <c r="F797" s="785" t="s">
        <v>1150</v>
      </c>
      <c r="G797" s="785">
        <f>K797+J797</f>
        <v>21828</v>
      </c>
      <c r="H797" s="785">
        <v>0</v>
      </c>
      <c r="I797" s="785">
        <v>0</v>
      </c>
      <c r="J797" s="785">
        <f>K797*5</f>
        <v>18190</v>
      </c>
      <c r="K797" s="786">
        <v>3638</v>
      </c>
      <c r="L797" s="785">
        <v>0</v>
      </c>
      <c r="M797" s="785">
        <v>0</v>
      </c>
    </row>
    <row r="798" spans="1:13" ht="15.75">
      <c r="A798" s="784">
        <v>562</v>
      </c>
      <c r="B798" s="785">
        <v>2100862</v>
      </c>
      <c r="C798" s="1023" t="s">
        <v>1716</v>
      </c>
      <c r="D798" s="785" t="s">
        <v>1152</v>
      </c>
      <c r="E798" s="785" t="s">
        <v>1096</v>
      </c>
      <c r="F798" s="785" t="s">
        <v>1153</v>
      </c>
      <c r="G798" s="785">
        <f>K798+J798</f>
        <v>561000</v>
      </c>
      <c r="H798" s="785">
        <v>0</v>
      </c>
      <c r="I798" s="785">
        <v>0</v>
      </c>
      <c r="J798" s="785">
        <f>K798*5</f>
        <v>467500</v>
      </c>
      <c r="K798" s="786">
        <v>93500</v>
      </c>
      <c r="L798" s="785">
        <v>0</v>
      </c>
      <c r="M798" s="785">
        <v>0</v>
      </c>
    </row>
    <row r="799" spans="1:13" ht="15.75">
      <c r="A799" s="784">
        <v>563</v>
      </c>
      <c r="B799" s="785">
        <v>2100863</v>
      </c>
      <c r="C799" s="1023" t="s">
        <v>1716</v>
      </c>
      <c r="D799" s="785" t="s">
        <v>1063</v>
      </c>
      <c r="E799" s="785" t="s">
        <v>1096</v>
      </c>
      <c r="F799" s="785" t="s">
        <v>1150</v>
      </c>
      <c r="G799" s="785">
        <f>K799+J799</f>
        <v>14958</v>
      </c>
      <c r="H799" s="785">
        <v>0</v>
      </c>
      <c r="I799" s="785">
        <v>0</v>
      </c>
      <c r="J799" s="785">
        <f>K799*5</f>
        <v>12465</v>
      </c>
      <c r="K799" s="786">
        <v>2493</v>
      </c>
      <c r="L799" s="785">
        <v>0</v>
      </c>
      <c r="M799" s="785">
        <v>0</v>
      </c>
    </row>
    <row r="800" spans="1:13" ht="15.75">
      <c r="A800" s="784">
        <v>564</v>
      </c>
      <c r="B800" s="785">
        <v>2100864</v>
      </c>
      <c r="C800" s="1023" t="s">
        <v>1716</v>
      </c>
      <c r="D800" s="785" t="s">
        <v>1155</v>
      </c>
      <c r="E800" s="785" t="s">
        <v>1096</v>
      </c>
      <c r="F800" s="785" t="s">
        <v>1156</v>
      </c>
      <c r="G800" s="785">
        <f>K800+J800</f>
        <v>162129</v>
      </c>
      <c r="H800" s="785">
        <v>0</v>
      </c>
      <c r="I800" s="785">
        <v>0</v>
      </c>
      <c r="J800" s="785">
        <f>K800*5</f>
        <v>135107.5</v>
      </c>
      <c r="K800" s="786">
        <v>27021.5</v>
      </c>
      <c r="L800" s="785">
        <v>0</v>
      </c>
      <c r="M800" s="785">
        <v>0</v>
      </c>
    </row>
    <row r="801" spans="1:13" ht="16.5" thickBot="1">
      <c r="A801" s="784">
        <v>565</v>
      </c>
      <c r="B801" s="785">
        <v>2100865</v>
      </c>
      <c r="C801" s="1023" t="s">
        <v>1716</v>
      </c>
      <c r="D801" s="785" t="s">
        <v>1111</v>
      </c>
      <c r="E801" s="785" t="s">
        <v>1096</v>
      </c>
      <c r="F801" s="785"/>
      <c r="G801" s="785">
        <f>K801+J801</f>
        <v>1065900</v>
      </c>
      <c r="H801" s="785">
        <v>0</v>
      </c>
      <c r="I801" s="785">
        <v>0</v>
      </c>
      <c r="J801" s="785">
        <f>K801*5</f>
        <v>888250</v>
      </c>
      <c r="K801" s="786">
        <v>177650</v>
      </c>
      <c r="L801" s="785">
        <v>0</v>
      </c>
      <c r="M801" s="785">
        <v>0</v>
      </c>
    </row>
    <row r="802" spans="1:13" ht="16.5" thickBot="1">
      <c r="A802" s="1414" t="s">
        <v>822</v>
      </c>
      <c r="B802" s="1415"/>
      <c r="C802" s="1415"/>
      <c r="D802" s="1415"/>
      <c r="E802" s="1415"/>
      <c r="F802" s="1416"/>
      <c r="G802" s="1243">
        <f>SUM(G751:G801)</f>
        <v>13047882</v>
      </c>
      <c r="H802" s="1243">
        <f aca="true" t="shared" si="80" ref="H802:M802">SUM(H751:H801)</f>
        <v>0</v>
      </c>
      <c r="I802" s="1243">
        <f t="shared" si="80"/>
        <v>0</v>
      </c>
      <c r="J802" s="1245">
        <f t="shared" si="80"/>
        <v>10873235</v>
      </c>
      <c r="K802" s="1243">
        <f t="shared" si="80"/>
        <v>2174647</v>
      </c>
      <c r="L802" s="1243">
        <f t="shared" si="80"/>
        <v>0</v>
      </c>
      <c r="M802" s="1243">
        <f t="shared" si="80"/>
        <v>0</v>
      </c>
    </row>
    <row r="803" spans="1:13" ht="16.5" thickBot="1">
      <c r="A803" s="1392" t="s">
        <v>823</v>
      </c>
      <c r="B803" s="1393"/>
      <c r="C803" s="1393"/>
      <c r="D803" s="1393"/>
      <c r="E803" s="1393"/>
      <c r="F803" s="1393"/>
      <c r="G803" s="1393"/>
      <c r="H803" s="781" t="s">
        <v>824</v>
      </c>
      <c r="I803" s="765" t="s">
        <v>825</v>
      </c>
      <c r="J803" s="781" t="s">
        <v>826</v>
      </c>
      <c r="K803" s="766" t="s">
        <v>827</v>
      </c>
      <c r="L803" s="781" t="s">
        <v>828</v>
      </c>
      <c r="M803" s="766" t="s">
        <v>829</v>
      </c>
    </row>
    <row r="804" spans="1:13" ht="15.75">
      <c r="A804" s="731"/>
      <c r="B804" s="731"/>
      <c r="C804" s="731"/>
      <c r="D804" s="731"/>
      <c r="E804" s="731"/>
      <c r="F804" s="731"/>
      <c r="G804" s="731"/>
      <c r="H804" s="731"/>
      <c r="I804" s="731"/>
      <c r="J804" s="731"/>
      <c r="K804" s="731"/>
      <c r="L804" s="731"/>
      <c r="M804" s="731"/>
    </row>
    <row r="805" spans="1:13" ht="15.75">
      <c r="A805" s="731"/>
      <c r="B805" s="731"/>
      <c r="C805" s="731"/>
      <c r="D805" s="731"/>
      <c r="E805" s="731"/>
      <c r="F805" s="731"/>
      <c r="G805" s="1244"/>
      <c r="H805" s="731"/>
      <c r="I805" s="731"/>
      <c r="J805" s="1244"/>
      <c r="K805" s="731"/>
      <c r="L805" s="731"/>
      <c r="M805" s="731"/>
    </row>
    <row r="806" spans="1:13" ht="15.75">
      <c r="A806" s="731"/>
      <c r="B806" s="731"/>
      <c r="C806" s="731"/>
      <c r="D806" s="731"/>
      <c r="E806" s="731"/>
      <c r="F806" s="731"/>
      <c r="G806" s="731"/>
      <c r="H806" s="731"/>
      <c r="I806" s="731"/>
      <c r="J806" s="1017" t="s">
        <v>1249</v>
      </c>
      <c r="K806" s="731"/>
      <c r="L806" s="731"/>
      <c r="M806" s="731"/>
    </row>
    <row r="807" spans="1:13" ht="15.75">
      <c r="A807" s="731"/>
      <c r="B807" s="731"/>
      <c r="C807" s="731"/>
      <c r="D807" s="731"/>
      <c r="E807" s="731"/>
      <c r="F807" s="731"/>
      <c r="G807" s="731"/>
      <c r="H807" s="731"/>
      <c r="I807" s="731"/>
      <c r="J807" s="731"/>
      <c r="K807" s="731"/>
      <c r="L807" s="731"/>
      <c r="M807" s="731"/>
    </row>
    <row r="808" spans="1:13" ht="15.75">
      <c r="A808" s="731" t="s">
        <v>856</v>
      </c>
      <c r="B808" s="731"/>
      <c r="C808" s="731"/>
      <c r="D808" s="731"/>
      <c r="E808" s="731"/>
      <c r="F808" s="731"/>
      <c r="G808" s="731"/>
      <c r="H808" s="731"/>
      <c r="I808" s="731"/>
      <c r="J808" s="731"/>
      <c r="K808" s="731"/>
      <c r="L808" s="731"/>
      <c r="M808" s="731"/>
    </row>
    <row r="809" spans="1:13" ht="15.75">
      <c r="A809" s="731" t="s">
        <v>848</v>
      </c>
      <c r="B809" s="731"/>
      <c r="C809" s="731"/>
      <c r="D809" s="731"/>
      <c r="E809" s="731"/>
      <c r="F809" s="731"/>
      <c r="G809" s="731"/>
      <c r="H809" s="731"/>
      <c r="I809" s="731"/>
      <c r="J809" s="731"/>
      <c r="K809" s="731"/>
      <c r="L809" s="731"/>
      <c r="M809" s="731"/>
    </row>
    <row r="810" spans="1:13" ht="15.75">
      <c r="A810" s="731" t="s">
        <v>855</v>
      </c>
      <c r="B810"/>
      <c r="K810" s="731"/>
      <c r="L810" s="731"/>
      <c r="M810" s="731"/>
    </row>
  </sheetData>
  <sheetProtection/>
  <mergeCells count="360">
    <mergeCell ref="L747:M748"/>
    <mergeCell ref="Z748:AA748"/>
    <mergeCell ref="AB748:AC748"/>
    <mergeCell ref="AD748:AE748"/>
    <mergeCell ref="N764:S764"/>
    <mergeCell ref="A802:F802"/>
    <mergeCell ref="N765:T765"/>
    <mergeCell ref="U747:AE747"/>
    <mergeCell ref="N748:N749"/>
    <mergeCell ref="O748:O749"/>
    <mergeCell ref="P748:P749"/>
    <mergeCell ref="Q748:Q749"/>
    <mergeCell ref="X748:Y748"/>
    <mergeCell ref="A803:G803"/>
    <mergeCell ref="N747:P747"/>
    <mergeCell ref="Q747:S747"/>
    <mergeCell ref="T747:T749"/>
    <mergeCell ref="A747:C748"/>
    <mergeCell ref="D747:F748"/>
    <mergeCell ref="G747:G749"/>
    <mergeCell ref="H747:H749"/>
    <mergeCell ref="I747:I749"/>
    <mergeCell ref="J747:K748"/>
    <mergeCell ref="AB672:AC672"/>
    <mergeCell ref="AD672:AE672"/>
    <mergeCell ref="N686:S686"/>
    <mergeCell ref="N687:T687"/>
    <mergeCell ref="T671:T673"/>
    <mergeCell ref="U671:AE671"/>
    <mergeCell ref="N672:N673"/>
    <mergeCell ref="S672:S673"/>
    <mergeCell ref="U672:U673"/>
    <mergeCell ref="X672:Y672"/>
    <mergeCell ref="Z672:AA672"/>
    <mergeCell ref="R748:R749"/>
    <mergeCell ref="S748:S749"/>
    <mergeCell ref="U748:U749"/>
    <mergeCell ref="V748:W748"/>
    <mergeCell ref="V672:W672"/>
    <mergeCell ref="J671:K672"/>
    <mergeCell ref="L671:M672"/>
    <mergeCell ref="A726:F726"/>
    <mergeCell ref="A727:G727"/>
    <mergeCell ref="N671:P671"/>
    <mergeCell ref="Q671:S671"/>
    <mergeCell ref="O672:O673"/>
    <mergeCell ref="P672:P673"/>
    <mergeCell ref="Q672:Q673"/>
    <mergeCell ref="R672:R673"/>
    <mergeCell ref="Z599:AA599"/>
    <mergeCell ref="AB599:AC599"/>
    <mergeCell ref="AD599:AE599"/>
    <mergeCell ref="N617:S617"/>
    <mergeCell ref="N618:T618"/>
    <mergeCell ref="A671:C672"/>
    <mergeCell ref="D671:F672"/>
    <mergeCell ref="G671:G673"/>
    <mergeCell ref="H671:H673"/>
    <mergeCell ref="I671:I673"/>
    <mergeCell ref="U598:AE598"/>
    <mergeCell ref="N599:N600"/>
    <mergeCell ref="O599:O600"/>
    <mergeCell ref="P599:P600"/>
    <mergeCell ref="Q599:Q600"/>
    <mergeCell ref="R599:R600"/>
    <mergeCell ref="S599:S600"/>
    <mergeCell ref="U599:U600"/>
    <mergeCell ref="V599:W599"/>
    <mergeCell ref="X599:Y599"/>
    <mergeCell ref="L598:M599"/>
    <mergeCell ref="A651:F651"/>
    <mergeCell ref="A652:G652"/>
    <mergeCell ref="N598:P598"/>
    <mergeCell ref="Q598:S598"/>
    <mergeCell ref="T598:T600"/>
    <mergeCell ref="A598:C599"/>
    <mergeCell ref="D598:F599"/>
    <mergeCell ref="G598:G600"/>
    <mergeCell ref="H598:H600"/>
    <mergeCell ref="I598:I600"/>
    <mergeCell ref="J598:K599"/>
    <mergeCell ref="A317:C318"/>
    <mergeCell ref="D317:F318"/>
    <mergeCell ref="G317:G319"/>
    <mergeCell ref="H317:H319"/>
    <mergeCell ref="I317:I319"/>
    <mergeCell ref="J317:K318"/>
    <mergeCell ref="D461:F462"/>
    <mergeCell ref="G461:G463"/>
    <mergeCell ref="A305:F305"/>
    <mergeCell ref="A306:G306"/>
    <mergeCell ref="N269:S269"/>
    <mergeCell ref="N270:T270"/>
    <mergeCell ref="A256:C257"/>
    <mergeCell ref="D256:F257"/>
    <mergeCell ref="G256:G258"/>
    <mergeCell ref="H256:H258"/>
    <mergeCell ref="I256:I258"/>
    <mergeCell ref="J256:K257"/>
    <mergeCell ref="L256:M257"/>
    <mergeCell ref="U257:U258"/>
    <mergeCell ref="V257:W257"/>
    <mergeCell ref="X257:Y257"/>
    <mergeCell ref="Z257:AA257"/>
    <mergeCell ref="AB257:AC257"/>
    <mergeCell ref="S257:S258"/>
    <mergeCell ref="AD257:AE257"/>
    <mergeCell ref="N256:P256"/>
    <mergeCell ref="Q256:S256"/>
    <mergeCell ref="T256:T258"/>
    <mergeCell ref="U256:AE256"/>
    <mergeCell ref="N257:N258"/>
    <mergeCell ref="O257:O258"/>
    <mergeCell ref="P257:P258"/>
    <mergeCell ref="Q257:Q258"/>
    <mergeCell ref="R257:R258"/>
    <mergeCell ref="G9:G11"/>
    <mergeCell ref="D9:F10"/>
    <mergeCell ref="A9:C10"/>
    <mergeCell ref="H9:H11"/>
    <mergeCell ref="A51:F51"/>
    <mergeCell ref="A52:G52"/>
    <mergeCell ref="AQ7:AQ10"/>
    <mergeCell ref="AR7:AR10"/>
    <mergeCell ref="AF7:AF10"/>
    <mergeCell ref="N19:S19"/>
    <mergeCell ref="S10:S11"/>
    <mergeCell ref="R10:R11"/>
    <mergeCell ref="Q10:Q11"/>
    <mergeCell ref="AH8:AH10"/>
    <mergeCell ref="AG8:AG10"/>
    <mergeCell ref="AK8:AK10"/>
    <mergeCell ref="I9:I11"/>
    <mergeCell ref="N20:T20"/>
    <mergeCell ref="Z10:AA10"/>
    <mergeCell ref="AL8:AP8"/>
    <mergeCell ref="AL9:AM9"/>
    <mergeCell ref="AN9:AO9"/>
    <mergeCell ref="AP9:AP10"/>
    <mergeCell ref="AI9:AI10"/>
    <mergeCell ref="AJ9:AJ10"/>
    <mergeCell ref="T9:T11"/>
    <mergeCell ref="J9:K10"/>
    <mergeCell ref="N9:P9"/>
    <mergeCell ref="Q9:S9"/>
    <mergeCell ref="N10:N11"/>
    <mergeCell ref="O10:O11"/>
    <mergeCell ref="P10:P11"/>
    <mergeCell ref="L9:M10"/>
    <mergeCell ref="U10:U11"/>
    <mergeCell ref="V10:W10"/>
    <mergeCell ref="X10:Y10"/>
    <mergeCell ref="U9:AE9"/>
    <mergeCell ref="AB10:AC10"/>
    <mergeCell ref="AD10:AE10"/>
    <mergeCell ref="A65:C66"/>
    <mergeCell ref="D65:F66"/>
    <mergeCell ref="G65:G67"/>
    <mergeCell ref="H65:H67"/>
    <mergeCell ref="I65:I67"/>
    <mergeCell ref="J65:K66"/>
    <mergeCell ref="Z66:AA66"/>
    <mergeCell ref="AB66:AC66"/>
    <mergeCell ref="L65:M66"/>
    <mergeCell ref="N65:P65"/>
    <mergeCell ref="Q65:S65"/>
    <mergeCell ref="T65:T67"/>
    <mergeCell ref="U65:AE65"/>
    <mergeCell ref="N66:N67"/>
    <mergeCell ref="O66:O67"/>
    <mergeCell ref="P66:P67"/>
    <mergeCell ref="H128:H130"/>
    <mergeCell ref="I128:I130"/>
    <mergeCell ref="S66:S67"/>
    <mergeCell ref="U66:U67"/>
    <mergeCell ref="V66:W66"/>
    <mergeCell ref="X66:Y66"/>
    <mergeCell ref="Q66:Q67"/>
    <mergeCell ref="R66:R67"/>
    <mergeCell ref="P129:P130"/>
    <mergeCell ref="Q129:Q130"/>
    <mergeCell ref="AD66:AE66"/>
    <mergeCell ref="N76:S76"/>
    <mergeCell ref="N77:T77"/>
    <mergeCell ref="A114:F114"/>
    <mergeCell ref="A115:G115"/>
    <mergeCell ref="A128:C129"/>
    <mergeCell ref="D128:F129"/>
    <mergeCell ref="G128:G130"/>
    <mergeCell ref="X129:Y129"/>
    <mergeCell ref="Z129:AA129"/>
    <mergeCell ref="J128:K129"/>
    <mergeCell ref="L128:M129"/>
    <mergeCell ref="N128:P128"/>
    <mergeCell ref="Q128:S128"/>
    <mergeCell ref="T128:T130"/>
    <mergeCell ref="U128:AE128"/>
    <mergeCell ref="N129:N130"/>
    <mergeCell ref="O129:O130"/>
    <mergeCell ref="AB129:AC129"/>
    <mergeCell ref="AD129:AE129"/>
    <mergeCell ref="A195:C196"/>
    <mergeCell ref="D195:F196"/>
    <mergeCell ref="G195:G197"/>
    <mergeCell ref="H195:H197"/>
    <mergeCell ref="I195:I197"/>
    <mergeCell ref="N140:S140"/>
    <mergeCell ref="N141:T141"/>
    <mergeCell ref="A177:F177"/>
    <mergeCell ref="A178:G178"/>
    <mergeCell ref="T195:T197"/>
    <mergeCell ref="U129:U130"/>
    <mergeCell ref="V129:W129"/>
    <mergeCell ref="P196:P197"/>
    <mergeCell ref="Q196:Q197"/>
    <mergeCell ref="R196:R197"/>
    <mergeCell ref="R129:R130"/>
    <mergeCell ref="S129:S130"/>
    <mergeCell ref="AN35:AO35"/>
    <mergeCell ref="AD196:AE196"/>
    <mergeCell ref="N209:S209"/>
    <mergeCell ref="N210:T210"/>
    <mergeCell ref="X196:Y196"/>
    <mergeCell ref="Z196:AA196"/>
    <mergeCell ref="AB196:AC196"/>
    <mergeCell ref="N195:P195"/>
    <mergeCell ref="U195:AE195"/>
    <mergeCell ref="N196:N197"/>
    <mergeCell ref="A244:G244"/>
    <mergeCell ref="AF33:AF36"/>
    <mergeCell ref="S196:S197"/>
    <mergeCell ref="U196:U197"/>
    <mergeCell ref="V196:W196"/>
    <mergeCell ref="A243:F243"/>
    <mergeCell ref="J195:K196"/>
    <mergeCell ref="L195:M196"/>
    <mergeCell ref="Q195:S195"/>
    <mergeCell ref="O196:O197"/>
    <mergeCell ref="AQ33:AQ36"/>
    <mergeCell ref="AR33:AR36"/>
    <mergeCell ref="AG34:AG36"/>
    <mergeCell ref="AH34:AH36"/>
    <mergeCell ref="AK34:AK36"/>
    <mergeCell ref="AL34:AP34"/>
    <mergeCell ref="AI35:AI36"/>
    <mergeCell ref="AJ35:AJ36"/>
    <mergeCell ref="AL35:AM35"/>
    <mergeCell ref="AP35:AP36"/>
    <mergeCell ref="Q384:S384"/>
    <mergeCell ref="Z318:AA318"/>
    <mergeCell ref="A368:F368"/>
    <mergeCell ref="A369:G369"/>
    <mergeCell ref="N317:P317"/>
    <mergeCell ref="Q317:S317"/>
    <mergeCell ref="T317:T319"/>
    <mergeCell ref="U317:AE317"/>
    <mergeCell ref="N318:N319"/>
    <mergeCell ref="O318:O319"/>
    <mergeCell ref="J384:K385"/>
    <mergeCell ref="S385:S386"/>
    <mergeCell ref="U385:U386"/>
    <mergeCell ref="T384:T386"/>
    <mergeCell ref="V385:W385"/>
    <mergeCell ref="R318:R319"/>
    <mergeCell ref="S318:S319"/>
    <mergeCell ref="Q318:Q319"/>
    <mergeCell ref="L317:M318"/>
    <mergeCell ref="N384:P384"/>
    <mergeCell ref="AB318:AC318"/>
    <mergeCell ref="AD318:AE318"/>
    <mergeCell ref="N330:S330"/>
    <mergeCell ref="N331:T331"/>
    <mergeCell ref="U318:U319"/>
    <mergeCell ref="V318:W318"/>
    <mergeCell ref="X318:Y318"/>
    <mergeCell ref="P318:P319"/>
    <mergeCell ref="AD385:AE385"/>
    <mergeCell ref="N399:S399"/>
    <mergeCell ref="N400:T400"/>
    <mergeCell ref="O385:O386"/>
    <mergeCell ref="P385:P386"/>
    <mergeCell ref="Q385:Q386"/>
    <mergeCell ref="R385:R386"/>
    <mergeCell ref="N385:N386"/>
    <mergeCell ref="L384:M385"/>
    <mergeCell ref="L461:M462"/>
    <mergeCell ref="A511:F511"/>
    <mergeCell ref="A512:G512"/>
    <mergeCell ref="X385:Y385"/>
    <mergeCell ref="AB385:AC385"/>
    <mergeCell ref="U384:AE384"/>
    <mergeCell ref="G384:G386"/>
    <mergeCell ref="H384:H386"/>
    <mergeCell ref="I384:I386"/>
    <mergeCell ref="N461:P461"/>
    <mergeCell ref="Q461:S461"/>
    <mergeCell ref="Z385:AA385"/>
    <mergeCell ref="A445:F445"/>
    <mergeCell ref="A446:G446"/>
    <mergeCell ref="A384:C385"/>
    <mergeCell ref="D384:F385"/>
    <mergeCell ref="A461:C462"/>
    <mergeCell ref="H461:H463"/>
    <mergeCell ref="I461:I463"/>
    <mergeCell ref="AD462:AE462"/>
    <mergeCell ref="N477:S477"/>
    <mergeCell ref="N478:T478"/>
    <mergeCell ref="T461:T463"/>
    <mergeCell ref="U461:AE461"/>
    <mergeCell ref="N462:N463"/>
    <mergeCell ref="O462:O463"/>
    <mergeCell ref="P462:P463"/>
    <mergeCell ref="Q462:Q463"/>
    <mergeCell ref="R462:R463"/>
    <mergeCell ref="H527:H529"/>
    <mergeCell ref="I527:I529"/>
    <mergeCell ref="J527:K528"/>
    <mergeCell ref="X462:Y462"/>
    <mergeCell ref="Z462:AA462"/>
    <mergeCell ref="AB462:AC462"/>
    <mergeCell ref="S462:S463"/>
    <mergeCell ref="U462:U463"/>
    <mergeCell ref="V462:W462"/>
    <mergeCell ref="J461:K462"/>
    <mergeCell ref="X528:Y528"/>
    <mergeCell ref="L527:M528"/>
    <mergeCell ref="A578:F578"/>
    <mergeCell ref="A579:G579"/>
    <mergeCell ref="N527:P527"/>
    <mergeCell ref="Q527:S527"/>
    <mergeCell ref="T527:T529"/>
    <mergeCell ref="A527:C528"/>
    <mergeCell ref="D527:F528"/>
    <mergeCell ref="G527:G529"/>
    <mergeCell ref="P528:P529"/>
    <mergeCell ref="Q528:Q529"/>
    <mergeCell ref="R528:R529"/>
    <mergeCell ref="S528:S529"/>
    <mergeCell ref="U528:U529"/>
    <mergeCell ref="V528:W528"/>
    <mergeCell ref="AN59:AO59"/>
    <mergeCell ref="Z528:AA528"/>
    <mergeCell ref="AB528:AC528"/>
    <mergeCell ref="AD528:AE528"/>
    <mergeCell ref="N543:S543"/>
    <mergeCell ref="N544:T544"/>
    <mergeCell ref="AF57:AF60"/>
    <mergeCell ref="U527:AE527"/>
    <mergeCell ref="N528:N529"/>
    <mergeCell ref="O528:O529"/>
    <mergeCell ref="AP59:AP60"/>
    <mergeCell ref="AQ57:AQ60"/>
    <mergeCell ref="AR57:AR60"/>
    <mergeCell ref="AG58:AG60"/>
    <mergeCell ref="AH58:AH60"/>
    <mergeCell ref="AK58:AK60"/>
    <mergeCell ref="AL58:AP58"/>
    <mergeCell ref="AI59:AI60"/>
    <mergeCell ref="AJ59:AJ60"/>
    <mergeCell ref="AL59:AM59"/>
  </mergeCells>
  <printOptions/>
  <pageMargins left="0" right="0" top="0" bottom="0" header="0" footer="0"/>
  <pageSetup horizontalDpi="600" verticalDpi="600" orientation="landscape" scale="82" r:id="rId1"/>
  <rowBreaks count="7" manualBreakCount="7">
    <brk id="119" max="255" man="1"/>
    <brk id="186" max="255" man="1"/>
    <brk id="247" max="255" man="1"/>
    <brk id="308" max="255" man="1"/>
    <brk id="375" max="255" man="1"/>
    <brk id="452" max="255" man="1"/>
    <brk id="518" max="255" man="1"/>
  </rowBreaks>
  <colBreaks count="2" manualBreakCount="2">
    <brk id="13" max="65535" man="1"/>
    <brk id="31" max="65535" man="1"/>
  </colBreaks>
  <ignoredErrors>
    <ignoredError sqref="G20:G46 G390 G493 T466 G201" formula="1"/>
    <ignoredError sqref="B260:B304 O262:O266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3:Z127"/>
  <sheetViews>
    <sheetView zoomScalePageLayoutView="0" workbookViewId="0" topLeftCell="A13">
      <selection activeCell="M35" sqref="M35"/>
    </sheetView>
  </sheetViews>
  <sheetFormatPr defaultColWidth="9.140625" defaultRowHeight="12.75"/>
  <cols>
    <col min="1" max="1" width="2.00390625" style="109" customWidth="1"/>
    <col min="2" max="2" width="9.00390625" style="115" customWidth="1"/>
    <col min="3" max="3" width="10.140625" style="109" customWidth="1"/>
    <col min="4" max="4" width="8.8515625" style="109" customWidth="1"/>
    <col min="5" max="5" width="12.140625" style="109" customWidth="1"/>
    <col min="6" max="6" width="11.28125" style="109" customWidth="1"/>
    <col min="7" max="7" width="9.421875" style="109" customWidth="1"/>
    <col min="8" max="8" width="10.00390625" style="109" customWidth="1"/>
    <col min="9" max="9" width="9.7109375" style="109" customWidth="1"/>
    <col min="10" max="10" width="12.00390625" style="109" customWidth="1"/>
    <col min="11" max="11" width="11.57421875" style="109" customWidth="1"/>
    <col min="12" max="12" width="10.8515625" style="109" customWidth="1"/>
    <col min="13" max="13" width="11.140625" style="109" customWidth="1"/>
    <col min="14" max="14" width="11.421875" style="109" customWidth="1"/>
    <col min="15" max="15" width="10.28125" style="1279" customWidth="1"/>
    <col min="16" max="16" width="3.28125" style="109" customWidth="1"/>
    <col min="17" max="17" width="8.28125" style="109" customWidth="1"/>
    <col min="18" max="18" width="9.140625" style="109" customWidth="1"/>
    <col min="19" max="19" width="11.7109375" style="109" customWidth="1"/>
    <col min="20" max="20" width="12.7109375" style="109" customWidth="1"/>
    <col min="21" max="22" width="12.140625" style="109" customWidth="1"/>
    <col min="23" max="23" width="12.421875" style="109" customWidth="1"/>
    <col min="24" max="24" width="11.28125" style="109" customWidth="1"/>
    <col min="25" max="25" width="12.140625" style="109" customWidth="1"/>
    <col min="26" max="26" width="12.28125" style="109" customWidth="1"/>
    <col min="27" max="16384" width="9.140625" style="109" customWidth="1"/>
  </cols>
  <sheetData>
    <row r="3" spans="2:8" ht="12">
      <c r="B3" s="113"/>
      <c r="C3" s="108"/>
      <c r="D3" s="108"/>
      <c r="E3" s="108"/>
      <c r="F3" s="108"/>
      <c r="G3" s="107"/>
      <c r="H3" s="107"/>
    </row>
    <row r="4" spans="2:18" ht="12">
      <c r="B4" s="113" t="s">
        <v>130</v>
      </c>
      <c r="C4" s="107" t="str">
        <f>'Kopertina '!F4</f>
        <v>FJORTES </v>
      </c>
      <c r="D4" s="107"/>
      <c r="E4" s="107"/>
      <c r="F4" s="107"/>
      <c r="G4" s="107"/>
      <c r="H4" s="107"/>
      <c r="Q4" s="113" t="s">
        <v>130</v>
      </c>
      <c r="R4" s="107" t="str">
        <f>C4</f>
        <v>FJORTES </v>
      </c>
    </row>
    <row r="5" spans="2:11" ht="12">
      <c r="B5" s="114"/>
      <c r="C5" s="110"/>
      <c r="D5" s="110"/>
      <c r="E5" s="110"/>
      <c r="F5" s="110"/>
      <c r="G5" s="107"/>
      <c r="H5" s="107"/>
      <c r="I5" s="107"/>
      <c r="J5" s="107"/>
      <c r="K5" s="107" t="s">
        <v>160</v>
      </c>
    </row>
    <row r="6" spans="2:24" ht="12">
      <c r="B6" s="114"/>
      <c r="C6" s="1433" t="s">
        <v>161</v>
      </c>
      <c r="D6" s="1433"/>
      <c r="E6" s="1433"/>
      <c r="F6" s="1433"/>
      <c r="G6" s="1433"/>
      <c r="H6" s="1433"/>
      <c r="I6" s="1433"/>
      <c r="R6" s="1434" t="s">
        <v>991</v>
      </c>
      <c r="S6" s="1434"/>
      <c r="T6" s="1434"/>
      <c r="U6" s="1434"/>
      <c r="V6" s="1434"/>
      <c r="W6" s="1434"/>
      <c r="X6" s="1434"/>
    </row>
    <row r="7" spans="2:10" ht="12">
      <c r="B7" s="114"/>
      <c r="C7" s="110"/>
      <c r="D7" s="110"/>
      <c r="E7" s="110"/>
      <c r="F7" s="110"/>
      <c r="G7" s="110"/>
      <c r="H7" s="107" t="s">
        <v>131</v>
      </c>
      <c r="I7" s="111"/>
      <c r="J7" s="111">
        <f>'Kopertina '!F29</f>
        <v>2012</v>
      </c>
    </row>
    <row r="9" ht="12.75" thickBot="1"/>
    <row r="10" spans="2:26" ht="13.5" customHeight="1" thickBot="1">
      <c r="B10" s="1417" t="s">
        <v>166</v>
      </c>
      <c r="C10" s="1427" t="s">
        <v>167</v>
      </c>
      <c r="D10" s="1428"/>
      <c r="E10" s="1428"/>
      <c r="F10" s="1429"/>
      <c r="G10" s="1430" t="s">
        <v>168</v>
      </c>
      <c r="H10" s="1431"/>
      <c r="I10" s="1431"/>
      <c r="J10" s="1431"/>
      <c r="K10" s="1431"/>
      <c r="L10" s="1432"/>
      <c r="M10" s="1419" t="s">
        <v>169</v>
      </c>
      <c r="N10" s="1421" t="s">
        <v>170</v>
      </c>
      <c r="Q10" s="1437" t="s">
        <v>1</v>
      </c>
      <c r="R10" s="1437" t="s">
        <v>928</v>
      </c>
      <c r="S10" s="1438" t="s">
        <v>930</v>
      </c>
      <c r="T10" s="1435" t="s">
        <v>929</v>
      </c>
      <c r="U10" s="1436"/>
      <c r="V10" s="1436"/>
      <c r="W10" s="1436"/>
      <c r="X10" s="1436"/>
      <c r="Y10" s="1436"/>
      <c r="Z10" s="1436"/>
    </row>
    <row r="11" spans="2:26" ht="12">
      <c r="B11" s="1418"/>
      <c r="C11" s="1423" t="s">
        <v>171</v>
      </c>
      <c r="D11" s="480" t="s">
        <v>172</v>
      </c>
      <c r="E11" s="481" t="s">
        <v>173</v>
      </c>
      <c r="F11" s="482"/>
      <c r="G11" s="1425" t="s">
        <v>174</v>
      </c>
      <c r="H11" s="483" t="s">
        <v>175</v>
      </c>
      <c r="I11" s="484"/>
      <c r="J11" s="484"/>
      <c r="K11" s="484"/>
      <c r="L11" s="485"/>
      <c r="M11" s="1420"/>
      <c r="N11" s="1422"/>
      <c r="Q11" s="1437"/>
      <c r="R11" s="1437"/>
      <c r="S11" s="1439"/>
      <c r="T11" s="1426" t="s">
        <v>962</v>
      </c>
      <c r="U11" s="1426" t="s">
        <v>963</v>
      </c>
      <c r="V11" s="1426" t="s">
        <v>966</v>
      </c>
      <c r="W11" s="1426" t="s">
        <v>964</v>
      </c>
      <c r="X11" s="1426" t="s">
        <v>965</v>
      </c>
      <c r="Y11" s="1426" t="s">
        <v>1059</v>
      </c>
      <c r="Z11" s="1426"/>
    </row>
    <row r="12" spans="2:26" ht="12">
      <c r="B12" s="1418"/>
      <c r="C12" s="1424"/>
      <c r="D12" s="480"/>
      <c r="E12" s="1425" t="s">
        <v>176</v>
      </c>
      <c r="F12" s="1425" t="s">
        <v>177</v>
      </c>
      <c r="G12" s="1420"/>
      <c r="H12" s="483" t="s">
        <v>178</v>
      </c>
      <c r="I12" s="485"/>
      <c r="J12" s="483" t="s">
        <v>179</v>
      </c>
      <c r="K12" s="485"/>
      <c r="L12" s="1425" t="s">
        <v>180</v>
      </c>
      <c r="M12" s="1420"/>
      <c r="N12" s="1422"/>
      <c r="Q12" s="1437"/>
      <c r="R12" s="1437"/>
      <c r="S12" s="1439"/>
      <c r="T12" s="1426"/>
      <c r="U12" s="1426"/>
      <c r="V12" s="1426"/>
      <c r="W12" s="1426"/>
      <c r="X12" s="1426"/>
      <c r="Y12" s="1426"/>
      <c r="Z12" s="1426"/>
    </row>
    <row r="13" spans="2:26" ht="12.75" thickBot="1">
      <c r="B13" s="1418"/>
      <c r="C13" s="1424"/>
      <c r="D13" s="1230"/>
      <c r="E13" s="1420"/>
      <c r="F13" s="1420"/>
      <c r="G13" s="1420"/>
      <c r="H13" s="1247" t="s">
        <v>181</v>
      </c>
      <c r="I13" s="1247" t="s">
        <v>182</v>
      </c>
      <c r="J13" s="1247" t="s">
        <v>181</v>
      </c>
      <c r="K13" s="1247" t="s">
        <v>182</v>
      </c>
      <c r="L13" s="1420"/>
      <c r="M13" s="1420"/>
      <c r="N13" s="1422"/>
      <c r="Q13" s="1437"/>
      <c r="R13" s="1437"/>
      <c r="S13" s="1440"/>
      <c r="T13" s="1426"/>
      <c r="U13" s="1426"/>
      <c r="V13" s="1426"/>
      <c r="W13" s="1426"/>
      <c r="X13" s="1426"/>
      <c r="Y13" s="1426"/>
      <c r="Z13" s="1426"/>
    </row>
    <row r="14" spans="2:26" ht="12">
      <c r="B14" s="116" t="s">
        <v>183</v>
      </c>
      <c r="C14" s="1251">
        <f>'Liber Shit- Blerje '!AG11</f>
        <v>0</v>
      </c>
      <c r="D14" s="1251">
        <f>'Liber Shit- Blerje '!AH11</f>
        <v>0</v>
      </c>
      <c r="E14" s="1251">
        <f>'Liber Shit- Blerje '!AI11</f>
        <v>7632575</v>
      </c>
      <c r="F14" s="1251">
        <f>'Liber Shit- Blerje '!AJ11</f>
        <v>1526515</v>
      </c>
      <c r="G14" s="1251">
        <f>'Liber Shit- Blerje '!AK11</f>
        <v>0</v>
      </c>
      <c r="H14" s="1251">
        <f>'Liber Shit- Blerje '!AL11</f>
        <v>0</v>
      </c>
      <c r="I14" s="1251">
        <f>'Liber Shit- Blerje '!AM11</f>
        <v>0</v>
      </c>
      <c r="J14" s="1251">
        <f>'Liber Shit- Blerje '!AN11</f>
        <v>6024555</v>
      </c>
      <c r="K14" s="1251">
        <f>'Liber Shit- Blerje '!AO11</f>
        <v>1204911</v>
      </c>
      <c r="L14" s="1251">
        <f>'Liber Shit- Blerje '!AP11</f>
        <v>1204911</v>
      </c>
      <c r="M14" s="1251">
        <v>2136833</v>
      </c>
      <c r="N14" s="1252">
        <f>F14-L14-M14</f>
        <v>-1815229</v>
      </c>
      <c r="Q14" s="892">
        <v>1</v>
      </c>
      <c r="R14" s="891" t="str">
        <f>B14</f>
        <v>Janar </v>
      </c>
      <c r="S14" s="889">
        <f>C14+D14+E14</f>
        <v>7632575</v>
      </c>
      <c r="T14" s="1024">
        <f>S14-Y14</f>
        <v>6949904</v>
      </c>
      <c r="U14" s="887"/>
      <c r="V14" s="887"/>
      <c r="W14" s="887"/>
      <c r="X14" s="887"/>
      <c r="Y14" s="1009">
        <f>258278+424393</f>
        <v>682671</v>
      </c>
      <c r="Z14" s="887"/>
    </row>
    <row r="15" spans="2:26" ht="12">
      <c r="B15" s="117" t="s">
        <v>184</v>
      </c>
      <c r="C15" s="112">
        <f>'Liber Shit- Blerje '!AG12</f>
        <v>0</v>
      </c>
      <c r="D15" s="112">
        <f>'Liber Shit- Blerje '!AH12</f>
        <v>0</v>
      </c>
      <c r="E15" s="112">
        <f>'Liber Shit- Blerje '!AI12</f>
        <v>5794225</v>
      </c>
      <c r="F15" s="112">
        <f>'Liber Shit- Blerje '!AJ12</f>
        <v>1158845</v>
      </c>
      <c r="G15" s="112">
        <f>'Liber Shit- Blerje '!AK12</f>
        <v>0</v>
      </c>
      <c r="H15" s="112">
        <f>'Liber Shit- Blerje '!AL12</f>
        <v>0</v>
      </c>
      <c r="I15" s="112">
        <f>'Liber Shit- Blerje '!AM12</f>
        <v>0</v>
      </c>
      <c r="J15" s="112">
        <f>'Liber Shit- Blerje '!AN12</f>
        <v>6663180</v>
      </c>
      <c r="K15" s="112">
        <f>'Liber Shit- Blerje '!AO12</f>
        <v>1332636</v>
      </c>
      <c r="L15" s="112">
        <f>'Liber Shit- Blerje '!AP12</f>
        <v>1332636</v>
      </c>
      <c r="M15" s="112">
        <v>1815229</v>
      </c>
      <c r="N15" s="1253">
        <f aca="true" t="shared" si="0" ref="N15:N25">F15-L15-M15</f>
        <v>-1989020</v>
      </c>
      <c r="Q15" s="892">
        <v>2</v>
      </c>
      <c r="R15" s="891" t="str">
        <f aca="true" t="shared" si="1" ref="R15:R28">B15</f>
        <v>Shkurt</v>
      </c>
      <c r="S15" s="889">
        <f aca="true" t="shared" si="2" ref="S15:S28">C15+D15+E15</f>
        <v>5794225</v>
      </c>
      <c r="T15" s="1024">
        <f aca="true" t="shared" si="3" ref="T15:T27">S15-Y15</f>
        <v>5025066</v>
      </c>
      <c r="U15" s="887"/>
      <c r="V15" s="887"/>
      <c r="W15" s="887"/>
      <c r="X15" s="887"/>
      <c r="Y15" s="1009">
        <f>279210+489949</f>
        <v>769159</v>
      </c>
      <c r="Z15" s="887"/>
    </row>
    <row r="16" spans="2:26" ht="12">
      <c r="B16" s="117" t="s">
        <v>185</v>
      </c>
      <c r="C16" s="112">
        <f>'Liber Shit- Blerje '!AG13</f>
        <v>0</v>
      </c>
      <c r="D16" s="112">
        <f>'Liber Shit- Blerje '!AH13</f>
        <v>0</v>
      </c>
      <c r="E16" s="112">
        <f>'Liber Shit- Blerje '!AI13</f>
        <v>6560775</v>
      </c>
      <c r="F16" s="112">
        <f>'Liber Shit- Blerje '!AJ13</f>
        <v>1312155</v>
      </c>
      <c r="G16" s="112">
        <f>'Liber Shit- Blerje '!AK13</f>
        <v>0</v>
      </c>
      <c r="H16" s="112">
        <f>'Liber Shit- Blerje '!AL13</f>
        <v>0</v>
      </c>
      <c r="I16" s="112">
        <f>'Liber Shit- Blerje '!AM13</f>
        <v>0</v>
      </c>
      <c r="J16" s="112">
        <f>'Liber Shit- Blerje '!AN13</f>
        <v>5817335</v>
      </c>
      <c r="K16" s="112">
        <f>'Liber Shit- Blerje '!AO13</f>
        <v>1163467</v>
      </c>
      <c r="L16" s="112">
        <f>'Liber Shit- Blerje '!AP13</f>
        <v>1163467</v>
      </c>
      <c r="M16" s="112">
        <v>1989020</v>
      </c>
      <c r="N16" s="1253">
        <f t="shared" si="0"/>
        <v>-1840332</v>
      </c>
      <c r="Q16" s="892">
        <v>3</v>
      </c>
      <c r="R16" s="891" t="str">
        <f t="shared" si="1"/>
        <v>Mars</v>
      </c>
      <c r="S16" s="889">
        <f t="shared" si="2"/>
        <v>6560775</v>
      </c>
      <c r="T16" s="1024">
        <f t="shared" si="3"/>
        <v>6085059</v>
      </c>
      <c r="U16" s="887"/>
      <c r="V16" s="887"/>
      <c r="W16" s="887"/>
      <c r="X16" s="887"/>
      <c r="Y16" s="1009">
        <f>234890+240826</f>
        <v>475716</v>
      </c>
      <c r="Z16" s="887"/>
    </row>
    <row r="17" spans="2:26" ht="12">
      <c r="B17" s="117" t="s">
        <v>186</v>
      </c>
      <c r="C17" s="112">
        <f>'Liber Shit- Blerje '!AG14</f>
        <v>0</v>
      </c>
      <c r="D17" s="112">
        <f>'Liber Shit- Blerje '!AH14</f>
        <v>0</v>
      </c>
      <c r="E17" s="112">
        <f>'Liber Shit- Blerje '!AI14</f>
        <v>8743870</v>
      </c>
      <c r="F17" s="112">
        <f>'Liber Shit- Blerje '!AJ14</f>
        <v>1748774</v>
      </c>
      <c r="G17" s="112">
        <f>'Liber Shit- Blerje '!AK14</f>
        <v>0</v>
      </c>
      <c r="H17" s="112">
        <f>'Liber Shit- Blerje '!AL14</f>
        <v>0</v>
      </c>
      <c r="I17" s="112">
        <f>'Liber Shit- Blerje '!AM14</f>
        <v>0</v>
      </c>
      <c r="J17" s="112">
        <f>'Liber Shit- Blerje '!AN14</f>
        <v>8480525</v>
      </c>
      <c r="K17" s="112">
        <f>'Liber Shit- Blerje '!AO14</f>
        <v>1696105</v>
      </c>
      <c r="L17" s="112">
        <f>'Liber Shit- Blerje '!AP14</f>
        <v>1696105</v>
      </c>
      <c r="M17" s="112">
        <v>1840332</v>
      </c>
      <c r="N17" s="1253">
        <f t="shared" si="0"/>
        <v>-1787663</v>
      </c>
      <c r="Q17" s="892">
        <v>4</v>
      </c>
      <c r="R17" s="891" t="str">
        <f t="shared" si="1"/>
        <v>Prill</v>
      </c>
      <c r="S17" s="889">
        <f t="shared" si="2"/>
        <v>8743870</v>
      </c>
      <c r="T17" s="1024">
        <f t="shared" si="3"/>
        <v>7977254</v>
      </c>
      <c r="U17" s="887"/>
      <c r="V17" s="887"/>
      <c r="W17" s="887"/>
      <c r="X17" s="887"/>
      <c r="Y17" s="1009">
        <f>337283+429333</f>
        <v>766616</v>
      </c>
      <c r="Z17" s="887"/>
    </row>
    <row r="18" spans="2:26" ht="12">
      <c r="B18" s="117" t="s">
        <v>187</v>
      </c>
      <c r="C18" s="112">
        <f>'Liber Shit- Blerje '!AG15</f>
        <v>0</v>
      </c>
      <c r="D18" s="112">
        <f>'Liber Shit- Blerje '!AH15</f>
        <v>0</v>
      </c>
      <c r="E18" s="112">
        <f>'Liber Shit- Blerje '!AI15</f>
        <v>8796595</v>
      </c>
      <c r="F18" s="112">
        <f>'Liber Shit- Blerje '!AJ15</f>
        <v>1759319</v>
      </c>
      <c r="G18" s="112">
        <f>'Liber Shit- Blerje '!AK15</f>
        <v>0</v>
      </c>
      <c r="H18" s="112">
        <f>'Liber Shit- Blerje '!AL15</f>
        <v>0</v>
      </c>
      <c r="I18" s="112">
        <f>'Liber Shit- Blerje '!AM15</f>
        <v>0</v>
      </c>
      <c r="J18" s="112">
        <f>'Liber Shit- Blerje '!AN15</f>
        <v>7247165</v>
      </c>
      <c r="K18" s="112">
        <f>'Liber Shit- Blerje '!AO15</f>
        <v>1449433</v>
      </c>
      <c r="L18" s="112">
        <f>'Liber Shit- Blerje '!AP15</f>
        <v>1449433</v>
      </c>
      <c r="M18" s="112">
        <v>1787663</v>
      </c>
      <c r="N18" s="1253">
        <f t="shared" si="0"/>
        <v>-1477777</v>
      </c>
      <c r="Q18" s="892">
        <v>5</v>
      </c>
      <c r="R18" s="891" t="str">
        <f t="shared" si="1"/>
        <v>Maj</v>
      </c>
      <c r="S18" s="889">
        <f t="shared" si="2"/>
        <v>8796595</v>
      </c>
      <c r="T18" s="1024">
        <f t="shared" si="3"/>
        <v>8796595</v>
      </c>
      <c r="U18" s="887"/>
      <c r="V18" s="887"/>
      <c r="W18" s="887"/>
      <c r="X18" s="887"/>
      <c r="Y18" s="1009"/>
      <c r="Z18" s="887"/>
    </row>
    <row r="19" spans="2:26" ht="12">
      <c r="B19" s="117" t="s">
        <v>188</v>
      </c>
      <c r="C19" s="112">
        <f>'Liber Shit- Blerje '!AG16</f>
        <v>0</v>
      </c>
      <c r="D19" s="112">
        <f>'Liber Shit- Blerje '!AH16</f>
        <v>0</v>
      </c>
      <c r="E19" s="112">
        <f>'Liber Shit- Blerje '!AI16</f>
        <v>8157600</v>
      </c>
      <c r="F19" s="112">
        <f>'Liber Shit- Blerje '!AJ16</f>
        <v>1631520</v>
      </c>
      <c r="G19" s="112">
        <f>'Liber Shit- Blerje '!AK16</f>
        <v>100</v>
      </c>
      <c r="H19" s="112">
        <f>'Liber Shit- Blerje '!AL16</f>
        <v>0</v>
      </c>
      <c r="I19" s="112">
        <f>'Liber Shit- Blerje '!AM16</f>
        <v>0</v>
      </c>
      <c r="J19" s="112">
        <f>'Liber Shit- Blerje '!AN16</f>
        <v>6776713</v>
      </c>
      <c r="K19" s="112">
        <f>'Liber Shit- Blerje '!AO16</f>
        <v>1355342.6</v>
      </c>
      <c r="L19" s="112">
        <f>'Liber Shit- Blerje '!AP16</f>
        <v>1355342.6</v>
      </c>
      <c r="M19" s="112">
        <v>1477777</v>
      </c>
      <c r="N19" s="1253">
        <f t="shared" si="0"/>
        <v>-1201599.6</v>
      </c>
      <c r="Q19" s="892">
        <v>6</v>
      </c>
      <c r="R19" s="891" t="str">
        <f t="shared" si="1"/>
        <v>Qershor</v>
      </c>
      <c r="S19" s="889">
        <f t="shared" si="2"/>
        <v>8157600</v>
      </c>
      <c r="T19" s="1024">
        <f t="shared" si="3"/>
        <v>8157600</v>
      </c>
      <c r="U19" s="887"/>
      <c r="V19" s="887"/>
      <c r="W19" s="887"/>
      <c r="X19" s="887"/>
      <c r="Y19" s="1009"/>
      <c r="Z19" s="887"/>
    </row>
    <row r="20" spans="2:26" ht="12">
      <c r="B20" s="117" t="s">
        <v>189</v>
      </c>
      <c r="C20" s="112">
        <f>'Liber Shit- Blerje '!AG17</f>
        <v>0</v>
      </c>
      <c r="D20" s="112">
        <f>'Liber Shit- Blerje '!AH17</f>
        <v>0</v>
      </c>
      <c r="E20" s="112">
        <f>'Liber Shit- Blerje '!AI17</f>
        <v>8141470</v>
      </c>
      <c r="F20" s="112">
        <f>'Liber Shit- Blerje '!AJ17</f>
        <v>1628294</v>
      </c>
      <c r="G20" s="112">
        <f>'Liber Shit- Blerje '!AK17</f>
        <v>0</v>
      </c>
      <c r="H20" s="112">
        <f>'Liber Shit- Blerje '!AL17</f>
        <v>0</v>
      </c>
      <c r="I20" s="112">
        <f>'Liber Shit- Blerje '!AM17</f>
        <v>0</v>
      </c>
      <c r="J20" s="112">
        <f>'Liber Shit- Blerje '!AN17</f>
        <v>10406500</v>
      </c>
      <c r="K20" s="112">
        <f>'Liber Shit- Blerje '!AO17</f>
        <v>2081300</v>
      </c>
      <c r="L20" s="112">
        <f>'Liber Shit- Blerje '!AP17</f>
        <v>2081300</v>
      </c>
      <c r="M20" s="112">
        <v>1201600</v>
      </c>
      <c r="N20" s="1253">
        <f t="shared" si="0"/>
        <v>-1654606</v>
      </c>
      <c r="Q20" s="892">
        <v>7</v>
      </c>
      <c r="R20" s="891" t="str">
        <f t="shared" si="1"/>
        <v>Korrik</v>
      </c>
      <c r="S20" s="889">
        <f t="shared" si="2"/>
        <v>8141470</v>
      </c>
      <c r="T20" s="1024">
        <f t="shared" si="3"/>
        <v>8141470</v>
      </c>
      <c r="U20" s="887"/>
      <c r="V20" s="887"/>
      <c r="W20" s="887"/>
      <c r="X20" s="887"/>
      <c r="Y20" s="1009"/>
      <c r="Z20" s="887"/>
    </row>
    <row r="21" spans="2:26" ht="12">
      <c r="B21" s="117" t="s">
        <v>190</v>
      </c>
      <c r="C21" s="112">
        <f>'Liber Shit- Blerje '!AG18</f>
        <v>0</v>
      </c>
      <c r="D21" s="112">
        <f>'Liber Shit- Blerje '!AH18</f>
        <v>0</v>
      </c>
      <c r="E21" s="112">
        <f>'Liber Shit- Blerje '!AI18</f>
        <v>10676875</v>
      </c>
      <c r="F21" s="112">
        <f>'Liber Shit- Blerje '!AJ18</f>
        <v>2135375</v>
      </c>
      <c r="G21" s="112">
        <f>'Liber Shit- Blerje '!AK18</f>
        <v>200</v>
      </c>
      <c r="H21" s="112">
        <f>'Liber Shit- Blerje '!AL18</f>
        <v>0</v>
      </c>
      <c r="I21" s="112">
        <f>'Liber Shit- Blerje '!AM18</f>
        <v>0</v>
      </c>
      <c r="J21" s="112">
        <f>'Liber Shit- Blerje '!AN18</f>
        <v>11287290</v>
      </c>
      <c r="K21" s="112">
        <f>'Liber Shit- Blerje '!AO18</f>
        <v>2257458</v>
      </c>
      <c r="L21" s="112">
        <f>'Liber Shit- Blerje '!AP18</f>
        <v>2257458</v>
      </c>
      <c r="M21" s="112">
        <v>1654606</v>
      </c>
      <c r="N21" s="1253">
        <f t="shared" si="0"/>
        <v>-1776689</v>
      </c>
      <c r="Q21" s="892">
        <v>8</v>
      </c>
      <c r="R21" s="891" t="str">
        <f t="shared" si="1"/>
        <v>Gusht</v>
      </c>
      <c r="S21" s="889">
        <f t="shared" si="2"/>
        <v>10676875</v>
      </c>
      <c r="T21" s="1024">
        <f t="shared" si="3"/>
        <v>10676875</v>
      </c>
      <c r="U21" s="887"/>
      <c r="V21" s="887"/>
      <c r="W21" s="887"/>
      <c r="X21" s="887"/>
      <c r="Y21" s="1009"/>
      <c r="Z21" s="887"/>
    </row>
    <row r="22" spans="2:26" ht="12">
      <c r="B22" s="117" t="s">
        <v>191</v>
      </c>
      <c r="C22" s="112">
        <f>'Liber Shit- Blerje '!AG19</f>
        <v>0</v>
      </c>
      <c r="D22" s="112">
        <f>'Liber Shit- Blerje '!AH19</f>
        <v>0</v>
      </c>
      <c r="E22" s="112">
        <v>8794085</v>
      </c>
      <c r="F22" s="112">
        <f>'Liber Shit- Blerje '!AJ19</f>
        <v>1758817</v>
      </c>
      <c r="G22" s="112">
        <f>'Liber Shit- Blerje '!AK19</f>
        <v>0</v>
      </c>
      <c r="H22" s="112">
        <f>'Liber Shit- Blerje '!AL19</f>
        <v>0</v>
      </c>
      <c r="I22" s="112">
        <f>'Liber Shit- Blerje '!AM19</f>
        <v>0</v>
      </c>
      <c r="J22" s="112">
        <f>'Liber Shit- Blerje '!AN19</f>
        <v>11452109</v>
      </c>
      <c r="K22" s="112">
        <f>'Liber Shit- Blerje '!AO19</f>
        <v>2290421.8000000003</v>
      </c>
      <c r="L22" s="112">
        <f>'Liber Shit- Blerje '!AP19</f>
        <v>2290421.8000000003</v>
      </c>
      <c r="M22" s="112">
        <v>1776689</v>
      </c>
      <c r="N22" s="1253">
        <f t="shared" si="0"/>
        <v>-2308293.8000000003</v>
      </c>
      <c r="Q22" s="892">
        <v>9</v>
      </c>
      <c r="R22" s="891" t="str">
        <f t="shared" si="1"/>
        <v>Shtator</v>
      </c>
      <c r="S22" s="889">
        <f t="shared" si="2"/>
        <v>8794085</v>
      </c>
      <c r="T22" s="1024">
        <f t="shared" si="3"/>
        <v>8794085</v>
      </c>
      <c r="U22" s="887"/>
      <c r="V22" s="887"/>
      <c r="W22" s="887"/>
      <c r="X22" s="887"/>
      <c r="Y22" s="1009"/>
      <c r="Z22" s="887"/>
    </row>
    <row r="23" spans="2:26" ht="12">
      <c r="B23" s="117" t="s">
        <v>192</v>
      </c>
      <c r="C23" s="112">
        <f>'Liber Shit- Blerje '!AG20</f>
        <v>0</v>
      </c>
      <c r="D23" s="112">
        <f>'Liber Shit- Blerje '!AH20</f>
        <v>0</v>
      </c>
      <c r="E23" s="112">
        <f>'Liber Shit- Blerje '!AI20</f>
        <v>9723630</v>
      </c>
      <c r="F23" s="112">
        <f>'Liber Shit- Blerje '!AJ20</f>
        <v>1944726</v>
      </c>
      <c r="G23" s="112">
        <f>'Liber Shit- Blerje '!AK20</f>
        <v>0</v>
      </c>
      <c r="H23" s="112">
        <f>'Liber Shit- Blerje '!AL20</f>
        <v>0</v>
      </c>
      <c r="I23" s="112">
        <f>'Liber Shit- Blerje '!AM20</f>
        <v>0</v>
      </c>
      <c r="J23" s="112">
        <f>'Liber Shit- Blerje '!AN20</f>
        <v>15998344.670000002</v>
      </c>
      <c r="K23" s="112">
        <f>'Liber Shit- Blerje '!AO20</f>
        <v>3199668.9340000004</v>
      </c>
      <c r="L23" s="112">
        <f>'Liber Shit- Blerje '!AP20</f>
        <v>3199668.9340000004</v>
      </c>
      <c r="M23" s="112">
        <v>2308294</v>
      </c>
      <c r="N23" s="1253">
        <f t="shared" si="0"/>
        <v>-3563236.9340000004</v>
      </c>
      <c r="Q23" s="892">
        <v>10</v>
      </c>
      <c r="R23" s="891" t="str">
        <f t="shared" si="1"/>
        <v>Tetor</v>
      </c>
      <c r="S23" s="889">
        <f t="shared" si="2"/>
        <v>9723630</v>
      </c>
      <c r="T23" s="1024">
        <f t="shared" si="3"/>
        <v>9723630</v>
      </c>
      <c r="U23" s="887"/>
      <c r="V23" s="887"/>
      <c r="W23" s="887"/>
      <c r="X23" s="887"/>
      <c r="Y23" s="1009"/>
      <c r="Z23" s="887"/>
    </row>
    <row r="24" spans="2:26" ht="12">
      <c r="B24" s="117" t="s">
        <v>193</v>
      </c>
      <c r="C24" s="112">
        <f>'Liber Shit- Blerje '!AG21</f>
        <v>0</v>
      </c>
      <c r="D24" s="112">
        <f>'Liber Shit- Blerje '!AH21</f>
        <v>0</v>
      </c>
      <c r="E24" s="112">
        <f>'Liber Shit- Blerje '!AI21</f>
        <v>9664355</v>
      </c>
      <c r="F24" s="112">
        <f>'Liber Shit- Blerje '!AJ21</f>
        <v>1932871</v>
      </c>
      <c r="G24" s="112">
        <f>'Liber Shit- Blerje '!AK21</f>
        <v>0</v>
      </c>
      <c r="H24" s="112">
        <f>'Liber Shit- Blerje '!AL21</f>
        <v>0</v>
      </c>
      <c r="I24" s="112">
        <f>'Liber Shit- Blerje '!AM21</f>
        <v>0</v>
      </c>
      <c r="J24" s="112">
        <f>'Liber Shit- Blerje '!AN21</f>
        <v>7155380</v>
      </c>
      <c r="K24" s="112">
        <f>'Liber Shit- Blerje '!AO21</f>
        <v>1431076</v>
      </c>
      <c r="L24" s="112">
        <f>'Liber Shit- Blerje '!AP21</f>
        <v>1431076</v>
      </c>
      <c r="M24" s="112">
        <v>4393157</v>
      </c>
      <c r="N24" s="1253">
        <f t="shared" si="0"/>
        <v>-3891362</v>
      </c>
      <c r="Q24" s="892">
        <v>11</v>
      </c>
      <c r="R24" s="891" t="str">
        <f t="shared" si="1"/>
        <v>Nentor</v>
      </c>
      <c r="S24" s="889">
        <f t="shared" si="2"/>
        <v>9664355</v>
      </c>
      <c r="T24" s="1024">
        <f t="shared" si="3"/>
        <v>9664355</v>
      </c>
      <c r="U24" s="887"/>
      <c r="V24" s="887"/>
      <c r="W24" s="887"/>
      <c r="X24" s="887"/>
      <c r="Y24" s="1009"/>
      <c r="Z24" s="887"/>
    </row>
    <row r="25" spans="2:26" ht="12">
      <c r="B25" s="117" t="s">
        <v>194</v>
      </c>
      <c r="C25" s="112">
        <f>'Liber Shit- Blerje '!AG22</f>
        <v>2000000</v>
      </c>
      <c r="D25" s="112">
        <f>'Liber Shit- Blerje '!AH22</f>
        <v>0</v>
      </c>
      <c r="E25" s="112">
        <f>'Liber Shit- Blerje '!AI22</f>
        <v>10873235</v>
      </c>
      <c r="F25" s="112">
        <f>'Liber Shit- Blerje '!AJ22</f>
        <v>2174647</v>
      </c>
      <c r="G25" s="112">
        <f>'Liber Shit- Blerje '!AK22</f>
        <v>0</v>
      </c>
      <c r="H25" s="112">
        <f>'Liber Shit- Blerje '!AL22</f>
        <v>0</v>
      </c>
      <c r="I25" s="112">
        <f>'Liber Shit- Blerje '!AM22</f>
        <v>0</v>
      </c>
      <c r="J25" s="112">
        <f>'Liber Shit- Blerje '!AN22</f>
        <v>19972056</v>
      </c>
      <c r="K25" s="112">
        <f>'Liber Shit- Blerje '!AO22</f>
        <v>3994411.2</v>
      </c>
      <c r="L25" s="112">
        <f>'Liber Shit- Blerje '!AP22</f>
        <v>3994411.2</v>
      </c>
      <c r="M25" s="112">
        <v>3891362</v>
      </c>
      <c r="N25" s="1253">
        <f t="shared" si="0"/>
        <v>-5711126.2</v>
      </c>
      <c r="Q25" s="892">
        <v>12</v>
      </c>
      <c r="R25" s="891" t="str">
        <f t="shared" si="1"/>
        <v>Dhjetor</v>
      </c>
      <c r="S25" s="889">
        <f t="shared" si="2"/>
        <v>12873235</v>
      </c>
      <c r="T25" s="1024">
        <f t="shared" si="3"/>
        <v>12873235</v>
      </c>
      <c r="U25" s="887"/>
      <c r="V25" s="887"/>
      <c r="W25" s="887"/>
      <c r="X25" s="887"/>
      <c r="Y25" s="1009"/>
      <c r="Z25" s="887"/>
    </row>
    <row r="26" spans="2:26" ht="12">
      <c r="B26" s="117" t="s">
        <v>195</v>
      </c>
      <c r="C26" s="112">
        <f>'Liber Shit- Blerje '!AG23</f>
        <v>0</v>
      </c>
      <c r="D26" s="112">
        <f>'Liber Shit- Blerje '!AH23</f>
        <v>0</v>
      </c>
      <c r="E26" s="112">
        <f>'Liber Shit- Blerje '!AI23</f>
        <v>0</v>
      </c>
      <c r="F26" s="112">
        <f>'Liber Shit- Blerje '!AJ23</f>
        <v>0</v>
      </c>
      <c r="G26" s="112">
        <f>'Liber Shit- Blerje '!AK23</f>
        <v>0</v>
      </c>
      <c r="H26" s="112">
        <f>'Liber Shit- Blerje '!AL23</f>
        <v>0</v>
      </c>
      <c r="I26" s="112">
        <f>'Liber Shit- Blerje '!AM23</f>
        <v>0</v>
      </c>
      <c r="J26" s="112">
        <f>'Liber Shit- Blerje '!AN23</f>
        <v>0</v>
      </c>
      <c r="K26" s="112">
        <f>'Liber Shit- Blerje '!AO23</f>
        <v>0</v>
      </c>
      <c r="L26" s="112">
        <f>'Liber Shit- Blerje '!AP23</f>
        <v>0</v>
      </c>
      <c r="M26" s="112">
        <f>'Liber Shit- Blerje '!AQ23</f>
        <v>0</v>
      </c>
      <c r="N26" s="1253">
        <f>'Liber Shit- Blerje '!AR23</f>
        <v>0</v>
      </c>
      <c r="Q26" s="892">
        <v>13</v>
      </c>
      <c r="R26" s="891" t="str">
        <f t="shared" si="1"/>
        <v>Nj vlersim</v>
      </c>
      <c r="S26" s="889">
        <f t="shared" si="2"/>
        <v>0</v>
      </c>
      <c r="T26" s="1024">
        <f t="shared" si="3"/>
        <v>0</v>
      </c>
      <c r="U26" s="887"/>
      <c r="V26" s="887"/>
      <c r="W26" s="887"/>
      <c r="X26" s="887"/>
      <c r="Y26" s="1009"/>
      <c r="Z26" s="887"/>
    </row>
    <row r="27" spans="2:26" ht="12">
      <c r="B27" s="117" t="s">
        <v>195</v>
      </c>
      <c r="C27" s="112">
        <f>'Liber Shit- Blerje '!AG24</f>
        <v>0</v>
      </c>
      <c r="D27" s="112">
        <f>'Liber Shit- Blerje '!AH24</f>
        <v>0</v>
      </c>
      <c r="E27" s="112">
        <f>'Liber Shit- Blerje '!AI24</f>
        <v>0</v>
      </c>
      <c r="F27" s="112">
        <f>'Liber Shit- Blerje '!AJ24</f>
        <v>0</v>
      </c>
      <c r="G27" s="112">
        <f>'Liber Shit- Blerje '!AK24</f>
        <v>0</v>
      </c>
      <c r="H27" s="112">
        <f>'Liber Shit- Blerje '!AL24</f>
        <v>0</v>
      </c>
      <c r="I27" s="112">
        <f>'Liber Shit- Blerje '!AM24</f>
        <v>0</v>
      </c>
      <c r="J27" s="112">
        <f>'Liber Shit- Blerje '!AN24</f>
        <v>0</v>
      </c>
      <c r="K27" s="112">
        <f>'Liber Shit- Blerje '!AO24</f>
        <v>0</v>
      </c>
      <c r="L27" s="112">
        <f>'Liber Shit- Blerje '!AP24</f>
        <v>0</v>
      </c>
      <c r="M27" s="112">
        <f>'Liber Shit- Blerje '!AQ24</f>
        <v>0</v>
      </c>
      <c r="N27" s="1253">
        <f>'Liber Shit- Blerje '!AR24</f>
        <v>0</v>
      </c>
      <c r="Q27" s="892">
        <v>14</v>
      </c>
      <c r="R27" s="891" t="str">
        <f t="shared" si="1"/>
        <v>Nj vlersim</v>
      </c>
      <c r="S27" s="889">
        <f t="shared" si="2"/>
        <v>0</v>
      </c>
      <c r="T27" s="1024">
        <f t="shared" si="3"/>
        <v>0</v>
      </c>
      <c r="U27" s="887">
        <v>0</v>
      </c>
      <c r="V27" s="887"/>
      <c r="W27" s="887">
        <v>0</v>
      </c>
      <c r="X27" s="887"/>
      <c r="Y27" s="1009"/>
      <c r="Z27" s="887"/>
    </row>
    <row r="28" spans="2:26" ht="12.75" thickBot="1">
      <c r="B28" s="119"/>
      <c r="C28" s="1254">
        <f>'Liber Shit- Blerje '!AG25</f>
        <v>0</v>
      </c>
      <c r="D28" s="1254">
        <f>'Liber Shit- Blerje '!AH25</f>
        <v>0</v>
      </c>
      <c r="E28" s="1254">
        <f>'Liber Shit- Blerje '!AI25</f>
        <v>0</v>
      </c>
      <c r="F28" s="1254">
        <f>'Liber Shit- Blerje '!AJ25</f>
        <v>0</v>
      </c>
      <c r="G28" s="1254">
        <f>'Liber Shit- Blerje '!AK25</f>
        <v>0</v>
      </c>
      <c r="H28" s="1254">
        <f>'Liber Shit- Blerje '!AL25</f>
        <v>0</v>
      </c>
      <c r="I28" s="1254">
        <f>'Liber Shit- Blerje '!AM25</f>
        <v>0</v>
      </c>
      <c r="J28" s="1254">
        <f>'Liber Shit- Blerje '!AN25</f>
        <v>0</v>
      </c>
      <c r="K28" s="1254">
        <f>'Liber Shit- Blerje '!AO25</f>
        <v>0</v>
      </c>
      <c r="L28" s="1254">
        <f>'Liber Shit- Blerje '!AP25</f>
        <v>0</v>
      </c>
      <c r="M28" s="1254">
        <f>'Liber Shit- Blerje '!AQ25</f>
        <v>0</v>
      </c>
      <c r="N28" s="1255">
        <f>'Liber Shit- Blerje '!AR25</f>
        <v>0</v>
      </c>
      <c r="Q28" s="892">
        <v>15</v>
      </c>
      <c r="R28" s="891">
        <f t="shared" si="1"/>
        <v>0</v>
      </c>
      <c r="S28" s="889">
        <f t="shared" si="2"/>
        <v>0</v>
      </c>
      <c r="T28" s="1009"/>
      <c r="U28" s="887"/>
      <c r="V28" s="887"/>
      <c r="W28" s="887"/>
      <c r="X28" s="887"/>
      <c r="Y28" s="1009"/>
      <c r="Z28" s="887"/>
    </row>
    <row r="29" spans="2:26" s="120" customFormat="1" ht="22.5" customHeight="1" thickBot="1">
      <c r="B29" s="1248" t="s">
        <v>196</v>
      </c>
      <c r="C29" s="1249">
        <f>SUM(C14:C28)</f>
        <v>2000000</v>
      </c>
      <c r="D29" s="1249">
        <f aca="true" t="shared" si="4" ref="D29:O29">SUM(D14:D28)</f>
        <v>0</v>
      </c>
      <c r="E29" s="1249">
        <f t="shared" si="4"/>
        <v>103559290</v>
      </c>
      <c r="F29" s="1249">
        <f t="shared" si="4"/>
        <v>20711858</v>
      </c>
      <c r="G29" s="1249">
        <f t="shared" si="4"/>
        <v>300</v>
      </c>
      <c r="H29" s="1249">
        <f t="shared" si="4"/>
        <v>0</v>
      </c>
      <c r="I29" s="1249">
        <f t="shared" si="4"/>
        <v>0</v>
      </c>
      <c r="J29" s="1249">
        <f t="shared" si="4"/>
        <v>117281152.67</v>
      </c>
      <c r="K29" s="1249">
        <f t="shared" si="4"/>
        <v>23456230.533999998</v>
      </c>
      <c r="L29" s="1249">
        <f t="shared" si="4"/>
        <v>23456230.533999998</v>
      </c>
      <c r="M29" s="1249">
        <f t="shared" si="4"/>
        <v>26272562</v>
      </c>
      <c r="N29" s="1250">
        <f>+N14+N15+N17+N18+N19+N20+N21+N22+N23+N25</f>
        <v>-23285240.533999998</v>
      </c>
      <c r="O29" s="490">
        <f t="shared" si="4"/>
        <v>0</v>
      </c>
      <c r="Q29" s="888"/>
      <c r="R29" s="888"/>
      <c r="S29" s="890">
        <f>SUM(S14:S28)</f>
        <v>105559290</v>
      </c>
      <c r="T29" s="890">
        <f aca="true" t="shared" si="5" ref="T29:Z29">SUM(T14:T28)</f>
        <v>102865128</v>
      </c>
      <c r="U29" s="890">
        <f t="shared" si="5"/>
        <v>0</v>
      </c>
      <c r="V29" s="890">
        <f t="shared" si="5"/>
        <v>0</v>
      </c>
      <c r="W29" s="890">
        <f t="shared" si="5"/>
        <v>0</v>
      </c>
      <c r="X29" s="890">
        <f t="shared" si="5"/>
        <v>0</v>
      </c>
      <c r="Y29" s="890">
        <f t="shared" si="5"/>
        <v>2694162</v>
      </c>
      <c r="Z29" s="890">
        <f t="shared" si="5"/>
        <v>0</v>
      </c>
    </row>
    <row r="30" spans="2:14" s="124" customFormat="1" ht="12">
      <c r="B30" s="349" t="s">
        <v>397</v>
      </c>
      <c r="C30" s="349"/>
      <c r="D30" s="349"/>
      <c r="E30" s="124">
        <v>0</v>
      </c>
      <c r="F30" s="124">
        <v>0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24">
        <v>0</v>
      </c>
      <c r="M30" s="124">
        <v>0</v>
      </c>
      <c r="N30" s="124">
        <v>0</v>
      </c>
    </row>
    <row r="31" spans="3:12" ht="12">
      <c r="C31" s="350">
        <f>+C29-C30</f>
        <v>2000000</v>
      </c>
      <c r="D31" s="350">
        <f aca="true" t="shared" si="6" ref="D31:L31">+D29-D30</f>
        <v>0</v>
      </c>
      <c r="E31" s="350">
        <f t="shared" si="6"/>
        <v>103559290</v>
      </c>
      <c r="F31" s="350">
        <f t="shared" si="6"/>
        <v>20711858</v>
      </c>
      <c r="G31" s="350">
        <f t="shared" si="6"/>
        <v>300</v>
      </c>
      <c r="H31" s="350">
        <f t="shared" si="6"/>
        <v>0</v>
      </c>
      <c r="I31" s="350">
        <f t="shared" si="6"/>
        <v>0</v>
      </c>
      <c r="J31" s="350">
        <f t="shared" si="6"/>
        <v>117281152.67</v>
      </c>
      <c r="K31" s="350">
        <f t="shared" si="6"/>
        <v>23456230.533999998</v>
      </c>
      <c r="L31" s="350">
        <f t="shared" si="6"/>
        <v>23456230.533999998</v>
      </c>
    </row>
    <row r="32" spans="3:6" ht="12">
      <c r="C32" s="111" t="s">
        <v>197</v>
      </c>
      <c r="D32" s="111"/>
      <c r="E32" s="111"/>
      <c r="F32" s="111"/>
    </row>
    <row r="33" spans="3:6" ht="12">
      <c r="C33" s="111"/>
      <c r="D33" s="111"/>
      <c r="E33" s="111"/>
      <c r="F33" s="111"/>
    </row>
    <row r="34" spans="3:10" ht="12">
      <c r="C34" s="111" t="s">
        <v>392</v>
      </c>
      <c r="D34" s="111"/>
      <c r="E34" s="111"/>
      <c r="F34" s="111"/>
      <c r="J34" s="109" t="s">
        <v>198</v>
      </c>
    </row>
    <row r="48" spans="2:8" ht="12">
      <c r="B48" s="113"/>
      <c r="C48" s="108"/>
      <c r="D48" s="108"/>
      <c r="E48" s="108"/>
      <c r="F48" s="108"/>
      <c r="G48" s="107"/>
      <c r="H48" s="107"/>
    </row>
    <row r="49" spans="2:8" ht="12">
      <c r="B49" s="113" t="s">
        <v>130</v>
      </c>
      <c r="C49" s="107">
        <f>'Kopertina '!F49</f>
        <v>0</v>
      </c>
      <c r="D49" s="107"/>
      <c r="E49" s="107"/>
      <c r="F49" s="107"/>
      <c r="G49" s="107"/>
      <c r="H49" s="107"/>
    </row>
    <row r="50" spans="2:11" ht="12">
      <c r="B50" s="114"/>
      <c r="C50" s="110"/>
      <c r="D50" s="110"/>
      <c r="E50" s="110"/>
      <c r="F50" s="110"/>
      <c r="G50" s="107"/>
      <c r="H50" s="107"/>
      <c r="I50" s="107"/>
      <c r="J50" s="107"/>
      <c r="K50" s="107" t="s">
        <v>160</v>
      </c>
    </row>
    <row r="51" spans="2:9" ht="12">
      <c r="B51" s="114"/>
      <c r="C51" s="1433" t="s">
        <v>161</v>
      </c>
      <c r="D51" s="1433"/>
      <c r="E51" s="1433"/>
      <c r="F51" s="1433"/>
      <c r="G51" s="1433"/>
      <c r="H51" s="1433"/>
      <c r="I51" s="1433"/>
    </row>
    <row r="52" spans="2:10" ht="12">
      <c r="B52" s="114"/>
      <c r="C52" s="110"/>
      <c r="D52" s="110"/>
      <c r="E52" s="110"/>
      <c r="F52" s="110"/>
      <c r="G52" s="110"/>
      <c r="H52" s="107" t="s">
        <v>131</v>
      </c>
      <c r="I52" s="111"/>
      <c r="J52" s="111">
        <f>'Kopertina '!F74</f>
        <v>0</v>
      </c>
    </row>
    <row r="54" ht="12.75" thickBot="1"/>
    <row r="55" spans="2:14" ht="12.75" thickBot="1">
      <c r="B55" s="1417" t="s">
        <v>166</v>
      </c>
      <c r="C55" s="1427" t="s">
        <v>167</v>
      </c>
      <c r="D55" s="1428"/>
      <c r="E55" s="1428"/>
      <c r="F55" s="1429"/>
      <c r="G55" s="1430" t="s">
        <v>168</v>
      </c>
      <c r="H55" s="1431"/>
      <c r="I55" s="1431"/>
      <c r="J55" s="1431"/>
      <c r="K55" s="1431"/>
      <c r="L55" s="1432"/>
      <c r="M55" s="1419" t="s">
        <v>169</v>
      </c>
      <c r="N55" s="1421" t="s">
        <v>170</v>
      </c>
    </row>
    <row r="56" spans="2:14" ht="12">
      <c r="B56" s="1418"/>
      <c r="C56" s="1423" t="s">
        <v>171</v>
      </c>
      <c r="D56" s="1102" t="s">
        <v>172</v>
      </c>
      <c r="E56" s="481" t="s">
        <v>173</v>
      </c>
      <c r="F56" s="482"/>
      <c r="G56" s="1425" t="s">
        <v>174</v>
      </c>
      <c r="H56" s="483" t="s">
        <v>175</v>
      </c>
      <c r="I56" s="484"/>
      <c r="J56" s="484"/>
      <c r="K56" s="484"/>
      <c r="L56" s="485"/>
      <c r="M56" s="1420"/>
      <c r="N56" s="1422"/>
    </row>
    <row r="57" spans="2:14" ht="12">
      <c r="B57" s="1418"/>
      <c r="C57" s="1424"/>
      <c r="D57" s="1102"/>
      <c r="E57" s="1425" t="s">
        <v>176</v>
      </c>
      <c r="F57" s="1425" t="s">
        <v>177</v>
      </c>
      <c r="G57" s="1420"/>
      <c r="H57" s="483" t="s">
        <v>178</v>
      </c>
      <c r="I57" s="485"/>
      <c r="J57" s="483" t="s">
        <v>179</v>
      </c>
      <c r="K57" s="485"/>
      <c r="L57" s="1425" t="s">
        <v>180</v>
      </c>
      <c r="M57" s="1420"/>
      <c r="N57" s="1422"/>
    </row>
    <row r="58" spans="2:14" ht="12.75" thickBot="1">
      <c r="B58" s="1441"/>
      <c r="C58" s="1424"/>
      <c r="D58" s="1230"/>
      <c r="E58" s="1420"/>
      <c r="F58" s="1420"/>
      <c r="G58" s="1420"/>
      <c r="H58" s="1247" t="s">
        <v>181</v>
      </c>
      <c r="I58" s="1247" t="s">
        <v>182</v>
      </c>
      <c r="J58" s="1247" t="s">
        <v>181</v>
      </c>
      <c r="K58" s="1247" t="s">
        <v>182</v>
      </c>
      <c r="L58" s="1420"/>
      <c r="M58" s="1420"/>
      <c r="N58" s="1422"/>
    </row>
    <row r="59" spans="2:14" ht="12">
      <c r="B59" s="1256" t="s">
        <v>183</v>
      </c>
      <c r="C59" s="1259">
        <f>C14</f>
        <v>0</v>
      </c>
      <c r="D59" s="1251">
        <f>'Liber Shit- Blerje '!AH56</f>
        <v>0</v>
      </c>
      <c r="E59" s="1251"/>
      <c r="F59" s="1251"/>
      <c r="G59" s="1251"/>
      <c r="H59" s="1251"/>
      <c r="I59" s="1251"/>
      <c r="J59" s="1251"/>
      <c r="K59" s="1251"/>
      <c r="L59" s="1251"/>
      <c r="M59" s="1251">
        <f>'Liber Shit- Blerje '!AQ56</f>
        <v>0</v>
      </c>
      <c r="N59" s="1252">
        <f>F59</f>
        <v>0</v>
      </c>
    </row>
    <row r="60" spans="2:14" ht="12">
      <c r="B60" s="1257" t="s">
        <v>184</v>
      </c>
      <c r="C60" s="1260">
        <f>C15</f>
        <v>0</v>
      </c>
      <c r="D60" s="112">
        <f aca="true" t="shared" si="7" ref="D60:D70">D15</f>
        <v>0</v>
      </c>
      <c r="E60" s="112"/>
      <c r="F60" s="112"/>
      <c r="G60" s="112"/>
      <c r="H60" s="112"/>
      <c r="I60" s="112"/>
      <c r="J60" s="112"/>
      <c r="K60" s="112"/>
      <c r="L60" s="112"/>
      <c r="M60" s="112" t="str">
        <f>'Liber Shit- Blerje '!AQ57</f>
        <v>T V SH e zbrit nga muaj I kaluar</v>
      </c>
      <c r="N60" s="1253">
        <f aca="true" t="shared" si="8" ref="N60:N72">F60</f>
        <v>0</v>
      </c>
    </row>
    <row r="61" spans="2:14" ht="12">
      <c r="B61" s="1257" t="s">
        <v>185</v>
      </c>
      <c r="C61" s="1260">
        <f>C16</f>
        <v>0</v>
      </c>
      <c r="D61" s="112">
        <f t="shared" si="7"/>
        <v>0</v>
      </c>
      <c r="E61" s="112"/>
      <c r="F61" s="112"/>
      <c r="G61" s="112"/>
      <c r="H61" s="112"/>
      <c r="I61" s="112"/>
      <c r="J61" s="112"/>
      <c r="K61" s="112"/>
      <c r="L61" s="112"/>
      <c r="M61" s="112">
        <f>'Liber Shit- Blerje '!AQ58</f>
        <v>0</v>
      </c>
      <c r="N61" s="1253">
        <f t="shared" si="8"/>
        <v>0</v>
      </c>
    </row>
    <row r="62" spans="2:14" ht="12">
      <c r="B62" s="1257" t="s">
        <v>186</v>
      </c>
      <c r="C62" s="1260">
        <f>C17</f>
        <v>0</v>
      </c>
      <c r="D62" s="112">
        <f t="shared" si="7"/>
        <v>0</v>
      </c>
      <c r="E62" s="112"/>
      <c r="F62" s="112"/>
      <c r="G62" s="112"/>
      <c r="H62" s="112"/>
      <c r="I62" s="112"/>
      <c r="J62" s="112"/>
      <c r="K62" s="112"/>
      <c r="L62" s="112"/>
      <c r="M62" s="112">
        <f>'Liber Shit- Blerje '!AQ59</f>
        <v>0</v>
      </c>
      <c r="N62" s="1253">
        <f t="shared" si="8"/>
        <v>0</v>
      </c>
    </row>
    <row r="63" spans="2:14" ht="12">
      <c r="B63" s="1257" t="s">
        <v>187</v>
      </c>
      <c r="C63" s="1260"/>
      <c r="D63" s="112">
        <f t="shared" si="7"/>
        <v>0</v>
      </c>
      <c r="E63" s="112">
        <v>636923</v>
      </c>
      <c r="F63" s="112">
        <f>E63*0.2</f>
        <v>127384.6</v>
      </c>
      <c r="G63" s="112"/>
      <c r="H63" s="112"/>
      <c r="I63" s="112"/>
      <c r="J63" s="112"/>
      <c r="K63" s="112"/>
      <c r="L63" s="112"/>
      <c r="M63" s="112">
        <f>'Liber Shit- Blerje '!AQ60</f>
        <v>0</v>
      </c>
      <c r="N63" s="1253">
        <f t="shared" si="8"/>
        <v>127384.6</v>
      </c>
    </row>
    <row r="64" spans="2:14" ht="12">
      <c r="B64" s="1257" t="s">
        <v>188</v>
      </c>
      <c r="C64" s="1262"/>
      <c r="D64" s="112">
        <f t="shared" si="7"/>
        <v>0</v>
      </c>
      <c r="E64" s="112">
        <v>729796</v>
      </c>
      <c r="F64" s="112">
        <f aca="true" t="shared" si="9" ref="F64:F70">+E64*0.2</f>
        <v>145959.2</v>
      </c>
      <c r="G64" s="112"/>
      <c r="H64" s="112"/>
      <c r="I64" s="112"/>
      <c r="J64" s="112"/>
      <c r="K64" s="112"/>
      <c r="L64" s="112"/>
      <c r="M64" s="112">
        <f>'Liber Shit- Blerje '!AQ61</f>
        <v>0</v>
      </c>
      <c r="N64" s="1253">
        <f t="shared" si="8"/>
        <v>145959.2</v>
      </c>
    </row>
    <row r="65" spans="2:14" ht="12">
      <c r="B65" s="1257" t="s">
        <v>189</v>
      </c>
      <c r="C65" s="1262"/>
      <c r="D65" s="112">
        <f t="shared" si="7"/>
        <v>0</v>
      </c>
      <c r="E65" s="112">
        <v>671001</v>
      </c>
      <c r="F65" s="112">
        <f t="shared" si="9"/>
        <v>134200.2</v>
      </c>
      <c r="G65" s="112"/>
      <c r="H65" s="112"/>
      <c r="I65" s="112"/>
      <c r="J65" s="112"/>
      <c r="K65" s="112"/>
      <c r="L65" s="112"/>
      <c r="M65" s="112">
        <f>'Liber Shit- Blerje '!AQ62</f>
        <v>0</v>
      </c>
      <c r="N65" s="1253">
        <f t="shared" si="8"/>
        <v>134200.2</v>
      </c>
    </row>
    <row r="66" spans="2:14" ht="12">
      <c r="B66" s="1257" t="s">
        <v>190</v>
      </c>
      <c r="C66" s="1260"/>
      <c r="D66" s="112">
        <f t="shared" si="7"/>
        <v>0</v>
      </c>
      <c r="E66" s="112">
        <v>1069609</v>
      </c>
      <c r="F66" s="112">
        <f t="shared" si="9"/>
        <v>213921.80000000002</v>
      </c>
      <c r="G66" s="112"/>
      <c r="H66" s="112"/>
      <c r="I66" s="112"/>
      <c r="J66" s="112"/>
      <c r="K66" s="112"/>
      <c r="L66" s="112"/>
      <c r="M66" s="112">
        <f>'Liber Shit- Blerje '!AQ63</f>
        <v>0</v>
      </c>
      <c r="N66" s="1253">
        <f t="shared" si="8"/>
        <v>213921.80000000002</v>
      </c>
    </row>
    <row r="67" spans="2:14" ht="12">
      <c r="B67" s="1257" t="s">
        <v>191</v>
      </c>
      <c r="C67" s="1260"/>
      <c r="D67" s="112">
        <f t="shared" si="7"/>
        <v>0</v>
      </c>
      <c r="E67" s="112">
        <v>611743</v>
      </c>
      <c r="F67" s="112">
        <f t="shared" si="9"/>
        <v>122348.6</v>
      </c>
      <c r="G67" s="112"/>
      <c r="H67" s="112"/>
      <c r="I67" s="112"/>
      <c r="J67" s="112"/>
      <c r="K67" s="112"/>
      <c r="L67" s="112"/>
      <c r="M67" s="112">
        <f>'Liber Shit- Blerje '!AQ64</f>
        <v>0</v>
      </c>
      <c r="N67" s="1253">
        <f t="shared" si="8"/>
        <v>122348.6</v>
      </c>
    </row>
    <row r="68" spans="2:14" ht="12">
      <c r="B68" s="1257" t="s">
        <v>192</v>
      </c>
      <c r="C68" s="1260"/>
      <c r="D68" s="112">
        <f t="shared" si="7"/>
        <v>0</v>
      </c>
      <c r="E68" s="112">
        <v>1194672</v>
      </c>
      <c r="F68" s="112">
        <f t="shared" si="9"/>
        <v>238934.40000000002</v>
      </c>
      <c r="G68" s="112"/>
      <c r="H68" s="112"/>
      <c r="I68" s="112"/>
      <c r="J68" s="112"/>
      <c r="K68" s="112"/>
      <c r="L68" s="112"/>
      <c r="M68" s="112">
        <f>'Liber Shit- Blerje '!AQ65</f>
        <v>0</v>
      </c>
      <c r="N68" s="1253">
        <f t="shared" si="8"/>
        <v>238934.40000000002</v>
      </c>
    </row>
    <row r="69" spans="2:14" ht="12">
      <c r="B69" s="1257" t="s">
        <v>193</v>
      </c>
      <c r="C69" s="1260"/>
      <c r="D69" s="112">
        <f t="shared" si="7"/>
        <v>0</v>
      </c>
      <c r="E69" s="112">
        <v>808176</v>
      </c>
      <c r="F69" s="112">
        <f t="shared" si="9"/>
        <v>161635.2</v>
      </c>
      <c r="G69" s="112"/>
      <c r="H69" s="112"/>
      <c r="I69" s="112"/>
      <c r="J69" s="112"/>
      <c r="K69" s="112"/>
      <c r="L69" s="112"/>
      <c r="M69" s="112">
        <f>'Liber Shit- Blerje '!AQ66</f>
        <v>0</v>
      </c>
      <c r="N69" s="1253">
        <f t="shared" si="8"/>
        <v>161635.2</v>
      </c>
    </row>
    <row r="70" spans="2:14" ht="12">
      <c r="B70" s="1257" t="s">
        <v>194</v>
      </c>
      <c r="C70" s="1260">
        <f>C25</f>
        <v>2000000</v>
      </c>
      <c r="D70" s="112">
        <f t="shared" si="7"/>
        <v>0</v>
      </c>
      <c r="E70" s="112">
        <v>1499309</v>
      </c>
      <c r="F70" s="112">
        <f t="shared" si="9"/>
        <v>299861.8</v>
      </c>
      <c r="G70" s="112"/>
      <c r="H70" s="112"/>
      <c r="I70" s="112"/>
      <c r="J70" s="112"/>
      <c r="K70" s="112"/>
      <c r="L70" s="112"/>
      <c r="M70" s="112">
        <f>'Liber Shit- Blerje '!AQ67</f>
        <v>0</v>
      </c>
      <c r="N70" s="1253">
        <f t="shared" si="8"/>
        <v>299861.8</v>
      </c>
    </row>
    <row r="71" spans="2:14" ht="12">
      <c r="B71" s="1257" t="s">
        <v>195</v>
      </c>
      <c r="C71" s="1260">
        <f>'Liber Shit- Blerje '!AG68</f>
        <v>0</v>
      </c>
      <c r="D71" s="112">
        <f>'Liber Shit- Blerje '!AH68</f>
        <v>0</v>
      </c>
      <c r="E71" s="112"/>
      <c r="F71" s="112"/>
      <c r="G71" s="112"/>
      <c r="H71" s="112"/>
      <c r="I71" s="112"/>
      <c r="J71" s="112"/>
      <c r="K71" s="112"/>
      <c r="L71" s="112"/>
      <c r="M71" s="112">
        <f>'Liber Shit- Blerje '!AQ68</f>
        <v>0</v>
      </c>
      <c r="N71" s="1253">
        <f t="shared" si="8"/>
        <v>0</v>
      </c>
    </row>
    <row r="72" spans="2:14" ht="12">
      <c r="B72" s="1257" t="s">
        <v>195</v>
      </c>
      <c r="C72" s="1260">
        <f>'Liber Shit- Blerje '!AG69</f>
        <v>0</v>
      </c>
      <c r="D72" s="112">
        <f>'Liber Shit- Blerje '!AH69</f>
        <v>0</v>
      </c>
      <c r="E72" s="112">
        <f>'Liber Shit- Blerje '!AI69</f>
        <v>8066409</v>
      </c>
      <c r="F72" s="112"/>
      <c r="G72" s="112"/>
      <c r="H72" s="112"/>
      <c r="I72" s="112"/>
      <c r="J72" s="112"/>
      <c r="K72" s="112">
        <f>'Liber Shit- Blerje '!AO69</f>
        <v>2290421.8000000003</v>
      </c>
      <c r="L72" s="112">
        <f>'Liber Shit- Blerje '!AP69</f>
        <v>2290421.8000000003</v>
      </c>
      <c r="M72" s="112">
        <f>'Liber Shit- Blerje '!AQ69</f>
        <v>0</v>
      </c>
      <c r="N72" s="1253">
        <f t="shared" si="8"/>
        <v>0</v>
      </c>
    </row>
    <row r="73" spans="2:14" ht="12.75" thickBot="1">
      <c r="B73" s="1258"/>
      <c r="C73" s="1261">
        <f>'Liber Shit- Blerje '!AG70</f>
        <v>0</v>
      </c>
      <c r="D73" s="1254">
        <f>'Liber Shit- Blerje '!AH70</f>
        <v>0</v>
      </c>
      <c r="E73" s="1254">
        <f>'Liber Shit- Blerje '!AI70</f>
        <v>8461953</v>
      </c>
      <c r="F73" s="1254">
        <f>'Liber Shit- Blerje '!AJ70</f>
        <v>1692390.6</v>
      </c>
      <c r="G73" s="1254">
        <f>'Liber Shit- Blerje '!AK70</f>
        <v>0</v>
      </c>
      <c r="H73" s="1254">
        <f>'Liber Shit- Blerje '!AL70</f>
        <v>0</v>
      </c>
      <c r="I73" s="1254">
        <f>'Liber Shit- Blerje '!AM70</f>
        <v>0</v>
      </c>
      <c r="J73" s="1254">
        <f>'Liber Shit- Blerje '!AN70</f>
        <v>15998344.670000002</v>
      </c>
      <c r="K73" s="1254">
        <f>'Liber Shit- Blerje '!AO70</f>
        <v>3199668.9340000004</v>
      </c>
      <c r="L73" s="1254">
        <f>'Liber Shit- Blerje '!AP70</f>
        <v>3199668.9340000004</v>
      </c>
      <c r="M73" s="1254">
        <f>'Liber Shit- Blerje '!AQ70</f>
        <v>0</v>
      </c>
      <c r="N73" s="1255">
        <f>'Liber Shit- Blerje '!AR70</f>
        <v>-1507278.3340000003</v>
      </c>
    </row>
    <row r="74" spans="1:14" ht="12.75" thickBot="1">
      <c r="A74" s="120"/>
      <c r="B74" s="487" t="s">
        <v>196</v>
      </c>
      <c r="C74" s="1249">
        <f>SUM(C59:C73)</f>
        <v>2000000</v>
      </c>
      <c r="D74" s="1249">
        <f aca="true" t="shared" si="10" ref="D74:M74">SUM(D59:D73)</f>
        <v>0</v>
      </c>
      <c r="E74" s="1249">
        <f t="shared" si="10"/>
        <v>23749591</v>
      </c>
      <c r="F74" s="1249">
        <f t="shared" si="10"/>
        <v>3136636.4000000004</v>
      </c>
      <c r="G74" s="1249">
        <f t="shared" si="10"/>
        <v>0</v>
      </c>
      <c r="H74" s="1249">
        <f t="shared" si="10"/>
        <v>0</v>
      </c>
      <c r="I74" s="1249">
        <f t="shared" si="10"/>
        <v>0</v>
      </c>
      <c r="J74" s="1249">
        <f t="shared" si="10"/>
        <v>15998344.670000002</v>
      </c>
      <c r="K74" s="1249">
        <f t="shared" si="10"/>
        <v>5490090.734000001</v>
      </c>
      <c r="L74" s="1249">
        <f t="shared" si="10"/>
        <v>5490090.734000001</v>
      </c>
      <c r="M74" s="1249">
        <f t="shared" si="10"/>
        <v>0</v>
      </c>
      <c r="N74" s="1250">
        <f>+N59+N60+N62+N63+N64+N65+N66+N67+N68+N70</f>
        <v>1282610.6</v>
      </c>
    </row>
    <row r="75" spans="1:14" ht="12">
      <c r="A75" s="124"/>
      <c r="B75" s="349" t="s">
        <v>397</v>
      </c>
      <c r="C75" s="349"/>
      <c r="D75" s="349"/>
      <c r="E75" s="124">
        <v>0</v>
      </c>
      <c r="F75" s="124">
        <v>0</v>
      </c>
      <c r="G75" s="124">
        <v>0</v>
      </c>
      <c r="H75" s="124">
        <v>0</v>
      </c>
      <c r="I75" s="124">
        <v>0</v>
      </c>
      <c r="J75" s="124">
        <v>0</v>
      </c>
      <c r="K75" s="124">
        <v>0</v>
      </c>
      <c r="L75" s="124">
        <v>0</v>
      </c>
      <c r="M75" s="124">
        <v>0</v>
      </c>
      <c r="N75" s="124">
        <v>0</v>
      </c>
    </row>
    <row r="76" spans="3:12" ht="12">
      <c r="C76" s="350">
        <f>+C74-C75</f>
        <v>2000000</v>
      </c>
      <c r="D76" s="350">
        <f aca="true" t="shared" si="11" ref="D76:L76">+D74-D75</f>
        <v>0</v>
      </c>
      <c r="E76" s="350">
        <f t="shared" si="11"/>
        <v>23749591</v>
      </c>
      <c r="F76" s="350">
        <f t="shared" si="11"/>
        <v>3136636.4000000004</v>
      </c>
      <c r="G76" s="350">
        <f t="shared" si="11"/>
        <v>0</v>
      </c>
      <c r="H76" s="350">
        <f t="shared" si="11"/>
        <v>0</v>
      </c>
      <c r="I76" s="350">
        <f t="shared" si="11"/>
        <v>0</v>
      </c>
      <c r="J76" s="350">
        <f t="shared" si="11"/>
        <v>15998344.670000002</v>
      </c>
      <c r="K76" s="350">
        <f t="shared" si="11"/>
        <v>5490090.734000001</v>
      </c>
      <c r="L76" s="350">
        <f t="shared" si="11"/>
        <v>5490090.734000001</v>
      </c>
    </row>
    <row r="77" spans="3:6" ht="12">
      <c r="C77" s="111" t="s">
        <v>197</v>
      </c>
      <c r="D77" s="111"/>
      <c r="E77" s="111"/>
      <c r="F77" s="111"/>
    </row>
    <row r="78" spans="3:6" ht="12">
      <c r="C78" s="111"/>
      <c r="D78" s="111"/>
      <c r="E78" s="111"/>
      <c r="F78" s="111"/>
    </row>
    <row r="79" spans="3:10" ht="12">
      <c r="C79" s="111" t="s">
        <v>392</v>
      </c>
      <c r="D79" s="111"/>
      <c r="E79" s="111"/>
      <c r="F79" s="111"/>
      <c r="J79" s="109" t="s">
        <v>198</v>
      </c>
    </row>
    <row r="96" spans="2:8" ht="12">
      <c r="B96" s="113"/>
      <c r="C96" s="108"/>
      <c r="D96" s="108"/>
      <c r="E96" s="108"/>
      <c r="F96" s="108"/>
      <c r="G96" s="107"/>
      <c r="H96" s="107"/>
    </row>
    <row r="97" spans="2:8" ht="12">
      <c r="B97" s="113" t="s">
        <v>130</v>
      </c>
      <c r="C97" s="107">
        <f>'Kopertina '!F97</f>
        <v>0</v>
      </c>
      <c r="D97" s="107"/>
      <c r="E97" s="107"/>
      <c r="F97" s="107"/>
      <c r="G97" s="107"/>
      <c r="H97" s="107"/>
    </row>
    <row r="98" spans="2:11" ht="12">
      <c r="B98" s="114"/>
      <c r="C98" s="110"/>
      <c r="D98" s="110"/>
      <c r="E98" s="110"/>
      <c r="F98" s="110"/>
      <c r="G98" s="107"/>
      <c r="H98" s="107"/>
      <c r="I98" s="107"/>
      <c r="J98" s="107"/>
      <c r="K98" s="107" t="s">
        <v>160</v>
      </c>
    </row>
    <row r="99" spans="2:9" ht="12">
      <c r="B99" s="114"/>
      <c r="C99" s="1433" t="s">
        <v>161</v>
      </c>
      <c r="D99" s="1433"/>
      <c r="E99" s="1433"/>
      <c r="F99" s="1433"/>
      <c r="G99" s="1433"/>
      <c r="H99" s="1433"/>
      <c r="I99" s="1433"/>
    </row>
    <row r="100" spans="2:10" ht="12">
      <c r="B100" s="114"/>
      <c r="C100" s="110"/>
      <c r="D100" s="110"/>
      <c r="E100" s="110"/>
      <c r="F100" s="110"/>
      <c r="G100" s="110"/>
      <c r="H100" s="107" t="s">
        <v>131</v>
      </c>
      <c r="I100" s="111"/>
      <c r="J100" s="111">
        <f>'Kopertina '!F122</f>
        <v>0</v>
      </c>
    </row>
    <row r="102" ht="12.75" thickBot="1"/>
    <row r="103" spans="2:14" ht="12.75" thickBot="1">
      <c r="B103" s="1417" t="s">
        <v>166</v>
      </c>
      <c r="C103" s="1427" t="s">
        <v>167</v>
      </c>
      <c r="D103" s="1428"/>
      <c r="E103" s="1428"/>
      <c r="F103" s="1429"/>
      <c r="G103" s="1430" t="s">
        <v>168</v>
      </c>
      <c r="H103" s="1431"/>
      <c r="I103" s="1431"/>
      <c r="J103" s="1431"/>
      <c r="K103" s="1431"/>
      <c r="L103" s="1432"/>
      <c r="M103" s="1419" t="s">
        <v>169</v>
      </c>
      <c r="N103" s="1421" t="s">
        <v>170</v>
      </c>
    </row>
    <row r="104" spans="2:14" ht="12">
      <c r="B104" s="1418"/>
      <c r="C104" s="1423" t="s">
        <v>171</v>
      </c>
      <c r="D104" s="1102" t="s">
        <v>172</v>
      </c>
      <c r="E104" s="481" t="s">
        <v>173</v>
      </c>
      <c r="F104" s="482"/>
      <c r="G104" s="1425" t="s">
        <v>174</v>
      </c>
      <c r="H104" s="483" t="s">
        <v>175</v>
      </c>
      <c r="I104" s="484"/>
      <c r="J104" s="484"/>
      <c r="K104" s="484"/>
      <c r="L104" s="485"/>
      <c r="M104" s="1420"/>
      <c r="N104" s="1422"/>
    </row>
    <row r="105" spans="2:14" ht="12">
      <c r="B105" s="1418"/>
      <c r="C105" s="1424"/>
      <c r="D105" s="1102"/>
      <c r="E105" s="1425" t="s">
        <v>176</v>
      </c>
      <c r="F105" s="1425" t="s">
        <v>177</v>
      </c>
      <c r="G105" s="1420"/>
      <c r="H105" s="483" t="s">
        <v>178</v>
      </c>
      <c r="I105" s="485"/>
      <c r="J105" s="483" t="s">
        <v>179</v>
      </c>
      <c r="K105" s="485"/>
      <c r="L105" s="1425" t="s">
        <v>180</v>
      </c>
      <c r="M105" s="1420"/>
      <c r="N105" s="1422"/>
    </row>
    <row r="106" spans="2:14" ht="12.75" thickBot="1">
      <c r="B106" s="1441"/>
      <c r="C106" s="1444"/>
      <c r="D106" s="1101"/>
      <c r="E106" s="1442"/>
      <c r="F106" s="1442"/>
      <c r="G106" s="1442"/>
      <c r="H106" s="486" t="s">
        <v>181</v>
      </c>
      <c r="I106" s="486" t="s">
        <v>182</v>
      </c>
      <c r="J106" s="486" t="s">
        <v>181</v>
      </c>
      <c r="K106" s="486" t="s">
        <v>182</v>
      </c>
      <c r="L106" s="1442"/>
      <c r="M106" s="1442"/>
      <c r="N106" s="1443"/>
    </row>
    <row r="107" spans="2:14" ht="12.75" thickBot="1">
      <c r="B107" s="116" t="s">
        <v>183</v>
      </c>
      <c r="C107" s="1073">
        <f>+'Liber Shit- Blerje '!AG11</f>
        <v>0</v>
      </c>
      <c r="D107" s="1073">
        <f>+'Liber Shit- Blerje '!AH11</f>
        <v>0</v>
      </c>
      <c r="E107" s="1073">
        <f>+'Liber Shit- Blerje '!AI11</f>
        <v>7632575</v>
      </c>
      <c r="F107" s="1073">
        <f>+'Liber Shit- Blerje '!AJ11</f>
        <v>1526515</v>
      </c>
      <c r="G107" s="1073">
        <f>+'Liber Shit- Blerje '!AK11</f>
        <v>0</v>
      </c>
      <c r="H107" s="1073">
        <f>+'Liber Shit- Blerje '!AL11</f>
        <v>0</v>
      </c>
      <c r="I107" s="1073">
        <f>+'Liber Shit- Blerje '!AM11</f>
        <v>0</v>
      </c>
      <c r="J107" s="1073">
        <f>+'Liber Shit- Blerje '!AN11</f>
        <v>6024555</v>
      </c>
      <c r="K107" s="1073">
        <f>+'Liber Shit- Blerje '!AO11</f>
        <v>1204911</v>
      </c>
      <c r="L107" s="1073">
        <f>+'Liber Shit- Blerje '!AP11</f>
        <v>1204911</v>
      </c>
      <c r="M107" s="1073">
        <f>'Liber Shit- Blerje '!AQ104</f>
        <v>0</v>
      </c>
      <c r="N107" s="1073">
        <f>F107-L107</f>
        <v>321604</v>
      </c>
    </row>
    <row r="108" spans="2:14" ht="12.75" thickBot="1">
      <c r="B108" s="117" t="s">
        <v>184</v>
      </c>
      <c r="C108" s="1073">
        <f>+'Liber Shit- Blerje '!AG12</f>
        <v>0</v>
      </c>
      <c r="D108" s="1073">
        <f>+'Liber Shit- Blerje '!AH12</f>
        <v>0</v>
      </c>
      <c r="E108" s="1073">
        <f>+'Liber Shit- Blerje '!AI12</f>
        <v>5794225</v>
      </c>
      <c r="F108" s="1073">
        <f>+'Liber Shit- Blerje '!AJ12</f>
        <v>1158845</v>
      </c>
      <c r="G108" s="1073">
        <f>+'Liber Shit- Blerje '!AK12</f>
        <v>0</v>
      </c>
      <c r="H108" s="1073">
        <f>+'Liber Shit- Blerje '!AL12</f>
        <v>0</v>
      </c>
      <c r="I108" s="1073">
        <f>+'Liber Shit- Blerje '!AM12</f>
        <v>0</v>
      </c>
      <c r="J108" s="1073">
        <f>+'Liber Shit- Blerje '!AN12</f>
        <v>6663180</v>
      </c>
      <c r="K108" s="1073">
        <f>+'Liber Shit- Blerje '!AO12</f>
        <v>1332636</v>
      </c>
      <c r="L108" s="1073">
        <f>+'Liber Shit- Blerje '!AP12</f>
        <v>1332636</v>
      </c>
      <c r="M108" s="112">
        <f>'Liber Shit- Blerje '!AQ105</f>
        <v>0</v>
      </c>
      <c r="N108" s="112"/>
    </row>
    <row r="109" spans="2:14" ht="12.75" thickBot="1">
      <c r="B109" s="117" t="s">
        <v>185</v>
      </c>
      <c r="C109" s="1073">
        <f>+'Liber Shit- Blerje '!AG13</f>
        <v>0</v>
      </c>
      <c r="D109" s="1073">
        <f>+'Liber Shit- Blerje '!AH13</f>
        <v>0</v>
      </c>
      <c r="E109" s="1073">
        <f>+'Liber Shit- Blerje '!AI13</f>
        <v>6560775</v>
      </c>
      <c r="F109" s="1073">
        <f>+'Liber Shit- Blerje '!AJ13</f>
        <v>1312155</v>
      </c>
      <c r="G109" s="1073">
        <f>+'Liber Shit- Blerje '!AK13</f>
        <v>0</v>
      </c>
      <c r="H109" s="1073">
        <f>+'Liber Shit- Blerje '!AL13</f>
        <v>0</v>
      </c>
      <c r="I109" s="1073">
        <f>+'Liber Shit- Blerje '!AM13</f>
        <v>0</v>
      </c>
      <c r="J109" s="1073">
        <f>+'Liber Shit- Blerje '!AN13</f>
        <v>5817335</v>
      </c>
      <c r="K109" s="1073">
        <f>+'Liber Shit- Blerje '!AO13</f>
        <v>1163467</v>
      </c>
      <c r="L109" s="1073">
        <f>+'Liber Shit- Blerje '!AP13</f>
        <v>1163467</v>
      </c>
      <c r="M109" s="112">
        <f>'Liber Shit- Blerje '!AQ106</f>
        <v>0</v>
      </c>
      <c r="N109" s="112">
        <f aca="true" t="shared" si="12" ref="N109:N117">F109-L109</f>
        <v>148688</v>
      </c>
    </row>
    <row r="110" spans="2:14" ht="12.75" thickBot="1">
      <c r="B110" s="117" t="s">
        <v>186</v>
      </c>
      <c r="C110" s="1073">
        <f>+'Liber Shit- Blerje '!AG14</f>
        <v>0</v>
      </c>
      <c r="D110" s="1073">
        <f>+'Liber Shit- Blerje '!AH14</f>
        <v>0</v>
      </c>
      <c r="E110" s="1073">
        <f>+'Liber Shit- Blerje '!AI14</f>
        <v>8743870</v>
      </c>
      <c r="F110" s="1073">
        <f>+'Liber Shit- Blerje '!AJ14</f>
        <v>1748774</v>
      </c>
      <c r="G110" s="1073">
        <f>+'Liber Shit- Blerje '!AK14</f>
        <v>0</v>
      </c>
      <c r="H110" s="1073">
        <f>+'Liber Shit- Blerje '!AL14</f>
        <v>0</v>
      </c>
      <c r="I110" s="1073">
        <f>+'Liber Shit- Blerje '!AM14</f>
        <v>0</v>
      </c>
      <c r="J110" s="1073">
        <f>+'Liber Shit- Blerje '!AN14</f>
        <v>8480525</v>
      </c>
      <c r="K110" s="1073">
        <f>+'Liber Shit- Blerje '!AO14</f>
        <v>1696105</v>
      </c>
      <c r="L110" s="1073">
        <f>+'Liber Shit- Blerje '!AP14</f>
        <v>1696105</v>
      </c>
      <c r="M110" s="112">
        <f>'Liber Shit- Blerje '!AQ107</f>
        <v>0</v>
      </c>
      <c r="N110" s="112">
        <f t="shared" si="12"/>
        <v>52669</v>
      </c>
    </row>
    <row r="111" spans="2:14" ht="12.75" thickBot="1">
      <c r="B111" s="117" t="s">
        <v>187</v>
      </c>
      <c r="C111" s="1073">
        <f>+'Liber Shit- Blerje '!AG15</f>
        <v>0</v>
      </c>
      <c r="D111" s="1073">
        <f>+'Liber Shit- Blerje '!AH15</f>
        <v>0</v>
      </c>
      <c r="E111" s="1073">
        <f>+'Liber Shit- Blerje '!AI15</f>
        <v>8796595</v>
      </c>
      <c r="F111" s="1073">
        <f>+'Liber Shit- Blerje '!AJ15</f>
        <v>1759319</v>
      </c>
      <c r="G111" s="1073">
        <f>+'Liber Shit- Blerje '!AK15</f>
        <v>0</v>
      </c>
      <c r="H111" s="1073">
        <f>+'Liber Shit- Blerje '!AL15</f>
        <v>0</v>
      </c>
      <c r="I111" s="1073">
        <f>+'Liber Shit- Blerje '!AM15</f>
        <v>0</v>
      </c>
      <c r="J111" s="1073">
        <f>+'Liber Shit- Blerje '!AN15</f>
        <v>7247165</v>
      </c>
      <c r="K111" s="1073">
        <f>+'Liber Shit- Blerje '!AO15</f>
        <v>1449433</v>
      </c>
      <c r="L111" s="1073">
        <f>+'Liber Shit- Blerje '!AP15</f>
        <v>1449433</v>
      </c>
      <c r="M111" s="112">
        <f>'Liber Shit- Blerje '!AQ108</f>
        <v>0</v>
      </c>
      <c r="N111" s="112">
        <f t="shared" si="12"/>
        <v>309886</v>
      </c>
    </row>
    <row r="112" spans="2:14" ht="12.75" thickBot="1">
      <c r="B112" s="117" t="s">
        <v>188</v>
      </c>
      <c r="C112" s="1073">
        <f>+'Liber Shit- Blerje '!AG16</f>
        <v>0</v>
      </c>
      <c r="D112" s="1073">
        <f>+'Liber Shit- Blerje '!AH16</f>
        <v>0</v>
      </c>
      <c r="E112" s="1073">
        <f>+'Liber Shit- Blerje '!AI16</f>
        <v>8157600</v>
      </c>
      <c r="F112" s="1073">
        <f>+'Liber Shit- Blerje '!AJ16</f>
        <v>1631520</v>
      </c>
      <c r="G112" s="1073">
        <f>+'Liber Shit- Blerje '!AK16</f>
        <v>100</v>
      </c>
      <c r="H112" s="1073">
        <f>+'Liber Shit- Blerje '!AL16</f>
        <v>0</v>
      </c>
      <c r="I112" s="1073">
        <f>+'Liber Shit- Blerje '!AM16</f>
        <v>0</v>
      </c>
      <c r="J112" s="1073">
        <f>+'Liber Shit- Blerje '!AN16</f>
        <v>6776713</v>
      </c>
      <c r="K112" s="1073">
        <f>+'Liber Shit- Blerje '!AO16</f>
        <v>1355342.6</v>
      </c>
      <c r="L112" s="1073">
        <f>+'Liber Shit- Blerje '!AP16</f>
        <v>1355342.6</v>
      </c>
      <c r="M112" s="112">
        <f>'Liber Shit- Blerje '!AQ109</f>
        <v>0</v>
      </c>
      <c r="N112" s="112">
        <f t="shared" si="12"/>
        <v>276177.3999999999</v>
      </c>
    </row>
    <row r="113" spans="2:14" ht="12.75" thickBot="1">
      <c r="B113" s="117" t="s">
        <v>189</v>
      </c>
      <c r="C113" s="1073">
        <f>+'Liber Shit- Blerje '!AG17</f>
        <v>0</v>
      </c>
      <c r="D113" s="1073">
        <f>+'Liber Shit- Blerje '!AH17</f>
        <v>0</v>
      </c>
      <c r="E113" s="1073">
        <f>+'Liber Shit- Blerje '!AI17</f>
        <v>8141470</v>
      </c>
      <c r="F113" s="1073">
        <f>+'Liber Shit- Blerje '!AJ17</f>
        <v>1628294</v>
      </c>
      <c r="G113" s="1073">
        <f>+'Liber Shit- Blerje '!AK17</f>
        <v>0</v>
      </c>
      <c r="H113" s="1073">
        <f>+'Liber Shit- Blerje '!AL17</f>
        <v>0</v>
      </c>
      <c r="I113" s="1073">
        <f>+'Liber Shit- Blerje '!AM17</f>
        <v>0</v>
      </c>
      <c r="J113" s="1073">
        <f>+'Liber Shit- Blerje '!AN17</f>
        <v>10406500</v>
      </c>
      <c r="K113" s="1073">
        <f>+'Liber Shit- Blerje '!AO17</f>
        <v>2081300</v>
      </c>
      <c r="L113" s="1073">
        <f>+'Liber Shit- Blerje '!AP17</f>
        <v>2081300</v>
      </c>
      <c r="M113" s="112">
        <f>'Liber Shit- Blerje '!AQ110</f>
        <v>0</v>
      </c>
      <c r="N113" s="112">
        <f t="shared" si="12"/>
        <v>-453006</v>
      </c>
    </row>
    <row r="114" spans="2:14" ht="12.75" thickBot="1">
      <c r="B114" s="117" t="s">
        <v>190</v>
      </c>
      <c r="C114" s="1073">
        <f>+'Liber Shit- Blerje '!AG18</f>
        <v>0</v>
      </c>
      <c r="D114" s="1073">
        <f>+'Liber Shit- Blerje '!AH18</f>
        <v>0</v>
      </c>
      <c r="E114" s="1073">
        <f>+'Liber Shit- Blerje '!AI18</f>
        <v>10676875</v>
      </c>
      <c r="F114" s="1073">
        <f>+'Liber Shit- Blerje '!AJ18</f>
        <v>2135375</v>
      </c>
      <c r="G114" s="1073">
        <f>+'Liber Shit- Blerje '!AK18</f>
        <v>200</v>
      </c>
      <c r="H114" s="1073">
        <f>+'Liber Shit- Blerje '!AL18</f>
        <v>0</v>
      </c>
      <c r="I114" s="1073">
        <f>+'Liber Shit- Blerje '!AM18</f>
        <v>0</v>
      </c>
      <c r="J114" s="1073">
        <f>+'Liber Shit- Blerje '!AN18</f>
        <v>11287290</v>
      </c>
      <c r="K114" s="1073">
        <f>+'Liber Shit- Blerje '!AO18</f>
        <v>2257458</v>
      </c>
      <c r="L114" s="1073">
        <f>+'Liber Shit- Blerje '!AP18</f>
        <v>2257458</v>
      </c>
      <c r="M114" s="112">
        <f>'Liber Shit- Blerje '!AQ111</f>
        <v>0</v>
      </c>
      <c r="N114" s="112">
        <f t="shared" si="12"/>
        <v>-122083</v>
      </c>
    </row>
    <row r="115" spans="2:14" ht="12.75" thickBot="1">
      <c r="B115" s="117" t="s">
        <v>191</v>
      </c>
      <c r="C115" s="1073">
        <f>+'Liber Shit- Blerje '!AG19</f>
        <v>0</v>
      </c>
      <c r="D115" s="1073">
        <f>+'Liber Shit- Blerje '!AH19</f>
        <v>0</v>
      </c>
      <c r="E115" s="1073">
        <f>+'Liber Shit- Blerje '!AI19</f>
        <v>8794085</v>
      </c>
      <c r="F115" s="1073">
        <f>+'Liber Shit- Blerje '!AJ19</f>
        <v>1758817</v>
      </c>
      <c r="G115" s="1073">
        <f>+'Liber Shit- Blerje '!AK19</f>
        <v>0</v>
      </c>
      <c r="H115" s="1073">
        <f>+'Liber Shit- Blerje '!AL19</f>
        <v>0</v>
      </c>
      <c r="I115" s="1073">
        <f>+'Liber Shit- Blerje '!AM19</f>
        <v>0</v>
      </c>
      <c r="J115" s="1073">
        <f>+'Liber Shit- Blerje '!AN19</f>
        <v>11452109</v>
      </c>
      <c r="K115" s="1073">
        <f>+'Liber Shit- Blerje '!AO19</f>
        <v>2290421.8000000003</v>
      </c>
      <c r="L115" s="1073">
        <f>+'Liber Shit- Blerje '!AP19</f>
        <v>2290421.8000000003</v>
      </c>
      <c r="M115" s="112">
        <f>'Liber Shit- Blerje '!AQ112</f>
        <v>0</v>
      </c>
      <c r="N115" s="112">
        <f t="shared" si="12"/>
        <v>-531604.8000000003</v>
      </c>
    </row>
    <row r="116" spans="2:14" ht="12.75" thickBot="1">
      <c r="B116" s="117" t="s">
        <v>192</v>
      </c>
      <c r="C116" s="1073">
        <f>+'Liber Shit- Blerje '!AG20</f>
        <v>0</v>
      </c>
      <c r="D116" s="1073">
        <f>+'Liber Shit- Blerje '!AH20</f>
        <v>0</v>
      </c>
      <c r="E116" s="1073">
        <f>+'Liber Shit- Blerje '!AI20</f>
        <v>9723630</v>
      </c>
      <c r="F116" s="1073">
        <f>+'Liber Shit- Blerje '!AJ20</f>
        <v>1944726</v>
      </c>
      <c r="G116" s="1073">
        <f>+'Liber Shit- Blerje '!AK20</f>
        <v>0</v>
      </c>
      <c r="H116" s="1073">
        <f>+'Liber Shit- Blerje '!AL20</f>
        <v>0</v>
      </c>
      <c r="I116" s="1073">
        <f>+'Liber Shit- Blerje '!AM20</f>
        <v>0</v>
      </c>
      <c r="J116" s="1073">
        <f>+'Liber Shit- Blerje '!AN20</f>
        <v>15998344.670000002</v>
      </c>
      <c r="K116" s="1073">
        <f>+'Liber Shit- Blerje '!AO20</f>
        <v>3199668.9340000004</v>
      </c>
      <c r="L116" s="1073">
        <f>+'Liber Shit- Blerje '!AP20</f>
        <v>3199668.9340000004</v>
      </c>
      <c r="M116" s="112">
        <f>'Liber Shit- Blerje '!AQ113</f>
        <v>0</v>
      </c>
      <c r="N116" s="112">
        <f t="shared" si="12"/>
        <v>-1254942.9340000004</v>
      </c>
    </row>
    <row r="117" spans="2:15" ht="12.75" thickBot="1">
      <c r="B117" s="117" t="s">
        <v>193</v>
      </c>
      <c r="C117" s="1073">
        <f>+'Liber Shit- Blerje '!AG21</f>
        <v>0</v>
      </c>
      <c r="D117" s="1073">
        <f>+'Liber Shit- Blerje '!AH21</f>
        <v>0</v>
      </c>
      <c r="E117" s="1073">
        <f>+'Liber Shit- Blerje '!AI21</f>
        <v>9664355</v>
      </c>
      <c r="F117" s="1073">
        <f>+'Liber Shit- Blerje '!AJ21</f>
        <v>1932871</v>
      </c>
      <c r="G117" s="1073">
        <f>+'Liber Shit- Blerje '!AK21</f>
        <v>0</v>
      </c>
      <c r="H117" s="1073">
        <f>+'Liber Shit- Blerje '!AL21</f>
        <v>0</v>
      </c>
      <c r="I117" s="1073">
        <f>+'Liber Shit- Blerje '!AM21</f>
        <v>0</v>
      </c>
      <c r="J117" s="1073">
        <f>+'Liber Shit- Blerje '!AN21</f>
        <v>7155380</v>
      </c>
      <c r="K117" s="1073">
        <f>+'Liber Shit- Blerje '!AO21</f>
        <v>1431076</v>
      </c>
      <c r="L117" s="1073">
        <f>+'Liber Shit- Blerje '!AP21</f>
        <v>1431076</v>
      </c>
      <c r="M117" s="112">
        <f>'Liber Shit- Blerje '!AQ114</f>
        <v>0</v>
      </c>
      <c r="N117" s="112">
        <f t="shared" si="12"/>
        <v>501795</v>
      </c>
      <c r="O117" s="1279">
        <v>5712092</v>
      </c>
    </row>
    <row r="118" spans="2:14" ht="12.75" thickBot="1">
      <c r="B118" s="117" t="s">
        <v>194</v>
      </c>
      <c r="C118" s="1073">
        <f>+'Liber Shit- Blerje '!AG22</f>
        <v>2000000</v>
      </c>
      <c r="D118" s="1073">
        <f>+'Liber Shit- Blerje '!AH22</f>
        <v>0</v>
      </c>
      <c r="E118" s="1073">
        <f>+'Liber Shit- Blerje '!AI22</f>
        <v>10873235</v>
      </c>
      <c r="F118" s="1073">
        <f>+'Liber Shit- Blerje '!AJ22</f>
        <v>2174647</v>
      </c>
      <c r="G118" s="1073">
        <f>+'Liber Shit- Blerje '!AK22</f>
        <v>0</v>
      </c>
      <c r="H118" s="1073">
        <f>+'Liber Shit- Blerje '!AL22</f>
        <v>0</v>
      </c>
      <c r="I118" s="1073">
        <f>+'Liber Shit- Blerje '!AM22</f>
        <v>0</v>
      </c>
      <c r="J118" s="1073">
        <f>+'Liber Shit- Blerje '!AN22</f>
        <v>19972056</v>
      </c>
      <c r="K118" s="1073">
        <f>+'Liber Shit- Blerje '!AO22</f>
        <v>3994411.2</v>
      </c>
      <c r="L118" s="1073">
        <f>+'Liber Shit- Blerje '!AP22</f>
        <v>3994411.2</v>
      </c>
      <c r="M118" s="112">
        <f>'Liber Shit- Blerje '!AQ115</f>
        <v>0</v>
      </c>
      <c r="N118" s="112">
        <f>'Liber Shit- Blerje '!AR115</f>
        <v>0</v>
      </c>
    </row>
    <row r="119" spans="2:14" ht="12.75" thickBot="1">
      <c r="B119" s="117" t="s">
        <v>195</v>
      </c>
      <c r="C119" s="1073">
        <f>+'Liber Shit- Blerje '!AG23</f>
        <v>0</v>
      </c>
      <c r="D119" s="1073">
        <f>+'Liber Shit- Blerje '!AH23</f>
        <v>0</v>
      </c>
      <c r="E119" s="1073">
        <f>+'Liber Shit- Blerje '!AI23</f>
        <v>0</v>
      </c>
      <c r="F119" s="1073">
        <f>+'Liber Shit- Blerje '!AJ23</f>
        <v>0</v>
      </c>
      <c r="G119" s="1073">
        <f>+'Liber Shit- Blerje '!AK23</f>
        <v>0</v>
      </c>
      <c r="H119" s="1073">
        <f>+'Liber Shit- Blerje '!AL23</f>
        <v>0</v>
      </c>
      <c r="I119" s="1073">
        <f>+'Liber Shit- Blerje '!AM23</f>
        <v>0</v>
      </c>
      <c r="J119" s="1073">
        <f>+'Liber Shit- Blerje '!AN23</f>
        <v>0</v>
      </c>
      <c r="K119" s="1073">
        <f>+'Liber Shit- Blerje '!AO23</f>
        <v>0</v>
      </c>
      <c r="L119" s="1073">
        <f>+'Liber Shit- Blerje '!AP23</f>
        <v>0</v>
      </c>
      <c r="M119" s="112">
        <f>'Liber Shit- Blerje '!AQ116</f>
        <v>0</v>
      </c>
      <c r="N119" s="112">
        <f>'Liber Shit- Blerje '!AR116</f>
        <v>0</v>
      </c>
    </row>
    <row r="120" spans="2:14" ht="12">
      <c r="B120" s="117" t="s">
        <v>195</v>
      </c>
      <c r="C120" s="1073">
        <f>+'Liber Shit- Blerje '!AG24</f>
        <v>0</v>
      </c>
      <c r="D120" s="1073">
        <f>+'Liber Shit- Blerje '!AH24</f>
        <v>0</v>
      </c>
      <c r="E120" s="1073">
        <f>+'Liber Shit- Blerje '!AI24</f>
        <v>0</v>
      </c>
      <c r="F120" s="1073">
        <f>+'Liber Shit- Blerje '!AJ24</f>
        <v>0</v>
      </c>
      <c r="G120" s="1073">
        <f>+'Liber Shit- Blerje '!AK24</f>
        <v>0</v>
      </c>
      <c r="H120" s="1073">
        <f>+'Liber Shit- Blerje '!AL24</f>
        <v>0</v>
      </c>
      <c r="I120" s="1073">
        <f>+'Liber Shit- Blerje '!AM24</f>
        <v>0</v>
      </c>
      <c r="J120" s="1073">
        <f>+'Liber Shit- Blerje '!AN24</f>
        <v>0</v>
      </c>
      <c r="K120" s="1073">
        <f>+'Liber Shit- Blerje '!AO24</f>
        <v>0</v>
      </c>
      <c r="L120" s="1073">
        <f>+'Liber Shit- Blerje '!AP24</f>
        <v>0</v>
      </c>
      <c r="M120" s="112">
        <f>'Liber Shit- Blerje '!AQ117</f>
        <v>0</v>
      </c>
      <c r="N120" s="112">
        <f>'Liber Shit- Blerje '!AR117</f>
        <v>0</v>
      </c>
    </row>
    <row r="121" spans="2:14" ht="12.75" thickBot="1">
      <c r="B121" s="119"/>
      <c r="C121" s="1074">
        <f>'Liber Shit- Blerje '!AG118</f>
        <v>0</v>
      </c>
      <c r="D121" s="1074">
        <f>'Liber Shit- Blerje '!AH118</f>
        <v>0</v>
      </c>
      <c r="E121" s="1074">
        <f>'Liber Shit- Blerje '!AI118</f>
        <v>0</v>
      </c>
      <c r="F121" s="1074">
        <f>'Liber Shit- Blerje '!AJ118</f>
        <v>0</v>
      </c>
      <c r="G121" s="1074">
        <f>'Liber Shit- Blerje '!AK118</f>
        <v>0</v>
      </c>
      <c r="H121" s="1074">
        <f>'Liber Shit- Blerje '!AL118</f>
        <v>0</v>
      </c>
      <c r="I121" s="1074">
        <f>'Liber Shit- Blerje '!AM118</f>
        <v>0</v>
      </c>
      <c r="J121" s="1074">
        <f>'Liber Shit- Blerje '!AN118</f>
        <v>0</v>
      </c>
      <c r="K121" s="1074">
        <f>'Liber Shit- Blerje '!AO118</f>
        <v>0</v>
      </c>
      <c r="L121" s="1074">
        <f>'Liber Shit- Blerje '!AP118</f>
        <v>0</v>
      </c>
      <c r="M121" s="1074">
        <f>'Liber Shit- Blerje '!AQ118</f>
        <v>0</v>
      </c>
      <c r="N121" s="1074">
        <f>'Liber Shit- Blerje '!AR118</f>
        <v>0</v>
      </c>
    </row>
    <row r="122" spans="1:14" ht="12.75" thickBot="1">
      <c r="A122" s="120"/>
      <c r="B122" s="487" t="s">
        <v>196</v>
      </c>
      <c r="C122" s="488">
        <f>SUM(C107:C121)</f>
        <v>2000000</v>
      </c>
      <c r="D122" s="488">
        <f aca="true" t="shared" si="13" ref="D122:M122">SUM(D107:D121)</f>
        <v>0</v>
      </c>
      <c r="E122" s="488">
        <f t="shared" si="13"/>
        <v>103559290</v>
      </c>
      <c r="F122" s="488">
        <f t="shared" si="13"/>
        <v>20711858</v>
      </c>
      <c r="G122" s="488">
        <f t="shared" si="13"/>
        <v>300</v>
      </c>
      <c r="H122" s="488">
        <f t="shared" si="13"/>
        <v>0</v>
      </c>
      <c r="I122" s="488">
        <f t="shared" si="13"/>
        <v>0</v>
      </c>
      <c r="J122" s="488">
        <f t="shared" si="13"/>
        <v>117281152.67</v>
      </c>
      <c r="K122" s="488">
        <f t="shared" si="13"/>
        <v>23456230.533999998</v>
      </c>
      <c r="L122" s="488">
        <f t="shared" si="13"/>
        <v>23456230.533999998</v>
      </c>
      <c r="M122" s="488">
        <f t="shared" si="13"/>
        <v>0</v>
      </c>
      <c r="N122" s="489">
        <f>+N107+N108+N110+N111+N112+N113+N114+N115+N116+N118</f>
        <v>-1401300.3340000007</v>
      </c>
    </row>
    <row r="123" spans="1:14" ht="12">
      <c r="A123" s="124"/>
      <c r="B123" s="349" t="s">
        <v>397</v>
      </c>
      <c r="C123" s="349"/>
      <c r="D123" s="349"/>
      <c r="E123" s="124">
        <v>103557290</v>
      </c>
      <c r="F123" s="124">
        <v>20711458</v>
      </c>
      <c r="G123" s="124">
        <v>500</v>
      </c>
      <c r="H123" s="124">
        <v>0</v>
      </c>
      <c r="I123" s="124">
        <v>0</v>
      </c>
      <c r="J123" s="124">
        <v>121430753</v>
      </c>
      <c r="K123" s="124">
        <v>24286151</v>
      </c>
      <c r="L123" s="124">
        <v>0</v>
      </c>
      <c r="M123" s="124">
        <v>-5712092</v>
      </c>
      <c r="N123" s="124">
        <v>0</v>
      </c>
    </row>
    <row r="124" spans="3:12" ht="12">
      <c r="C124" s="350">
        <f>+C122-C123</f>
        <v>2000000</v>
      </c>
      <c r="D124" s="350">
        <f aca="true" t="shared" si="14" ref="D124:L124">+D122-D123</f>
        <v>0</v>
      </c>
      <c r="E124" s="350">
        <f t="shared" si="14"/>
        <v>2000</v>
      </c>
      <c r="F124" s="350">
        <f t="shared" si="14"/>
        <v>400</v>
      </c>
      <c r="G124" s="350">
        <f t="shared" si="14"/>
        <v>-200</v>
      </c>
      <c r="H124" s="350">
        <f t="shared" si="14"/>
        <v>0</v>
      </c>
      <c r="I124" s="350">
        <f t="shared" si="14"/>
        <v>0</v>
      </c>
      <c r="J124" s="350">
        <f t="shared" si="14"/>
        <v>-4149600.329999998</v>
      </c>
      <c r="K124" s="350">
        <f t="shared" si="14"/>
        <v>-829920.4660000019</v>
      </c>
      <c r="L124" s="350">
        <f t="shared" si="14"/>
        <v>23456230.533999998</v>
      </c>
    </row>
    <row r="125" spans="3:6" ht="12">
      <c r="C125" s="111" t="s">
        <v>197</v>
      </c>
      <c r="D125" s="111"/>
      <c r="E125" s="111"/>
      <c r="F125" s="111"/>
    </row>
    <row r="126" spans="3:6" ht="12">
      <c r="C126" s="111"/>
      <c r="D126" s="111"/>
      <c r="E126" s="111"/>
      <c r="F126" s="111"/>
    </row>
    <row r="127" spans="3:10" ht="12">
      <c r="C127" s="111" t="s">
        <v>392</v>
      </c>
      <c r="D127" s="111"/>
      <c r="E127" s="111"/>
      <c r="F127" s="111"/>
      <c r="J127" s="109" t="s">
        <v>198</v>
      </c>
    </row>
  </sheetData>
  <sheetProtection/>
  <mergeCells count="45">
    <mergeCell ref="N103:N106"/>
    <mergeCell ref="C104:C106"/>
    <mergeCell ref="G104:G106"/>
    <mergeCell ref="E105:E106"/>
    <mergeCell ref="F105:F106"/>
    <mergeCell ref="L105:L106"/>
    <mergeCell ref="L57:L58"/>
    <mergeCell ref="C99:I99"/>
    <mergeCell ref="B103:B106"/>
    <mergeCell ref="C103:F103"/>
    <mergeCell ref="G103:L103"/>
    <mergeCell ref="M103:M106"/>
    <mergeCell ref="C51:I51"/>
    <mergeCell ref="B55:B58"/>
    <mergeCell ref="C55:F55"/>
    <mergeCell ref="G55:L55"/>
    <mergeCell ref="M55:M58"/>
    <mergeCell ref="N55:N58"/>
    <mergeCell ref="C56:C58"/>
    <mergeCell ref="G56:G58"/>
    <mergeCell ref="E57:E58"/>
    <mergeCell ref="F57:F58"/>
    <mergeCell ref="X11:X13"/>
    <mergeCell ref="Y11:Y13"/>
    <mergeCell ref="Z11:Z13"/>
    <mergeCell ref="L12:L13"/>
    <mergeCell ref="R6:X6"/>
    <mergeCell ref="T10:Z10"/>
    <mergeCell ref="Q10:Q13"/>
    <mergeCell ref="R10:R13"/>
    <mergeCell ref="S10:S13"/>
    <mergeCell ref="T11:T13"/>
    <mergeCell ref="U11:U13"/>
    <mergeCell ref="V11:V13"/>
    <mergeCell ref="W11:W13"/>
    <mergeCell ref="C10:F10"/>
    <mergeCell ref="G10:L10"/>
    <mergeCell ref="C6:I6"/>
    <mergeCell ref="B10:B13"/>
    <mergeCell ref="M10:M13"/>
    <mergeCell ref="N10:N13"/>
    <mergeCell ref="C11:C13"/>
    <mergeCell ref="G11:G13"/>
    <mergeCell ref="E12:E13"/>
    <mergeCell ref="F12:F13"/>
  </mergeCells>
  <printOptions/>
  <pageMargins left="0" right="0" top="0" bottom="0" header="0" footer="0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376"/>
  <sheetViews>
    <sheetView zoomScalePageLayoutView="0" workbookViewId="0" topLeftCell="G37">
      <selection activeCell="U41" sqref="U41"/>
    </sheetView>
  </sheetViews>
  <sheetFormatPr defaultColWidth="9.140625" defaultRowHeight="12.75"/>
  <cols>
    <col min="1" max="1" width="1.1484375" style="101" hidden="1" customWidth="1"/>
    <col min="2" max="2" width="4.00390625" style="101" customWidth="1"/>
    <col min="3" max="3" width="6.140625" style="101" customWidth="1"/>
    <col min="4" max="4" width="8.57421875" style="101" customWidth="1"/>
    <col min="5" max="5" width="11.140625" style="101" customWidth="1"/>
    <col min="6" max="6" width="12.57421875" style="101" customWidth="1"/>
    <col min="7" max="7" width="5.57421875" style="101" customWidth="1"/>
    <col min="8" max="8" width="7.8515625" style="101" customWidth="1"/>
    <col min="9" max="9" width="8.140625" style="101" customWidth="1"/>
    <col min="10" max="10" width="10.8515625" style="101" customWidth="1"/>
    <col min="11" max="11" width="15.421875" style="101" customWidth="1"/>
    <col min="12" max="12" width="11.57421875" style="101" customWidth="1"/>
    <col min="13" max="13" width="6.140625" style="101" customWidth="1"/>
    <col min="14" max="14" width="7.7109375" style="101" customWidth="1"/>
    <col min="15" max="15" width="11.140625" style="101" customWidth="1"/>
    <col min="16" max="16" width="11.00390625" style="101" bestFit="1" customWidth="1"/>
    <col min="17" max="17" width="10.00390625" style="101" customWidth="1"/>
    <col min="18" max="18" width="6.8515625" style="101" customWidth="1"/>
    <col min="19" max="19" width="6.7109375" style="101" customWidth="1"/>
    <col min="20" max="20" width="10.28125" style="101" customWidth="1"/>
    <col min="21" max="21" width="9.28125" style="101" bestFit="1" customWidth="1"/>
    <col min="22" max="22" width="10.8515625" style="101" customWidth="1"/>
    <col min="23" max="23" width="9.8515625" style="101" bestFit="1" customWidth="1"/>
    <col min="24" max="24" width="10.7109375" style="101" bestFit="1" customWidth="1"/>
    <col min="25" max="25" width="9.140625" style="101" customWidth="1"/>
    <col min="26" max="26" width="11.28125" style="101" bestFit="1" customWidth="1"/>
    <col min="27" max="33" width="9.140625" style="101" customWidth="1"/>
  </cols>
  <sheetData>
    <row r="1" ht="12.75">
      <c r="G1" s="154"/>
    </row>
    <row r="2" spans="13:23" ht="12.75">
      <c r="M2" s="59"/>
      <c r="N2" s="164" t="s">
        <v>133</v>
      </c>
      <c r="O2" s="164" t="str">
        <f>+'Kopertina '!F4</f>
        <v>FJORTES </v>
      </c>
      <c r="P2" s="164"/>
      <c r="Q2" s="164"/>
      <c r="R2" s="164"/>
      <c r="S2" s="164"/>
      <c r="T2" s="164"/>
      <c r="U2" s="164"/>
      <c r="V2" s="59"/>
      <c r="W2" s="59"/>
    </row>
    <row r="3" spans="2:23" ht="12.75">
      <c r="B3" s="3"/>
      <c r="C3" s="155"/>
      <c r="D3" s="155"/>
      <c r="E3" s="155"/>
      <c r="F3" s="155"/>
      <c r="G3" s="3"/>
      <c r="H3" s="3"/>
      <c r="M3" s="59"/>
      <c r="N3" s="164" t="s">
        <v>133</v>
      </c>
      <c r="O3" s="164"/>
      <c r="P3" s="164"/>
      <c r="Q3" s="164"/>
      <c r="R3" s="164"/>
      <c r="S3" s="164"/>
      <c r="T3" s="164"/>
      <c r="U3" s="164"/>
      <c r="V3" s="59">
        <f>'Kopertina '!F29</f>
        <v>2012</v>
      </c>
      <c r="W3" s="59"/>
    </row>
    <row r="4" spans="1:23" ht="12.75">
      <c r="A4" s="1354"/>
      <c r="B4" s="1354"/>
      <c r="C4" s="3" t="str">
        <f>+'Kopertina '!F4</f>
        <v>FJORTES </v>
      </c>
      <c r="D4" s="3"/>
      <c r="E4" s="3"/>
      <c r="F4" s="3"/>
      <c r="G4" s="3"/>
      <c r="H4" s="3"/>
      <c r="M4" s="59"/>
      <c r="N4" s="164" t="s">
        <v>241</v>
      </c>
      <c r="O4" s="164"/>
      <c r="P4" s="164"/>
      <c r="Q4" s="164"/>
      <c r="R4" s="164"/>
      <c r="S4" s="164"/>
      <c r="T4" s="164"/>
      <c r="U4" s="164"/>
      <c r="V4" s="59"/>
      <c r="W4" s="59"/>
    </row>
    <row r="5" spans="2:23" ht="13.5" thickBot="1">
      <c r="B5" s="61"/>
      <c r="C5" s="61"/>
      <c r="D5" s="61"/>
      <c r="E5" s="61"/>
      <c r="F5" s="61"/>
      <c r="G5" s="3"/>
      <c r="H5" s="3"/>
      <c r="I5" s="3"/>
      <c r="J5" s="3"/>
      <c r="K5" s="3" t="s">
        <v>162</v>
      </c>
      <c r="M5" s="59"/>
      <c r="N5" s="164"/>
      <c r="O5" s="164" t="s">
        <v>992</v>
      </c>
      <c r="P5" s="164"/>
      <c r="Q5" s="164"/>
      <c r="R5" s="164"/>
      <c r="S5" s="164"/>
      <c r="T5" s="164"/>
      <c r="U5" s="164"/>
      <c r="V5" s="59"/>
      <c r="W5" s="59"/>
    </row>
    <row r="6" spans="2:23" ht="12.75">
      <c r="B6" s="1354"/>
      <c r="C6" s="1354"/>
      <c r="D6" s="1354"/>
      <c r="E6" s="1354"/>
      <c r="F6" s="1354"/>
      <c r="G6" s="1354"/>
      <c r="H6" s="1354"/>
      <c r="I6" s="1354"/>
      <c r="J6" s="1354"/>
      <c r="M6" s="1450" t="s">
        <v>1</v>
      </c>
      <c r="N6" s="1450" t="s">
        <v>204</v>
      </c>
      <c r="O6" s="500" t="s">
        <v>225</v>
      </c>
      <c r="P6" s="500" t="s">
        <v>163</v>
      </c>
      <c r="Q6" s="500" t="s">
        <v>226</v>
      </c>
      <c r="R6" s="500" t="s">
        <v>227</v>
      </c>
      <c r="S6" s="1450" t="s">
        <v>228</v>
      </c>
      <c r="T6" s="501" t="s">
        <v>229</v>
      </c>
      <c r="U6" s="1450" t="s">
        <v>231</v>
      </c>
      <c r="V6" s="1450" t="s">
        <v>242</v>
      </c>
      <c r="W6" s="1450" t="s">
        <v>243</v>
      </c>
    </row>
    <row r="7" spans="2:23" ht="13.5" thickBot="1">
      <c r="B7" s="61"/>
      <c r="C7" s="61"/>
      <c r="D7" s="61"/>
      <c r="E7" s="61"/>
      <c r="F7" s="61"/>
      <c r="G7" s="61"/>
      <c r="H7" s="3" t="s">
        <v>131</v>
      </c>
      <c r="I7" s="156"/>
      <c r="J7" s="156">
        <f>'Kopertina '!F29</f>
        <v>2012</v>
      </c>
      <c r="M7" s="1451"/>
      <c r="N7" s="1451"/>
      <c r="O7" s="507" t="s">
        <v>233</v>
      </c>
      <c r="P7" s="507" t="s">
        <v>234</v>
      </c>
      <c r="Q7" s="507" t="s">
        <v>235</v>
      </c>
      <c r="R7" s="507" t="s">
        <v>221</v>
      </c>
      <c r="S7" s="1451"/>
      <c r="T7" s="508" t="s">
        <v>236</v>
      </c>
      <c r="U7" s="1451"/>
      <c r="V7" s="1451"/>
      <c r="W7" s="1451"/>
    </row>
    <row r="8" spans="13:23" ht="12.75">
      <c r="M8" s="510">
        <v>1</v>
      </c>
      <c r="N8" s="511" t="s">
        <v>209</v>
      </c>
      <c r="O8" s="512">
        <f>E20</f>
        <v>6024562</v>
      </c>
      <c r="P8" s="512">
        <f aca="true" t="shared" si="0" ref="P8:U8">F20</f>
        <v>6024562</v>
      </c>
      <c r="Q8" s="512">
        <f t="shared" si="0"/>
        <v>0</v>
      </c>
      <c r="R8" s="512">
        <f t="shared" si="0"/>
        <v>0</v>
      </c>
      <c r="S8" s="512">
        <f t="shared" si="0"/>
        <v>0</v>
      </c>
      <c r="T8" s="512">
        <f t="shared" si="0"/>
        <v>1204912.4</v>
      </c>
      <c r="U8" s="512">
        <f t="shared" si="0"/>
        <v>0</v>
      </c>
      <c r="V8" s="512">
        <v>6024555</v>
      </c>
      <c r="W8" s="513">
        <f aca="true" t="shared" si="1" ref="W8:W19">O8-V8</f>
        <v>7</v>
      </c>
    </row>
    <row r="9" spans="2:23" ht="15">
      <c r="B9" s="157"/>
      <c r="C9" s="157" t="s">
        <v>223</v>
      </c>
      <c r="D9" s="157"/>
      <c r="E9" s="158"/>
      <c r="F9" s="158"/>
      <c r="G9" s="158"/>
      <c r="H9" s="158"/>
      <c r="I9" s="158"/>
      <c r="J9" s="158"/>
      <c r="L9" s="159"/>
      <c r="M9" s="165">
        <v>2</v>
      </c>
      <c r="N9" s="166" t="s">
        <v>244</v>
      </c>
      <c r="O9" s="152">
        <f>E28</f>
        <v>6663180</v>
      </c>
      <c r="P9" s="152">
        <f aca="true" t="shared" si="2" ref="P9:U9">F28</f>
        <v>6663180</v>
      </c>
      <c r="Q9" s="152">
        <f t="shared" si="2"/>
        <v>0</v>
      </c>
      <c r="R9" s="152">
        <f t="shared" si="2"/>
        <v>0</v>
      </c>
      <c r="S9" s="152">
        <f t="shared" si="2"/>
        <v>0</v>
      </c>
      <c r="T9" s="152">
        <f t="shared" si="2"/>
        <v>1332636</v>
      </c>
      <c r="U9" s="152">
        <f t="shared" si="2"/>
        <v>0</v>
      </c>
      <c r="V9" s="152">
        <v>6663180</v>
      </c>
      <c r="W9" s="167">
        <f t="shared" si="1"/>
        <v>0</v>
      </c>
    </row>
    <row r="10" spans="2:23" ht="15">
      <c r="B10" s="157"/>
      <c r="C10" s="157"/>
      <c r="D10" s="540" t="s">
        <v>992</v>
      </c>
      <c r="E10" s="158"/>
      <c r="F10" s="158"/>
      <c r="G10" s="158"/>
      <c r="H10" s="158"/>
      <c r="I10" s="158"/>
      <c r="J10" s="158"/>
      <c r="L10" s="159"/>
      <c r="M10" s="165">
        <v>3</v>
      </c>
      <c r="N10" s="166" t="s">
        <v>210</v>
      </c>
      <c r="O10" s="152">
        <f>E37</f>
        <v>5817330.899999999</v>
      </c>
      <c r="P10" s="152">
        <f aca="true" t="shared" si="3" ref="P10:U10">F37</f>
        <v>5817330.899999999</v>
      </c>
      <c r="Q10" s="152">
        <f t="shared" si="3"/>
        <v>0</v>
      </c>
      <c r="R10" s="152">
        <f t="shared" si="3"/>
        <v>0</v>
      </c>
      <c r="S10" s="152">
        <f t="shared" si="3"/>
        <v>0</v>
      </c>
      <c r="T10" s="152">
        <f t="shared" si="3"/>
        <v>1163466.18</v>
      </c>
      <c r="U10" s="152">
        <f t="shared" si="3"/>
        <v>0</v>
      </c>
      <c r="V10" s="152">
        <v>5817335</v>
      </c>
      <c r="W10" s="167">
        <f>O10-V10</f>
        <v>-4.1000000005587935</v>
      </c>
    </row>
    <row r="11" spans="5:23" ht="13.5" thickBot="1">
      <c r="E11" s="159"/>
      <c r="F11" s="159"/>
      <c r="G11" s="159"/>
      <c r="H11" s="159"/>
      <c r="I11" s="159"/>
      <c r="J11" s="159"/>
      <c r="L11" s="159"/>
      <c r="M11" s="165">
        <v>4</v>
      </c>
      <c r="N11" s="166" t="s">
        <v>211</v>
      </c>
      <c r="O11" s="152">
        <f>E48</f>
        <v>8480527</v>
      </c>
      <c r="P11" s="152">
        <f aca="true" t="shared" si="4" ref="P11:U11">F48</f>
        <v>8480527</v>
      </c>
      <c r="Q11" s="152">
        <f t="shared" si="4"/>
        <v>0</v>
      </c>
      <c r="R11" s="152">
        <f t="shared" si="4"/>
        <v>0</v>
      </c>
      <c r="S11" s="152">
        <f t="shared" si="4"/>
        <v>0</v>
      </c>
      <c r="T11" s="152">
        <f t="shared" si="4"/>
        <v>1696105.4</v>
      </c>
      <c r="U11" s="152">
        <f t="shared" si="4"/>
        <v>0</v>
      </c>
      <c r="V11" s="152">
        <v>8480525</v>
      </c>
      <c r="W11" s="167">
        <f t="shared" si="1"/>
        <v>2</v>
      </c>
    </row>
    <row r="12" spans="2:23" ht="13.5" thickBot="1">
      <c r="B12" s="1459" t="s">
        <v>1</v>
      </c>
      <c r="C12" s="491" t="s">
        <v>224</v>
      </c>
      <c r="D12" s="492"/>
      <c r="E12" s="493" t="s">
        <v>225</v>
      </c>
      <c r="F12" s="493" t="s">
        <v>163</v>
      </c>
      <c r="G12" s="493" t="s">
        <v>226</v>
      </c>
      <c r="H12" s="493" t="s">
        <v>227</v>
      </c>
      <c r="I12" s="493" t="s">
        <v>228</v>
      </c>
      <c r="J12" s="494" t="s">
        <v>229</v>
      </c>
      <c r="K12" s="495" t="s">
        <v>230</v>
      </c>
      <c r="L12" s="503" t="s">
        <v>231</v>
      </c>
      <c r="M12" s="165">
        <v>5</v>
      </c>
      <c r="N12" s="166" t="s">
        <v>212</v>
      </c>
      <c r="O12" s="152">
        <f>E57</f>
        <v>7248406.66</v>
      </c>
      <c r="P12" s="152">
        <f aca="true" t="shared" si="5" ref="P12:U12">F57</f>
        <v>7248406.66</v>
      </c>
      <c r="Q12" s="152">
        <f t="shared" si="5"/>
        <v>0</v>
      </c>
      <c r="R12" s="152">
        <f t="shared" si="5"/>
        <v>0</v>
      </c>
      <c r="S12" s="152">
        <f t="shared" si="5"/>
        <v>0</v>
      </c>
      <c r="T12" s="152">
        <f t="shared" si="5"/>
        <v>1449681.332</v>
      </c>
      <c r="U12" s="152">
        <f t="shared" si="5"/>
        <v>0</v>
      </c>
      <c r="V12" s="152">
        <v>7247165</v>
      </c>
      <c r="W12" s="167">
        <f t="shared" si="1"/>
        <v>1241.660000000149</v>
      </c>
    </row>
    <row r="13" spans="2:23" ht="13.5" thickBot="1">
      <c r="B13" s="1460"/>
      <c r="C13" s="496" t="s">
        <v>1</v>
      </c>
      <c r="D13" s="496" t="s">
        <v>232</v>
      </c>
      <c r="E13" s="497" t="s">
        <v>233</v>
      </c>
      <c r="F13" s="497" t="s">
        <v>234</v>
      </c>
      <c r="G13" s="497" t="s">
        <v>235</v>
      </c>
      <c r="H13" s="497" t="s">
        <v>221</v>
      </c>
      <c r="I13" s="497"/>
      <c r="J13" s="498" t="s">
        <v>236</v>
      </c>
      <c r="K13" s="499" t="s">
        <v>237</v>
      </c>
      <c r="L13" s="504"/>
      <c r="M13" s="165">
        <v>6</v>
      </c>
      <c r="N13" s="166" t="s">
        <v>213</v>
      </c>
      <c r="O13" s="152">
        <f>E68</f>
        <v>6776713.2530000005</v>
      </c>
      <c r="P13" s="152">
        <f aca="true" t="shared" si="6" ref="P13:U13">F68</f>
        <v>6776713.2530000005</v>
      </c>
      <c r="Q13" s="152">
        <f t="shared" si="6"/>
        <v>0</v>
      </c>
      <c r="R13" s="152">
        <f t="shared" si="6"/>
        <v>0</v>
      </c>
      <c r="S13" s="152">
        <f t="shared" si="6"/>
        <v>0</v>
      </c>
      <c r="T13" s="152">
        <f t="shared" si="6"/>
        <v>1355342.6506</v>
      </c>
      <c r="U13" s="152">
        <f t="shared" si="6"/>
        <v>0</v>
      </c>
      <c r="V13" s="152">
        <v>6776813</v>
      </c>
      <c r="W13" s="167">
        <f t="shared" si="1"/>
        <v>-99.74699999950826</v>
      </c>
    </row>
    <row r="14" spans="2:23" ht="12.75">
      <c r="B14" s="160">
        <v>1</v>
      </c>
      <c r="C14" s="125">
        <v>920</v>
      </c>
      <c r="D14" s="126">
        <v>2.1</v>
      </c>
      <c r="E14" s="127">
        <v>16345</v>
      </c>
      <c r="F14" s="127">
        <f aca="true" t="shared" si="7" ref="F14:F19">E14</f>
        <v>16345</v>
      </c>
      <c r="G14" s="127"/>
      <c r="H14" s="127"/>
      <c r="I14" s="127"/>
      <c r="J14" s="127">
        <f aca="true" t="shared" si="8" ref="J14:J24">E14*0.2</f>
        <v>3269</v>
      </c>
      <c r="K14" s="126" t="s">
        <v>1361</v>
      </c>
      <c r="L14" s="505">
        <f aca="true" t="shared" si="9" ref="L14:L24">E14-(F14+G14+H14+I14)</f>
        <v>0</v>
      </c>
      <c r="M14" s="165">
        <v>7</v>
      </c>
      <c r="N14" s="166" t="s">
        <v>214</v>
      </c>
      <c r="O14" s="152">
        <f aca="true" t="shared" si="10" ref="O14:T14">E81</f>
        <v>10406506.58</v>
      </c>
      <c r="P14" s="152">
        <f t="shared" si="10"/>
        <v>10406506.58</v>
      </c>
      <c r="Q14" s="152">
        <f t="shared" si="10"/>
        <v>0</v>
      </c>
      <c r="R14" s="152">
        <f t="shared" si="10"/>
        <v>0</v>
      </c>
      <c r="S14" s="152">
        <f t="shared" si="10"/>
        <v>0</v>
      </c>
      <c r="T14" s="152">
        <f t="shared" si="10"/>
        <v>2081301.3160000003</v>
      </c>
      <c r="U14" s="152">
        <f>+K274</f>
        <v>0</v>
      </c>
      <c r="V14" s="152">
        <v>10406500</v>
      </c>
      <c r="W14" s="167">
        <f t="shared" si="1"/>
        <v>6.580000000074506</v>
      </c>
    </row>
    <row r="15" spans="2:23" ht="12.75">
      <c r="B15" s="161">
        <v>2</v>
      </c>
      <c r="C15" s="128">
        <v>1</v>
      </c>
      <c r="D15" s="128">
        <v>24.1</v>
      </c>
      <c r="E15" s="121">
        <v>1440000</v>
      </c>
      <c r="F15" s="127">
        <f t="shared" si="7"/>
        <v>1440000</v>
      </c>
      <c r="G15" s="121"/>
      <c r="H15" s="121"/>
      <c r="I15" s="121"/>
      <c r="J15" s="121">
        <f t="shared" si="8"/>
        <v>288000</v>
      </c>
      <c r="K15" s="128" t="s">
        <v>1770</v>
      </c>
      <c r="L15" s="506">
        <f t="shared" si="9"/>
        <v>0</v>
      </c>
      <c r="M15" s="165">
        <v>8</v>
      </c>
      <c r="N15" s="166" t="s">
        <v>215</v>
      </c>
      <c r="O15" s="152">
        <f>E95</f>
        <v>11287595.5</v>
      </c>
      <c r="P15" s="152">
        <f aca="true" t="shared" si="11" ref="P15:U15">F95</f>
        <v>11287595.5</v>
      </c>
      <c r="Q15" s="152">
        <f t="shared" si="11"/>
        <v>0</v>
      </c>
      <c r="R15" s="152">
        <f t="shared" si="11"/>
        <v>0</v>
      </c>
      <c r="S15" s="152">
        <f t="shared" si="11"/>
        <v>0</v>
      </c>
      <c r="T15" s="152">
        <f t="shared" si="11"/>
        <v>2257479.0700000003</v>
      </c>
      <c r="U15" s="152">
        <f t="shared" si="11"/>
        <v>0</v>
      </c>
      <c r="V15" s="152">
        <v>11287490</v>
      </c>
      <c r="W15" s="167">
        <f t="shared" si="1"/>
        <v>105.5</v>
      </c>
    </row>
    <row r="16" spans="2:23" ht="12.75">
      <c r="B16" s="161">
        <v>3</v>
      </c>
      <c r="C16" s="128">
        <v>27</v>
      </c>
      <c r="D16" s="128">
        <v>22.1</v>
      </c>
      <c r="E16" s="121">
        <v>902416</v>
      </c>
      <c r="F16" s="127">
        <f t="shared" si="7"/>
        <v>902416</v>
      </c>
      <c r="G16" s="121"/>
      <c r="H16" s="121"/>
      <c r="I16" s="121"/>
      <c r="J16" s="121">
        <f t="shared" si="8"/>
        <v>180483.2</v>
      </c>
      <c r="K16" s="128" t="s">
        <v>1770</v>
      </c>
      <c r="L16" s="506">
        <f t="shared" si="9"/>
        <v>0</v>
      </c>
      <c r="M16" s="165">
        <v>9</v>
      </c>
      <c r="N16" s="166" t="s">
        <v>216</v>
      </c>
      <c r="O16" s="152">
        <f aca="true" t="shared" si="12" ref="O16:T16">E109</f>
        <v>11452108.940000001</v>
      </c>
      <c r="P16" s="152">
        <f t="shared" si="12"/>
        <v>11452108.940000001</v>
      </c>
      <c r="Q16" s="152">
        <f t="shared" si="12"/>
        <v>0</v>
      </c>
      <c r="R16" s="152">
        <f t="shared" si="12"/>
        <v>0</v>
      </c>
      <c r="S16" s="152">
        <f t="shared" si="12"/>
        <v>0</v>
      </c>
      <c r="T16" s="152">
        <f t="shared" si="12"/>
        <v>2290421.7879999997</v>
      </c>
      <c r="U16" s="152">
        <f>+K309</f>
        <v>0</v>
      </c>
      <c r="V16" s="152">
        <v>11452109</v>
      </c>
      <c r="W16" s="167">
        <f t="shared" si="1"/>
        <v>-0.05999999865889549</v>
      </c>
    </row>
    <row r="17" spans="2:23" ht="12.75">
      <c r="B17" s="161">
        <v>4</v>
      </c>
      <c r="C17" s="128">
        <v>22</v>
      </c>
      <c r="D17" s="128">
        <v>18.1</v>
      </c>
      <c r="E17" s="121">
        <v>1125450</v>
      </c>
      <c r="F17" s="127">
        <f t="shared" si="7"/>
        <v>1125450</v>
      </c>
      <c r="G17" s="121"/>
      <c r="H17" s="121"/>
      <c r="I17" s="121"/>
      <c r="J17" s="121">
        <f>E17*0.2</f>
        <v>225090</v>
      </c>
      <c r="K17" s="128" t="s">
        <v>1770</v>
      </c>
      <c r="L17" s="506">
        <f>E17-(F17+G17+H17+I17)</f>
        <v>0</v>
      </c>
      <c r="M17" s="165">
        <v>10</v>
      </c>
      <c r="N17" s="166" t="s">
        <v>217</v>
      </c>
      <c r="O17" s="152">
        <f aca="true" t="shared" si="13" ref="O17:T17">+E125</f>
        <v>15970957.07</v>
      </c>
      <c r="P17" s="152">
        <f t="shared" si="13"/>
        <v>15970957.07</v>
      </c>
      <c r="Q17" s="152">
        <f t="shared" si="13"/>
        <v>0</v>
      </c>
      <c r="R17" s="152">
        <f t="shared" si="13"/>
        <v>0</v>
      </c>
      <c r="S17" s="152">
        <f t="shared" si="13"/>
        <v>0</v>
      </c>
      <c r="T17" s="152">
        <f t="shared" si="13"/>
        <v>3194191.4140000003</v>
      </c>
      <c r="U17" s="152">
        <f>+K326</f>
        <v>0</v>
      </c>
      <c r="V17" s="152">
        <v>15998344.670000002</v>
      </c>
      <c r="W17" s="168">
        <f t="shared" si="1"/>
        <v>-27387.60000000149</v>
      </c>
    </row>
    <row r="18" spans="2:23" ht="12.75">
      <c r="B18" s="161">
        <v>5</v>
      </c>
      <c r="C18" s="128">
        <v>21</v>
      </c>
      <c r="D18" s="128">
        <v>4.1</v>
      </c>
      <c r="E18" s="121">
        <v>1782084</v>
      </c>
      <c r="F18" s="127">
        <f t="shared" si="7"/>
        <v>1782084</v>
      </c>
      <c r="G18" s="121"/>
      <c r="H18" s="121"/>
      <c r="I18" s="121"/>
      <c r="J18" s="121">
        <f>E18*0.2</f>
        <v>356416.80000000005</v>
      </c>
      <c r="K18" s="128" t="s">
        <v>1770</v>
      </c>
      <c r="L18" s="506">
        <f>E18-(F18+G18+H18+I18)</f>
        <v>0</v>
      </c>
      <c r="M18" s="165">
        <v>11</v>
      </c>
      <c r="N18" s="166" t="s">
        <v>218</v>
      </c>
      <c r="O18" s="152">
        <f aca="true" t="shared" si="14" ref="O18:T18">E137</f>
        <v>7155380.62</v>
      </c>
      <c r="P18" s="152">
        <f t="shared" si="14"/>
        <v>7155380.62</v>
      </c>
      <c r="Q18" s="152">
        <f t="shared" si="14"/>
        <v>0</v>
      </c>
      <c r="R18" s="152">
        <f t="shared" si="14"/>
        <v>0</v>
      </c>
      <c r="S18" s="152">
        <f t="shared" si="14"/>
        <v>0</v>
      </c>
      <c r="T18" s="152">
        <f t="shared" si="14"/>
        <v>1431076.124</v>
      </c>
      <c r="U18" s="152">
        <f>+K346</f>
        <v>0</v>
      </c>
      <c r="V18" s="152">
        <v>7155380</v>
      </c>
      <c r="W18" s="168">
        <f t="shared" si="1"/>
        <v>0.6200000001117587</v>
      </c>
    </row>
    <row r="19" spans="2:23" ht="13.5" thickBot="1">
      <c r="B19" s="161">
        <v>6</v>
      </c>
      <c r="C19" s="128">
        <v>15</v>
      </c>
      <c r="D19" s="128">
        <v>10.1</v>
      </c>
      <c r="E19" s="121">
        <v>758267</v>
      </c>
      <c r="F19" s="127">
        <f t="shared" si="7"/>
        <v>758267</v>
      </c>
      <c r="G19" s="121"/>
      <c r="H19" s="121"/>
      <c r="I19" s="121"/>
      <c r="J19" s="121">
        <f>E19*0.2</f>
        <v>151653.4</v>
      </c>
      <c r="K19" s="128" t="s">
        <v>1770</v>
      </c>
      <c r="L19" s="506">
        <f>E19-(F19+G19+H19+I19)</f>
        <v>0</v>
      </c>
      <c r="M19" s="165">
        <v>12</v>
      </c>
      <c r="N19" s="166" t="s">
        <v>219</v>
      </c>
      <c r="O19" s="152">
        <f aca="true" t="shared" si="15" ref="O19:T19">+E151</f>
        <v>19972053.189999998</v>
      </c>
      <c r="P19" s="152">
        <f t="shared" si="15"/>
        <v>19972053.189999998</v>
      </c>
      <c r="Q19" s="152">
        <f t="shared" si="15"/>
        <v>0</v>
      </c>
      <c r="R19" s="152">
        <f t="shared" si="15"/>
        <v>0</v>
      </c>
      <c r="S19" s="152">
        <f t="shared" si="15"/>
        <v>0</v>
      </c>
      <c r="T19" s="152">
        <f t="shared" si="15"/>
        <v>3994410.638</v>
      </c>
      <c r="U19" s="152">
        <f>+K366</f>
        <v>0</v>
      </c>
      <c r="V19" s="152">
        <v>19972056</v>
      </c>
      <c r="W19" s="168">
        <f t="shared" si="1"/>
        <v>-2.810000002384186</v>
      </c>
    </row>
    <row r="20" spans="2:23" ht="13.5" thickBot="1">
      <c r="B20" s="1075">
        <v>8</v>
      </c>
      <c r="C20" s="1445" t="s">
        <v>209</v>
      </c>
      <c r="D20" s="1446"/>
      <c r="E20" s="1080">
        <f aca="true" t="shared" si="16" ref="E20:L20">SUM(E14:E19)</f>
        <v>6024562</v>
      </c>
      <c r="F20" s="1080">
        <f t="shared" si="16"/>
        <v>6024562</v>
      </c>
      <c r="G20" s="1080">
        <f t="shared" si="16"/>
        <v>0</v>
      </c>
      <c r="H20" s="1080">
        <f t="shared" si="16"/>
        <v>0</v>
      </c>
      <c r="I20" s="1080">
        <f t="shared" si="16"/>
        <v>0</v>
      </c>
      <c r="J20" s="1080">
        <f t="shared" si="16"/>
        <v>1204912.4</v>
      </c>
      <c r="K20" s="1080">
        <f t="shared" si="16"/>
        <v>0</v>
      </c>
      <c r="L20" s="1080">
        <f t="shared" si="16"/>
        <v>0</v>
      </c>
      <c r="M20" s="1456" t="s">
        <v>354</v>
      </c>
      <c r="N20" s="1452"/>
      <c r="O20" s="509">
        <f>SUM(O8:O19)</f>
        <v>117255321.713</v>
      </c>
      <c r="P20" s="509">
        <f aca="true" t="shared" si="17" ref="P20:W20">SUM(P8:P19)</f>
        <v>117255321.713</v>
      </c>
      <c r="Q20" s="509">
        <f t="shared" si="17"/>
        <v>0</v>
      </c>
      <c r="R20" s="509">
        <f t="shared" si="17"/>
        <v>0</v>
      </c>
      <c r="S20" s="509">
        <f t="shared" si="17"/>
        <v>0</v>
      </c>
      <c r="T20" s="509">
        <f t="shared" si="17"/>
        <v>23451024.312600005</v>
      </c>
      <c r="U20" s="509">
        <f t="shared" si="17"/>
        <v>0</v>
      </c>
      <c r="V20" s="509">
        <f t="shared" si="17"/>
        <v>117281452.67</v>
      </c>
      <c r="W20" s="514">
        <f t="shared" si="17"/>
        <v>-26130.957000002265</v>
      </c>
    </row>
    <row r="21" spans="2:24" ht="12.75">
      <c r="B21" s="161">
        <v>9</v>
      </c>
      <c r="C21" s="126">
        <v>2477</v>
      </c>
      <c r="D21" s="126">
        <v>31.1</v>
      </c>
      <c r="E21" s="127">
        <v>14540</v>
      </c>
      <c r="F21" s="127">
        <f aca="true" t="shared" si="18" ref="F21:F77">E21</f>
        <v>14540</v>
      </c>
      <c r="G21" s="127"/>
      <c r="H21" s="127"/>
      <c r="I21" s="127"/>
      <c r="J21" s="127">
        <f t="shared" si="8"/>
        <v>2908</v>
      </c>
      <c r="K21" s="126" t="s">
        <v>1361</v>
      </c>
      <c r="L21" s="505">
        <f t="shared" si="9"/>
        <v>0</v>
      </c>
      <c r="M21" s="1456"/>
      <c r="N21" s="1452"/>
      <c r="O21" s="509"/>
      <c r="P21" s="509"/>
      <c r="Q21" s="509"/>
      <c r="R21" s="509"/>
      <c r="S21" s="509"/>
      <c r="T21" s="509"/>
      <c r="U21" s="509"/>
      <c r="V21" s="509"/>
      <c r="W21" s="514"/>
      <c r="X21" s="101" t="s">
        <v>1779</v>
      </c>
    </row>
    <row r="22" spans="2:24" ht="12.75">
      <c r="B22" s="161">
        <v>10</v>
      </c>
      <c r="C22" s="128">
        <v>508</v>
      </c>
      <c r="D22" s="128">
        <v>30.1</v>
      </c>
      <c r="E22" s="121">
        <v>19130</v>
      </c>
      <c r="F22" s="121">
        <f t="shared" si="18"/>
        <v>19130</v>
      </c>
      <c r="G22" s="121"/>
      <c r="H22" s="121"/>
      <c r="I22" s="121"/>
      <c r="J22" s="121">
        <f t="shared" si="8"/>
        <v>3826</v>
      </c>
      <c r="K22" s="128" t="s">
        <v>1360</v>
      </c>
      <c r="L22" s="506">
        <f t="shared" si="9"/>
        <v>0</v>
      </c>
      <c r="M22" s="1457" t="s">
        <v>355</v>
      </c>
      <c r="N22" s="1458"/>
      <c r="O22" s="518">
        <f>SUM(O20:O21)</f>
        <v>117255321.713</v>
      </c>
      <c r="P22" s="518">
        <f aca="true" t="shared" si="19" ref="P22:W22">SUM(P20:P21)</f>
        <v>117255321.713</v>
      </c>
      <c r="Q22" s="518">
        <f t="shared" si="19"/>
        <v>0</v>
      </c>
      <c r="R22" s="518">
        <f t="shared" si="19"/>
        <v>0</v>
      </c>
      <c r="S22" s="518">
        <f t="shared" si="19"/>
        <v>0</v>
      </c>
      <c r="T22" s="518">
        <f t="shared" si="19"/>
        <v>23451024.312600005</v>
      </c>
      <c r="U22" s="518">
        <f t="shared" si="19"/>
        <v>0</v>
      </c>
      <c r="V22" s="518">
        <f t="shared" si="19"/>
        <v>117281452.67</v>
      </c>
      <c r="W22" s="519">
        <f t="shared" si="19"/>
        <v>-26130.957000002265</v>
      </c>
      <c r="X22" s="1284">
        <f>500+121430753</f>
        <v>121431253</v>
      </c>
    </row>
    <row r="23" spans="2:24" ht="12.75">
      <c r="B23" s="161">
        <v>11</v>
      </c>
      <c r="C23" s="128">
        <v>16</v>
      </c>
      <c r="D23" s="128">
        <v>7.2</v>
      </c>
      <c r="E23" s="121">
        <v>2924135</v>
      </c>
      <c r="F23" s="121">
        <f t="shared" si="18"/>
        <v>2924135</v>
      </c>
      <c r="G23" s="121"/>
      <c r="H23" s="121"/>
      <c r="I23" s="121"/>
      <c r="J23" s="121">
        <f t="shared" si="8"/>
        <v>584827</v>
      </c>
      <c r="K23" s="128" t="s">
        <v>1365</v>
      </c>
      <c r="L23" s="506">
        <f t="shared" si="9"/>
        <v>0</v>
      </c>
      <c r="M23" s="165"/>
      <c r="N23" s="1452"/>
      <c r="O23" s="1452"/>
      <c r="P23" s="152">
        <v>0</v>
      </c>
      <c r="Q23" s="152"/>
      <c r="R23" s="152"/>
      <c r="S23" s="152"/>
      <c r="T23" s="152"/>
      <c r="U23" s="152"/>
      <c r="V23" s="152"/>
      <c r="W23" s="153"/>
      <c r="X23" s="159">
        <f>X22-O22</f>
        <v>4175931.2870000005</v>
      </c>
    </row>
    <row r="24" spans="2:23" ht="12.75">
      <c r="B24" s="161">
        <v>12</v>
      </c>
      <c r="C24" s="128">
        <v>25</v>
      </c>
      <c r="D24" s="128">
        <v>13.2</v>
      </c>
      <c r="E24" s="121">
        <v>1500000</v>
      </c>
      <c r="F24" s="121">
        <f t="shared" si="18"/>
        <v>1500000</v>
      </c>
      <c r="G24" s="121"/>
      <c r="H24" s="121"/>
      <c r="I24" s="121"/>
      <c r="J24" s="121">
        <f t="shared" si="8"/>
        <v>300000</v>
      </c>
      <c r="K24" s="128" t="s">
        <v>1365</v>
      </c>
      <c r="L24" s="506">
        <f t="shared" si="9"/>
        <v>0</v>
      </c>
      <c r="M24" s="165"/>
      <c r="N24" s="1452"/>
      <c r="O24" s="1452"/>
      <c r="P24" s="152">
        <v>0</v>
      </c>
      <c r="Q24" s="152"/>
      <c r="R24" s="152"/>
      <c r="S24" s="152"/>
      <c r="T24" s="152"/>
      <c r="U24" s="152"/>
      <c r="V24" s="152"/>
      <c r="W24" s="153"/>
    </row>
    <row r="25" spans="2:23" ht="12.75">
      <c r="B25" s="161">
        <v>13</v>
      </c>
      <c r="C25" s="128">
        <v>14</v>
      </c>
      <c r="D25" s="128">
        <v>20.2</v>
      </c>
      <c r="E25" s="121">
        <v>791700</v>
      </c>
      <c r="F25" s="121">
        <f t="shared" si="18"/>
        <v>791700</v>
      </c>
      <c r="G25" s="121"/>
      <c r="H25" s="121"/>
      <c r="I25" s="121"/>
      <c r="J25" s="121">
        <f aca="true" t="shared" si="20" ref="J25:J46">E25*0.2</f>
        <v>158340</v>
      </c>
      <c r="K25" s="128" t="s">
        <v>1362</v>
      </c>
      <c r="L25" s="506">
        <f aca="true" t="shared" si="21" ref="L25:L46">E25-(F25+G25+H25+I25)</f>
        <v>0</v>
      </c>
      <c r="M25" s="165"/>
      <c r="N25" s="1452"/>
      <c r="O25" s="1452"/>
      <c r="P25" s="509"/>
      <c r="Q25" s="509">
        <f>Q53</f>
        <v>0</v>
      </c>
      <c r="R25" s="509">
        <f>R53</f>
        <v>0</v>
      </c>
      <c r="S25" s="509">
        <f>S53</f>
        <v>0</v>
      </c>
      <c r="T25" s="509">
        <f>T53</f>
        <v>4400004.4</v>
      </c>
      <c r="U25" s="509"/>
      <c r="V25" s="509"/>
      <c r="W25" s="514"/>
    </row>
    <row r="26" spans="2:23" ht="12.75">
      <c r="B26" s="161">
        <v>14</v>
      </c>
      <c r="C26" s="128">
        <v>27</v>
      </c>
      <c r="D26" s="128">
        <v>29.2</v>
      </c>
      <c r="E26" s="121">
        <v>457500</v>
      </c>
      <c r="F26" s="121">
        <f t="shared" si="18"/>
        <v>457500</v>
      </c>
      <c r="G26" s="121"/>
      <c r="H26" s="121"/>
      <c r="I26" s="121"/>
      <c r="J26" s="121">
        <f t="shared" si="20"/>
        <v>91500</v>
      </c>
      <c r="K26" s="128" t="s">
        <v>1365</v>
      </c>
      <c r="L26" s="506">
        <f t="shared" si="21"/>
        <v>0</v>
      </c>
      <c r="M26" s="165"/>
      <c r="N26" s="1454"/>
      <c r="O26" s="1455"/>
      <c r="P26" s="152"/>
      <c r="Q26" s="152"/>
      <c r="R26" s="152"/>
      <c r="S26" s="152"/>
      <c r="T26" s="152"/>
      <c r="U26" s="152"/>
      <c r="V26" s="152"/>
      <c r="W26" s="153"/>
    </row>
    <row r="27" spans="2:23" ht="13.5" thickBot="1">
      <c r="B27" s="161">
        <v>15</v>
      </c>
      <c r="C27" s="1076">
        <v>41</v>
      </c>
      <c r="D27" s="1076">
        <v>20.2</v>
      </c>
      <c r="E27" s="1077">
        <v>956175</v>
      </c>
      <c r="F27" s="1077">
        <f t="shared" si="18"/>
        <v>956175</v>
      </c>
      <c r="G27" s="1077"/>
      <c r="H27" s="1077"/>
      <c r="I27" s="1077"/>
      <c r="J27" s="1077">
        <f t="shared" si="20"/>
        <v>191235</v>
      </c>
      <c r="K27" s="128" t="s">
        <v>1362</v>
      </c>
      <c r="L27" s="1272">
        <f t="shared" si="21"/>
        <v>0</v>
      </c>
      <c r="M27" s="165"/>
      <c r="N27" s="1454"/>
      <c r="O27" s="1455"/>
      <c r="P27" s="152"/>
      <c r="Q27" s="152"/>
      <c r="R27" s="152"/>
      <c r="S27" s="152"/>
      <c r="T27" s="152"/>
      <c r="U27" s="152"/>
      <c r="V27" s="152"/>
      <c r="W27" s="153"/>
    </row>
    <row r="28" spans="2:23" ht="13.5" thickBot="1">
      <c r="B28" s="161">
        <v>16</v>
      </c>
      <c r="C28" s="1445" t="s">
        <v>244</v>
      </c>
      <c r="D28" s="1446"/>
      <c r="E28" s="1080">
        <f>SUM(E21:E27)</f>
        <v>6663180</v>
      </c>
      <c r="F28" s="1080">
        <f aca="true" t="shared" si="22" ref="F28:L28">SUM(F21:F27)</f>
        <v>6663180</v>
      </c>
      <c r="G28" s="1080">
        <f t="shared" si="22"/>
        <v>0</v>
      </c>
      <c r="H28" s="1080">
        <f t="shared" si="22"/>
        <v>0</v>
      </c>
      <c r="I28" s="1080">
        <f t="shared" si="22"/>
        <v>0</v>
      </c>
      <c r="J28" s="1080">
        <f t="shared" si="22"/>
        <v>1332636</v>
      </c>
      <c r="K28" s="1080">
        <f t="shared" si="22"/>
        <v>0</v>
      </c>
      <c r="L28" s="1080">
        <f t="shared" si="22"/>
        <v>0</v>
      </c>
      <c r="M28" s="165"/>
      <c r="N28" s="1454"/>
      <c r="O28" s="1455"/>
      <c r="P28" s="152"/>
      <c r="Q28" s="152"/>
      <c r="R28" s="152"/>
      <c r="S28" s="152"/>
      <c r="T28" s="152"/>
      <c r="U28" s="152"/>
      <c r="V28" s="152"/>
      <c r="W28" s="153"/>
    </row>
    <row r="29" spans="2:23" ht="13.5" thickBot="1">
      <c r="B29" s="161">
        <v>17</v>
      </c>
      <c r="C29" s="126">
        <v>22</v>
      </c>
      <c r="D29" s="126">
        <v>2.3</v>
      </c>
      <c r="E29" s="127">
        <v>14018</v>
      </c>
      <c r="F29" s="127">
        <f t="shared" si="18"/>
        <v>14018</v>
      </c>
      <c r="G29" s="127"/>
      <c r="H29" s="127"/>
      <c r="I29" s="127"/>
      <c r="J29" s="127">
        <f t="shared" si="20"/>
        <v>2803.6000000000004</v>
      </c>
      <c r="K29" s="126" t="s">
        <v>1361</v>
      </c>
      <c r="L29" s="505">
        <f t="shared" si="21"/>
        <v>0</v>
      </c>
      <c r="M29" s="515"/>
      <c r="N29" s="1453" t="s">
        <v>981</v>
      </c>
      <c r="O29" s="1453"/>
      <c r="P29" s="516">
        <f>P53+Q53+R53+S53</f>
        <v>22000022</v>
      </c>
      <c r="Q29" s="516">
        <f aca="true" t="shared" si="23" ref="Q29:W29">Q25</f>
        <v>0</v>
      </c>
      <c r="R29" s="516">
        <f t="shared" si="23"/>
        <v>0</v>
      </c>
      <c r="S29" s="516">
        <f t="shared" si="23"/>
        <v>0</v>
      </c>
      <c r="T29" s="516">
        <f t="shared" si="23"/>
        <v>4400004.4</v>
      </c>
      <c r="U29" s="516">
        <f t="shared" si="23"/>
        <v>0</v>
      </c>
      <c r="V29" s="516">
        <f t="shared" si="23"/>
        <v>0</v>
      </c>
      <c r="W29" s="517">
        <f t="shared" si="23"/>
        <v>0</v>
      </c>
    </row>
    <row r="30" spans="2:23" ht="12.75">
      <c r="B30" s="161">
        <v>18</v>
      </c>
      <c r="C30" s="128">
        <v>29</v>
      </c>
      <c r="D30" s="128">
        <v>2.3</v>
      </c>
      <c r="E30" s="121">
        <v>1006500</v>
      </c>
      <c r="F30" s="121">
        <f t="shared" si="18"/>
        <v>1006500</v>
      </c>
      <c r="G30" s="121"/>
      <c r="H30" s="121"/>
      <c r="I30" s="121"/>
      <c r="J30" s="121">
        <f t="shared" si="20"/>
        <v>201300</v>
      </c>
      <c r="K30" s="128" t="s">
        <v>1362</v>
      </c>
      <c r="L30" s="506">
        <f t="shared" si="21"/>
        <v>0</v>
      </c>
      <c r="M30" s="1464" t="s">
        <v>251</v>
      </c>
      <c r="N30" s="1464"/>
      <c r="O30" s="1465"/>
      <c r="P30" s="1448">
        <f>P22+Q22+R22+S22-P29</f>
        <v>95255299.713</v>
      </c>
      <c r="Q30" s="1448"/>
      <c r="R30" s="1448"/>
      <c r="S30" s="1448"/>
      <c r="T30" s="1448">
        <f>T22-T29</f>
        <v>19051019.912600003</v>
      </c>
      <c r="U30" s="1448"/>
      <c r="V30" s="1448"/>
      <c r="W30" s="1448"/>
    </row>
    <row r="31" spans="2:23" ht="13.5" thickBot="1">
      <c r="B31" s="161">
        <v>19</v>
      </c>
      <c r="C31" s="128">
        <v>36</v>
      </c>
      <c r="D31" s="128">
        <v>5.3</v>
      </c>
      <c r="E31" s="121">
        <v>1030900</v>
      </c>
      <c r="F31" s="121">
        <f t="shared" si="18"/>
        <v>1030900</v>
      </c>
      <c r="G31" s="121"/>
      <c r="H31" s="121"/>
      <c r="I31" s="121"/>
      <c r="J31" s="121">
        <f t="shared" si="20"/>
        <v>206180</v>
      </c>
      <c r="K31" s="128" t="s">
        <v>1365</v>
      </c>
      <c r="L31" s="506">
        <f t="shared" si="21"/>
        <v>0</v>
      </c>
      <c r="M31" s="1466"/>
      <c r="N31" s="1466"/>
      <c r="O31" s="1467"/>
      <c r="P31" s="1449"/>
      <c r="Q31" s="1449"/>
      <c r="R31" s="1449"/>
      <c r="S31" s="1449"/>
      <c r="T31" s="1449"/>
      <c r="U31" s="1449"/>
      <c r="V31" s="1449"/>
      <c r="W31" s="1449"/>
    </row>
    <row r="32" spans="2:23" ht="12.75">
      <c r="B32" s="161">
        <v>20</v>
      </c>
      <c r="C32" s="128">
        <v>272</v>
      </c>
      <c r="D32" s="128">
        <v>8.3</v>
      </c>
      <c r="E32" s="121">
        <v>17500</v>
      </c>
      <c r="F32" s="121">
        <f t="shared" si="18"/>
        <v>17500</v>
      </c>
      <c r="G32" s="121"/>
      <c r="H32" s="121"/>
      <c r="I32" s="121"/>
      <c r="J32" s="121">
        <f t="shared" si="20"/>
        <v>3500</v>
      </c>
      <c r="K32" s="128" t="s">
        <v>1615</v>
      </c>
      <c r="L32" s="162">
        <f t="shared" si="21"/>
        <v>0</v>
      </c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</row>
    <row r="33" spans="2:23" ht="12.75">
      <c r="B33" s="161">
        <v>21</v>
      </c>
      <c r="C33" s="128">
        <v>634</v>
      </c>
      <c r="D33" s="128">
        <v>10.3</v>
      </c>
      <c r="E33" s="121">
        <v>21728</v>
      </c>
      <c r="F33" s="121">
        <f t="shared" si="18"/>
        <v>21728</v>
      </c>
      <c r="G33" s="121"/>
      <c r="H33" s="121"/>
      <c r="I33" s="121"/>
      <c r="J33" s="121">
        <f t="shared" si="20"/>
        <v>4345.6</v>
      </c>
      <c r="K33" s="128" t="s">
        <v>1360</v>
      </c>
      <c r="L33" s="162">
        <f t="shared" si="21"/>
        <v>0</v>
      </c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</row>
    <row r="34" spans="2:23" ht="12.75">
      <c r="B34" s="161">
        <v>22</v>
      </c>
      <c r="C34" s="128">
        <v>59</v>
      </c>
      <c r="D34" s="128">
        <v>19.3</v>
      </c>
      <c r="E34" s="121">
        <v>2040426.6</v>
      </c>
      <c r="F34" s="121">
        <f t="shared" si="18"/>
        <v>2040426.6</v>
      </c>
      <c r="G34" s="121"/>
      <c r="H34" s="121"/>
      <c r="I34" s="121"/>
      <c r="J34" s="121">
        <f t="shared" si="20"/>
        <v>408085.32000000007</v>
      </c>
      <c r="K34" s="128" t="s">
        <v>1769</v>
      </c>
      <c r="L34" s="162">
        <f t="shared" si="21"/>
        <v>0</v>
      </c>
      <c r="M34" s="59"/>
      <c r="N34" s="59"/>
      <c r="O34" s="59"/>
      <c r="P34" s="187"/>
      <c r="Q34" s="59"/>
      <c r="R34" s="59"/>
      <c r="S34" s="59"/>
      <c r="T34" s="59"/>
      <c r="U34" s="59"/>
      <c r="V34" s="59"/>
      <c r="W34" s="59"/>
    </row>
    <row r="35" spans="2:23" ht="12.75">
      <c r="B35" s="161">
        <v>23</v>
      </c>
      <c r="C35" s="128">
        <v>10</v>
      </c>
      <c r="D35" s="128">
        <v>20.3</v>
      </c>
      <c r="E35" s="121">
        <v>987525</v>
      </c>
      <c r="F35" s="121">
        <f t="shared" si="18"/>
        <v>987525</v>
      </c>
      <c r="G35" s="121"/>
      <c r="H35" s="121"/>
      <c r="I35" s="121"/>
      <c r="J35" s="121">
        <f t="shared" si="20"/>
        <v>197505</v>
      </c>
      <c r="K35" s="128" t="s">
        <v>1769</v>
      </c>
      <c r="L35" s="162">
        <f t="shared" si="21"/>
        <v>0</v>
      </c>
      <c r="M35" s="59"/>
      <c r="N35" s="59"/>
      <c r="O35" s="164" t="s">
        <v>982</v>
      </c>
      <c r="P35" s="164"/>
      <c r="Q35" s="164"/>
      <c r="R35" s="59"/>
      <c r="S35" s="59"/>
      <c r="T35" s="59"/>
      <c r="U35" s="59"/>
      <c r="V35" s="59"/>
      <c r="W35" s="59"/>
    </row>
    <row r="36" spans="2:23" ht="13.5" thickBot="1">
      <c r="B36" s="161">
        <v>24</v>
      </c>
      <c r="C36" s="128">
        <v>61</v>
      </c>
      <c r="D36" s="128">
        <v>23.3</v>
      </c>
      <c r="E36" s="121">
        <v>698733.3</v>
      </c>
      <c r="F36" s="121">
        <f t="shared" si="18"/>
        <v>698733.3</v>
      </c>
      <c r="G36" s="121"/>
      <c r="H36" s="121"/>
      <c r="I36" s="121"/>
      <c r="J36" s="121">
        <f t="shared" si="20"/>
        <v>139746.66</v>
      </c>
      <c r="K36" s="128" t="s">
        <v>1769</v>
      </c>
      <c r="L36" s="162">
        <f t="shared" si="21"/>
        <v>0</v>
      </c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</row>
    <row r="37" spans="2:23" ht="13.5" thickBot="1">
      <c r="B37" s="161">
        <v>25</v>
      </c>
      <c r="C37" s="1445" t="s">
        <v>210</v>
      </c>
      <c r="D37" s="1446"/>
      <c r="E37" s="1080">
        <f>SUM(E29:E36)</f>
        <v>5817330.899999999</v>
      </c>
      <c r="F37" s="1080">
        <f aca="true" t="shared" si="24" ref="F37:L37">SUM(F29:F36)</f>
        <v>5817330.899999999</v>
      </c>
      <c r="G37" s="1080">
        <f t="shared" si="24"/>
        <v>0</v>
      </c>
      <c r="H37" s="1080">
        <f t="shared" si="24"/>
        <v>0</v>
      </c>
      <c r="I37" s="1080">
        <f t="shared" si="24"/>
        <v>0</v>
      </c>
      <c r="J37" s="1080">
        <f t="shared" si="24"/>
        <v>1163466.18</v>
      </c>
      <c r="K37" s="1080">
        <f t="shared" si="24"/>
        <v>0</v>
      </c>
      <c r="L37" s="1080">
        <f t="shared" si="24"/>
        <v>0</v>
      </c>
      <c r="M37" s="1468" t="s">
        <v>1</v>
      </c>
      <c r="N37" s="525" t="s">
        <v>245</v>
      </c>
      <c r="O37" s="526"/>
      <c r="P37" s="500" t="s">
        <v>246</v>
      </c>
      <c r="Q37" s="500" t="s">
        <v>226</v>
      </c>
      <c r="R37" s="500" t="s">
        <v>247</v>
      </c>
      <c r="S37" s="500" t="s">
        <v>228</v>
      </c>
      <c r="T37" s="500" t="s">
        <v>229</v>
      </c>
      <c r="U37" s="500" t="s">
        <v>248</v>
      </c>
      <c r="V37" s="122"/>
      <c r="W37" s="123"/>
    </row>
    <row r="38" spans="2:23" ht="13.5" thickBot="1">
      <c r="B38" s="161">
        <v>26</v>
      </c>
      <c r="C38" s="126">
        <v>13</v>
      </c>
      <c r="D38" s="126">
        <v>15.3</v>
      </c>
      <c r="E38" s="127">
        <v>12500</v>
      </c>
      <c r="F38" s="127">
        <f t="shared" si="18"/>
        <v>12500</v>
      </c>
      <c r="G38" s="127"/>
      <c r="H38" s="127"/>
      <c r="I38" s="127"/>
      <c r="J38" s="127">
        <f t="shared" si="20"/>
        <v>2500</v>
      </c>
      <c r="K38" s="126" t="s">
        <v>1768</v>
      </c>
      <c r="L38" s="1079">
        <f t="shared" si="21"/>
        <v>0</v>
      </c>
      <c r="M38" s="1469"/>
      <c r="N38" s="526" t="s">
        <v>1</v>
      </c>
      <c r="O38" s="527" t="s">
        <v>232</v>
      </c>
      <c r="P38" s="502" t="s">
        <v>249</v>
      </c>
      <c r="Q38" s="502" t="s">
        <v>250</v>
      </c>
      <c r="R38" s="502"/>
      <c r="S38" s="502"/>
      <c r="T38" s="502" t="s">
        <v>236</v>
      </c>
      <c r="U38" s="502"/>
      <c r="V38" s="123"/>
      <c r="W38" s="123"/>
    </row>
    <row r="39" spans="2:23" ht="12.75">
      <c r="B39" s="161">
        <v>27</v>
      </c>
      <c r="C39" s="128"/>
      <c r="D39" s="128">
        <v>29.3</v>
      </c>
      <c r="E39" s="121">
        <v>16775</v>
      </c>
      <c r="F39" s="121">
        <f t="shared" si="18"/>
        <v>16775</v>
      </c>
      <c r="G39" s="121"/>
      <c r="H39" s="121"/>
      <c r="I39" s="121"/>
      <c r="J39" s="121">
        <f t="shared" si="20"/>
        <v>3355</v>
      </c>
      <c r="K39" s="128" t="s">
        <v>1360</v>
      </c>
      <c r="L39" s="162">
        <f t="shared" si="21"/>
        <v>0</v>
      </c>
      <c r="M39" s="520">
        <v>1</v>
      </c>
      <c r="N39" s="128">
        <v>295</v>
      </c>
      <c r="O39" s="128">
        <v>10.5</v>
      </c>
      <c r="P39" s="121">
        <v>500000</v>
      </c>
      <c r="Q39" s="522"/>
      <c r="R39" s="522"/>
      <c r="S39" s="522"/>
      <c r="T39" s="523">
        <v>100000</v>
      </c>
      <c r="U39" s="524" t="s">
        <v>1364</v>
      </c>
      <c r="V39" s="123"/>
      <c r="W39" s="123"/>
    </row>
    <row r="40" spans="2:26" ht="12.75">
      <c r="B40" s="161">
        <v>28</v>
      </c>
      <c r="C40" s="128">
        <v>143</v>
      </c>
      <c r="D40" s="128">
        <v>31.3</v>
      </c>
      <c r="E40" s="121">
        <v>15470</v>
      </c>
      <c r="F40" s="121">
        <f t="shared" si="18"/>
        <v>15470</v>
      </c>
      <c r="G40" s="121"/>
      <c r="H40" s="121"/>
      <c r="I40" s="121"/>
      <c r="J40" s="121">
        <f t="shared" si="20"/>
        <v>3094</v>
      </c>
      <c r="K40" s="128" t="s">
        <v>1361</v>
      </c>
      <c r="L40" s="162">
        <f t="shared" si="21"/>
        <v>0</v>
      </c>
      <c r="M40" s="169">
        <v>2</v>
      </c>
      <c r="N40" s="128">
        <v>37</v>
      </c>
      <c r="O40" s="128">
        <v>30.7</v>
      </c>
      <c r="P40" s="121">
        <v>824051</v>
      </c>
      <c r="Q40" s="170"/>
      <c r="R40" s="170"/>
      <c r="S40" s="170"/>
      <c r="T40" s="73">
        <f aca="true" t="shared" si="25" ref="T40:T46">P40*0.2</f>
        <v>164810.2</v>
      </c>
      <c r="U40" s="171" t="s">
        <v>1368</v>
      </c>
      <c r="V40" s="123"/>
      <c r="W40" s="123"/>
      <c r="Y40" s="101" t="s">
        <v>1777</v>
      </c>
      <c r="Z40" s="159">
        <f>P40+P43+P44+P45+P46</f>
        <v>20156692</v>
      </c>
    </row>
    <row r="41" spans="2:23" ht="12.75">
      <c r="B41" s="161">
        <v>29</v>
      </c>
      <c r="C41" s="128">
        <v>13</v>
      </c>
      <c r="D41" s="128">
        <v>2.4</v>
      </c>
      <c r="E41" s="121">
        <v>982300</v>
      </c>
      <c r="F41" s="121">
        <f t="shared" si="18"/>
        <v>982300</v>
      </c>
      <c r="G41" s="121"/>
      <c r="H41" s="121"/>
      <c r="I41" s="121"/>
      <c r="J41" s="121">
        <f t="shared" si="20"/>
        <v>196460</v>
      </c>
      <c r="K41" s="128" t="s">
        <v>1365</v>
      </c>
      <c r="L41" s="162">
        <f t="shared" si="21"/>
        <v>0</v>
      </c>
      <c r="M41" s="169">
        <v>3</v>
      </c>
      <c r="N41" s="128">
        <v>45</v>
      </c>
      <c r="O41" s="128">
        <v>24.7</v>
      </c>
      <c r="P41" s="121">
        <v>843330</v>
      </c>
      <c r="Q41" s="73"/>
      <c r="R41" s="73"/>
      <c r="S41" s="73"/>
      <c r="T41" s="73">
        <f t="shared" si="25"/>
        <v>168666</v>
      </c>
      <c r="U41" s="171" t="s">
        <v>1369</v>
      </c>
      <c r="V41" s="123"/>
      <c r="W41" s="123"/>
    </row>
    <row r="42" spans="2:23" ht="12.75">
      <c r="B42" s="161">
        <v>30</v>
      </c>
      <c r="C42" s="128">
        <v>64</v>
      </c>
      <c r="D42" s="128">
        <v>3.4</v>
      </c>
      <c r="E42" s="121">
        <v>1660666</v>
      </c>
      <c r="F42" s="121">
        <f t="shared" si="18"/>
        <v>1660666</v>
      </c>
      <c r="G42" s="121"/>
      <c r="H42" s="121"/>
      <c r="I42" s="121"/>
      <c r="J42" s="121">
        <f t="shared" si="20"/>
        <v>332133.2</v>
      </c>
      <c r="K42" s="128" t="s">
        <v>1365</v>
      </c>
      <c r="L42" s="162">
        <f t="shared" si="21"/>
        <v>0</v>
      </c>
      <c r="M42" s="169">
        <v>4</v>
      </c>
      <c r="N42" s="128">
        <v>312</v>
      </c>
      <c r="O42" s="128">
        <v>19.7</v>
      </c>
      <c r="P42" s="121">
        <v>500000</v>
      </c>
      <c r="Q42" s="73"/>
      <c r="R42" s="73"/>
      <c r="S42" s="73"/>
      <c r="T42" s="73">
        <f t="shared" si="25"/>
        <v>100000</v>
      </c>
      <c r="U42" s="171" t="s">
        <v>1364</v>
      </c>
      <c r="V42" s="123"/>
      <c r="W42" s="123"/>
    </row>
    <row r="43" spans="2:23" ht="12.75">
      <c r="B43" s="161">
        <v>31</v>
      </c>
      <c r="C43" s="128">
        <v>50</v>
      </c>
      <c r="D43" s="128">
        <v>6.4</v>
      </c>
      <c r="E43" s="121">
        <v>105000</v>
      </c>
      <c r="F43" s="121">
        <f t="shared" si="18"/>
        <v>105000</v>
      </c>
      <c r="G43" s="121"/>
      <c r="H43" s="121"/>
      <c r="I43" s="121"/>
      <c r="J43" s="121">
        <f t="shared" si="20"/>
        <v>21000</v>
      </c>
      <c r="K43" s="128" t="s">
        <v>1768</v>
      </c>
      <c r="L43" s="162">
        <f t="shared" si="21"/>
        <v>0</v>
      </c>
      <c r="M43" s="169">
        <v>5</v>
      </c>
      <c r="N43" s="1076">
        <v>54</v>
      </c>
      <c r="O43" s="1076">
        <v>30.09</v>
      </c>
      <c r="P43" s="1077">
        <v>2749349</v>
      </c>
      <c r="Q43" s="73"/>
      <c r="R43" s="73"/>
      <c r="S43" s="73"/>
      <c r="T43" s="73">
        <f t="shared" si="25"/>
        <v>549869.8</v>
      </c>
      <c r="U43" s="171" t="s">
        <v>1368</v>
      </c>
      <c r="V43" s="61"/>
      <c r="W43" s="129"/>
    </row>
    <row r="44" spans="2:23" ht="12.75">
      <c r="B44" s="161">
        <v>32</v>
      </c>
      <c r="C44" s="128">
        <v>67</v>
      </c>
      <c r="D44" s="128">
        <v>13.4</v>
      </c>
      <c r="E44" s="121">
        <v>698733</v>
      </c>
      <c r="F44" s="121">
        <f t="shared" si="18"/>
        <v>698733</v>
      </c>
      <c r="G44" s="121"/>
      <c r="H44" s="121"/>
      <c r="I44" s="121"/>
      <c r="J44" s="121">
        <f t="shared" si="20"/>
        <v>139746.6</v>
      </c>
      <c r="K44" s="128" t="s">
        <v>1365</v>
      </c>
      <c r="L44" s="162">
        <f t="shared" si="21"/>
        <v>0</v>
      </c>
      <c r="M44" s="169">
        <v>6</v>
      </c>
      <c r="N44" s="128">
        <v>71</v>
      </c>
      <c r="O44" s="128">
        <v>30.12</v>
      </c>
      <c r="P44" s="121">
        <v>3769496</v>
      </c>
      <c r="Q44" s="172"/>
      <c r="R44" s="172"/>
      <c r="S44" s="172"/>
      <c r="T44" s="73">
        <f t="shared" si="25"/>
        <v>753899.2000000001</v>
      </c>
      <c r="U44" s="171" t="s">
        <v>1368</v>
      </c>
      <c r="V44" s="123"/>
      <c r="W44" s="123"/>
    </row>
    <row r="45" spans="2:23" ht="12.75">
      <c r="B45" s="161">
        <v>33</v>
      </c>
      <c r="C45" s="128">
        <v>68</v>
      </c>
      <c r="D45" s="128">
        <v>17.4</v>
      </c>
      <c r="E45" s="121">
        <v>1129600</v>
      </c>
      <c r="F45" s="121">
        <f t="shared" si="18"/>
        <v>1129600</v>
      </c>
      <c r="G45" s="121"/>
      <c r="H45" s="121"/>
      <c r="I45" s="121"/>
      <c r="J45" s="121">
        <f t="shared" si="20"/>
        <v>225920</v>
      </c>
      <c r="K45" s="128" t="s">
        <v>1365</v>
      </c>
      <c r="L45" s="162">
        <f t="shared" si="21"/>
        <v>0</v>
      </c>
      <c r="M45" s="169">
        <v>7</v>
      </c>
      <c r="N45" s="1076">
        <v>76</v>
      </c>
      <c r="O45" s="1076">
        <v>31.12</v>
      </c>
      <c r="P45" s="1077">
        <v>6538246</v>
      </c>
      <c r="Q45" s="172"/>
      <c r="R45" s="173"/>
      <c r="S45" s="173"/>
      <c r="T45" s="73">
        <f t="shared" si="25"/>
        <v>1307649.2000000002</v>
      </c>
      <c r="U45" s="171" t="s">
        <v>1368</v>
      </c>
      <c r="V45" s="123"/>
      <c r="W45" s="123"/>
    </row>
    <row r="46" spans="2:23" ht="12.75">
      <c r="B46" s="161">
        <v>34</v>
      </c>
      <c r="C46" s="128">
        <v>23</v>
      </c>
      <c r="D46" s="128">
        <v>23.4</v>
      </c>
      <c r="E46" s="121">
        <v>1904283</v>
      </c>
      <c r="F46" s="121">
        <f t="shared" si="18"/>
        <v>1904283</v>
      </c>
      <c r="G46" s="121"/>
      <c r="H46" s="121"/>
      <c r="I46" s="121"/>
      <c r="J46" s="121">
        <f t="shared" si="20"/>
        <v>380856.60000000003</v>
      </c>
      <c r="K46" s="128" t="s">
        <v>1365</v>
      </c>
      <c r="L46" s="162">
        <f t="shared" si="21"/>
        <v>0</v>
      </c>
      <c r="M46" s="169">
        <v>8</v>
      </c>
      <c r="N46" s="1076">
        <v>73</v>
      </c>
      <c r="O46" s="1240">
        <v>31.1</v>
      </c>
      <c r="P46" s="1077">
        <v>6275550</v>
      </c>
      <c r="Q46" s="1077"/>
      <c r="R46" s="1077"/>
      <c r="S46" s="1077"/>
      <c r="T46" s="73">
        <f t="shared" si="25"/>
        <v>1255110</v>
      </c>
      <c r="U46" s="171" t="s">
        <v>1368</v>
      </c>
      <c r="V46" s="1076"/>
      <c r="W46" s="162"/>
    </row>
    <row r="47" spans="2:23" ht="13.5" thickBot="1">
      <c r="B47" s="161">
        <v>35</v>
      </c>
      <c r="C47" s="128">
        <v>77</v>
      </c>
      <c r="D47" s="128">
        <v>24.4</v>
      </c>
      <c r="E47" s="121">
        <v>1955200</v>
      </c>
      <c r="F47" s="121">
        <f t="shared" si="18"/>
        <v>1955200</v>
      </c>
      <c r="G47" s="121"/>
      <c r="H47" s="121"/>
      <c r="I47" s="121"/>
      <c r="J47" s="121">
        <f aca="true" t="shared" si="26" ref="J47:J108">E47*0.2</f>
        <v>391040</v>
      </c>
      <c r="K47" s="128" t="s">
        <v>1365</v>
      </c>
      <c r="L47" s="162">
        <f aca="true" t="shared" si="27" ref="L47:L108">E47-(F47+G47+H47+I47)</f>
        <v>0</v>
      </c>
      <c r="M47" s="169">
        <v>9</v>
      </c>
      <c r="N47" s="174"/>
      <c r="O47" s="175"/>
      <c r="P47" s="521"/>
      <c r="Q47" s="172"/>
      <c r="R47" s="173"/>
      <c r="S47" s="173"/>
      <c r="T47" s="172"/>
      <c r="U47" s="176"/>
      <c r="V47" s="123"/>
      <c r="W47" s="123"/>
    </row>
    <row r="48" spans="2:23" ht="13.5" thickBot="1">
      <c r="B48" s="161">
        <v>36</v>
      </c>
      <c r="C48" s="1445" t="s">
        <v>211</v>
      </c>
      <c r="D48" s="1446"/>
      <c r="E48" s="1080">
        <f>SUM(E38:E47)</f>
        <v>8480527</v>
      </c>
      <c r="F48" s="1080">
        <f aca="true" t="shared" si="28" ref="F48:L48">SUM(F38:F47)</f>
        <v>8480527</v>
      </c>
      <c r="G48" s="1080">
        <f t="shared" si="28"/>
        <v>0</v>
      </c>
      <c r="H48" s="1080">
        <f t="shared" si="28"/>
        <v>0</v>
      </c>
      <c r="I48" s="1080">
        <f t="shared" si="28"/>
        <v>0</v>
      </c>
      <c r="J48" s="1080">
        <f t="shared" si="28"/>
        <v>1696105.4</v>
      </c>
      <c r="K48" s="1080">
        <f t="shared" si="28"/>
        <v>0</v>
      </c>
      <c r="L48" s="1080">
        <f t="shared" si="28"/>
        <v>0</v>
      </c>
      <c r="M48" s="169"/>
      <c r="N48" s="100"/>
      <c r="O48" s="100"/>
      <c r="P48" s="521"/>
      <c r="Q48" s="100"/>
      <c r="R48" s="100"/>
      <c r="S48" s="100"/>
      <c r="T48" s="100"/>
      <c r="U48" s="177"/>
      <c r="V48" s="123"/>
      <c r="W48" s="123"/>
    </row>
    <row r="49" spans="2:23" ht="12.75">
      <c r="B49" s="161">
        <v>37</v>
      </c>
      <c r="C49" s="126"/>
      <c r="D49" s="126">
        <v>20.4</v>
      </c>
      <c r="E49" s="127">
        <v>13554</v>
      </c>
      <c r="F49" s="127">
        <f>E49</f>
        <v>13554</v>
      </c>
      <c r="G49" s="127"/>
      <c r="H49" s="127"/>
      <c r="I49" s="127"/>
      <c r="J49" s="127">
        <f t="shared" si="26"/>
        <v>2710.8</v>
      </c>
      <c r="K49" s="126" t="s">
        <v>1360</v>
      </c>
      <c r="L49" s="1079">
        <f t="shared" si="27"/>
        <v>0</v>
      </c>
      <c r="M49" s="169"/>
      <c r="N49" s="100"/>
      <c r="O49" s="100"/>
      <c r="P49" s="521"/>
      <c r="Q49" s="100"/>
      <c r="R49" s="100"/>
      <c r="S49" s="100"/>
      <c r="T49" s="100"/>
      <c r="U49" s="177"/>
      <c r="V49" s="123"/>
      <c r="W49" s="123"/>
    </row>
    <row r="50" spans="2:23" ht="12.75">
      <c r="B50" s="161">
        <v>38</v>
      </c>
      <c r="C50" s="128"/>
      <c r="D50" s="128">
        <v>2.4</v>
      </c>
      <c r="E50" s="121">
        <v>15469.34</v>
      </c>
      <c r="F50" s="121">
        <f t="shared" si="18"/>
        <v>15469.34</v>
      </c>
      <c r="G50" s="121"/>
      <c r="H50" s="121"/>
      <c r="I50" s="121"/>
      <c r="J50" s="121">
        <f t="shared" si="26"/>
        <v>3093.8680000000004</v>
      </c>
      <c r="K50" s="128" t="s">
        <v>1361</v>
      </c>
      <c r="L50" s="162">
        <f t="shared" si="27"/>
        <v>0</v>
      </c>
      <c r="M50" s="169"/>
      <c r="N50" s="100"/>
      <c r="O50" s="100"/>
      <c r="P50" s="521"/>
      <c r="Q50" s="100"/>
      <c r="R50" s="100"/>
      <c r="S50" s="100"/>
      <c r="T50" s="100"/>
      <c r="U50" s="177"/>
      <c r="V50" s="123"/>
      <c r="W50" s="123"/>
    </row>
    <row r="51" spans="2:23" ht="12.75">
      <c r="B51" s="161">
        <v>39</v>
      </c>
      <c r="C51" s="128">
        <v>85</v>
      </c>
      <c r="D51" s="128">
        <v>2.5</v>
      </c>
      <c r="E51" s="121">
        <v>1024000</v>
      </c>
      <c r="F51" s="121">
        <f t="shared" si="18"/>
        <v>1024000</v>
      </c>
      <c r="G51" s="121"/>
      <c r="H51" s="121"/>
      <c r="I51" s="121"/>
      <c r="J51" s="121">
        <f t="shared" si="26"/>
        <v>204800</v>
      </c>
      <c r="K51" s="128" t="s">
        <v>1362</v>
      </c>
      <c r="L51" s="162">
        <f t="shared" si="27"/>
        <v>0</v>
      </c>
      <c r="M51" s="169"/>
      <c r="N51" s="100"/>
      <c r="O51" s="100"/>
      <c r="P51" s="521"/>
      <c r="Q51" s="100"/>
      <c r="R51" s="100"/>
      <c r="S51" s="100"/>
      <c r="T51" s="100"/>
      <c r="U51" s="177"/>
      <c r="V51" s="123"/>
      <c r="W51" s="123"/>
    </row>
    <row r="52" spans="2:23" ht="13.5" thickBot="1">
      <c r="B52" s="161">
        <v>40</v>
      </c>
      <c r="C52" s="1231">
        <v>295</v>
      </c>
      <c r="D52" s="1231">
        <v>10.5</v>
      </c>
      <c r="E52" s="1232">
        <v>500000</v>
      </c>
      <c r="F52" s="1232">
        <f t="shared" si="18"/>
        <v>500000</v>
      </c>
      <c r="G52" s="1232"/>
      <c r="H52" s="1232"/>
      <c r="I52" s="1232"/>
      <c r="J52" s="1232">
        <f t="shared" si="26"/>
        <v>100000</v>
      </c>
      <c r="K52" s="1231" t="s">
        <v>1363</v>
      </c>
      <c r="L52" s="1273">
        <f t="shared" si="27"/>
        <v>0</v>
      </c>
      <c r="M52" s="178"/>
      <c r="N52" s="179"/>
      <c r="O52" s="179"/>
      <c r="P52" s="521"/>
      <c r="Q52" s="180"/>
      <c r="R52" s="180"/>
      <c r="S52" s="180"/>
      <c r="T52" s="180"/>
      <c r="U52" s="528"/>
      <c r="V52" s="123"/>
      <c r="W52" s="123"/>
    </row>
    <row r="53" spans="2:23" ht="13.5" thickBot="1">
      <c r="B53" s="161">
        <v>41</v>
      </c>
      <c r="C53" s="128">
        <v>2</v>
      </c>
      <c r="D53" s="128">
        <v>14.5</v>
      </c>
      <c r="E53" s="121">
        <v>1914466.66</v>
      </c>
      <c r="F53" s="121">
        <f t="shared" si="18"/>
        <v>1914466.66</v>
      </c>
      <c r="G53" s="121"/>
      <c r="H53" s="121"/>
      <c r="I53" s="121"/>
      <c r="J53" s="121">
        <f t="shared" si="26"/>
        <v>382893.332</v>
      </c>
      <c r="K53" s="128" t="s">
        <v>1365</v>
      </c>
      <c r="L53" s="162">
        <f t="shared" si="27"/>
        <v>0</v>
      </c>
      <c r="M53" s="1461" t="s">
        <v>356</v>
      </c>
      <c r="N53" s="1462"/>
      <c r="O53" s="1463"/>
      <c r="P53" s="529">
        <f>SUM(P39:P52)</f>
        <v>22000022</v>
      </c>
      <c r="Q53" s="529">
        <f>SUM(Q39:Q52)</f>
        <v>0</v>
      </c>
      <c r="R53" s="529">
        <f>SUM(R39:R52)</f>
        <v>0</v>
      </c>
      <c r="S53" s="529">
        <f>SUM(S39:S52)</f>
        <v>0</v>
      </c>
      <c r="T53" s="529">
        <f>SUM(T39:T52)</f>
        <v>4400004.4</v>
      </c>
      <c r="U53" s="472"/>
      <c r="V53" s="123"/>
      <c r="W53" s="123"/>
    </row>
    <row r="54" spans="2:23" ht="12.75">
      <c r="B54" s="161">
        <v>42</v>
      </c>
      <c r="C54" s="128">
        <v>97</v>
      </c>
      <c r="D54" s="128">
        <v>18.5</v>
      </c>
      <c r="E54" s="121">
        <v>1088416.66</v>
      </c>
      <c r="F54" s="121">
        <f t="shared" si="18"/>
        <v>1088416.66</v>
      </c>
      <c r="G54" s="121"/>
      <c r="H54" s="121"/>
      <c r="I54" s="121"/>
      <c r="J54" s="121">
        <f t="shared" si="26"/>
        <v>217683.332</v>
      </c>
      <c r="K54" s="128" t="s">
        <v>1362</v>
      </c>
      <c r="L54" s="162">
        <f t="shared" si="27"/>
        <v>0</v>
      </c>
      <c r="M54" s="130"/>
      <c r="N54" s="130"/>
      <c r="O54" s="130"/>
      <c r="P54" s="122"/>
      <c r="Q54" s="122"/>
      <c r="R54" s="122"/>
      <c r="S54" s="122"/>
      <c r="T54" s="122"/>
      <c r="U54" s="122"/>
      <c r="V54" s="130"/>
      <c r="W54" s="130"/>
    </row>
    <row r="55" spans="2:23" ht="12.75">
      <c r="B55" s="161">
        <v>43</v>
      </c>
      <c r="C55" s="128">
        <v>12</v>
      </c>
      <c r="D55" s="128">
        <v>21.5</v>
      </c>
      <c r="E55" s="121">
        <v>1800000</v>
      </c>
      <c r="F55" s="121">
        <f t="shared" si="18"/>
        <v>1800000</v>
      </c>
      <c r="G55" s="121"/>
      <c r="H55" s="121"/>
      <c r="I55" s="121"/>
      <c r="J55" s="121">
        <f t="shared" si="26"/>
        <v>360000</v>
      </c>
      <c r="K55" s="128" t="s">
        <v>1365</v>
      </c>
      <c r="L55" s="162">
        <f t="shared" si="27"/>
        <v>0</v>
      </c>
      <c r="M55" s="130"/>
      <c r="N55" s="130"/>
      <c r="O55" s="130"/>
      <c r="P55" s="122"/>
      <c r="Q55" s="122"/>
      <c r="R55" s="122"/>
      <c r="S55" s="122"/>
      <c r="T55" s="122"/>
      <c r="U55" s="122"/>
      <c r="V55" s="59"/>
      <c r="W55" s="59"/>
    </row>
    <row r="56" spans="1:23" ht="13.5" thickBot="1">
      <c r="A56" s="61"/>
      <c r="B56" s="161">
        <v>44</v>
      </c>
      <c r="C56" s="128">
        <v>36</v>
      </c>
      <c r="D56" s="128">
        <v>28.5</v>
      </c>
      <c r="E56" s="121">
        <v>892500</v>
      </c>
      <c r="F56" s="121">
        <f t="shared" si="18"/>
        <v>892500</v>
      </c>
      <c r="G56" s="121"/>
      <c r="H56" s="121"/>
      <c r="I56" s="121"/>
      <c r="J56" s="121">
        <f t="shared" si="26"/>
        <v>178500</v>
      </c>
      <c r="K56" s="128" t="s">
        <v>1362</v>
      </c>
      <c r="L56" s="162">
        <f t="shared" si="27"/>
        <v>0</v>
      </c>
      <c r="M56" s="130"/>
      <c r="N56" s="130"/>
      <c r="O56" s="130"/>
      <c r="P56" s="122"/>
      <c r="Q56" s="122"/>
      <c r="R56" s="122"/>
      <c r="S56" s="122"/>
      <c r="T56" s="122"/>
      <c r="U56" s="122"/>
      <c r="V56" s="59"/>
      <c r="W56" s="59"/>
    </row>
    <row r="57" spans="1:23" ht="13.5" thickBot="1">
      <c r="A57" s="61"/>
      <c r="B57" s="161">
        <v>45</v>
      </c>
      <c r="C57" s="1445" t="s">
        <v>212</v>
      </c>
      <c r="D57" s="1446"/>
      <c r="E57" s="1080">
        <f>SUM(E49:E56)</f>
        <v>7248406.66</v>
      </c>
      <c r="F57" s="1080">
        <f aca="true" t="shared" si="29" ref="F57:L57">SUM(F49:F56)</f>
        <v>7248406.66</v>
      </c>
      <c r="G57" s="1080">
        <f t="shared" si="29"/>
        <v>0</v>
      </c>
      <c r="H57" s="1080">
        <f t="shared" si="29"/>
        <v>0</v>
      </c>
      <c r="I57" s="1080">
        <f t="shared" si="29"/>
        <v>0</v>
      </c>
      <c r="J57" s="1080">
        <f t="shared" si="29"/>
        <v>1449681.332</v>
      </c>
      <c r="K57" s="1080">
        <f t="shared" si="29"/>
        <v>0</v>
      </c>
      <c r="L57" s="1080">
        <f t="shared" si="29"/>
        <v>0</v>
      </c>
      <c r="M57" s="130"/>
      <c r="N57" s="181"/>
      <c r="O57" s="130"/>
      <c r="P57" s="122"/>
      <c r="Q57" s="122"/>
      <c r="R57" s="122"/>
      <c r="S57" s="122"/>
      <c r="T57" s="122"/>
      <c r="U57" s="122"/>
      <c r="V57" s="59"/>
      <c r="W57" s="59"/>
    </row>
    <row r="58" spans="1:23" ht="12.75">
      <c r="A58" s="61"/>
      <c r="B58" s="161">
        <v>46</v>
      </c>
      <c r="C58" s="126"/>
      <c r="D58" s="126"/>
      <c r="E58" s="127"/>
      <c r="F58" s="127">
        <f t="shared" si="18"/>
        <v>0</v>
      </c>
      <c r="G58" s="127"/>
      <c r="H58" s="127"/>
      <c r="I58" s="127"/>
      <c r="J58" s="127">
        <f t="shared" si="26"/>
        <v>0</v>
      </c>
      <c r="K58" s="126"/>
      <c r="L58" s="1079">
        <f t="shared" si="27"/>
        <v>0</v>
      </c>
      <c r="M58" s="130"/>
      <c r="N58" s="130"/>
      <c r="O58" s="130"/>
      <c r="P58" s="122"/>
      <c r="Q58" s="122"/>
      <c r="R58" s="122"/>
      <c r="S58" s="122"/>
      <c r="T58" s="122"/>
      <c r="U58" s="122"/>
      <c r="V58" s="59"/>
      <c r="W58" s="59"/>
    </row>
    <row r="59" spans="1:23" ht="12.75">
      <c r="A59" s="61"/>
      <c r="B59" s="161">
        <v>47</v>
      </c>
      <c r="C59" s="128">
        <v>12</v>
      </c>
      <c r="D59" s="128">
        <v>2.6</v>
      </c>
      <c r="E59" s="121">
        <v>930940</v>
      </c>
      <c r="F59" s="121">
        <f t="shared" si="18"/>
        <v>930940</v>
      </c>
      <c r="G59" s="121"/>
      <c r="H59" s="121"/>
      <c r="I59" s="121"/>
      <c r="J59" s="121">
        <f t="shared" si="26"/>
        <v>186188</v>
      </c>
      <c r="K59" s="128" t="s">
        <v>1365</v>
      </c>
      <c r="L59" s="162">
        <f t="shared" si="27"/>
        <v>0</v>
      </c>
      <c r="M59" s="130"/>
      <c r="N59" s="130"/>
      <c r="O59" s="130"/>
      <c r="P59" s="122"/>
      <c r="Q59" s="122"/>
      <c r="R59" s="122"/>
      <c r="S59" s="122"/>
      <c r="T59" s="122"/>
      <c r="U59" s="122"/>
      <c r="V59" s="59"/>
      <c r="W59" s="59"/>
    </row>
    <row r="60" spans="1:23" ht="12.75">
      <c r="A60" s="61"/>
      <c r="B60" s="161">
        <v>48</v>
      </c>
      <c r="C60" s="128">
        <v>522</v>
      </c>
      <c r="D60" s="128">
        <v>4.6</v>
      </c>
      <c r="E60" s="121">
        <v>723625</v>
      </c>
      <c r="F60" s="121">
        <f t="shared" si="18"/>
        <v>723625</v>
      </c>
      <c r="G60" s="121"/>
      <c r="H60" s="121"/>
      <c r="I60" s="121"/>
      <c r="J60" s="121">
        <f t="shared" si="26"/>
        <v>144725</v>
      </c>
      <c r="K60" s="128" t="s">
        <v>1365</v>
      </c>
      <c r="L60" s="162">
        <f t="shared" si="27"/>
        <v>0</v>
      </c>
      <c r="M60" s="130"/>
      <c r="N60" s="130"/>
      <c r="O60" s="130"/>
      <c r="P60" s="122"/>
      <c r="Q60" s="122"/>
      <c r="R60" s="122"/>
      <c r="S60" s="122"/>
      <c r="T60" s="122"/>
      <c r="U60" s="122"/>
      <c r="V60" s="59"/>
      <c r="W60" s="59"/>
    </row>
    <row r="61" spans="1:23" ht="12.75">
      <c r="A61" s="61"/>
      <c r="B61" s="161">
        <v>49</v>
      </c>
      <c r="C61" s="128">
        <v>300</v>
      </c>
      <c r="D61" s="128">
        <v>7.6</v>
      </c>
      <c r="E61" s="121">
        <v>766883.33</v>
      </c>
      <c r="F61" s="121">
        <f t="shared" si="18"/>
        <v>766883.33</v>
      </c>
      <c r="G61" s="121"/>
      <c r="H61" s="121"/>
      <c r="I61" s="121"/>
      <c r="J61" s="121">
        <f t="shared" si="26"/>
        <v>153376.666</v>
      </c>
      <c r="K61" s="128" t="s">
        <v>1362</v>
      </c>
      <c r="L61" s="162">
        <f t="shared" si="27"/>
        <v>0</v>
      </c>
      <c r="M61" s="130"/>
      <c r="N61" s="130"/>
      <c r="O61" s="130"/>
      <c r="P61" s="122"/>
      <c r="Q61" s="122"/>
      <c r="R61" s="122"/>
      <c r="S61" s="122"/>
      <c r="T61" s="122"/>
      <c r="U61" s="122"/>
      <c r="V61" s="59"/>
      <c r="W61" s="59"/>
    </row>
    <row r="62" spans="1:23" ht="12.75">
      <c r="A62" s="61"/>
      <c r="B62" s="161">
        <v>50</v>
      </c>
      <c r="C62" s="128">
        <v>54</v>
      </c>
      <c r="D62" s="128">
        <v>15.6</v>
      </c>
      <c r="E62" s="121">
        <v>766883.33</v>
      </c>
      <c r="F62" s="121">
        <f t="shared" si="18"/>
        <v>766883.33</v>
      </c>
      <c r="G62" s="121"/>
      <c r="H62" s="121"/>
      <c r="I62" s="121"/>
      <c r="J62" s="121">
        <f t="shared" si="26"/>
        <v>153376.666</v>
      </c>
      <c r="K62" s="128" t="s">
        <v>1362</v>
      </c>
      <c r="L62" s="162">
        <f t="shared" si="27"/>
        <v>0</v>
      </c>
      <c r="M62" s="130"/>
      <c r="N62" s="130"/>
      <c r="O62" s="130"/>
      <c r="P62" s="122"/>
      <c r="Q62" s="122"/>
      <c r="R62" s="122"/>
      <c r="S62" s="122"/>
      <c r="T62" s="122"/>
      <c r="U62" s="122"/>
      <c r="V62" s="59"/>
      <c r="W62" s="59"/>
    </row>
    <row r="63" spans="1:23" ht="12.75">
      <c r="A63" s="61"/>
      <c r="B63" s="161">
        <v>51</v>
      </c>
      <c r="C63" s="128">
        <v>641</v>
      </c>
      <c r="D63" s="128">
        <v>20.6</v>
      </c>
      <c r="E63" s="121">
        <v>1800458.333</v>
      </c>
      <c r="F63" s="121">
        <f t="shared" si="18"/>
        <v>1800458.333</v>
      </c>
      <c r="G63" s="121"/>
      <c r="H63" s="121"/>
      <c r="I63" s="121"/>
      <c r="J63" s="121">
        <f t="shared" si="26"/>
        <v>360091.66660000006</v>
      </c>
      <c r="K63" s="128" t="s">
        <v>1365</v>
      </c>
      <c r="L63" s="162">
        <f t="shared" si="27"/>
        <v>0</v>
      </c>
      <c r="M63" s="130"/>
      <c r="N63" s="130"/>
      <c r="O63" s="130"/>
      <c r="P63" s="122"/>
      <c r="Q63" s="122"/>
      <c r="R63" s="122"/>
      <c r="S63" s="122"/>
      <c r="T63" s="122"/>
      <c r="U63" s="122"/>
      <c r="V63" s="59"/>
      <c r="W63" s="59"/>
    </row>
    <row r="64" spans="1:23" ht="12.75">
      <c r="A64" s="61"/>
      <c r="B64" s="161">
        <v>52</v>
      </c>
      <c r="C64" s="128">
        <v>107341268</v>
      </c>
      <c r="D64" s="128">
        <v>20.6</v>
      </c>
      <c r="E64" s="121">
        <v>25132.5</v>
      </c>
      <c r="F64" s="121">
        <f t="shared" si="18"/>
        <v>25132.5</v>
      </c>
      <c r="G64" s="121"/>
      <c r="H64" s="121"/>
      <c r="I64" s="121"/>
      <c r="J64" s="121">
        <f t="shared" si="26"/>
        <v>5026.5</v>
      </c>
      <c r="K64" s="128" t="s">
        <v>1366</v>
      </c>
      <c r="L64" s="162">
        <f t="shared" si="27"/>
        <v>0</v>
      </c>
      <c r="M64" s="130"/>
      <c r="N64" s="130"/>
      <c r="O64" s="130"/>
      <c r="P64" s="122"/>
      <c r="Q64" s="122"/>
      <c r="R64" s="122"/>
      <c r="S64" s="122"/>
      <c r="T64" s="122"/>
      <c r="U64" s="122"/>
      <c r="V64" s="59"/>
      <c r="W64" s="59"/>
    </row>
    <row r="65" spans="1:23" ht="12.75">
      <c r="A65" s="61"/>
      <c r="B65" s="161">
        <v>53</v>
      </c>
      <c r="C65" s="128">
        <v>693</v>
      </c>
      <c r="D65" s="128">
        <v>28.6</v>
      </c>
      <c r="E65" s="121">
        <v>1738250</v>
      </c>
      <c r="F65" s="121">
        <f t="shared" si="18"/>
        <v>1738250</v>
      </c>
      <c r="G65" s="121"/>
      <c r="H65" s="121"/>
      <c r="I65" s="121"/>
      <c r="J65" s="121">
        <f t="shared" si="26"/>
        <v>347650</v>
      </c>
      <c r="K65" s="128" t="s">
        <v>1362</v>
      </c>
      <c r="L65" s="162">
        <f t="shared" si="27"/>
        <v>0</v>
      </c>
      <c r="M65" s="130"/>
      <c r="N65" s="130"/>
      <c r="O65" s="130"/>
      <c r="P65" s="122"/>
      <c r="Q65" s="122"/>
      <c r="R65" s="122"/>
      <c r="S65" s="122"/>
      <c r="T65" s="122"/>
      <c r="U65" s="122"/>
      <c r="V65" s="59"/>
      <c r="W65" s="59"/>
    </row>
    <row r="66" spans="1:23" ht="12.75">
      <c r="A66" s="61"/>
      <c r="B66" s="161">
        <v>54</v>
      </c>
      <c r="C66" s="128"/>
      <c r="D66" s="128">
        <v>3.6</v>
      </c>
      <c r="E66" s="121">
        <v>14073.16</v>
      </c>
      <c r="F66" s="121">
        <f t="shared" si="18"/>
        <v>14073.16</v>
      </c>
      <c r="G66" s="121"/>
      <c r="H66" s="121"/>
      <c r="I66" s="121"/>
      <c r="J66" s="121">
        <f t="shared" si="26"/>
        <v>2814.632</v>
      </c>
      <c r="K66" s="128" t="s">
        <v>1361</v>
      </c>
      <c r="L66" s="162">
        <f t="shared" si="27"/>
        <v>0</v>
      </c>
      <c r="M66" s="130"/>
      <c r="N66" s="130"/>
      <c r="O66" s="130"/>
      <c r="P66" s="122"/>
      <c r="Q66" s="122"/>
      <c r="R66" s="122"/>
      <c r="S66" s="122"/>
      <c r="T66" s="122"/>
      <c r="U66" s="122"/>
      <c r="V66" s="59"/>
      <c r="W66" s="59"/>
    </row>
    <row r="67" spans="1:23" ht="13.5" thickBot="1">
      <c r="A67" s="61"/>
      <c r="B67" s="161">
        <v>55</v>
      </c>
      <c r="C67" s="1076"/>
      <c r="D67" s="1076">
        <v>1.6</v>
      </c>
      <c r="E67" s="1077">
        <v>10467.6</v>
      </c>
      <c r="F67" s="1077">
        <f t="shared" si="18"/>
        <v>10467.6</v>
      </c>
      <c r="G67" s="1077"/>
      <c r="H67" s="1077"/>
      <c r="I67" s="1077"/>
      <c r="J67" s="1077">
        <f t="shared" si="26"/>
        <v>2093.52</v>
      </c>
      <c r="K67" s="1076" t="s">
        <v>1360</v>
      </c>
      <c r="L67" s="1078">
        <f t="shared" si="27"/>
        <v>0</v>
      </c>
      <c r="M67" s="182"/>
      <c r="N67" s="130"/>
      <c r="O67" s="130"/>
      <c r="P67" s="122"/>
      <c r="Q67" s="122"/>
      <c r="R67" s="122"/>
      <c r="S67" s="122"/>
      <c r="T67" s="122"/>
      <c r="U67" s="122"/>
      <c r="V67" s="59"/>
      <c r="W67" s="59"/>
    </row>
    <row r="68" spans="1:23" ht="13.5" thickBot="1">
      <c r="A68" s="61"/>
      <c r="B68" s="161">
        <v>56</v>
      </c>
      <c r="C68" s="1445" t="s">
        <v>213</v>
      </c>
      <c r="D68" s="1446"/>
      <c r="E68" s="1080">
        <f>SUM(E59:E67)</f>
        <v>6776713.2530000005</v>
      </c>
      <c r="F68" s="1080">
        <f aca="true" t="shared" si="30" ref="F68:L68">SUM(F59:F67)</f>
        <v>6776713.2530000005</v>
      </c>
      <c r="G68" s="1080">
        <f t="shared" si="30"/>
        <v>0</v>
      </c>
      <c r="H68" s="1080">
        <f t="shared" si="30"/>
        <v>0</v>
      </c>
      <c r="I68" s="1080">
        <f t="shared" si="30"/>
        <v>0</v>
      </c>
      <c r="J68" s="1080">
        <f t="shared" si="30"/>
        <v>1355342.6506</v>
      </c>
      <c r="K68" s="1080">
        <f t="shared" si="30"/>
        <v>0</v>
      </c>
      <c r="L68" s="1080">
        <f t="shared" si="30"/>
        <v>0</v>
      </c>
      <c r="M68" s="130"/>
      <c r="N68" s="130"/>
      <c r="O68" s="130"/>
      <c r="P68" s="122"/>
      <c r="Q68" s="122"/>
      <c r="R68" s="122"/>
      <c r="S68" s="122"/>
      <c r="T68" s="122"/>
      <c r="U68" s="122"/>
      <c r="V68" s="59"/>
      <c r="W68" s="59"/>
    </row>
    <row r="69" spans="1:23" ht="12.75">
      <c r="A69" s="61"/>
      <c r="B69" s="161">
        <v>57</v>
      </c>
      <c r="C69" s="126"/>
      <c r="D69" s="126"/>
      <c r="E69" s="127"/>
      <c r="F69" s="127">
        <f t="shared" si="18"/>
        <v>0</v>
      </c>
      <c r="G69" s="127"/>
      <c r="H69" s="127"/>
      <c r="I69" s="127"/>
      <c r="J69" s="127">
        <f t="shared" si="26"/>
        <v>0</v>
      </c>
      <c r="K69" s="126"/>
      <c r="L69" s="1079">
        <f t="shared" si="27"/>
        <v>0</v>
      </c>
      <c r="M69" s="130"/>
      <c r="N69" s="130"/>
      <c r="O69" s="130"/>
      <c r="P69" s="122"/>
      <c r="Q69" s="122"/>
      <c r="R69" s="122"/>
      <c r="S69" s="122"/>
      <c r="T69" s="122"/>
      <c r="U69" s="122"/>
      <c r="V69" s="59"/>
      <c r="W69" s="59"/>
    </row>
    <row r="70" spans="1:23" ht="12.75">
      <c r="A70" s="61"/>
      <c r="B70" s="161">
        <v>58</v>
      </c>
      <c r="C70" s="1231">
        <v>37</v>
      </c>
      <c r="D70" s="1231">
        <v>30.7</v>
      </c>
      <c r="E70" s="1232">
        <v>824051</v>
      </c>
      <c r="F70" s="1232">
        <f t="shared" si="18"/>
        <v>824051</v>
      </c>
      <c r="G70" s="1232"/>
      <c r="H70" s="1232"/>
      <c r="I70" s="1232"/>
      <c r="J70" s="1232">
        <f t="shared" si="26"/>
        <v>164810.2</v>
      </c>
      <c r="K70" s="1231" t="s">
        <v>1367</v>
      </c>
      <c r="L70" s="1273">
        <f t="shared" si="27"/>
        <v>0</v>
      </c>
      <c r="M70" s="130"/>
      <c r="N70" s="130"/>
      <c r="O70" s="130"/>
      <c r="P70" s="122"/>
      <c r="Q70" s="122"/>
      <c r="R70" s="122"/>
      <c r="S70" s="122"/>
      <c r="T70" s="122"/>
      <c r="U70" s="122"/>
      <c r="V70" s="59"/>
      <c r="W70" s="59"/>
    </row>
    <row r="71" spans="1:23" ht="12.75">
      <c r="A71" s="61"/>
      <c r="B71" s="161">
        <v>59</v>
      </c>
      <c r="C71" s="1231">
        <v>45</v>
      </c>
      <c r="D71" s="1231">
        <v>24.7</v>
      </c>
      <c r="E71" s="1232">
        <v>843330</v>
      </c>
      <c r="F71" s="1232">
        <f t="shared" si="18"/>
        <v>843330</v>
      </c>
      <c r="G71" s="1232"/>
      <c r="H71" s="1232"/>
      <c r="I71" s="1232"/>
      <c r="J71" s="1232">
        <f t="shared" si="26"/>
        <v>168666</v>
      </c>
      <c r="K71" s="1231" t="s">
        <v>1369</v>
      </c>
      <c r="L71" s="1273">
        <f t="shared" si="27"/>
        <v>0</v>
      </c>
      <c r="M71" s="130"/>
      <c r="N71" s="130"/>
      <c r="O71" s="130"/>
      <c r="P71" s="122"/>
      <c r="Q71" s="122"/>
      <c r="R71" s="122"/>
      <c r="S71" s="122"/>
      <c r="T71" s="122"/>
      <c r="U71" s="122"/>
      <c r="V71" s="59"/>
      <c r="W71" s="59"/>
    </row>
    <row r="72" spans="1:23" ht="12.75">
      <c r="A72" s="61"/>
      <c r="B72" s="161">
        <v>60</v>
      </c>
      <c r="C72" s="1231">
        <v>312</v>
      </c>
      <c r="D72" s="1231">
        <v>19.7</v>
      </c>
      <c r="E72" s="1232">
        <v>500000</v>
      </c>
      <c r="F72" s="1232">
        <f t="shared" si="18"/>
        <v>500000</v>
      </c>
      <c r="G72" s="1232"/>
      <c r="H72" s="1232"/>
      <c r="I72" s="1232"/>
      <c r="J72" s="1232">
        <f t="shared" si="26"/>
        <v>100000</v>
      </c>
      <c r="K72" s="1231" t="s">
        <v>1363</v>
      </c>
      <c r="L72" s="1273">
        <f t="shared" si="27"/>
        <v>0</v>
      </c>
      <c r="M72" s="130"/>
      <c r="N72" s="130"/>
      <c r="O72" s="130"/>
      <c r="P72" s="122"/>
      <c r="Q72" s="122"/>
      <c r="R72" s="122"/>
      <c r="S72" s="122"/>
      <c r="T72" s="122"/>
      <c r="U72" s="122"/>
      <c r="V72" s="59"/>
      <c r="W72" s="59"/>
    </row>
    <row r="73" spans="1:23" ht="12.75">
      <c r="A73" s="61"/>
      <c r="B73" s="161">
        <v>61</v>
      </c>
      <c r="C73" s="128">
        <v>816</v>
      </c>
      <c r="D73" s="128">
        <v>18.7</v>
      </c>
      <c r="E73" s="121">
        <v>1060731.67</v>
      </c>
      <c r="F73" s="121">
        <f t="shared" si="18"/>
        <v>1060731.67</v>
      </c>
      <c r="G73" s="121"/>
      <c r="H73" s="121"/>
      <c r="I73" s="121"/>
      <c r="J73" s="121">
        <f t="shared" si="26"/>
        <v>212146.334</v>
      </c>
      <c r="K73" s="128" t="s">
        <v>1362</v>
      </c>
      <c r="L73" s="162">
        <f t="shared" si="27"/>
        <v>0</v>
      </c>
      <c r="M73" s="130"/>
      <c r="N73" s="130"/>
      <c r="O73" s="130"/>
      <c r="P73" s="122"/>
      <c r="Q73" s="122"/>
      <c r="R73" s="122"/>
      <c r="S73" s="122"/>
      <c r="T73" s="122"/>
      <c r="U73" s="122"/>
      <c r="V73" s="59"/>
      <c r="W73" s="59"/>
    </row>
    <row r="74" spans="1:23" ht="12.75">
      <c r="A74" s="61"/>
      <c r="B74" s="161">
        <v>62</v>
      </c>
      <c r="C74" s="128">
        <v>10</v>
      </c>
      <c r="D74" s="128">
        <v>17.7</v>
      </c>
      <c r="E74" s="121">
        <v>949037</v>
      </c>
      <c r="F74" s="121">
        <f t="shared" si="18"/>
        <v>949037</v>
      </c>
      <c r="G74" s="121"/>
      <c r="H74" s="121"/>
      <c r="I74" s="121"/>
      <c r="J74" s="121">
        <f t="shared" si="26"/>
        <v>189807.40000000002</v>
      </c>
      <c r="K74" s="128" t="s">
        <v>1365</v>
      </c>
      <c r="L74" s="162">
        <f t="shared" si="27"/>
        <v>0</v>
      </c>
      <c r="M74" s="130"/>
      <c r="N74" s="130"/>
      <c r="O74" s="130"/>
      <c r="P74" s="122"/>
      <c r="Q74" s="122"/>
      <c r="R74" s="122"/>
      <c r="S74" s="122"/>
      <c r="T74" s="122"/>
      <c r="U74" s="122"/>
      <c r="V74" s="59"/>
      <c r="W74" s="59"/>
    </row>
    <row r="75" spans="1:23" ht="12.75">
      <c r="A75" s="61"/>
      <c r="B75" s="161">
        <v>63</v>
      </c>
      <c r="C75" s="128">
        <v>794</v>
      </c>
      <c r="D75" s="128">
        <v>13.7</v>
      </c>
      <c r="E75" s="121">
        <v>752791.67</v>
      </c>
      <c r="F75" s="121">
        <f t="shared" si="18"/>
        <v>752791.67</v>
      </c>
      <c r="G75" s="121"/>
      <c r="H75" s="121"/>
      <c r="I75" s="121"/>
      <c r="J75" s="121">
        <f t="shared" si="26"/>
        <v>150558.334</v>
      </c>
      <c r="K75" s="128" t="s">
        <v>1362</v>
      </c>
      <c r="L75" s="162">
        <f t="shared" si="27"/>
        <v>0</v>
      </c>
      <c r="M75" s="130"/>
      <c r="N75" s="130"/>
      <c r="O75" s="130"/>
      <c r="P75" s="122"/>
      <c r="Q75" s="122"/>
      <c r="R75" s="122"/>
      <c r="S75" s="122"/>
      <c r="T75" s="122"/>
      <c r="U75" s="122"/>
      <c r="V75" s="59"/>
      <c r="W75" s="59"/>
    </row>
    <row r="76" spans="1:23" ht="12.75">
      <c r="A76" s="61"/>
      <c r="B76" s="161">
        <v>64</v>
      </c>
      <c r="C76" s="128">
        <v>20</v>
      </c>
      <c r="D76" s="128">
        <v>10.7</v>
      </c>
      <c r="E76" s="121">
        <v>1773930</v>
      </c>
      <c r="F76" s="121">
        <f t="shared" si="18"/>
        <v>1773930</v>
      </c>
      <c r="G76" s="121"/>
      <c r="H76" s="121"/>
      <c r="I76" s="121"/>
      <c r="J76" s="121">
        <f t="shared" si="26"/>
        <v>354786</v>
      </c>
      <c r="K76" s="128" t="s">
        <v>1365</v>
      </c>
      <c r="L76" s="162">
        <f t="shared" si="27"/>
        <v>0</v>
      </c>
      <c r="M76" s="130"/>
      <c r="N76" s="130"/>
      <c r="O76" s="130"/>
      <c r="P76" s="122"/>
      <c r="Q76" s="122"/>
      <c r="R76" s="122"/>
      <c r="S76" s="122"/>
      <c r="T76" s="122"/>
      <c r="U76" s="122"/>
      <c r="V76" s="59"/>
      <c r="W76" s="59"/>
    </row>
    <row r="77" spans="1:23" ht="12.75">
      <c r="A77" s="61"/>
      <c r="B77" s="161">
        <v>65</v>
      </c>
      <c r="C77" s="128">
        <v>3</v>
      </c>
      <c r="D77" s="128">
        <v>4.7</v>
      </c>
      <c r="E77" s="121">
        <v>1897583</v>
      </c>
      <c r="F77" s="121">
        <f t="shared" si="18"/>
        <v>1897583</v>
      </c>
      <c r="G77" s="121"/>
      <c r="H77" s="121"/>
      <c r="I77" s="121"/>
      <c r="J77" s="121">
        <f t="shared" si="26"/>
        <v>379516.60000000003</v>
      </c>
      <c r="K77" s="128" t="s">
        <v>1365</v>
      </c>
      <c r="L77" s="162">
        <f t="shared" si="27"/>
        <v>0</v>
      </c>
      <c r="M77" s="130"/>
      <c r="N77" s="130"/>
      <c r="O77" s="130"/>
      <c r="P77" s="122"/>
      <c r="Q77" s="122"/>
      <c r="R77" s="122"/>
      <c r="S77" s="122"/>
      <c r="T77" s="122"/>
      <c r="U77" s="122"/>
      <c r="V77" s="59"/>
      <c r="W77" s="59"/>
    </row>
    <row r="78" spans="1:23" ht="12.75">
      <c r="A78" s="61"/>
      <c r="B78" s="161">
        <v>66</v>
      </c>
      <c r="C78" s="128">
        <v>730</v>
      </c>
      <c r="D78" s="128">
        <v>4.7</v>
      </c>
      <c r="E78" s="121">
        <v>1778715</v>
      </c>
      <c r="F78" s="121">
        <f aca="true" t="shared" si="31" ref="F78:F151">E78</f>
        <v>1778715</v>
      </c>
      <c r="G78" s="121"/>
      <c r="H78" s="121"/>
      <c r="I78" s="121"/>
      <c r="J78" s="121">
        <f t="shared" si="26"/>
        <v>355743</v>
      </c>
      <c r="K78" s="128" t="s">
        <v>1362</v>
      </c>
      <c r="L78" s="162">
        <f t="shared" si="27"/>
        <v>0</v>
      </c>
      <c r="M78" s="130"/>
      <c r="N78" s="130"/>
      <c r="O78" s="130"/>
      <c r="P78" s="122"/>
      <c r="Q78" s="122"/>
      <c r="R78" s="122"/>
      <c r="S78" s="122"/>
      <c r="T78" s="122"/>
      <c r="U78" s="122"/>
      <c r="V78" s="59"/>
      <c r="W78" s="59"/>
    </row>
    <row r="79" spans="1:23" ht="12.75">
      <c r="A79" s="61"/>
      <c r="B79" s="161">
        <v>67</v>
      </c>
      <c r="C79" s="128"/>
      <c r="D79" s="128">
        <v>18.6</v>
      </c>
      <c r="E79" s="121">
        <v>11882.8</v>
      </c>
      <c r="F79" s="121">
        <f t="shared" si="31"/>
        <v>11882.8</v>
      </c>
      <c r="G79" s="121"/>
      <c r="H79" s="121"/>
      <c r="I79" s="121"/>
      <c r="J79" s="121">
        <f t="shared" si="26"/>
        <v>2376.56</v>
      </c>
      <c r="K79" s="128" t="s">
        <v>1360</v>
      </c>
      <c r="L79" s="162">
        <f t="shared" si="27"/>
        <v>0</v>
      </c>
      <c r="M79" s="130"/>
      <c r="N79" s="130"/>
      <c r="O79" s="130"/>
      <c r="P79" s="122"/>
      <c r="Q79" s="122"/>
      <c r="R79" s="122"/>
      <c r="S79" s="122"/>
      <c r="T79" s="122"/>
      <c r="U79" s="122"/>
      <c r="V79" s="59"/>
      <c r="W79" s="59"/>
    </row>
    <row r="80" spans="1:23" ht="13.5" thickBot="1">
      <c r="A80" s="61"/>
      <c r="B80" s="161">
        <v>68</v>
      </c>
      <c r="C80" s="1076"/>
      <c r="D80" s="1076">
        <v>18.6</v>
      </c>
      <c r="E80" s="1077">
        <v>14454.44</v>
      </c>
      <c r="F80" s="1077">
        <f t="shared" si="31"/>
        <v>14454.44</v>
      </c>
      <c r="G80" s="1077"/>
      <c r="H80" s="1077"/>
      <c r="I80" s="1077"/>
      <c r="J80" s="1077">
        <f t="shared" si="26"/>
        <v>2890.8880000000004</v>
      </c>
      <c r="K80" s="1076" t="s">
        <v>1361</v>
      </c>
      <c r="L80" s="1078">
        <f t="shared" si="27"/>
        <v>0</v>
      </c>
      <c r="M80" s="130"/>
      <c r="N80" s="130"/>
      <c r="O80" s="130"/>
      <c r="P80" s="122"/>
      <c r="Q80" s="122"/>
      <c r="R80" s="122"/>
      <c r="S80" s="122"/>
      <c r="T80" s="122"/>
      <c r="U80" s="122"/>
      <c r="V80" s="59"/>
      <c r="W80" s="59"/>
    </row>
    <row r="81" spans="1:23" ht="13.5" thickBot="1">
      <c r="A81" s="61"/>
      <c r="B81" s="161">
        <v>69</v>
      </c>
      <c r="C81" s="1445" t="s">
        <v>214</v>
      </c>
      <c r="D81" s="1446"/>
      <c r="E81" s="1080">
        <f>SUM(E70:E80)</f>
        <v>10406506.58</v>
      </c>
      <c r="F81" s="1080">
        <f aca="true" t="shared" si="32" ref="F81:L81">SUM(F70:F80)</f>
        <v>10406506.58</v>
      </c>
      <c r="G81" s="1080">
        <f t="shared" si="32"/>
        <v>0</v>
      </c>
      <c r="H81" s="1080">
        <f t="shared" si="32"/>
        <v>0</v>
      </c>
      <c r="I81" s="1080">
        <f t="shared" si="32"/>
        <v>0</v>
      </c>
      <c r="J81" s="1080">
        <f t="shared" si="32"/>
        <v>2081301.3160000003</v>
      </c>
      <c r="K81" s="1080">
        <f t="shared" si="32"/>
        <v>0</v>
      </c>
      <c r="L81" s="1080">
        <f t="shared" si="32"/>
        <v>0</v>
      </c>
      <c r="M81" s="130"/>
      <c r="N81" s="130"/>
      <c r="O81" s="130"/>
      <c r="P81" s="122"/>
      <c r="Q81" s="122"/>
      <c r="R81" s="122"/>
      <c r="S81" s="122"/>
      <c r="T81" s="122"/>
      <c r="U81" s="122"/>
      <c r="V81" s="59"/>
      <c r="W81" s="59"/>
    </row>
    <row r="82" spans="1:23" ht="12.75">
      <c r="A82" s="61"/>
      <c r="B82" s="161">
        <v>70</v>
      </c>
      <c r="C82" s="126"/>
      <c r="D82" s="126"/>
      <c r="E82" s="127"/>
      <c r="F82" s="127">
        <f t="shared" si="31"/>
        <v>0</v>
      </c>
      <c r="G82" s="127"/>
      <c r="H82" s="127"/>
      <c r="I82" s="127"/>
      <c r="J82" s="127">
        <f t="shared" si="26"/>
        <v>0</v>
      </c>
      <c r="K82" s="126"/>
      <c r="L82" s="1079">
        <f t="shared" si="27"/>
        <v>0</v>
      </c>
      <c r="M82" s="182"/>
      <c r="N82" s="130"/>
      <c r="O82" s="130"/>
      <c r="P82" s="130"/>
      <c r="Q82" s="130"/>
      <c r="R82" s="130"/>
      <c r="S82" s="130"/>
      <c r="T82" s="130"/>
      <c r="U82" s="130"/>
      <c r="V82" s="59"/>
      <c r="W82" s="59"/>
    </row>
    <row r="83" spans="1:23" ht="12.75">
      <c r="A83" s="61"/>
      <c r="B83" s="161">
        <v>71</v>
      </c>
      <c r="C83" s="128"/>
      <c r="D83" s="128">
        <v>15.8</v>
      </c>
      <c r="E83" s="121">
        <v>14093.4</v>
      </c>
      <c r="F83" s="121">
        <f t="shared" si="31"/>
        <v>14093.4</v>
      </c>
      <c r="G83" s="121"/>
      <c r="H83" s="121"/>
      <c r="I83" s="121"/>
      <c r="J83" s="121">
        <v>2798.68</v>
      </c>
      <c r="K83" s="128" t="s">
        <v>1360</v>
      </c>
      <c r="L83" s="162">
        <f t="shared" si="27"/>
        <v>0</v>
      </c>
      <c r="M83" s="130"/>
      <c r="N83" s="130"/>
      <c r="O83" s="130"/>
      <c r="P83" s="130"/>
      <c r="Q83" s="130"/>
      <c r="R83" s="130"/>
      <c r="S83" s="130"/>
      <c r="T83" s="130"/>
      <c r="U83" s="130"/>
      <c r="V83" s="59"/>
      <c r="W83" s="59"/>
    </row>
    <row r="84" spans="1:23" ht="12.75">
      <c r="A84" s="61"/>
      <c r="B84" s="161">
        <v>72</v>
      </c>
      <c r="C84" s="128"/>
      <c r="D84" s="128">
        <v>14.7</v>
      </c>
      <c r="E84" s="121">
        <v>10909.2</v>
      </c>
      <c r="F84" s="121">
        <f t="shared" si="31"/>
        <v>10909.2</v>
      </c>
      <c r="G84" s="121"/>
      <c r="H84" s="121"/>
      <c r="I84" s="121"/>
      <c r="J84" s="121">
        <v>2161.81</v>
      </c>
      <c r="K84" s="128" t="s">
        <v>1360</v>
      </c>
      <c r="L84" s="162">
        <f t="shared" si="27"/>
        <v>0</v>
      </c>
      <c r="M84" s="130"/>
      <c r="N84" s="130"/>
      <c r="O84" s="130"/>
      <c r="P84" s="130"/>
      <c r="Q84" s="130"/>
      <c r="R84" s="130"/>
      <c r="S84" s="130"/>
      <c r="T84" s="130"/>
      <c r="U84" s="130"/>
      <c r="V84" s="59"/>
      <c r="W84" s="59"/>
    </row>
    <row r="85" spans="1:23" ht="12.75">
      <c r="A85" s="61"/>
      <c r="B85" s="161">
        <v>73</v>
      </c>
      <c r="C85" s="128"/>
      <c r="D85" s="128">
        <v>2.8</v>
      </c>
      <c r="E85" s="121">
        <v>13301.73</v>
      </c>
      <c r="F85" s="121">
        <f t="shared" si="31"/>
        <v>13301.73</v>
      </c>
      <c r="G85" s="121"/>
      <c r="H85" s="121"/>
      <c r="I85" s="121"/>
      <c r="J85" s="121">
        <f t="shared" si="26"/>
        <v>2660.346</v>
      </c>
      <c r="K85" s="128" t="s">
        <v>1361</v>
      </c>
      <c r="L85" s="162">
        <f t="shared" si="27"/>
        <v>0</v>
      </c>
      <c r="M85" s="130"/>
      <c r="N85" s="130"/>
      <c r="O85" s="130"/>
      <c r="P85" s="130"/>
      <c r="Q85" s="130"/>
      <c r="R85" s="130"/>
      <c r="S85" s="130"/>
      <c r="T85" s="130"/>
      <c r="U85" s="130"/>
      <c r="V85" s="59"/>
      <c r="W85" s="59"/>
    </row>
    <row r="86" spans="1:23" ht="12.75">
      <c r="A86" s="61"/>
      <c r="B86" s="161">
        <v>74</v>
      </c>
      <c r="C86" s="128">
        <v>898</v>
      </c>
      <c r="D86" s="128">
        <v>3.8</v>
      </c>
      <c r="E86" s="121">
        <v>1905205</v>
      </c>
      <c r="F86" s="121">
        <f t="shared" si="31"/>
        <v>1905205</v>
      </c>
      <c r="G86" s="121"/>
      <c r="H86" s="121"/>
      <c r="I86" s="121"/>
      <c r="J86" s="121">
        <f t="shared" si="26"/>
        <v>381041</v>
      </c>
      <c r="K86" s="128" t="s">
        <v>1365</v>
      </c>
      <c r="L86" s="162">
        <f t="shared" si="27"/>
        <v>0</v>
      </c>
      <c r="M86" s="130"/>
      <c r="N86" s="130"/>
      <c r="O86" s="130"/>
      <c r="P86" s="130"/>
      <c r="Q86" s="130"/>
      <c r="R86" s="130"/>
      <c r="S86" s="130"/>
      <c r="T86" s="130"/>
      <c r="U86" s="130"/>
      <c r="V86" s="59"/>
      <c r="W86" s="59"/>
    </row>
    <row r="87" spans="1:23" ht="12.75">
      <c r="A87" s="61"/>
      <c r="B87" s="161">
        <v>75</v>
      </c>
      <c r="C87" s="128">
        <v>907</v>
      </c>
      <c r="D87" s="128">
        <v>6.8</v>
      </c>
      <c r="E87" s="121">
        <v>787245</v>
      </c>
      <c r="F87" s="121">
        <f t="shared" si="31"/>
        <v>787245</v>
      </c>
      <c r="G87" s="121"/>
      <c r="H87" s="121"/>
      <c r="I87" s="121"/>
      <c r="J87" s="121">
        <f t="shared" si="26"/>
        <v>157449</v>
      </c>
      <c r="K87" s="128" t="s">
        <v>1362</v>
      </c>
      <c r="L87" s="162">
        <f t="shared" si="27"/>
        <v>0</v>
      </c>
      <c r="M87" s="130"/>
      <c r="N87" s="130"/>
      <c r="O87" s="130"/>
      <c r="P87" s="130"/>
      <c r="Q87" s="130"/>
      <c r="R87" s="130"/>
      <c r="S87" s="130"/>
      <c r="T87" s="130"/>
      <c r="U87" s="130"/>
      <c r="V87" s="59"/>
      <c r="W87" s="59"/>
    </row>
    <row r="88" spans="1:23" ht="12.75">
      <c r="A88" s="61"/>
      <c r="B88" s="161">
        <v>76</v>
      </c>
      <c r="C88" s="128">
        <v>922</v>
      </c>
      <c r="D88" s="128">
        <v>7.8</v>
      </c>
      <c r="E88" s="121">
        <v>788485</v>
      </c>
      <c r="F88" s="121">
        <f t="shared" si="31"/>
        <v>788485</v>
      </c>
      <c r="G88" s="121"/>
      <c r="H88" s="121"/>
      <c r="I88" s="121"/>
      <c r="J88" s="121">
        <f t="shared" si="26"/>
        <v>157697</v>
      </c>
      <c r="K88" s="128" t="s">
        <v>1362</v>
      </c>
      <c r="L88" s="162">
        <f t="shared" si="27"/>
        <v>0</v>
      </c>
      <c r="M88" s="130"/>
      <c r="N88" s="130"/>
      <c r="O88" s="130"/>
      <c r="P88" s="130"/>
      <c r="Q88" s="130"/>
      <c r="R88" s="130"/>
      <c r="S88" s="130"/>
      <c r="T88" s="130"/>
      <c r="U88" s="130"/>
      <c r="V88" s="59"/>
      <c r="W88" s="59"/>
    </row>
    <row r="89" spans="1:23" ht="12.75">
      <c r="A89" s="61"/>
      <c r="B89" s="161">
        <v>77</v>
      </c>
      <c r="C89" s="128">
        <v>41</v>
      </c>
      <c r="D89" s="128">
        <v>7.8</v>
      </c>
      <c r="E89" s="121">
        <v>917137.5</v>
      </c>
      <c r="F89" s="121">
        <f t="shared" si="31"/>
        <v>917137.5</v>
      </c>
      <c r="G89" s="121"/>
      <c r="H89" s="121"/>
      <c r="I89" s="121"/>
      <c r="J89" s="121">
        <f t="shared" si="26"/>
        <v>183427.5</v>
      </c>
      <c r="K89" s="128" t="s">
        <v>1365</v>
      </c>
      <c r="L89" s="162">
        <f t="shared" si="27"/>
        <v>0</v>
      </c>
      <c r="M89" s="130"/>
      <c r="N89" s="130"/>
      <c r="O89" s="130"/>
      <c r="P89" s="130"/>
      <c r="Q89" s="130"/>
      <c r="R89" s="130"/>
      <c r="S89" s="130"/>
      <c r="T89" s="130"/>
      <c r="U89" s="130"/>
      <c r="V89" s="59"/>
      <c r="W89" s="59"/>
    </row>
    <row r="90" spans="1:23" ht="12.75">
      <c r="A90" s="61"/>
      <c r="B90" s="161">
        <v>78</v>
      </c>
      <c r="C90" s="128">
        <v>980</v>
      </c>
      <c r="D90" s="128">
        <v>20.8</v>
      </c>
      <c r="E90" s="121">
        <v>792141.67</v>
      </c>
      <c r="F90" s="121">
        <f t="shared" si="31"/>
        <v>792141.67</v>
      </c>
      <c r="G90" s="121"/>
      <c r="H90" s="121"/>
      <c r="I90" s="121"/>
      <c r="J90" s="121">
        <f t="shared" si="26"/>
        <v>158428.33400000003</v>
      </c>
      <c r="K90" s="128" t="s">
        <v>1362</v>
      </c>
      <c r="L90" s="162">
        <f t="shared" si="27"/>
        <v>0</v>
      </c>
      <c r="M90" s="130"/>
      <c r="N90" s="130"/>
      <c r="O90" s="130"/>
      <c r="P90" s="130"/>
      <c r="Q90" s="130"/>
      <c r="R90" s="130"/>
      <c r="S90" s="130"/>
      <c r="T90" s="130"/>
      <c r="U90" s="130"/>
      <c r="V90" s="59"/>
      <c r="W90" s="59"/>
    </row>
    <row r="91" spans="1:23" ht="12.75">
      <c r="A91" s="61"/>
      <c r="B91" s="161">
        <v>79</v>
      </c>
      <c r="C91" s="128" t="s">
        <v>1370</v>
      </c>
      <c r="D91" s="128">
        <v>23.8</v>
      </c>
      <c r="E91" s="121">
        <v>3184242</v>
      </c>
      <c r="F91" s="121">
        <f t="shared" si="31"/>
        <v>3184242</v>
      </c>
      <c r="G91" s="121"/>
      <c r="H91" s="121"/>
      <c r="I91" s="121"/>
      <c r="J91" s="121">
        <f t="shared" si="26"/>
        <v>636848.4</v>
      </c>
      <c r="K91" s="128" t="s">
        <v>1365</v>
      </c>
      <c r="L91" s="162">
        <f t="shared" si="27"/>
        <v>0</v>
      </c>
      <c r="M91" s="130"/>
      <c r="N91" s="130"/>
      <c r="O91" s="130"/>
      <c r="P91" s="130"/>
      <c r="Q91" s="130"/>
      <c r="R91" s="130"/>
      <c r="S91" s="130"/>
      <c r="T91" s="130"/>
      <c r="U91" s="130"/>
      <c r="V91" s="59"/>
      <c r="W91" s="59"/>
    </row>
    <row r="92" spans="1:23" ht="12.75">
      <c r="A92" s="61"/>
      <c r="B92" s="161">
        <v>80</v>
      </c>
      <c r="C92" s="128">
        <v>737</v>
      </c>
      <c r="D92" s="128">
        <v>25.8</v>
      </c>
      <c r="E92" s="121">
        <v>10000</v>
      </c>
      <c r="F92" s="121">
        <f t="shared" si="31"/>
        <v>10000</v>
      </c>
      <c r="G92" s="121"/>
      <c r="H92" s="121"/>
      <c r="I92" s="121"/>
      <c r="J92" s="121">
        <f t="shared" si="26"/>
        <v>2000</v>
      </c>
      <c r="K92" s="128" t="s">
        <v>1371</v>
      </c>
      <c r="L92" s="162">
        <f t="shared" si="27"/>
        <v>0</v>
      </c>
      <c r="M92" s="181"/>
      <c r="N92" s="130"/>
      <c r="O92" s="130"/>
      <c r="P92" s="130"/>
      <c r="Q92" s="130"/>
      <c r="R92" s="130"/>
      <c r="S92" s="130"/>
      <c r="T92" s="130"/>
      <c r="U92" s="130"/>
      <c r="V92" s="59"/>
      <c r="W92" s="59"/>
    </row>
    <row r="93" spans="1:23" ht="12.75">
      <c r="A93" s="61"/>
      <c r="B93" s="161">
        <v>81</v>
      </c>
      <c r="C93" s="128">
        <v>1031</v>
      </c>
      <c r="D93" s="128">
        <v>30.8</v>
      </c>
      <c r="E93" s="121">
        <v>1961600</v>
      </c>
      <c r="F93" s="121">
        <f t="shared" si="31"/>
        <v>1961600</v>
      </c>
      <c r="G93" s="121"/>
      <c r="H93" s="121"/>
      <c r="I93" s="121"/>
      <c r="J93" s="121">
        <f t="shared" si="26"/>
        <v>392320</v>
      </c>
      <c r="K93" s="128" t="s">
        <v>1362</v>
      </c>
      <c r="L93" s="162">
        <f t="shared" si="27"/>
        <v>0</v>
      </c>
      <c r="M93" s="130"/>
      <c r="N93" s="130"/>
      <c r="O93" s="130"/>
      <c r="P93" s="130"/>
      <c r="Q93" s="130"/>
      <c r="R93" s="130"/>
      <c r="S93" s="130"/>
      <c r="T93" s="130"/>
      <c r="U93" s="130"/>
      <c r="V93" s="59"/>
      <c r="W93" s="59"/>
    </row>
    <row r="94" spans="1:23" ht="13.5" thickBot="1">
      <c r="A94" s="61"/>
      <c r="B94" s="161">
        <v>82</v>
      </c>
      <c r="C94" s="1076">
        <v>39</v>
      </c>
      <c r="D94" s="1076">
        <v>30.8</v>
      </c>
      <c r="E94" s="1077">
        <v>903235</v>
      </c>
      <c r="F94" s="1077">
        <f t="shared" si="31"/>
        <v>903235</v>
      </c>
      <c r="G94" s="1077"/>
      <c r="H94" s="1077"/>
      <c r="I94" s="1077"/>
      <c r="J94" s="1077">
        <f t="shared" si="26"/>
        <v>180647</v>
      </c>
      <c r="K94" s="1076" t="s">
        <v>1366</v>
      </c>
      <c r="L94" s="1078">
        <f t="shared" si="27"/>
        <v>0</v>
      </c>
      <c r="M94" s="130"/>
      <c r="N94" s="130"/>
      <c r="O94" s="130"/>
      <c r="P94" s="130"/>
      <c r="Q94" s="130"/>
      <c r="R94" s="130"/>
      <c r="S94" s="130"/>
      <c r="T94" s="130"/>
      <c r="U94" s="130"/>
      <c r="V94" s="59"/>
      <c r="W94" s="59"/>
    </row>
    <row r="95" spans="1:23" ht="13.5" thickBot="1">
      <c r="A95" s="61"/>
      <c r="B95" s="161">
        <v>83</v>
      </c>
      <c r="C95" s="1445" t="s">
        <v>1372</v>
      </c>
      <c r="D95" s="1446"/>
      <c r="E95" s="1080">
        <f>SUM(E83:E94)</f>
        <v>11287595.5</v>
      </c>
      <c r="F95" s="1080">
        <f aca="true" t="shared" si="33" ref="F95:L95">SUM(F83:F94)</f>
        <v>11287595.5</v>
      </c>
      <c r="G95" s="1080">
        <f t="shared" si="33"/>
        <v>0</v>
      </c>
      <c r="H95" s="1080">
        <f t="shared" si="33"/>
        <v>0</v>
      </c>
      <c r="I95" s="1080">
        <f t="shared" si="33"/>
        <v>0</v>
      </c>
      <c r="J95" s="1080">
        <f t="shared" si="33"/>
        <v>2257479.0700000003</v>
      </c>
      <c r="K95" s="1080">
        <f t="shared" si="33"/>
        <v>0</v>
      </c>
      <c r="L95" s="1080">
        <f t="shared" si="33"/>
        <v>0</v>
      </c>
      <c r="M95" s="183"/>
      <c r="N95" s="130"/>
      <c r="O95" s="130"/>
      <c r="P95" s="130"/>
      <c r="Q95" s="130"/>
      <c r="R95" s="130"/>
      <c r="S95" s="130"/>
      <c r="T95" s="130"/>
      <c r="U95" s="130"/>
      <c r="V95" s="59"/>
      <c r="W95" s="59"/>
    </row>
    <row r="96" spans="1:23" ht="12.75">
      <c r="A96" s="61"/>
      <c r="B96" s="161">
        <v>84</v>
      </c>
      <c r="C96" s="126">
        <v>1062</v>
      </c>
      <c r="D96" s="126">
        <v>4.09</v>
      </c>
      <c r="E96" s="127">
        <v>1959341.62</v>
      </c>
      <c r="F96" s="127">
        <f>E96</f>
        <v>1959341.62</v>
      </c>
      <c r="G96" s="127"/>
      <c r="H96" s="127"/>
      <c r="I96" s="127"/>
      <c r="J96" s="127">
        <f t="shared" si="26"/>
        <v>391868.324</v>
      </c>
      <c r="K96" s="126" t="s">
        <v>1612</v>
      </c>
      <c r="L96" s="1079">
        <f t="shared" si="27"/>
        <v>0</v>
      </c>
      <c r="M96" s="183"/>
      <c r="N96" s="130"/>
      <c r="O96" s="130"/>
      <c r="P96" s="130"/>
      <c r="Q96" s="130"/>
      <c r="R96" s="130"/>
      <c r="S96" s="130"/>
      <c r="T96" s="130"/>
      <c r="U96" s="130"/>
      <c r="V96" s="59"/>
      <c r="W96" s="59"/>
    </row>
    <row r="97" spans="1:23" ht="12.75">
      <c r="A97" s="61"/>
      <c r="B97" s="161">
        <v>85</v>
      </c>
      <c r="C97" s="128">
        <v>1049</v>
      </c>
      <c r="D97" s="128">
        <v>3.09</v>
      </c>
      <c r="E97" s="121">
        <v>800000</v>
      </c>
      <c r="F97" s="121">
        <f t="shared" si="31"/>
        <v>800000</v>
      </c>
      <c r="G97" s="121"/>
      <c r="H97" s="121"/>
      <c r="I97" s="121"/>
      <c r="J97" s="121">
        <f t="shared" si="26"/>
        <v>160000</v>
      </c>
      <c r="K97" s="128" t="s">
        <v>1362</v>
      </c>
      <c r="L97" s="162">
        <f t="shared" si="27"/>
        <v>0</v>
      </c>
      <c r="M97" s="130"/>
      <c r="N97" s="130"/>
      <c r="O97" s="130"/>
      <c r="P97" s="130"/>
      <c r="Q97" s="130"/>
      <c r="R97" s="130"/>
      <c r="S97" s="130"/>
      <c r="T97" s="130"/>
      <c r="U97" s="130"/>
      <c r="V97" s="59"/>
      <c r="W97" s="59"/>
    </row>
    <row r="98" spans="1:23" ht="12.75">
      <c r="A98" s="61"/>
      <c r="B98" s="161">
        <v>86</v>
      </c>
      <c r="C98" s="128">
        <v>1104</v>
      </c>
      <c r="D98" s="128">
        <v>11.09</v>
      </c>
      <c r="E98" s="121">
        <v>800000</v>
      </c>
      <c r="F98" s="121">
        <f t="shared" si="31"/>
        <v>800000</v>
      </c>
      <c r="G98" s="121"/>
      <c r="H98" s="121"/>
      <c r="I98" s="121"/>
      <c r="J98" s="121">
        <f t="shared" si="26"/>
        <v>160000</v>
      </c>
      <c r="K98" s="128" t="s">
        <v>1362</v>
      </c>
      <c r="L98" s="162">
        <f t="shared" si="27"/>
        <v>0</v>
      </c>
      <c r="M98" s="130"/>
      <c r="N98" s="130"/>
      <c r="O98" s="130"/>
      <c r="P98" s="130"/>
      <c r="Q98" s="130"/>
      <c r="R98" s="130"/>
      <c r="S98" s="130"/>
      <c r="T98" s="130"/>
      <c r="U98" s="130"/>
      <c r="V98" s="59"/>
      <c r="W98" s="59"/>
    </row>
    <row r="99" spans="1:23" ht="12.75">
      <c r="A99" s="61"/>
      <c r="B99" s="161">
        <v>87</v>
      </c>
      <c r="C99" s="128">
        <v>538</v>
      </c>
      <c r="D99" s="128">
        <v>12.09</v>
      </c>
      <c r="E99" s="121">
        <v>4166.66</v>
      </c>
      <c r="F99" s="121">
        <f t="shared" si="31"/>
        <v>4166.66</v>
      </c>
      <c r="G99" s="121"/>
      <c r="H99" s="121"/>
      <c r="I99" s="121"/>
      <c r="J99" s="121">
        <f t="shared" si="26"/>
        <v>833.332</v>
      </c>
      <c r="K99" s="128" t="s">
        <v>1613</v>
      </c>
      <c r="L99" s="162">
        <f t="shared" si="27"/>
        <v>0</v>
      </c>
      <c r="M99" s="130"/>
      <c r="N99" s="130"/>
      <c r="O99" s="130"/>
      <c r="P99" s="130"/>
      <c r="Q99" s="130"/>
      <c r="R99" s="130"/>
      <c r="S99" s="130"/>
      <c r="T99" s="130"/>
      <c r="U99" s="130"/>
      <c r="V99" s="59"/>
      <c r="W99" s="59"/>
    </row>
    <row r="100" spans="1:23" ht="12.75">
      <c r="A100" s="61"/>
      <c r="B100" s="161">
        <v>88</v>
      </c>
      <c r="C100" s="128">
        <v>1157</v>
      </c>
      <c r="D100" s="128">
        <v>19.09</v>
      </c>
      <c r="E100" s="121">
        <v>1146720</v>
      </c>
      <c r="F100" s="121">
        <f t="shared" si="31"/>
        <v>1146720</v>
      </c>
      <c r="G100" s="121"/>
      <c r="H100" s="121"/>
      <c r="I100" s="121"/>
      <c r="J100" s="121">
        <f t="shared" si="26"/>
        <v>229344</v>
      </c>
      <c r="K100" s="128" t="s">
        <v>1362</v>
      </c>
      <c r="L100" s="162">
        <f t="shared" si="27"/>
        <v>0</v>
      </c>
      <c r="M100" s="130"/>
      <c r="N100" s="130"/>
      <c r="O100" s="130"/>
      <c r="P100" s="130"/>
      <c r="Q100" s="130"/>
      <c r="R100" s="130"/>
      <c r="S100" s="130"/>
      <c r="T100" s="130"/>
      <c r="U100" s="130"/>
      <c r="V100" s="59"/>
      <c r="W100" s="59"/>
    </row>
    <row r="101" spans="1:23" ht="12.75">
      <c r="A101" s="61"/>
      <c r="B101" s="161">
        <v>89</v>
      </c>
      <c r="C101" s="128">
        <v>1178</v>
      </c>
      <c r="D101" s="128">
        <v>22.09</v>
      </c>
      <c r="E101" s="121">
        <v>1101366.67</v>
      </c>
      <c r="F101" s="121">
        <f t="shared" si="31"/>
        <v>1101366.67</v>
      </c>
      <c r="G101" s="121"/>
      <c r="H101" s="121"/>
      <c r="I101" s="121"/>
      <c r="J101" s="121">
        <f t="shared" si="26"/>
        <v>220273.334</v>
      </c>
      <c r="K101" s="128" t="s">
        <v>1365</v>
      </c>
      <c r="L101" s="162">
        <f t="shared" si="27"/>
        <v>0</v>
      </c>
      <c r="M101" s="130"/>
      <c r="N101" s="130"/>
      <c r="O101" s="130"/>
      <c r="P101" s="130"/>
      <c r="Q101" s="130"/>
      <c r="R101" s="130"/>
      <c r="S101" s="130"/>
      <c r="T101" s="130"/>
      <c r="U101" s="130"/>
      <c r="V101" s="59"/>
      <c r="W101" s="59"/>
    </row>
    <row r="102" spans="1:23" ht="12.75">
      <c r="A102" s="61"/>
      <c r="B102" s="161">
        <v>90</v>
      </c>
      <c r="C102" s="128">
        <v>1186</v>
      </c>
      <c r="D102" s="128">
        <v>25.09</v>
      </c>
      <c r="E102" s="121">
        <v>811933.33</v>
      </c>
      <c r="F102" s="121">
        <f t="shared" si="31"/>
        <v>811933.33</v>
      </c>
      <c r="G102" s="121"/>
      <c r="H102" s="121"/>
      <c r="I102" s="121"/>
      <c r="J102" s="121">
        <f t="shared" si="26"/>
        <v>162386.666</v>
      </c>
      <c r="K102" s="128" t="s">
        <v>1365</v>
      </c>
      <c r="L102" s="162">
        <f t="shared" si="27"/>
        <v>0</v>
      </c>
      <c r="M102" s="130"/>
      <c r="N102" s="130"/>
      <c r="O102" s="130"/>
      <c r="P102" s="130"/>
      <c r="Q102" s="130"/>
      <c r="R102" s="130"/>
      <c r="S102" s="130"/>
      <c r="T102" s="130"/>
      <c r="U102" s="130"/>
      <c r="V102" s="59"/>
      <c r="W102" s="59"/>
    </row>
    <row r="103" spans="1:23" ht="12.75">
      <c r="A103" s="61"/>
      <c r="B103" s="161">
        <v>91</v>
      </c>
      <c r="C103" s="128">
        <v>1202</v>
      </c>
      <c r="D103" s="128">
        <v>28.09</v>
      </c>
      <c r="E103" s="121">
        <v>847083.33</v>
      </c>
      <c r="F103" s="121">
        <f t="shared" si="31"/>
        <v>847083.33</v>
      </c>
      <c r="G103" s="121"/>
      <c r="H103" s="121"/>
      <c r="I103" s="121"/>
      <c r="J103" s="121">
        <f t="shared" si="26"/>
        <v>169416.666</v>
      </c>
      <c r="K103" s="128" t="s">
        <v>1365</v>
      </c>
      <c r="L103" s="162">
        <f t="shared" si="27"/>
        <v>0</v>
      </c>
      <c r="M103" s="130"/>
      <c r="N103" s="130"/>
      <c r="O103" s="130"/>
      <c r="P103" s="130"/>
      <c r="Q103" s="130"/>
      <c r="R103" s="130"/>
      <c r="S103" s="130"/>
      <c r="T103" s="130"/>
      <c r="U103" s="130"/>
      <c r="V103" s="59"/>
      <c r="W103" s="59"/>
    </row>
    <row r="104" spans="1:23" ht="12.75">
      <c r="A104" s="61"/>
      <c r="B104" s="161">
        <v>92</v>
      </c>
      <c r="C104" s="128">
        <v>493</v>
      </c>
      <c r="D104" s="128">
        <v>28.05</v>
      </c>
      <c r="E104" s="121">
        <v>736623.33</v>
      </c>
      <c r="F104" s="121">
        <f t="shared" si="31"/>
        <v>736623.33</v>
      </c>
      <c r="G104" s="121"/>
      <c r="H104" s="121"/>
      <c r="I104" s="121"/>
      <c r="J104" s="121">
        <f t="shared" si="26"/>
        <v>147324.666</v>
      </c>
      <c r="K104" s="128" t="s">
        <v>1365</v>
      </c>
      <c r="L104" s="162">
        <f t="shared" si="27"/>
        <v>0</v>
      </c>
      <c r="M104" s="130"/>
      <c r="N104" s="130"/>
      <c r="O104" s="130"/>
      <c r="P104" s="130"/>
      <c r="Q104" s="130"/>
      <c r="R104" s="130"/>
      <c r="S104" s="130"/>
      <c r="T104" s="130"/>
      <c r="U104" s="130"/>
      <c r="V104" s="59"/>
      <c r="W104" s="59"/>
    </row>
    <row r="105" spans="1:23" ht="12.75">
      <c r="A105" s="61"/>
      <c r="B105" s="161">
        <v>93</v>
      </c>
      <c r="C105" s="128">
        <v>1159</v>
      </c>
      <c r="D105" s="128">
        <v>29.09</v>
      </c>
      <c r="E105" s="121">
        <v>476480</v>
      </c>
      <c r="F105" s="121">
        <f t="shared" si="31"/>
        <v>476480</v>
      </c>
      <c r="G105" s="121"/>
      <c r="H105" s="121"/>
      <c r="I105" s="121"/>
      <c r="J105" s="121">
        <f t="shared" si="26"/>
        <v>95296</v>
      </c>
      <c r="K105" s="128" t="s">
        <v>1365</v>
      </c>
      <c r="L105" s="162">
        <f t="shared" si="27"/>
        <v>0</v>
      </c>
      <c r="M105" s="130"/>
      <c r="N105" s="130"/>
      <c r="O105" s="130"/>
      <c r="P105" s="130"/>
      <c r="Q105" s="130"/>
      <c r="R105" s="130"/>
      <c r="S105" s="130"/>
      <c r="T105" s="130"/>
      <c r="U105" s="130"/>
      <c r="V105" s="59"/>
      <c r="W105" s="59"/>
    </row>
    <row r="106" spans="1:23" ht="12.75">
      <c r="A106" s="61"/>
      <c r="B106" s="161">
        <v>94</v>
      </c>
      <c r="C106" s="1233">
        <v>54</v>
      </c>
      <c r="D106" s="1233">
        <v>30.09</v>
      </c>
      <c r="E106" s="1234">
        <v>2749349</v>
      </c>
      <c r="F106" s="1234">
        <f t="shared" si="31"/>
        <v>2749349</v>
      </c>
      <c r="G106" s="1234"/>
      <c r="H106" s="1234"/>
      <c r="I106" s="1234"/>
      <c r="J106" s="1234">
        <f t="shared" si="26"/>
        <v>549869.8</v>
      </c>
      <c r="K106" s="1233" t="s">
        <v>1367</v>
      </c>
      <c r="L106" s="162">
        <f t="shared" si="27"/>
        <v>0</v>
      </c>
      <c r="M106" s="130"/>
      <c r="N106" s="130"/>
      <c r="O106" s="130"/>
      <c r="P106" s="130"/>
      <c r="Q106" s="130"/>
      <c r="R106" s="130"/>
      <c r="S106" s="130"/>
      <c r="T106" s="130"/>
      <c r="U106" s="130"/>
      <c r="V106" s="59"/>
      <c r="W106" s="59"/>
    </row>
    <row r="107" spans="1:23" ht="12.75">
      <c r="A107" s="61"/>
      <c r="B107" s="161">
        <v>95</v>
      </c>
      <c r="C107" s="128"/>
      <c r="D107" s="128"/>
      <c r="E107" s="121"/>
      <c r="F107" s="121"/>
      <c r="G107" s="121"/>
      <c r="H107" s="121"/>
      <c r="I107" s="121"/>
      <c r="J107" s="121"/>
      <c r="K107" s="128"/>
      <c r="L107" s="162"/>
      <c r="M107" s="130"/>
      <c r="N107" s="130"/>
      <c r="O107" s="130"/>
      <c r="P107" s="130"/>
      <c r="Q107" s="130"/>
      <c r="R107" s="130"/>
      <c r="S107" s="130"/>
      <c r="T107" s="130"/>
      <c r="U107" s="130"/>
      <c r="V107" s="59"/>
      <c r="W107" s="59"/>
    </row>
    <row r="108" spans="1:23" ht="13.5" thickBot="1">
      <c r="A108" s="61"/>
      <c r="B108" s="161">
        <v>96</v>
      </c>
      <c r="C108" s="1237">
        <v>930</v>
      </c>
      <c r="D108" s="1237">
        <v>2.09</v>
      </c>
      <c r="E108" s="1238">
        <v>19045</v>
      </c>
      <c r="F108" s="1238">
        <f t="shared" si="31"/>
        <v>19045</v>
      </c>
      <c r="G108" s="1238"/>
      <c r="H108" s="1238"/>
      <c r="I108" s="1238"/>
      <c r="J108" s="1238">
        <f t="shared" si="26"/>
        <v>3809</v>
      </c>
      <c r="K108" s="1237" t="s">
        <v>1361</v>
      </c>
      <c r="L108" s="162">
        <f t="shared" si="27"/>
        <v>0</v>
      </c>
      <c r="M108" s="130"/>
      <c r="N108" s="130"/>
      <c r="O108" s="130"/>
      <c r="P108" s="130"/>
      <c r="Q108" s="130"/>
      <c r="R108" s="130"/>
      <c r="S108" s="130"/>
      <c r="T108" s="130"/>
      <c r="U108" s="130"/>
      <c r="V108" s="59"/>
      <c r="W108" s="59"/>
    </row>
    <row r="109" spans="1:23" ht="13.5" thickBot="1">
      <c r="A109" s="61"/>
      <c r="B109" s="161">
        <v>97</v>
      </c>
      <c r="C109" s="1445" t="s">
        <v>216</v>
      </c>
      <c r="D109" s="1447"/>
      <c r="E109" s="1236">
        <f>SUM(E96:E108)</f>
        <v>11452108.940000001</v>
      </c>
      <c r="F109" s="1236">
        <f aca="true" t="shared" si="34" ref="F109:L109">SUM(F96:F108)</f>
        <v>11452108.940000001</v>
      </c>
      <c r="G109" s="1236">
        <f t="shared" si="34"/>
        <v>0</v>
      </c>
      <c r="H109" s="1236">
        <f t="shared" si="34"/>
        <v>0</v>
      </c>
      <c r="I109" s="1236">
        <f t="shared" si="34"/>
        <v>0</v>
      </c>
      <c r="J109" s="1236">
        <f t="shared" si="34"/>
        <v>2290421.7879999997</v>
      </c>
      <c r="K109" s="1236"/>
      <c r="L109" s="1236">
        <f t="shared" si="34"/>
        <v>0</v>
      </c>
      <c r="M109" s="130"/>
      <c r="N109" s="130"/>
      <c r="O109" s="130"/>
      <c r="P109" s="130"/>
      <c r="Q109" s="130"/>
      <c r="R109" s="130"/>
      <c r="S109" s="130"/>
      <c r="T109" s="130"/>
      <c r="U109" s="130"/>
      <c r="V109" s="59"/>
      <c r="W109" s="59"/>
    </row>
    <row r="110" spans="1:23" ht="12.75">
      <c r="A110" s="61"/>
      <c r="B110" s="161">
        <v>98</v>
      </c>
      <c r="C110" s="126">
        <v>719</v>
      </c>
      <c r="D110" s="126">
        <v>15.09</v>
      </c>
      <c r="E110" s="127">
        <v>14066.6</v>
      </c>
      <c r="F110" s="127">
        <f t="shared" si="31"/>
        <v>14066.6</v>
      </c>
      <c r="G110" s="127"/>
      <c r="H110" s="127"/>
      <c r="I110" s="127"/>
      <c r="J110" s="127">
        <f aca="true" t="shared" si="35" ref="J110:J151">E110*0.2</f>
        <v>2813.32</v>
      </c>
      <c r="K110" s="126" t="s">
        <v>1360</v>
      </c>
      <c r="L110" s="162">
        <f aca="true" t="shared" si="36" ref="L110:L152">E110-(F110+G110+H110+I110)</f>
        <v>0</v>
      </c>
      <c r="M110" s="130"/>
      <c r="N110" s="130"/>
      <c r="O110" s="130"/>
      <c r="P110" s="130"/>
      <c r="Q110" s="130"/>
      <c r="R110" s="130"/>
      <c r="S110" s="130"/>
      <c r="T110" s="130"/>
      <c r="U110" s="130"/>
      <c r="V110" s="59"/>
      <c r="W110" s="59"/>
    </row>
    <row r="111" spans="1:23" ht="12.75">
      <c r="A111" s="61"/>
      <c r="B111" s="161">
        <v>99</v>
      </c>
      <c r="C111" s="128">
        <v>382</v>
      </c>
      <c r="D111" s="1239">
        <v>2.1</v>
      </c>
      <c r="E111" s="121">
        <v>18742.23</v>
      </c>
      <c r="F111" s="121">
        <f t="shared" si="31"/>
        <v>18742.23</v>
      </c>
      <c r="G111" s="121"/>
      <c r="H111" s="121"/>
      <c r="I111" s="121"/>
      <c r="J111" s="121">
        <f t="shared" si="35"/>
        <v>3748.446</v>
      </c>
      <c r="K111" s="128" t="s">
        <v>1361</v>
      </c>
      <c r="L111" s="162">
        <f t="shared" si="36"/>
        <v>0</v>
      </c>
      <c r="M111" s="130"/>
      <c r="N111" s="130"/>
      <c r="O111" s="130"/>
      <c r="P111" s="130"/>
      <c r="Q111" s="130"/>
      <c r="R111" s="130"/>
      <c r="S111" s="130"/>
      <c r="T111" s="130"/>
      <c r="U111" s="130"/>
      <c r="V111" s="59"/>
      <c r="W111" s="59"/>
    </row>
    <row r="112" spans="1:23" ht="12.75">
      <c r="A112" s="61"/>
      <c r="B112" s="161">
        <v>100</v>
      </c>
      <c r="C112" s="128">
        <v>1213</v>
      </c>
      <c r="D112" s="1239">
        <v>2.1</v>
      </c>
      <c r="E112" s="121">
        <v>1120000</v>
      </c>
      <c r="F112" s="121">
        <f t="shared" si="31"/>
        <v>1120000</v>
      </c>
      <c r="G112" s="121"/>
      <c r="H112" s="121"/>
      <c r="I112" s="121"/>
      <c r="J112" s="121">
        <f t="shared" si="35"/>
        <v>224000</v>
      </c>
      <c r="K112" s="128" t="s">
        <v>1362</v>
      </c>
      <c r="L112" s="162">
        <f t="shared" si="36"/>
        <v>0</v>
      </c>
      <c r="M112" s="130"/>
      <c r="N112" s="130"/>
      <c r="O112" s="130"/>
      <c r="P112" s="130"/>
      <c r="Q112" s="130"/>
      <c r="R112" s="130"/>
      <c r="S112" s="130"/>
      <c r="T112" s="130"/>
      <c r="U112" s="130"/>
      <c r="V112" s="59"/>
      <c r="W112" s="59"/>
    </row>
    <row r="113" spans="1:23" ht="12.75">
      <c r="A113" s="61"/>
      <c r="B113" s="161">
        <v>101</v>
      </c>
      <c r="C113" s="128">
        <v>1215</v>
      </c>
      <c r="D113" s="1239">
        <v>2.1</v>
      </c>
      <c r="E113" s="121">
        <v>2039966.67</v>
      </c>
      <c r="F113" s="121">
        <f t="shared" si="31"/>
        <v>2039966.67</v>
      </c>
      <c r="G113" s="121"/>
      <c r="H113" s="121"/>
      <c r="I113" s="121"/>
      <c r="J113" s="121">
        <f t="shared" si="35"/>
        <v>407993.33400000003</v>
      </c>
      <c r="K113" s="128" t="s">
        <v>1365</v>
      </c>
      <c r="L113" s="162">
        <f t="shared" si="36"/>
        <v>0</v>
      </c>
      <c r="M113" s="130"/>
      <c r="N113" s="130"/>
      <c r="O113" s="130"/>
      <c r="P113" s="130"/>
      <c r="Q113" s="130"/>
      <c r="R113" s="130"/>
      <c r="S113" s="130"/>
      <c r="T113" s="130"/>
      <c r="U113" s="130"/>
      <c r="V113" s="59"/>
      <c r="W113" s="59"/>
    </row>
    <row r="114" spans="1:23" ht="12.75">
      <c r="A114" s="61"/>
      <c r="B114" s="161">
        <v>102</v>
      </c>
      <c r="C114" s="128">
        <v>1228</v>
      </c>
      <c r="D114" s="1239">
        <v>4.1</v>
      </c>
      <c r="E114" s="121">
        <v>825160</v>
      </c>
      <c r="F114" s="121">
        <f t="shared" si="31"/>
        <v>825160</v>
      </c>
      <c r="G114" s="121"/>
      <c r="H114" s="121"/>
      <c r="I114" s="121"/>
      <c r="J114" s="121">
        <f t="shared" si="35"/>
        <v>165032</v>
      </c>
      <c r="K114" s="128" t="s">
        <v>1362</v>
      </c>
      <c r="L114" s="162">
        <f t="shared" si="36"/>
        <v>0</v>
      </c>
      <c r="M114" s="130"/>
      <c r="N114" s="130"/>
      <c r="O114" s="130"/>
      <c r="P114" s="130"/>
      <c r="Q114" s="130"/>
      <c r="R114" s="130"/>
      <c r="S114" s="130"/>
      <c r="T114" s="130"/>
      <c r="U114" s="130"/>
      <c r="V114" s="59"/>
      <c r="W114" s="59"/>
    </row>
    <row r="115" spans="1:23" ht="12.75">
      <c r="A115" s="61"/>
      <c r="B115" s="161">
        <v>103</v>
      </c>
      <c r="C115" s="128">
        <v>1245</v>
      </c>
      <c r="D115" s="1239">
        <v>8.1</v>
      </c>
      <c r="E115" s="121">
        <v>461066.67</v>
      </c>
      <c r="F115" s="121">
        <f t="shared" si="31"/>
        <v>461066.67</v>
      </c>
      <c r="G115" s="121"/>
      <c r="H115" s="121"/>
      <c r="I115" s="121"/>
      <c r="J115" s="121">
        <f t="shared" si="35"/>
        <v>92213.334</v>
      </c>
      <c r="K115" s="128" t="s">
        <v>1365</v>
      </c>
      <c r="L115" s="162">
        <f t="shared" si="36"/>
        <v>0</v>
      </c>
      <c r="M115" s="130"/>
      <c r="N115" s="130"/>
      <c r="O115" s="130"/>
      <c r="P115" s="130"/>
      <c r="Q115" s="130"/>
      <c r="R115" s="130"/>
      <c r="S115" s="130"/>
      <c r="T115" s="130"/>
      <c r="U115" s="130"/>
      <c r="V115" s="59"/>
      <c r="W115" s="59"/>
    </row>
    <row r="116" spans="1:23" ht="12.75">
      <c r="A116" s="61"/>
      <c r="B116" s="161">
        <v>104</v>
      </c>
      <c r="C116" s="128">
        <v>94</v>
      </c>
      <c r="D116" s="1239">
        <v>8.1</v>
      </c>
      <c r="E116" s="121">
        <v>172500</v>
      </c>
      <c r="F116" s="121">
        <f t="shared" si="31"/>
        <v>172500</v>
      </c>
      <c r="G116" s="121"/>
      <c r="H116" s="121"/>
      <c r="I116" s="121"/>
      <c r="J116" s="121">
        <f t="shared" si="35"/>
        <v>34500</v>
      </c>
      <c r="K116" s="128" t="s">
        <v>1614</v>
      </c>
      <c r="L116" s="162">
        <f t="shared" si="36"/>
        <v>0</v>
      </c>
      <c r="M116" s="130"/>
      <c r="N116" s="130"/>
      <c r="O116" s="130"/>
      <c r="P116" s="130"/>
      <c r="Q116" s="130"/>
      <c r="R116" s="130"/>
      <c r="S116" s="130"/>
      <c r="T116" s="130"/>
      <c r="U116" s="130"/>
      <c r="V116" s="59"/>
      <c r="W116" s="59"/>
    </row>
    <row r="117" spans="1:23" ht="12.75">
      <c r="A117" s="61"/>
      <c r="B117" s="161">
        <v>105</v>
      </c>
      <c r="C117" s="128">
        <v>1266</v>
      </c>
      <c r="D117" s="1239">
        <v>12.1</v>
      </c>
      <c r="E117" s="121">
        <v>1963605</v>
      </c>
      <c r="F117" s="121">
        <f t="shared" si="31"/>
        <v>1963605</v>
      </c>
      <c r="G117" s="121"/>
      <c r="H117" s="121"/>
      <c r="I117" s="121"/>
      <c r="J117" s="121">
        <f t="shared" si="35"/>
        <v>392721</v>
      </c>
      <c r="K117" s="128" t="s">
        <v>1612</v>
      </c>
      <c r="L117" s="162">
        <f t="shared" si="36"/>
        <v>0</v>
      </c>
      <c r="M117" s="182"/>
      <c r="N117" s="130"/>
      <c r="O117" s="130"/>
      <c r="P117" s="130"/>
      <c r="Q117" s="130"/>
      <c r="R117" s="130"/>
      <c r="S117" s="130"/>
      <c r="T117" s="130"/>
      <c r="U117" s="130"/>
      <c r="V117" s="59"/>
      <c r="W117" s="59"/>
    </row>
    <row r="118" spans="1:23" ht="12.75">
      <c r="A118" s="61"/>
      <c r="B118" s="161">
        <v>106</v>
      </c>
      <c r="C118" s="128">
        <v>276</v>
      </c>
      <c r="D118" s="1239">
        <v>17.1</v>
      </c>
      <c r="E118" s="121">
        <v>13627.4</v>
      </c>
      <c r="F118" s="121">
        <f t="shared" si="31"/>
        <v>13627.4</v>
      </c>
      <c r="G118" s="121"/>
      <c r="H118" s="121"/>
      <c r="I118" s="121"/>
      <c r="J118" s="121">
        <f t="shared" si="35"/>
        <v>2725.48</v>
      </c>
      <c r="K118" s="128" t="s">
        <v>1360</v>
      </c>
      <c r="L118" s="162">
        <f t="shared" si="36"/>
        <v>0</v>
      </c>
      <c r="M118" s="130"/>
      <c r="N118" s="130"/>
      <c r="O118" s="130"/>
      <c r="P118" s="130"/>
      <c r="Q118" s="130"/>
      <c r="R118" s="130"/>
      <c r="S118" s="130"/>
      <c r="T118" s="130"/>
      <c r="U118" s="130"/>
      <c r="V118" s="59"/>
      <c r="W118" s="59"/>
    </row>
    <row r="119" spans="1:23" ht="12.75">
      <c r="A119" s="61"/>
      <c r="B119" s="161">
        <v>107</v>
      </c>
      <c r="C119" s="128">
        <v>797</v>
      </c>
      <c r="D119" s="1239">
        <v>17.1</v>
      </c>
      <c r="E119" s="121">
        <v>17500</v>
      </c>
      <c r="F119" s="121">
        <f t="shared" si="31"/>
        <v>17500</v>
      </c>
      <c r="G119" s="121"/>
      <c r="H119" s="121"/>
      <c r="I119" s="121"/>
      <c r="J119" s="121">
        <f t="shared" si="35"/>
        <v>3500</v>
      </c>
      <c r="K119" s="128" t="s">
        <v>1615</v>
      </c>
      <c r="L119" s="162">
        <f t="shared" si="36"/>
        <v>0</v>
      </c>
      <c r="M119" s="130"/>
      <c r="N119" s="130"/>
      <c r="O119" s="130"/>
      <c r="P119" s="130"/>
      <c r="Q119" s="130"/>
      <c r="R119" s="130"/>
      <c r="S119" s="130"/>
      <c r="T119" s="130"/>
      <c r="U119" s="130"/>
      <c r="V119" s="59"/>
      <c r="W119" s="59"/>
    </row>
    <row r="120" spans="1:23" ht="12.75">
      <c r="A120" s="61"/>
      <c r="B120" s="161">
        <v>108</v>
      </c>
      <c r="C120" s="128">
        <v>1293</v>
      </c>
      <c r="D120" s="1239">
        <v>18.1</v>
      </c>
      <c r="E120" s="121">
        <v>1082885.83</v>
      </c>
      <c r="F120" s="121">
        <f t="shared" si="31"/>
        <v>1082885.83</v>
      </c>
      <c r="G120" s="121"/>
      <c r="H120" s="121"/>
      <c r="I120" s="121"/>
      <c r="J120" s="121">
        <f t="shared" si="35"/>
        <v>216577.16600000003</v>
      </c>
      <c r="K120" s="128" t="s">
        <v>1362</v>
      </c>
      <c r="L120" s="162">
        <f t="shared" si="36"/>
        <v>0</v>
      </c>
      <c r="M120" s="130"/>
      <c r="N120" s="130"/>
      <c r="O120" s="130"/>
      <c r="P120" s="130"/>
      <c r="Q120" s="130"/>
      <c r="R120" s="130"/>
      <c r="S120" s="130"/>
      <c r="T120" s="130"/>
      <c r="U120" s="130"/>
      <c r="V120" s="59"/>
      <c r="W120" s="59"/>
    </row>
    <row r="121" spans="1:23" ht="12.75">
      <c r="A121" s="61"/>
      <c r="B121" s="161">
        <v>109</v>
      </c>
      <c r="C121" s="128">
        <v>55</v>
      </c>
      <c r="D121" s="1239">
        <v>20.1</v>
      </c>
      <c r="E121" s="121">
        <v>110000</v>
      </c>
      <c r="F121" s="121">
        <f t="shared" si="31"/>
        <v>110000</v>
      </c>
      <c r="G121" s="121"/>
      <c r="H121" s="121"/>
      <c r="I121" s="121"/>
      <c r="J121" s="121">
        <f t="shared" si="35"/>
        <v>22000</v>
      </c>
      <c r="K121" s="128" t="s">
        <v>1616</v>
      </c>
      <c r="L121" s="162">
        <f t="shared" si="36"/>
        <v>0</v>
      </c>
      <c r="M121" s="130"/>
      <c r="N121" s="130"/>
      <c r="O121" s="130"/>
      <c r="P121" s="130"/>
      <c r="Q121" s="130"/>
      <c r="R121" s="130"/>
      <c r="S121" s="130"/>
      <c r="T121" s="130"/>
      <c r="U121" s="130"/>
      <c r="V121" s="59"/>
      <c r="W121" s="59"/>
    </row>
    <row r="122" spans="1:23" ht="12.75">
      <c r="A122" s="61"/>
      <c r="B122" s="161">
        <v>110</v>
      </c>
      <c r="C122" s="128">
        <v>1247</v>
      </c>
      <c r="D122" s="1239">
        <v>22.1</v>
      </c>
      <c r="E122" s="121">
        <v>930792.5</v>
      </c>
      <c r="F122" s="121">
        <f t="shared" si="31"/>
        <v>930792.5</v>
      </c>
      <c r="G122" s="121"/>
      <c r="H122" s="121"/>
      <c r="I122" s="121"/>
      <c r="J122" s="121">
        <f t="shared" si="35"/>
        <v>186158.5</v>
      </c>
      <c r="K122" s="128" t="s">
        <v>1365</v>
      </c>
      <c r="L122" s="162">
        <f t="shared" si="36"/>
        <v>0</v>
      </c>
      <c r="M122" s="130"/>
      <c r="N122" s="130"/>
      <c r="O122" s="130"/>
      <c r="P122" s="130"/>
      <c r="Q122" s="130"/>
      <c r="R122" s="130"/>
      <c r="S122" s="130"/>
      <c r="T122" s="130"/>
      <c r="U122" s="130"/>
      <c r="V122" s="59"/>
      <c r="W122" s="59"/>
    </row>
    <row r="123" spans="1:23" ht="12.75">
      <c r="A123" s="61"/>
      <c r="B123" s="161">
        <v>111</v>
      </c>
      <c r="C123" s="128">
        <v>1334</v>
      </c>
      <c r="D123" s="1239">
        <v>24.1</v>
      </c>
      <c r="E123" s="121">
        <v>925494.17</v>
      </c>
      <c r="F123" s="121">
        <f t="shared" si="31"/>
        <v>925494.17</v>
      </c>
      <c r="G123" s="121"/>
      <c r="H123" s="121"/>
      <c r="I123" s="121"/>
      <c r="J123" s="121">
        <f t="shared" si="35"/>
        <v>185098.83400000003</v>
      </c>
      <c r="K123" s="128" t="s">
        <v>1362</v>
      </c>
      <c r="L123" s="162">
        <f t="shared" si="36"/>
        <v>0</v>
      </c>
      <c r="M123" s="130"/>
      <c r="N123" s="130"/>
      <c r="O123" s="130"/>
      <c r="P123" s="130"/>
      <c r="Q123" s="130"/>
      <c r="R123" s="130"/>
      <c r="S123" s="130"/>
      <c r="T123" s="130"/>
      <c r="U123" s="130"/>
      <c r="V123" s="59"/>
      <c r="W123" s="59"/>
    </row>
    <row r="124" spans="1:23" ht="13.5" thickBot="1">
      <c r="A124" s="61"/>
      <c r="B124" s="161">
        <v>112</v>
      </c>
      <c r="C124" s="1233">
        <v>73</v>
      </c>
      <c r="D124" s="1276">
        <v>31.1</v>
      </c>
      <c r="E124" s="1234">
        <v>6275550</v>
      </c>
      <c r="F124" s="1234">
        <f t="shared" si="31"/>
        <v>6275550</v>
      </c>
      <c r="G124" s="1234"/>
      <c r="H124" s="1234"/>
      <c r="I124" s="1234"/>
      <c r="J124" s="1234">
        <f t="shared" si="35"/>
        <v>1255110</v>
      </c>
      <c r="K124" s="1233" t="s">
        <v>1367</v>
      </c>
      <c r="L124" s="1273">
        <f t="shared" si="36"/>
        <v>0</v>
      </c>
      <c r="M124" s="130"/>
      <c r="N124" s="130"/>
      <c r="O124" s="130"/>
      <c r="P124" s="130"/>
      <c r="Q124" s="130"/>
      <c r="R124" s="130"/>
      <c r="S124" s="130"/>
      <c r="T124" s="130"/>
      <c r="U124" s="130"/>
      <c r="V124" s="59"/>
      <c r="W124" s="59"/>
    </row>
    <row r="125" spans="1:23" ht="13.5" thickBot="1">
      <c r="A125" s="61"/>
      <c r="B125" s="161">
        <v>113</v>
      </c>
      <c r="C125" s="1445" t="s">
        <v>217</v>
      </c>
      <c r="D125" s="1447"/>
      <c r="E125" s="1236">
        <f>SUM(E110:E124)</f>
        <v>15970957.07</v>
      </c>
      <c r="F125" s="1236">
        <f t="shared" si="31"/>
        <v>15970957.07</v>
      </c>
      <c r="G125" s="1236"/>
      <c r="H125" s="1236"/>
      <c r="I125" s="1236"/>
      <c r="J125" s="1236">
        <f t="shared" si="35"/>
        <v>3194191.4140000003</v>
      </c>
      <c r="K125" s="1235"/>
      <c r="L125" s="162">
        <f t="shared" si="36"/>
        <v>0</v>
      </c>
      <c r="M125" s="130"/>
      <c r="N125" s="130"/>
      <c r="O125" s="130"/>
      <c r="P125" s="130"/>
      <c r="Q125" s="130"/>
      <c r="R125" s="130"/>
      <c r="S125" s="130"/>
      <c r="T125" s="130"/>
      <c r="U125" s="130"/>
      <c r="V125" s="59"/>
      <c r="W125" s="59"/>
    </row>
    <row r="126" spans="1:23" ht="12.75">
      <c r="A126" s="61"/>
      <c r="B126" s="161">
        <v>114</v>
      </c>
      <c r="C126" s="126">
        <v>1390</v>
      </c>
      <c r="D126" s="126">
        <v>1.11</v>
      </c>
      <c r="E126" s="127">
        <v>831838.33</v>
      </c>
      <c r="F126" s="127">
        <f t="shared" si="31"/>
        <v>831838.33</v>
      </c>
      <c r="G126" s="127"/>
      <c r="H126" s="127"/>
      <c r="I126" s="127"/>
      <c r="J126" s="127">
        <f t="shared" si="35"/>
        <v>166367.666</v>
      </c>
      <c r="K126" s="126" t="s">
        <v>1362</v>
      </c>
      <c r="L126" s="162">
        <f t="shared" si="36"/>
        <v>0</v>
      </c>
      <c r="M126" s="130"/>
      <c r="N126" s="130"/>
      <c r="O126" s="130"/>
      <c r="P126" s="130"/>
      <c r="Q126" s="130"/>
      <c r="R126" s="130"/>
      <c r="S126" s="130"/>
      <c r="T126" s="130"/>
      <c r="U126" s="130"/>
      <c r="V126" s="59"/>
      <c r="W126" s="59"/>
    </row>
    <row r="127" spans="1:23" ht="12.75">
      <c r="A127" s="61"/>
      <c r="B127" s="161">
        <v>115</v>
      </c>
      <c r="C127" s="128">
        <v>975</v>
      </c>
      <c r="D127" s="128">
        <v>2.11</v>
      </c>
      <c r="E127" s="121">
        <v>31477.46</v>
      </c>
      <c r="F127" s="121">
        <f t="shared" si="31"/>
        <v>31477.46</v>
      </c>
      <c r="G127" s="121"/>
      <c r="H127" s="121"/>
      <c r="I127" s="121"/>
      <c r="J127" s="121">
        <f t="shared" si="35"/>
        <v>6295.492</v>
      </c>
      <c r="K127" s="128" t="s">
        <v>1361</v>
      </c>
      <c r="L127" s="162">
        <f t="shared" si="36"/>
        <v>0</v>
      </c>
      <c r="M127" s="130"/>
      <c r="N127" s="130"/>
      <c r="O127" s="130"/>
      <c r="P127" s="130"/>
      <c r="Q127" s="130"/>
      <c r="R127" s="130"/>
      <c r="S127" s="130"/>
      <c r="T127" s="130"/>
      <c r="U127" s="130"/>
      <c r="V127" s="59"/>
      <c r="W127" s="59"/>
    </row>
    <row r="128" spans="1:23" ht="12.75">
      <c r="A128" s="61"/>
      <c r="B128" s="161">
        <v>116</v>
      </c>
      <c r="C128" s="128">
        <v>283</v>
      </c>
      <c r="D128" s="1239">
        <v>16.1</v>
      </c>
      <c r="E128" s="121">
        <v>277324</v>
      </c>
      <c r="F128" s="121">
        <f t="shared" si="31"/>
        <v>277324</v>
      </c>
      <c r="G128" s="121"/>
      <c r="H128" s="121"/>
      <c r="I128" s="121"/>
      <c r="J128" s="121">
        <f t="shared" si="35"/>
        <v>55464.8</v>
      </c>
      <c r="K128" s="128" t="s">
        <v>1360</v>
      </c>
      <c r="L128" s="162">
        <f t="shared" si="36"/>
        <v>0</v>
      </c>
      <c r="M128" s="130"/>
      <c r="N128" s="130"/>
      <c r="O128" s="130"/>
      <c r="P128" s="130"/>
      <c r="Q128" s="130"/>
      <c r="R128" s="130"/>
      <c r="S128" s="130"/>
      <c r="T128" s="130"/>
      <c r="U128" s="130"/>
      <c r="V128" s="59"/>
      <c r="W128" s="59"/>
    </row>
    <row r="129" spans="1:23" ht="12.75">
      <c r="A129" s="61"/>
      <c r="B129" s="161">
        <v>117</v>
      </c>
      <c r="C129" s="128">
        <v>1406</v>
      </c>
      <c r="D129" s="128">
        <v>5.11</v>
      </c>
      <c r="E129" s="121">
        <v>1137133.33</v>
      </c>
      <c r="F129" s="121">
        <f t="shared" si="31"/>
        <v>1137133.33</v>
      </c>
      <c r="G129" s="121"/>
      <c r="H129" s="121"/>
      <c r="I129" s="121"/>
      <c r="J129" s="121">
        <f t="shared" si="35"/>
        <v>227426.66600000003</v>
      </c>
      <c r="K129" s="128" t="s">
        <v>1365</v>
      </c>
      <c r="L129" s="162">
        <f t="shared" si="36"/>
        <v>0</v>
      </c>
      <c r="M129" s="130"/>
      <c r="N129" s="130"/>
      <c r="O129" s="130"/>
      <c r="P129" s="130"/>
      <c r="Q129" s="130"/>
      <c r="R129" s="130"/>
      <c r="S129" s="130"/>
      <c r="T129" s="130"/>
      <c r="U129" s="130"/>
      <c r="V129" s="59"/>
      <c r="W129" s="59"/>
    </row>
    <row r="130" spans="1:23" ht="12.75">
      <c r="A130" s="61"/>
      <c r="B130" s="161">
        <v>118</v>
      </c>
      <c r="C130" s="128">
        <v>1442</v>
      </c>
      <c r="D130" s="128">
        <v>8.11</v>
      </c>
      <c r="E130" s="121">
        <v>830650</v>
      </c>
      <c r="F130" s="121">
        <f t="shared" si="31"/>
        <v>830650</v>
      </c>
      <c r="G130" s="121"/>
      <c r="H130" s="121"/>
      <c r="I130" s="121"/>
      <c r="J130" s="121">
        <f t="shared" si="35"/>
        <v>166130</v>
      </c>
      <c r="K130" s="128" t="s">
        <v>1365</v>
      </c>
      <c r="L130" s="162">
        <f t="shared" si="36"/>
        <v>0</v>
      </c>
      <c r="M130" s="130"/>
      <c r="N130" s="130"/>
      <c r="O130" s="130"/>
      <c r="P130" s="130"/>
      <c r="Q130" s="130"/>
      <c r="R130" s="130"/>
      <c r="S130" s="130"/>
      <c r="T130" s="130"/>
      <c r="U130" s="130"/>
      <c r="V130" s="59"/>
      <c r="W130" s="59"/>
    </row>
    <row r="131" spans="1:23" ht="12.75">
      <c r="A131" s="61"/>
      <c r="B131" s="161">
        <v>119</v>
      </c>
      <c r="C131" s="128">
        <v>1457</v>
      </c>
      <c r="D131" s="128">
        <v>12.11</v>
      </c>
      <c r="E131" s="121">
        <v>841032.5</v>
      </c>
      <c r="F131" s="121">
        <f t="shared" si="31"/>
        <v>841032.5</v>
      </c>
      <c r="G131" s="121"/>
      <c r="H131" s="121"/>
      <c r="I131" s="121"/>
      <c r="J131" s="121">
        <f t="shared" si="35"/>
        <v>168206.5</v>
      </c>
      <c r="K131" s="128" t="s">
        <v>1365</v>
      </c>
      <c r="L131" s="162">
        <f t="shared" si="36"/>
        <v>0</v>
      </c>
      <c r="M131" s="130"/>
      <c r="N131" s="130"/>
      <c r="O131" s="130"/>
      <c r="P131" s="130"/>
      <c r="Q131" s="130"/>
      <c r="R131" s="130"/>
      <c r="S131" s="130"/>
      <c r="T131" s="130"/>
      <c r="U131" s="130"/>
      <c r="V131" s="59"/>
      <c r="W131" s="59"/>
    </row>
    <row r="132" spans="1:23" ht="12.75">
      <c r="A132" s="61"/>
      <c r="B132" s="161">
        <v>120</v>
      </c>
      <c r="C132" s="128">
        <v>1478</v>
      </c>
      <c r="D132" s="128">
        <v>15.11</v>
      </c>
      <c r="E132" s="121">
        <v>359516.67</v>
      </c>
      <c r="F132" s="121">
        <f t="shared" si="31"/>
        <v>359516.67</v>
      </c>
      <c r="G132" s="121"/>
      <c r="H132" s="121"/>
      <c r="I132" s="121"/>
      <c r="J132" s="121">
        <f t="shared" si="35"/>
        <v>71903.334</v>
      </c>
      <c r="K132" s="128" t="s">
        <v>1365</v>
      </c>
      <c r="L132" s="162">
        <f t="shared" si="36"/>
        <v>0</v>
      </c>
      <c r="M132" s="130"/>
      <c r="N132" s="130"/>
      <c r="O132" s="130"/>
      <c r="P132" s="130"/>
      <c r="Q132" s="130"/>
      <c r="R132" s="130"/>
      <c r="S132" s="130"/>
      <c r="T132" s="130"/>
      <c r="U132" s="130"/>
      <c r="V132" s="59"/>
      <c r="W132" s="59"/>
    </row>
    <row r="133" spans="1:23" ht="12.75">
      <c r="A133" s="61"/>
      <c r="B133" s="161">
        <v>121</v>
      </c>
      <c r="C133" s="128">
        <v>236</v>
      </c>
      <c r="D133" s="128">
        <v>15.11</v>
      </c>
      <c r="E133" s="121">
        <v>36000</v>
      </c>
      <c r="F133" s="121">
        <f>E133</f>
        <v>36000</v>
      </c>
      <c r="G133" s="121"/>
      <c r="H133" s="121"/>
      <c r="I133" s="121"/>
      <c r="J133" s="121">
        <f>E133*0.2</f>
        <v>7200</v>
      </c>
      <c r="K133" s="128" t="s">
        <v>1617</v>
      </c>
      <c r="L133" s="162">
        <f t="shared" si="36"/>
        <v>0</v>
      </c>
      <c r="M133" s="130"/>
      <c r="N133" s="130"/>
      <c r="O133" s="130"/>
      <c r="P133" s="130"/>
      <c r="Q133" s="130"/>
      <c r="R133" s="130"/>
      <c r="S133" s="130"/>
      <c r="T133" s="130"/>
      <c r="U133" s="130"/>
      <c r="V133" s="59"/>
      <c r="W133" s="59"/>
    </row>
    <row r="134" spans="1:23" ht="12.75">
      <c r="A134" s="61"/>
      <c r="B134" s="161">
        <v>122</v>
      </c>
      <c r="C134" s="128">
        <v>1494</v>
      </c>
      <c r="D134" s="128">
        <v>21.11</v>
      </c>
      <c r="E134" s="121">
        <v>922379.17</v>
      </c>
      <c r="F134" s="121">
        <f t="shared" si="31"/>
        <v>922379.17</v>
      </c>
      <c r="G134" s="121"/>
      <c r="H134" s="121"/>
      <c r="I134" s="121"/>
      <c r="J134" s="121">
        <f t="shared" si="35"/>
        <v>184475.83400000003</v>
      </c>
      <c r="K134" s="128" t="s">
        <v>1365</v>
      </c>
      <c r="L134" s="162">
        <f t="shared" si="36"/>
        <v>0</v>
      </c>
      <c r="M134" s="130"/>
      <c r="N134" s="130"/>
      <c r="O134" s="130"/>
      <c r="P134" s="130"/>
      <c r="Q134" s="130"/>
      <c r="R134" s="130"/>
      <c r="S134" s="130"/>
      <c r="T134" s="130"/>
      <c r="U134" s="130"/>
      <c r="V134" s="59"/>
      <c r="W134" s="59"/>
    </row>
    <row r="135" spans="1:23" ht="12.75">
      <c r="A135" s="61"/>
      <c r="B135" s="161">
        <v>123</v>
      </c>
      <c r="C135" s="128">
        <v>1507</v>
      </c>
      <c r="D135" s="128">
        <v>24.11</v>
      </c>
      <c r="E135" s="121">
        <v>797195.83</v>
      </c>
      <c r="F135" s="121">
        <f t="shared" si="31"/>
        <v>797195.83</v>
      </c>
      <c r="G135" s="121"/>
      <c r="H135" s="121"/>
      <c r="I135" s="121"/>
      <c r="J135" s="121">
        <f t="shared" si="35"/>
        <v>159439.166</v>
      </c>
      <c r="K135" s="128" t="s">
        <v>1362</v>
      </c>
      <c r="L135" s="162">
        <f t="shared" si="36"/>
        <v>0</v>
      </c>
      <c r="M135" s="130"/>
      <c r="N135" s="130"/>
      <c r="O135" s="130"/>
      <c r="P135" s="130"/>
      <c r="Q135" s="130"/>
      <c r="R135" s="130"/>
      <c r="S135" s="130"/>
      <c r="T135" s="130"/>
      <c r="U135" s="130"/>
      <c r="V135" s="59"/>
      <c r="W135" s="59"/>
    </row>
    <row r="136" spans="1:23" ht="13.5" thickBot="1">
      <c r="A136" s="61"/>
      <c r="B136" s="161">
        <v>124</v>
      </c>
      <c r="C136" s="1076">
        <v>1516</v>
      </c>
      <c r="D136" s="1076">
        <v>26.11</v>
      </c>
      <c r="E136" s="1077">
        <v>1090833.33</v>
      </c>
      <c r="F136" s="1077">
        <f t="shared" si="31"/>
        <v>1090833.33</v>
      </c>
      <c r="G136" s="1077"/>
      <c r="H136" s="1077"/>
      <c r="I136" s="1077"/>
      <c r="J136" s="1077">
        <f t="shared" si="35"/>
        <v>218166.66600000003</v>
      </c>
      <c r="K136" s="1076" t="s">
        <v>1365</v>
      </c>
      <c r="L136" s="162">
        <f t="shared" si="36"/>
        <v>0</v>
      </c>
      <c r="M136" s="130"/>
      <c r="N136" s="130"/>
      <c r="O136" s="130"/>
      <c r="P136" s="130"/>
      <c r="Q136" s="130"/>
      <c r="R136" s="130"/>
      <c r="S136" s="130"/>
      <c r="T136" s="130"/>
      <c r="U136" s="130"/>
      <c r="V136" s="59"/>
      <c r="W136" s="59"/>
    </row>
    <row r="137" spans="1:23" ht="13.5" thickBot="1">
      <c r="A137" s="61"/>
      <c r="B137" s="161">
        <v>125</v>
      </c>
      <c r="C137" s="1445" t="s">
        <v>218</v>
      </c>
      <c r="D137" s="1446"/>
      <c r="E137" s="1236">
        <f>SUM(E126:E136)</f>
        <v>7155380.62</v>
      </c>
      <c r="F137" s="1236">
        <f aca="true" t="shared" si="37" ref="F137:L137">SUM(F126:F136)</f>
        <v>7155380.62</v>
      </c>
      <c r="G137" s="1236"/>
      <c r="H137" s="1236"/>
      <c r="I137" s="1236"/>
      <c r="J137" s="1236">
        <f t="shared" si="37"/>
        <v>1431076.124</v>
      </c>
      <c r="K137" s="1236"/>
      <c r="L137" s="1236">
        <f t="shared" si="37"/>
        <v>0</v>
      </c>
      <c r="M137" s="130"/>
      <c r="N137" s="130"/>
      <c r="O137" s="130"/>
      <c r="P137" s="130"/>
      <c r="Q137" s="130"/>
      <c r="R137" s="130"/>
      <c r="S137" s="130"/>
      <c r="T137" s="130"/>
      <c r="U137" s="130"/>
      <c r="V137" s="59"/>
      <c r="W137" s="59"/>
    </row>
    <row r="138" spans="1:23" ht="12.75">
      <c r="A138" s="61"/>
      <c r="B138" s="161">
        <v>126</v>
      </c>
      <c r="C138" s="1241" t="s">
        <v>1618</v>
      </c>
      <c r="D138" s="126">
        <v>23.11</v>
      </c>
      <c r="E138" s="127">
        <v>16775</v>
      </c>
      <c r="F138" s="127">
        <f t="shared" si="31"/>
        <v>16775</v>
      </c>
      <c r="G138" s="127"/>
      <c r="H138" s="127"/>
      <c r="I138" s="127"/>
      <c r="J138" s="127">
        <f t="shared" si="35"/>
        <v>3355</v>
      </c>
      <c r="K138" s="126" t="s">
        <v>1360</v>
      </c>
      <c r="L138" s="162">
        <f t="shared" si="36"/>
        <v>0</v>
      </c>
      <c r="M138" s="130"/>
      <c r="N138" s="130"/>
      <c r="O138" s="130"/>
      <c r="P138" s="130"/>
      <c r="Q138" s="130"/>
      <c r="R138" s="130"/>
      <c r="S138" s="130"/>
      <c r="T138" s="130"/>
      <c r="U138" s="130"/>
      <c r="V138" s="59"/>
      <c r="W138" s="59"/>
    </row>
    <row r="139" spans="1:23" ht="12.75">
      <c r="A139" s="61"/>
      <c r="B139" s="161">
        <v>127</v>
      </c>
      <c r="C139" s="128">
        <v>579</v>
      </c>
      <c r="D139" s="128">
        <v>2.12</v>
      </c>
      <c r="E139" s="121">
        <v>5193.03</v>
      </c>
      <c r="F139" s="121">
        <f t="shared" si="31"/>
        <v>5193.03</v>
      </c>
      <c r="G139" s="121"/>
      <c r="H139" s="121"/>
      <c r="I139" s="121"/>
      <c r="J139" s="121">
        <f t="shared" si="35"/>
        <v>1038.606</v>
      </c>
      <c r="K139" s="128" t="s">
        <v>1361</v>
      </c>
      <c r="L139" s="162">
        <f t="shared" si="36"/>
        <v>0</v>
      </c>
      <c r="M139" s="130"/>
      <c r="N139" s="130"/>
      <c r="O139" s="130"/>
      <c r="P139" s="130"/>
      <c r="Q139" s="130"/>
      <c r="R139" s="130"/>
      <c r="S139" s="130"/>
      <c r="T139" s="130"/>
      <c r="U139" s="130"/>
      <c r="V139" s="59"/>
      <c r="W139" s="59"/>
    </row>
    <row r="140" spans="1:23" ht="12.75">
      <c r="A140" s="61"/>
      <c r="B140" s="161">
        <v>128</v>
      </c>
      <c r="C140" s="128">
        <v>1536</v>
      </c>
      <c r="D140" s="128">
        <v>3.12</v>
      </c>
      <c r="E140" s="121">
        <v>1090833.33</v>
      </c>
      <c r="F140" s="121">
        <f t="shared" si="31"/>
        <v>1090833.33</v>
      </c>
      <c r="G140" s="121"/>
      <c r="H140" s="121"/>
      <c r="I140" s="121"/>
      <c r="J140" s="121">
        <f t="shared" si="35"/>
        <v>218166.66600000003</v>
      </c>
      <c r="K140" s="128" t="s">
        <v>1362</v>
      </c>
      <c r="L140" s="162">
        <f t="shared" si="36"/>
        <v>0</v>
      </c>
      <c r="M140" s="130"/>
      <c r="N140" s="130"/>
      <c r="O140" s="130"/>
      <c r="P140" s="130"/>
      <c r="Q140" s="130"/>
      <c r="R140" s="130"/>
      <c r="S140" s="130"/>
      <c r="T140" s="130"/>
      <c r="U140" s="130"/>
      <c r="V140" s="59"/>
      <c r="W140" s="59"/>
    </row>
    <row r="141" spans="1:23" ht="12.75">
      <c r="A141" s="61"/>
      <c r="B141" s="161">
        <v>129</v>
      </c>
      <c r="C141" s="128">
        <v>1549</v>
      </c>
      <c r="D141" s="128">
        <v>5.12</v>
      </c>
      <c r="E141" s="121">
        <v>788828.33</v>
      </c>
      <c r="F141" s="121">
        <f t="shared" si="31"/>
        <v>788828.33</v>
      </c>
      <c r="G141" s="121"/>
      <c r="H141" s="121"/>
      <c r="I141" s="121"/>
      <c r="J141" s="121">
        <f t="shared" si="35"/>
        <v>157765.666</v>
      </c>
      <c r="K141" s="128" t="s">
        <v>1365</v>
      </c>
      <c r="L141" s="162">
        <f t="shared" si="36"/>
        <v>0</v>
      </c>
      <c r="M141" s="130"/>
      <c r="N141" s="130"/>
      <c r="O141" s="130"/>
      <c r="P141" s="130"/>
      <c r="Q141" s="130"/>
      <c r="R141" s="130"/>
      <c r="S141" s="130"/>
      <c r="T141" s="130"/>
      <c r="U141" s="130"/>
      <c r="V141" s="59"/>
      <c r="W141" s="59"/>
    </row>
    <row r="142" spans="1:23" ht="12.75">
      <c r="A142" s="61"/>
      <c r="B142" s="161">
        <v>130</v>
      </c>
      <c r="C142" s="128">
        <v>1567</v>
      </c>
      <c r="D142" s="128">
        <v>7.12</v>
      </c>
      <c r="E142" s="121">
        <v>855369.17</v>
      </c>
      <c r="F142" s="121">
        <f t="shared" si="31"/>
        <v>855369.17</v>
      </c>
      <c r="G142" s="121"/>
      <c r="H142" s="121"/>
      <c r="I142" s="121"/>
      <c r="J142" s="121">
        <f t="shared" si="35"/>
        <v>171073.83400000003</v>
      </c>
      <c r="K142" s="128" t="s">
        <v>1362</v>
      </c>
      <c r="L142" s="162">
        <f t="shared" si="36"/>
        <v>0</v>
      </c>
      <c r="M142" s="130"/>
      <c r="N142" s="130"/>
      <c r="O142" s="130"/>
      <c r="P142" s="130"/>
      <c r="Q142" s="130"/>
      <c r="R142" s="130"/>
      <c r="S142" s="130"/>
      <c r="T142" s="130"/>
      <c r="U142" s="130"/>
      <c r="V142" s="59"/>
      <c r="W142" s="59"/>
    </row>
    <row r="143" spans="1:23" ht="12.75">
      <c r="A143" s="61"/>
      <c r="B143" s="161">
        <v>131</v>
      </c>
      <c r="C143" s="128">
        <v>1575</v>
      </c>
      <c r="D143" s="128">
        <v>10.12</v>
      </c>
      <c r="E143" s="121">
        <v>1090833</v>
      </c>
      <c r="F143" s="121">
        <f t="shared" si="31"/>
        <v>1090833</v>
      </c>
      <c r="G143" s="121"/>
      <c r="H143" s="121"/>
      <c r="I143" s="121"/>
      <c r="J143" s="121">
        <f t="shared" si="35"/>
        <v>218166.6</v>
      </c>
      <c r="K143" s="128" t="s">
        <v>1365</v>
      </c>
      <c r="L143" s="162">
        <f t="shared" si="36"/>
        <v>0</v>
      </c>
      <c r="M143" s="130"/>
      <c r="N143" s="130"/>
      <c r="O143" s="130"/>
      <c r="P143" s="130"/>
      <c r="Q143" s="130"/>
      <c r="R143" s="130"/>
      <c r="S143" s="130"/>
      <c r="T143" s="130"/>
      <c r="U143" s="130"/>
      <c r="V143" s="59"/>
      <c r="W143" s="59"/>
    </row>
    <row r="144" spans="1:23" ht="12.75">
      <c r="A144" s="61"/>
      <c r="B144" s="161">
        <v>132</v>
      </c>
      <c r="C144" s="128">
        <v>1588</v>
      </c>
      <c r="D144" s="128">
        <v>14.12</v>
      </c>
      <c r="E144" s="121">
        <v>1165321.67</v>
      </c>
      <c r="F144" s="121">
        <f t="shared" si="31"/>
        <v>1165321.67</v>
      </c>
      <c r="G144" s="121"/>
      <c r="H144" s="121"/>
      <c r="I144" s="121"/>
      <c r="J144" s="121">
        <f t="shared" si="35"/>
        <v>233064.334</v>
      </c>
      <c r="K144" s="128" t="s">
        <v>1365</v>
      </c>
      <c r="L144" s="162">
        <f t="shared" si="36"/>
        <v>0</v>
      </c>
      <c r="M144" s="130"/>
      <c r="N144" s="130"/>
      <c r="O144" s="130"/>
      <c r="P144" s="130"/>
      <c r="Q144" s="130"/>
      <c r="R144" s="130"/>
      <c r="S144" s="130"/>
      <c r="T144" s="130"/>
      <c r="U144" s="130"/>
      <c r="V144" s="59"/>
      <c r="W144" s="59"/>
    </row>
    <row r="145" spans="1:23" ht="12.75">
      <c r="A145" s="61"/>
      <c r="B145" s="161">
        <v>133</v>
      </c>
      <c r="C145" s="128">
        <v>1596</v>
      </c>
      <c r="D145" s="128">
        <v>17.12</v>
      </c>
      <c r="E145" s="121">
        <v>1943086</v>
      </c>
      <c r="F145" s="121">
        <f t="shared" si="31"/>
        <v>1943086</v>
      </c>
      <c r="G145" s="121"/>
      <c r="H145" s="121"/>
      <c r="I145" s="121"/>
      <c r="J145" s="121">
        <f t="shared" si="35"/>
        <v>388617.2</v>
      </c>
      <c r="K145" s="128" t="s">
        <v>1612</v>
      </c>
      <c r="L145" s="162">
        <f t="shared" si="36"/>
        <v>0</v>
      </c>
      <c r="M145" s="130"/>
      <c r="N145" s="130"/>
      <c r="O145" s="130"/>
      <c r="P145" s="130"/>
      <c r="Q145" s="130"/>
      <c r="R145" s="130"/>
      <c r="S145" s="130"/>
      <c r="T145" s="130"/>
      <c r="U145" s="130"/>
      <c r="V145" s="59"/>
      <c r="W145" s="59"/>
    </row>
    <row r="146" spans="1:23" ht="12.75">
      <c r="A146" s="61"/>
      <c r="B146" s="161">
        <v>134</v>
      </c>
      <c r="C146" s="128">
        <v>1605</v>
      </c>
      <c r="D146" s="128">
        <v>19.12</v>
      </c>
      <c r="E146" s="121">
        <v>836980.83</v>
      </c>
      <c r="F146" s="121">
        <f t="shared" si="31"/>
        <v>836980.83</v>
      </c>
      <c r="G146" s="121"/>
      <c r="H146" s="121"/>
      <c r="I146" s="121"/>
      <c r="J146" s="121">
        <f t="shared" si="35"/>
        <v>167396.166</v>
      </c>
      <c r="K146" s="128" t="s">
        <v>1365</v>
      </c>
      <c r="L146" s="162">
        <f t="shared" si="36"/>
        <v>0</v>
      </c>
      <c r="M146" s="130"/>
      <c r="N146" s="130"/>
      <c r="O146" s="130"/>
      <c r="P146" s="130"/>
      <c r="Q146" s="130"/>
      <c r="R146" s="130"/>
      <c r="S146" s="130"/>
      <c r="T146" s="130"/>
      <c r="U146" s="130"/>
      <c r="V146" s="59"/>
      <c r="W146" s="59"/>
    </row>
    <row r="147" spans="1:23" ht="12.75">
      <c r="A147" s="61"/>
      <c r="B147" s="161">
        <v>135</v>
      </c>
      <c r="C147" s="128">
        <v>1609</v>
      </c>
      <c r="D147" s="128">
        <v>20.12</v>
      </c>
      <c r="E147" s="121">
        <v>858953.33</v>
      </c>
      <c r="F147" s="121">
        <f t="shared" si="31"/>
        <v>858953.33</v>
      </c>
      <c r="G147" s="121"/>
      <c r="H147" s="121"/>
      <c r="I147" s="121"/>
      <c r="J147" s="121">
        <f t="shared" si="35"/>
        <v>171790.666</v>
      </c>
      <c r="K147" s="128" t="s">
        <v>1362</v>
      </c>
      <c r="L147" s="162">
        <f t="shared" si="36"/>
        <v>0</v>
      </c>
      <c r="M147" s="130"/>
      <c r="N147" s="130"/>
      <c r="O147" s="130"/>
      <c r="P147" s="130"/>
      <c r="Q147" s="130"/>
      <c r="R147" s="130"/>
      <c r="S147" s="130"/>
      <c r="T147" s="130"/>
      <c r="U147" s="130"/>
      <c r="V147" s="59"/>
      <c r="W147" s="59"/>
    </row>
    <row r="148" spans="1:23" ht="12.75">
      <c r="A148" s="61"/>
      <c r="B148" s="161">
        <v>136</v>
      </c>
      <c r="C148" s="128">
        <v>1638</v>
      </c>
      <c r="D148" s="128">
        <v>28.12</v>
      </c>
      <c r="E148" s="121">
        <v>1012137.5</v>
      </c>
      <c r="F148" s="121">
        <f t="shared" si="31"/>
        <v>1012137.5</v>
      </c>
      <c r="G148" s="121"/>
      <c r="H148" s="121"/>
      <c r="I148" s="121"/>
      <c r="J148" s="121">
        <f t="shared" si="35"/>
        <v>202427.5</v>
      </c>
      <c r="K148" s="128" t="s">
        <v>1362</v>
      </c>
      <c r="L148" s="162">
        <f t="shared" si="36"/>
        <v>0</v>
      </c>
      <c r="M148" s="130"/>
      <c r="N148" s="130"/>
      <c r="O148" s="130"/>
      <c r="P148" s="130"/>
      <c r="Q148" s="130"/>
      <c r="R148" s="130"/>
      <c r="S148" s="130"/>
      <c r="T148" s="130"/>
      <c r="U148" s="130"/>
      <c r="V148" s="59"/>
      <c r="W148" s="59"/>
    </row>
    <row r="149" spans="1:23" ht="12.75">
      <c r="A149" s="61"/>
      <c r="B149" s="161">
        <v>137</v>
      </c>
      <c r="C149" s="1231">
        <v>71</v>
      </c>
      <c r="D149" s="1231">
        <v>30.12</v>
      </c>
      <c r="E149" s="1232">
        <v>3769496</v>
      </c>
      <c r="F149" s="1232">
        <f t="shared" si="31"/>
        <v>3769496</v>
      </c>
      <c r="G149" s="1232"/>
      <c r="H149" s="1232"/>
      <c r="I149" s="1232"/>
      <c r="J149" s="1232">
        <f t="shared" si="35"/>
        <v>753899.2000000001</v>
      </c>
      <c r="K149" s="1231" t="s">
        <v>1367</v>
      </c>
      <c r="L149" s="162">
        <f t="shared" si="36"/>
        <v>0</v>
      </c>
      <c r="M149" s="130"/>
      <c r="N149" s="130"/>
      <c r="O149" s="130"/>
      <c r="P149" s="130"/>
      <c r="Q149" s="130"/>
      <c r="R149" s="130"/>
      <c r="S149" s="130"/>
      <c r="T149" s="130"/>
      <c r="U149" s="130"/>
      <c r="V149" s="59"/>
      <c r="W149" s="59"/>
    </row>
    <row r="150" spans="1:23" ht="13.5" thickBot="1">
      <c r="A150" s="61"/>
      <c r="B150" s="161">
        <v>138</v>
      </c>
      <c r="C150" s="1233">
        <v>76</v>
      </c>
      <c r="D150" s="1233">
        <v>31.12</v>
      </c>
      <c r="E150" s="1234">
        <v>6538246</v>
      </c>
      <c r="F150" s="1234">
        <f t="shared" si="31"/>
        <v>6538246</v>
      </c>
      <c r="G150" s="1234"/>
      <c r="H150" s="1234"/>
      <c r="I150" s="1234"/>
      <c r="J150" s="1234">
        <f t="shared" si="35"/>
        <v>1307649.2000000002</v>
      </c>
      <c r="K150" s="1233" t="s">
        <v>1367</v>
      </c>
      <c r="L150" s="1078">
        <f t="shared" si="36"/>
        <v>0</v>
      </c>
      <c r="M150" s="130"/>
      <c r="N150" s="130"/>
      <c r="O150" s="130"/>
      <c r="P150" s="130"/>
      <c r="Q150" s="130"/>
      <c r="R150" s="130"/>
      <c r="S150" s="130"/>
      <c r="T150" s="130"/>
      <c r="U150" s="130"/>
      <c r="V150" s="59"/>
      <c r="W150" s="59"/>
    </row>
    <row r="151" spans="1:23" ht="13.5" thickBot="1">
      <c r="A151" s="61"/>
      <c r="B151" s="161">
        <v>139</v>
      </c>
      <c r="C151" s="1445" t="s">
        <v>219</v>
      </c>
      <c r="D151" s="1446"/>
      <c r="E151" s="1236">
        <f>SUM(E138:E150)</f>
        <v>19972053.189999998</v>
      </c>
      <c r="F151" s="1236">
        <f t="shared" si="31"/>
        <v>19972053.189999998</v>
      </c>
      <c r="G151" s="1236"/>
      <c r="H151" s="1236"/>
      <c r="I151" s="1236"/>
      <c r="J151" s="1236">
        <f t="shared" si="35"/>
        <v>3994410.638</v>
      </c>
      <c r="K151" s="1235"/>
      <c r="L151" s="1267">
        <f t="shared" si="36"/>
        <v>0</v>
      </c>
      <c r="M151" s="130"/>
      <c r="N151" s="130"/>
      <c r="O151" s="130"/>
      <c r="P151" s="130"/>
      <c r="Q151" s="130"/>
      <c r="R151" s="130"/>
      <c r="S151" s="130"/>
      <c r="T151" s="130"/>
      <c r="U151" s="130"/>
      <c r="V151" s="59"/>
      <c r="W151" s="59"/>
    </row>
    <row r="152" spans="1:23" ht="13.5" thickBot="1">
      <c r="A152" s="61"/>
      <c r="B152" s="161">
        <v>140</v>
      </c>
      <c r="C152" s="1263"/>
      <c r="D152" s="1264"/>
      <c r="E152" s="1265"/>
      <c r="F152" s="1265"/>
      <c r="G152" s="1265"/>
      <c r="H152" s="1265"/>
      <c r="I152" s="1265"/>
      <c r="J152" s="1265"/>
      <c r="K152" s="1264"/>
      <c r="L152" s="1266">
        <f t="shared" si="36"/>
        <v>0</v>
      </c>
      <c r="M152" s="130"/>
      <c r="N152" s="130"/>
      <c r="O152" s="130"/>
      <c r="P152" s="130"/>
      <c r="Q152" s="130"/>
      <c r="R152" s="130"/>
      <c r="S152" s="130"/>
      <c r="T152" s="130"/>
      <c r="U152" s="130"/>
      <c r="V152" s="59"/>
      <c r="W152" s="59"/>
    </row>
    <row r="153" spans="1:23" ht="12.75">
      <c r="A153" s="61"/>
      <c r="B153" s="339"/>
      <c r="C153" s="339"/>
      <c r="D153" s="339"/>
      <c r="E153" s="340"/>
      <c r="F153" s="340"/>
      <c r="G153" s="340"/>
      <c r="H153" s="340"/>
      <c r="I153" s="340"/>
      <c r="J153" s="340"/>
      <c r="K153" s="339"/>
      <c r="L153" s="340"/>
      <c r="M153" s="130"/>
      <c r="N153" s="130"/>
      <c r="O153" s="130"/>
      <c r="P153" s="130"/>
      <c r="Q153" s="130"/>
      <c r="R153" s="130"/>
      <c r="S153" s="130"/>
      <c r="T153" s="130"/>
      <c r="U153" s="130"/>
      <c r="V153" s="59"/>
      <c r="W153" s="59"/>
    </row>
    <row r="154" spans="1:23" ht="12.75">
      <c r="A154" s="61"/>
      <c r="B154" s="339"/>
      <c r="C154" s="339"/>
      <c r="D154" s="339"/>
      <c r="E154" s="340"/>
      <c r="F154" s="340"/>
      <c r="G154" s="340"/>
      <c r="H154" s="340"/>
      <c r="I154" s="340"/>
      <c r="J154" s="340"/>
      <c r="K154" s="339"/>
      <c r="L154" s="340"/>
      <c r="M154" s="130"/>
      <c r="N154" s="130"/>
      <c r="O154" s="130"/>
      <c r="P154" s="130"/>
      <c r="Q154" s="130"/>
      <c r="R154" s="130"/>
      <c r="S154" s="130"/>
      <c r="T154" s="130"/>
      <c r="U154" s="130"/>
      <c r="V154" s="59"/>
      <c r="W154" s="59"/>
    </row>
    <row r="155" spans="1:23" ht="12.75">
      <c r="A155" s="61"/>
      <c r="B155" s="339"/>
      <c r="C155" s="339"/>
      <c r="D155" s="339"/>
      <c r="E155" s="340"/>
      <c r="F155" s="340"/>
      <c r="G155" s="340"/>
      <c r="H155" s="340"/>
      <c r="I155" s="340"/>
      <c r="J155" s="340"/>
      <c r="K155" s="339"/>
      <c r="L155" s="340"/>
      <c r="M155" s="130"/>
      <c r="N155" s="130"/>
      <c r="O155" s="130"/>
      <c r="P155" s="130"/>
      <c r="Q155" s="130"/>
      <c r="R155" s="130"/>
      <c r="S155" s="130"/>
      <c r="T155" s="130"/>
      <c r="U155" s="130"/>
      <c r="V155" s="59"/>
      <c r="W155" s="59"/>
    </row>
    <row r="156" spans="1:23" ht="12.75">
      <c r="A156" s="61"/>
      <c r="B156" s="339"/>
      <c r="C156" s="339"/>
      <c r="D156" s="339"/>
      <c r="E156" s="340"/>
      <c r="F156" s="340"/>
      <c r="G156" s="340"/>
      <c r="H156" s="340"/>
      <c r="I156" s="340"/>
      <c r="J156" s="340"/>
      <c r="K156" s="339"/>
      <c r="L156" s="340"/>
      <c r="M156" s="130"/>
      <c r="N156" s="130"/>
      <c r="O156" s="130"/>
      <c r="P156" s="130"/>
      <c r="Q156" s="130"/>
      <c r="R156" s="130"/>
      <c r="S156" s="130"/>
      <c r="T156" s="130"/>
      <c r="U156" s="130"/>
      <c r="V156" s="59"/>
      <c r="W156" s="59"/>
    </row>
    <row r="157" spans="1:23" ht="12.75">
      <c r="A157" s="61"/>
      <c r="B157" s="339"/>
      <c r="C157" s="339"/>
      <c r="D157" s="339"/>
      <c r="E157" s="340"/>
      <c r="F157" s="340"/>
      <c r="G157" s="340"/>
      <c r="H157" s="340"/>
      <c r="I157" s="340"/>
      <c r="J157" s="340"/>
      <c r="K157" s="339"/>
      <c r="L157" s="340"/>
      <c r="M157" s="130"/>
      <c r="N157" s="130"/>
      <c r="O157" s="130"/>
      <c r="P157" s="130"/>
      <c r="Q157" s="130"/>
      <c r="R157" s="130"/>
      <c r="S157" s="130"/>
      <c r="T157" s="130"/>
      <c r="U157" s="130"/>
      <c r="V157" s="59"/>
      <c r="W157" s="59"/>
    </row>
    <row r="158" spans="1:23" ht="12.75">
      <c r="A158" s="61"/>
      <c r="B158" s="339"/>
      <c r="C158" s="339"/>
      <c r="D158" s="339"/>
      <c r="E158" s="340"/>
      <c r="F158" s="340"/>
      <c r="G158" s="340"/>
      <c r="H158" s="340"/>
      <c r="I158" s="340"/>
      <c r="J158" s="340"/>
      <c r="K158" s="339"/>
      <c r="L158" s="340"/>
      <c r="M158" s="130"/>
      <c r="N158" s="130"/>
      <c r="O158" s="130"/>
      <c r="P158" s="130"/>
      <c r="Q158" s="130"/>
      <c r="R158" s="130"/>
      <c r="S158" s="130"/>
      <c r="T158" s="130"/>
      <c r="U158" s="130"/>
      <c r="V158" s="59"/>
      <c r="W158" s="59"/>
    </row>
    <row r="159" spans="1:23" ht="12.75">
      <c r="A159" s="61"/>
      <c r="B159" s="339"/>
      <c r="C159" s="339"/>
      <c r="D159" s="339"/>
      <c r="E159" s="340"/>
      <c r="F159" s="340"/>
      <c r="G159" s="340"/>
      <c r="H159" s="340"/>
      <c r="I159" s="340"/>
      <c r="J159" s="340"/>
      <c r="K159" s="339"/>
      <c r="L159" s="340"/>
      <c r="M159" s="130"/>
      <c r="N159" s="130"/>
      <c r="O159" s="130"/>
      <c r="P159" s="130"/>
      <c r="Q159" s="130"/>
      <c r="R159" s="130"/>
      <c r="S159" s="130"/>
      <c r="T159" s="130"/>
      <c r="U159" s="130"/>
      <c r="V159" s="59"/>
      <c r="W159" s="59"/>
    </row>
    <row r="160" spans="1:23" ht="12.75">
      <c r="A160" s="61"/>
      <c r="B160" s="339"/>
      <c r="C160" s="339"/>
      <c r="D160" s="339"/>
      <c r="E160" s="340"/>
      <c r="F160" s="340"/>
      <c r="G160" s="340"/>
      <c r="H160" s="340"/>
      <c r="I160" s="340"/>
      <c r="J160" s="340"/>
      <c r="K160" s="339"/>
      <c r="L160" s="340"/>
      <c r="M160" s="130"/>
      <c r="N160" s="130"/>
      <c r="O160" s="130"/>
      <c r="P160" s="130"/>
      <c r="Q160" s="130"/>
      <c r="R160" s="130"/>
      <c r="S160" s="130"/>
      <c r="T160" s="130"/>
      <c r="U160" s="130"/>
      <c r="V160" s="59"/>
      <c r="W160" s="59"/>
    </row>
    <row r="161" spans="1:23" ht="12.75">
      <c r="A161" s="61"/>
      <c r="B161" s="339"/>
      <c r="C161" s="339"/>
      <c r="D161" s="339"/>
      <c r="E161" s="340"/>
      <c r="F161" s="340"/>
      <c r="G161" s="340"/>
      <c r="H161" s="340"/>
      <c r="I161" s="340"/>
      <c r="J161" s="340"/>
      <c r="K161" s="339"/>
      <c r="L161" s="340"/>
      <c r="M161" s="130"/>
      <c r="N161" s="130"/>
      <c r="O161" s="130"/>
      <c r="P161" s="130"/>
      <c r="Q161" s="130"/>
      <c r="R161" s="130"/>
      <c r="S161" s="130"/>
      <c r="T161" s="130"/>
      <c r="U161" s="130"/>
      <c r="V161" s="59"/>
      <c r="W161" s="59"/>
    </row>
    <row r="162" spans="1:23" ht="12.75">
      <c r="A162" s="61"/>
      <c r="B162" s="339"/>
      <c r="C162" s="339"/>
      <c r="D162" s="339"/>
      <c r="E162" s="340"/>
      <c r="F162" s="340"/>
      <c r="G162" s="340"/>
      <c r="H162" s="340"/>
      <c r="I162" s="340"/>
      <c r="J162" s="340"/>
      <c r="K162" s="339"/>
      <c r="L162" s="340"/>
      <c r="M162" s="130"/>
      <c r="N162" s="130"/>
      <c r="O162" s="130"/>
      <c r="P162" s="130"/>
      <c r="Q162" s="130"/>
      <c r="R162" s="130"/>
      <c r="S162" s="130"/>
      <c r="T162" s="130"/>
      <c r="U162" s="130"/>
      <c r="V162" s="59"/>
      <c r="W162" s="59"/>
    </row>
    <row r="163" spans="1:23" ht="12.75">
      <c r="A163" s="61"/>
      <c r="B163" s="339"/>
      <c r="C163" s="339"/>
      <c r="D163" s="339"/>
      <c r="E163" s="340"/>
      <c r="F163" s="340"/>
      <c r="G163" s="340"/>
      <c r="H163" s="340"/>
      <c r="I163" s="340"/>
      <c r="J163" s="340"/>
      <c r="K163" s="339"/>
      <c r="L163" s="340"/>
      <c r="M163" s="130"/>
      <c r="N163" s="130"/>
      <c r="O163" s="130"/>
      <c r="P163" s="130"/>
      <c r="Q163" s="130"/>
      <c r="R163" s="130"/>
      <c r="S163" s="130"/>
      <c r="T163" s="130"/>
      <c r="U163" s="130"/>
      <c r="V163" s="59"/>
      <c r="W163" s="59"/>
    </row>
    <row r="164" spans="1:23" ht="12.75">
      <c r="A164" s="61"/>
      <c r="B164" s="339"/>
      <c r="C164" s="339"/>
      <c r="D164" s="339"/>
      <c r="E164" s="340"/>
      <c r="F164" s="340"/>
      <c r="G164" s="340"/>
      <c r="H164" s="340"/>
      <c r="I164" s="340"/>
      <c r="J164" s="340"/>
      <c r="K164" s="339"/>
      <c r="L164" s="340"/>
      <c r="M164" s="130"/>
      <c r="N164" s="130"/>
      <c r="O164" s="130"/>
      <c r="P164" s="130"/>
      <c r="Q164" s="130"/>
      <c r="R164" s="130"/>
      <c r="S164" s="130"/>
      <c r="T164" s="130"/>
      <c r="U164" s="130"/>
      <c r="V164" s="59"/>
      <c r="W164" s="59"/>
    </row>
    <row r="165" spans="1:23" ht="12.75">
      <c r="A165" s="61"/>
      <c r="B165" s="339"/>
      <c r="C165" s="339"/>
      <c r="D165" s="339"/>
      <c r="E165" s="340"/>
      <c r="F165" s="340"/>
      <c r="G165" s="340"/>
      <c r="H165" s="340"/>
      <c r="I165" s="340"/>
      <c r="J165" s="340"/>
      <c r="K165" s="339"/>
      <c r="L165" s="340"/>
      <c r="M165" s="130"/>
      <c r="N165" s="130"/>
      <c r="O165" s="130"/>
      <c r="P165" s="130"/>
      <c r="Q165" s="130"/>
      <c r="R165" s="130"/>
      <c r="S165" s="130"/>
      <c r="T165" s="130"/>
      <c r="U165" s="130"/>
      <c r="V165" s="59"/>
      <c r="W165" s="59"/>
    </row>
    <row r="166" spans="1:23" ht="12.75">
      <c r="A166" s="61"/>
      <c r="B166" s="339"/>
      <c r="C166" s="339"/>
      <c r="D166" s="339"/>
      <c r="E166" s="340"/>
      <c r="F166" s="340"/>
      <c r="G166" s="340"/>
      <c r="H166" s="340"/>
      <c r="I166" s="340"/>
      <c r="J166" s="340"/>
      <c r="K166" s="339"/>
      <c r="L166" s="340"/>
      <c r="M166" s="130"/>
      <c r="N166" s="130"/>
      <c r="O166" s="130"/>
      <c r="P166" s="130"/>
      <c r="Q166" s="130"/>
      <c r="R166" s="130"/>
      <c r="S166" s="130"/>
      <c r="T166" s="130"/>
      <c r="U166" s="130"/>
      <c r="V166" s="59"/>
      <c r="W166" s="59"/>
    </row>
    <row r="167" spans="1:23" ht="12.75">
      <c r="A167" s="61"/>
      <c r="B167" s="339"/>
      <c r="C167" s="339"/>
      <c r="D167" s="339"/>
      <c r="E167" s="340"/>
      <c r="F167" s="340"/>
      <c r="G167" s="340"/>
      <c r="H167" s="340"/>
      <c r="I167" s="340"/>
      <c r="J167" s="340"/>
      <c r="K167" s="339"/>
      <c r="L167" s="340"/>
      <c r="M167" s="130"/>
      <c r="N167" s="130"/>
      <c r="O167" s="130"/>
      <c r="P167" s="130"/>
      <c r="Q167" s="130"/>
      <c r="R167" s="130"/>
      <c r="S167" s="130"/>
      <c r="T167" s="130"/>
      <c r="U167" s="130"/>
      <c r="V167" s="59"/>
      <c r="W167" s="59"/>
    </row>
    <row r="168" spans="1:23" ht="12.75">
      <c r="A168" s="61"/>
      <c r="B168" s="339"/>
      <c r="C168" s="339"/>
      <c r="D168" s="339"/>
      <c r="E168" s="340"/>
      <c r="F168" s="340"/>
      <c r="G168" s="340"/>
      <c r="H168" s="340"/>
      <c r="I168" s="340"/>
      <c r="J168" s="340"/>
      <c r="K168" s="339"/>
      <c r="L168" s="340"/>
      <c r="M168" s="130"/>
      <c r="N168" s="130"/>
      <c r="O168" s="130"/>
      <c r="P168" s="130"/>
      <c r="Q168" s="130"/>
      <c r="R168" s="130"/>
      <c r="S168" s="130"/>
      <c r="T168" s="130"/>
      <c r="U168" s="130"/>
      <c r="V168" s="59"/>
      <c r="W168" s="59"/>
    </row>
    <row r="169" spans="1:23" ht="12.75">
      <c r="A169" s="61"/>
      <c r="B169" s="339"/>
      <c r="C169" s="339"/>
      <c r="D169" s="339"/>
      <c r="E169" s="340"/>
      <c r="F169" s="340"/>
      <c r="G169" s="340"/>
      <c r="H169" s="340"/>
      <c r="I169" s="340"/>
      <c r="J169" s="340"/>
      <c r="K169" s="339"/>
      <c r="L169" s="340"/>
      <c r="M169" s="130"/>
      <c r="N169" s="130"/>
      <c r="O169" s="130"/>
      <c r="P169" s="130"/>
      <c r="Q169" s="130"/>
      <c r="R169" s="130"/>
      <c r="S169" s="130"/>
      <c r="T169" s="130"/>
      <c r="U169" s="130"/>
      <c r="V169" s="59"/>
      <c r="W169" s="59"/>
    </row>
    <row r="170" spans="1:23" ht="12.75">
      <c r="A170" s="61"/>
      <c r="B170" s="339"/>
      <c r="C170" s="339"/>
      <c r="D170" s="339"/>
      <c r="E170" s="340"/>
      <c r="F170" s="340"/>
      <c r="G170" s="340"/>
      <c r="H170" s="340"/>
      <c r="I170" s="340"/>
      <c r="J170" s="340"/>
      <c r="K170" s="339"/>
      <c r="L170" s="340"/>
      <c r="M170" s="130"/>
      <c r="N170" s="130"/>
      <c r="O170" s="130"/>
      <c r="P170" s="130"/>
      <c r="Q170" s="130"/>
      <c r="R170" s="130"/>
      <c r="S170" s="130"/>
      <c r="T170" s="130"/>
      <c r="U170" s="130"/>
      <c r="V170" s="59"/>
      <c r="W170" s="59"/>
    </row>
    <row r="171" spans="1:23" ht="12.75">
      <c r="A171" s="61"/>
      <c r="B171" s="339"/>
      <c r="C171" s="339"/>
      <c r="D171" s="339"/>
      <c r="E171" s="340"/>
      <c r="F171" s="340"/>
      <c r="G171" s="340"/>
      <c r="H171" s="340"/>
      <c r="I171" s="340"/>
      <c r="J171" s="340"/>
      <c r="K171" s="339"/>
      <c r="L171" s="340"/>
      <c r="M171" s="130"/>
      <c r="N171" s="130"/>
      <c r="O171" s="130"/>
      <c r="P171" s="130"/>
      <c r="Q171" s="130"/>
      <c r="R171" s="130"/>
      <c r="S171" s="130"/>
      <c r="T171" s="130"/>
      <c r="U171" s="130"/>
      <c r="V171" s="59"/>
      <c r="W171" s="59"/>
    </row>
    <row r="172" spans="1:23" ht="12.75">
      <c r="A172" s="61"/>
      <c r="B172" s="339"/>
      <c r="C172" s="339"/>
      <c r="D172" s="339"/>
      <c r="E172" s="340"/>
      <c r="F172" s="340"/>
      <c r="G172" s="340"/>
      <c r="H172" s="340"/>
      <c r="I172" s="340"/>
      <c r="J172" s="340"/>
      <c r="K172" s="339"/>
      <c r="L172" s="340"/>
      <c r="M172" s="130"/>
      <c r="N172" s="130"/>
      <c r="O172" s="130"/>
      <c r="P172" s="130"/>
      <c r="Q172" s="130"/>
      <c r="R172" s="130"/>
      <c r="S172" s="130"/>
      <c r="T172" s="130"/>
      <c r="U172" s="130"/>
      <c r="V172" s="59"/>
      <c r="W172" s="59"/>
    </row>
    <row r="173" spans="1:23" ht="12.75">
      <c r="A173" s="61"/>
      <c r="B173" s="339"/>
      <c r="C173" s="339"/>
      <c r="D173" s="339"/>
      <c r="E173" s="340"/>
      <c r="F173" s="340"/>
      <c r="G173" s="340"/>
      <c r="H173" s="340"/>
      <c r="I173" s="340"/>
      <c r="J173" s="340"/>
      <c r="K173" s="339"/>
      <c r="L173" s="340"/>
      <c r="M173" s="130"/>
      <c r="N173" s="130"/>
      <c r="O173" s="130"/>
      <c r="P173" s="130"/>
      <c r="Q173" s="130"/>
      <c r="R173" s="130"/>
      <c r="S173" s="130"/>
      <c r="T173" s="130"/>
      <c r="U173" s="130"/>
      <c r="V173" s="59"/>
      <c r="W173" s="59"/>
    </row>
    <row r="174" spans="1:23" ht="12.75">
      <c r="A174" s="61"/>
      <c r="B174" s="339"/>
      <c r="C174" s="339"/>
      <c r="D174" s="339"/>
      <c r="E174" s="340"/>
      <c r="F174" s="340"/>
      <c r="G174" s="340"/>
      <c r="H174" s="340"/>
      <c r="I174" s="340"/>
      <c r="J174" s="340"/>
      <c r="K174" s="339"/>
      <c r="L174" s="340"/>
      <c r="M174" s="130"/>
      <c r="N174" s="130"/>
      <c r="O174" s="130"/>
      <c r="P174" s="130"/>
      <c r="Q174" s="130"/>
      <c r="R174" s="130"/>
      <c r="S174" s="130"/>
      <c r="T174" s="130"/>
      <c r="U174" s="130"/>
      <c r="V174" s="59"/>
      <c r="W174" s="59"/>
    </row>
    <row r="175" spans="1:23" ht="12.75">
      <c r="A175" s="61"/>
      <c r="B175" s="339"/>
      <c r="C175" s="339"/>
      <c r="D175" s="339"/>
      <c r="E175" s="340"/>
      <c r="F175" s="340"/>
      <c r="G175" s="340"/>
      <c r="H175" s="340"/>
      <c r="I175" s="340"/>
      <c r="J175" s="340"/>
      <c r="K175" s="339"/>
      <c r="L175" s="340"/>
      <c r="M175" s="130"/>
      <c r="N175" s="130"/>
      <c r="O175" s="130"/>
      <c r="P175" s="130"/>
      <c r="Q175" s="130"/>
      <c r="R175" s="130"/>
      <c r="S175" s="130"/>
      <c r="T175" s="130"/>
      <c r="U175" s="130"/>
      <c r="V175" s="59"/>
      <c r="W175" s="59"/>
    </row>
    <row r="176" spans="1:23" ht="12.75">
      <c r="A176" s="61"/>
      <c r="B176" s="339"/>
      <c r="C176" s="339"/>
      <c r="D176" s="339"/>
      <c r="E176" s="340"/>
      <c r="F176" s="340"/>
      <c r="G176" s="340"/>
      <c r="H176" s="340"/>
      <c r="I176" s="340"/>
      <c r="J176" s="340"/>
      <c r="K176" s="339"/>
      <c r="L176" s="340"/>
      <c r="M176" s="130"/>
      <c r="N176" s="130"/>
      <c r="O176" s="130"/>
      <c r="P176" s="130"/>
      <c r="Q176" s="130"/>
      <c r="R176" s="130"/>
      <c r="S176" s="130"/>
      <c r="T176" s="130"/>
      <c r="U176" s="130"/>
      <c r="V176" s="59"/>
      <c r="W176" s="59"/>
    </row>
    <row r="177" spans="1:23" ht="12.75">
      <c r="A177" s="61"/>
      <c r="B177" s="339"/>
      <c r="C177" s="339"/>
      <c r="D177" s="339"/>
      <c r="E177" s="340"/>
      <c r="F177" s="340"/>
      <c r="G177" s="340"/>
      <c r="H177" s="340"/>
      <c r="I177" s="340"/>
      <c r="J177" s="340"/>
      <c r="K177" s="339"/>
      <c r="L177" s="340"/>
      <c r="M177" s="130"/>
      <c r="N177" s="130"/>
      <c r="O177" s="130"/>
      <c r="P177" s="130"/>
      <c r="Q177" s="130"/>
      <c r="R177" s="130"/>
      <c r="S177" s="130"/>
      <c r="T177" s="130"/>
      <c r="U177" s="130"/>
      <c r="V177" s="59"/>
      <c r="W177" s="59"/>
    </row>
    <row r="178" spans="1:23" ht="12.75">
      <c r="A178" s="61"/>
      <c r="B178" s="339"/>
      <c r="C178" s="339"/>
      <c r="D178" s="339"/>
      <c r="E178" s="340"/>
      <c r="F178" s="340"/>
      <c r="G178" s="340"/>
      <c r="H178" s="340"/>
      <c r="I178" s="340"/>
      <c r="J178" s="340"/>
      <c r="K178" s="339"/>
      <c r="L178" s="340"/>
      <c r="M178" s="130"/>
      <c r="N178" s="130"/>
      <c r="O178" s="130"/>
      <c r="P178" s="130"/>
      <c r="Q178" s="130"/>
      <c r="R178" s="130"/>
      <c r="S178" s="130"/>
      <c r="T178" s="130"/>
      <c r="U178" s="130"/>
      <c r="V178" s="59"/>
      <c r="W178" s="59"/>
    </row>
    <row r="179" spans="1:23" ht="12.75">
      <c r="A179" s="61"/>
      <c r="B179" s="339"/>
      <c r="C179" s="339"/>
      <c r="D179" s="339"/>
      <c r="E179" s="340"/>
      <c r="F179" s="340"/>
      <c r="G179" s="340"/>
      <c r="H179" s="340"/>
      <c r="I179" s="340"/>
      <c r="J179" s="340"/>
      <c r="K179" s="339"/>
      <c r="L179" s="340"/>
      <c r="M179" s="130"/>
      <c r="N179" s="130"/>
      <c r="O179" s="130"/>
      <c r="P179" s="130"/>
      <c r="Q179" s="130"/>
      <c r="R179" s="130"/>
      <c r="S179" s="130"/>
      <c r="T179" s="130"/>
      <c r="U179" s="130"/>
      <c r="V179" s="59"/>
      <c r="W179" s="59"/>
    </row>
    <row r="180" spans="1:23" ht="12.75">
      <c r="A180" s="61"/>
      <c r="B180" s="339"/>
      <c r="C180" s="339"/>
      <c r="D180" s="339"/>
      <c r="E180" s="340"/>
      <c r="F180" s="340"/>
      <c r="G180" s="340"/>
      <c r="H180" s="340"/>
      <c r="I180" s="340"/>
      <c r="J180" s="340"/>
      <c r="K180" s="339"/>
      <c r="L180" s="340"/>
      <c r="M180" s="130"/>
      <c r="N180" s="130"/>
      <c r="O180" s="130"/>
      <c r="P180" s="130"/>
      <c r="Q180" s="130"/>
      <c r="R180" s="130"/>
      <c r="S180" s="130"/>
      <c r="T180" s="130"/>
      <c r="U180" s="130"/>
      <c r="V180" s="59"/>
      <c r="W180" s="59"/>
    </row>
    <row r="181" spans="1:23" ht="12.75">
      <c r="A181" s="61"/>
      <c r="B181" s="339"/>
      <c r="C181" s="339"/>
      <c r="D181" s="339"/>
      <c r="E181" s="340"/>
      <c r="F181" s="340"/>
      <c r="G181" s="340"/>
      <c r="H181" s="340"/>
      <c r="I181" s="340"/>
      <c r="J181" s="340"/>
      <c r="K181" s="339"/>
      <c r="L181" s="340"/>
      <c r="M181" s="130"/>
      <c r="N181" s="130"/>
      <c r="O181" s="130"/>
      <c r="P181" s="130"/>
      <c r="Q181" s="130"/>
      <c r="R181" s="130"/>
      <c r="S181" s="130"/>
      <c r="T181" s="130"/>
      <c r="U181" s="130"/>
      <c r="V181" s="59"/>
      <c r="W181" s="59"/>
    </row>
    <row r="182" spans="1:23" ht="12.75">
      <c r="A182" s="61"/>
      <c r="B182" s="339"/>
      <c r="C182" s="339"/>
      <c r="D182" s="339"/>
      <c r="E182" s="340"/>
      <c r="F182" s="340"/>
      <c r="G182" s="340"/>
      <c r="H182" s="340"/>
      <c r="I182" s="340"/>
      <c r="J182" s="340"/>
      <c r="K182" s="339"/>
      <c r="L182" s="340"/>
      <c r="M182" s="130"/>
      <c r="N182" s="130"/>
      <c r="O182" s="130"/>
      <c r="P182" s="130"/>
      <c r="Q182" s="130"/>
      <c r="R182" s="130"/>
      <c r="S182" s="130"/>
      <c r="T182" s="130"/>
      <c r="U182" s="130"/>
      <c r="V182" s="59"/>
      <c r="W182" s="59"/>
    </row>
    <row r="183" spans="1:23" ht="12.75">
      <c r="A183" s="61"/>
      <c r="B183" s="339"/>
      <c r="C183" s="339"/>
      <c r="D183" s="339"/>
      <c r="E183" s="340"/>
      <c r="F183" s="340"/>
      <c r="G183" s="340"/>
      <c r="H183" s="340"/>
      <c r="I183" s="340"/>
      <c r="J183" s="340"/>
      <c r="K183" s="339"/>
      <c r="L183" s="340"/>
      <c r="M183" s="130"/>
      <c r="N183" s="130"/>
      <c r="O183" s="130"/>
      <c r="P183" s="130"/>
      <c r="Q183" s="130"/>
      <c r="R183" s="130"/>
      <c r="S183" s="130"/>
      <c r="T183" s="130"/>
      <c r="U183" s="130"/>
      <c r="V183" s="59"/>
      <c r="W183" s="59"/>
    </row>
    <row r="184" spans="1:23" ht="12.75">
      <c r="A184" s="61"/>
      <c r="B184" s="339"/>
      <c r="C184" s="339"/>
      <c r="D184" s="339"/>
      <c r="E184" s="340"/>
      <c r="F184" s="340"/>
      <c r="G184" s="340"/>
      <c r="H184" s="340"/>
      <c r="I184" s="340"/>
      <c r="J184" s="340"/>
      <c r="K184" s="339"/>
      <c r="L184" s="340"/>
      <c r="M184" s="130"/>
      <c r="N184" s="130"/>
      <c r="O184" s="130"/>
      <c r="P184" s="130"/>
      <c r="Q184" s="130"/>
      <c r="R184" s="130"/>
      <c r="S184" s="130"/>
      <c r="T184" s="130"/>
      <c r="U184" s="130"/>
      <c r="V184" s="59"/>
      <c r="W184" s="59"/>
    </row>
    <row r="185" spans="1:23" ht="12.75">
      <c r="A185" s="61"/>
      <c r="B185" s="339"/>
      <c r="C185" s="339"/>
      <c r="D185" s="339"/>
      <c r="E185" s="340"/>
      <c r="F185" s="340"/>
      <c r="G185" s="340"/>
      <c r="H185" s="340"/>
      <c r="I185" s="340"/>
      <c r="J185" s="340"/>
      <c r="K185" s="339"/>
      <c r="L185" s="340"/>
      <c r="M185" s="130"/>
      <c r="N185" s="130"/>
      <c r="O185" s="130"/>
      <c r="P185" s="130"/>
      <c r="Q185" s="130"/>
      <c r="R185" s="130"/>
      <c r="S185" s="130"/>
      <c r="T185" s="130"/>
      <c r="U185" s="130"/>
      <c r="V185" s="59"/>
      <c r="W185" s="59"/>
    </row>
    <row r="186" spans="1:23" ht="12.75">
      <c r="A186" s="61"/>
      <c r="B186" s="339"/>
      <c r="C186" s="339"/>
      <c r="D186" s="339"/>
      <c r="E186" s="340"/>
      <c r="F186" s="340"/>
      <c r="G186" s="340"/>
      <c r="H186" s="340"/>
      <c r="I186" s="340"/>
      <c r="J186" s="340"/>
      <c r="K186" s="339"/>
      <c r="L186" s="340"/>
      <c r="M186" s="130"/>
      <c r="N186" s="130"/>
      <c r="O186" s="130"/>
      <c r="P186" s="130"/>
      <c r="Q186" s="130"/>
      <c r="R186" s="130"/>
      <c r="S186" s="130"/>
      <c r="T186" s="130"/>
      <c r="U186" s="130"/>
      <c r="V186" s="59"/>
      <c r="W186" s="59"/>
    </row>
    <row r="187" spans="1:23" ht="12.75">
      <c r="A187" s="61"/>
      <c r="B187" s="339"/>
      <c r="C187" s="339"/>
      <c r="D187" s="339"/>
      <c r="E187" s="340"/>
      <c r="F187" s="340"/>
      <c r="G187" s="340"/>
      <c r="H187" s="340"/>
      <c r="I187" s="340"/>
      <c r="J187" s="340"/>
      <c r="K187" s="339"/>
      <c r="L187" s="340"/>
      <c r="M187" s="130"/>
      <c r="N187" s="130"/>
      <c r="O187" s="130"/>
      <c r="P187" s="130"/>
      <c r="Q187" s="130"/>
      <c r="R187" s="130"/>
      <c r="S187" s="130"/>
      <c r="T187" s="130"/>
      <c r="U187" s="130"/>
      <c r="V187" s="59"/>
      <c r="W187" s="59"/>
    </row>
    <row r="188" spans="1:23" ht="12.75">
      <c r="A188" s="61"/>
      <c r="B188" s="339"/>
      <c r="C188" s="339"/>
      <c r="D188" s="339"/>
      <c r="E188" s="340"/>
      <c r="F188" s="340"/>
      <c r="G188" s="340"/>
      <c r="H188" s="340"/>
      <c r="I188" s="340"/>
      <c r="J188" s="340"/>
      <c r="K188" s="339"/>
      <c r="L188" s="340"/>
      <c r="M188" s="130"/>
      <c r="N188" s="130"/>
      <c r="O188" s="130"/>
      <c r="P188" s="130"/>
      <c r="Q188" s="130"/>
      <c r="R188" s="130"/>
      <c r="S188" s="130"/>
      <c r="T188" s="130"/>
      <c r="U188" s="130"/>
      <c r="V188" s="59"/>
      <c r="W188" s="59"/>
    </row>
    <row r="189" spans="1:23" ht="12.75">
      <c r="A189" s="61"/>
      <c r="B189" s="339"/>
      <c r="C189" s="339"/>
      <c r="D189" s="339"/>
      <c r="E189" s="340"/>
      <c r="F189" s="340"/>
      <c r="G189" s="340"/>
      <c r="H189" s="340"/>
      <c r="I189" s="340"/>
      <c r="J189" s="340"/>
      <c r="K189" s="339"/>
      <c r="L189" s="340"/>
      <c r="M189" s="130"/>
      <c r="N189" s="130"/>
      <c r="O189" s="130"/>
      <c r="P189" s="130"/>
      <c r="Q189" s="130"/>
      <c r="R189" s="130"/>
      <c r="S189" s="130"/>
      <c r="T189" s="130"/>
      <c r="U189" s="130"/>
      <c r="V189" s="59"/>
      <c r="W189" s="59"/>
    </row>
    <row r="190" spans="1:23" ht="12.75">
      <c r="A190" s="61"/>
      <c r="B190" s="339"/>
      <c r="C190" s="339"/>
      <c r="D190" s="339"/>
      <c r="E190" s="340"/>
      <c r="F190" s="340"/>
      <c r="G190" s="340"/>
      <c r="H190" s="340"/>
      <c r="I190" s="340"/>
      <c r="J190" s="340"/>
      <c r="K190" s="339"/>
      <c r="L190" s="340"/>
      <c r="M190" s="130"/>
      <c r="N190" s="130"/>
      <c r="O190" s="130"/>
      <c r="P190" s="130"/>
      <c r="Q190" s="130"/>
      <c r="R190" s="130"/>
      <c r="S190" s="130"/>
      <c r="T190" s="130"/>
      <c r="U190" s="130"/>
      <c r="V190" s="59"/>
      <c r="W190" s="59"/>
    </row>
    <row r="191" spans="1:23" ht="12.75">
      <c r="A191" s="61"/>
      <c r="B191" s="339"/>
      <c r="C191" s="339"/>
      <c r="D191" s="339"/>
      <c r="E191" s="340"/>
      <c r="F191" s="340"/>
      <c r="G191" s="340"/>
      <c r="H191" s="340"/>
      <c r="I191" s="340"/>
      <c r="J191" s="340"/>
      <c r="K191" s="339"/>
      <c r="L191" s="340"/>
      <c r="M191" s="130"/>
      <c r="N191" s="130"/>
      <c r="O191" s="130"/>
      <c r="P191" s="130"/>
      <c r="Q191" s="130"/>
      <c r="R191" s="130"/>
      <c r="S191" s="130"/>
      <c r="T191" s="130"/>
      <c r="U191" s="130"/>
      <c r="V191" s="59"/>
      <c r="W191" s="59"/>
    </row>
    <row r="192" spans="1:23" ht="12.75">
      <c r="A192" s="61"/>
      <c r="B192" s="339"/>
      <c r="C192" s="339"/>
      <c r="D192" s="339"/>
      <c r="E192" s="340"/>
      <c r="F192" s="340"/>
      <c r="G192" s="340"/>
      <c r="H192" s="340"/>
      <c r="I192" s="340"/>
      <c r="J192" s="340"/>
      <c r="K192" s="339"/>
      <c r="L192" s="340"/>
      <c r="M192" s="130"/>
      <c r="N192" s="130"/>
      <c r="O192" s="130"/>
      <c r="P192" s="130"/>
      <c r="Q192" s="130"/>
      <c r="R192" s="130"/>
      <c r="S192" s="130"/>
      <c r="T192" s="130"/>
      <c r="U192" s="130"/>
      <c r="V192" s="59"/>
      <c r="W192" s="59"/>
    </row>
    <row r="193" spans="1:23" ht="12.75">
      <c r="A193" s="61"/>
      <c r="B193" s="339"/>
      <c r="C193" s="339"/>
      <c r="D193" s="339"/>
      <c r="E193" s="340"/>
      <c r="F193" s="340"/>
      <c r="G193" s="340"/>
      <c r="H193" s="340"/>
      <c r="I193" s="340"/>
      <c r="J193" s="340"/>
      <c r="K193" s="339"/>
      <c r="L193" s="340"/>
      <c r="M193" s="130"/>
      <c r="N193" s="130"/>
      <c r="O193" s="130"/>
      <c r="P193" s="130"/>
      <c r="Q193" s="130"/>
      <c r="R193" s="130"/>
      <c r="S193" s="130"/>
      <c r="T193" s="130"/>
      <c r="U193" s="130"/>
      <c r="V193" s="59"/>
      <c r="W193" s="59"/>
    </row>
    <row r="194" spans="1:23" ht="12.75">
      <c r="A194" s="61"/>
      <c r="B194" s="339"/>
      <c r="C194" s="339"/>
      <c r="D194" s="339"/>
      <c r="E194" s="340"/>
      <c r="F194" s="340"/>
      <c r="G194" s="340"/>
      <c r="H194" s="340"/>
      <c r="I194" s="340"/>
      <c r="J194" s="340"/>
      <c r="K194" s="339"/>
      <c r="L194" s="340"/>
      <c r="M194" s="130"/>
      <c r="N194" s="130"/>
      <c r="O194" s="130"/>
      <c r="P194" s="130"/>
      <c r="Q194" s="130"/>
      <c r="R194" s="130"/>
      <c r="S194" s="130"/>
      <c r="T194" s="130"/>
      <c r="U194" s="130"/>
      <c r="V194" s="59"/>
      <c r="W194" s="59"/>
    </row>
    <row r="195" spans="1:23" ht="12.75">
      <c r="A195" s="61"/>
      <c r="B195" s="339"/>
      <c r="C195" s="339"/>
      <c r="D195" s="339"/>
      <c r="E195" s="340"/>
      <c r="F195" s="340"/>
      <c r="G195" s="340"/>
      <c r="H195" s="340"/>
      <c r="I195" s="340"/>
      <c r="J195" s="340"/>
      <c r="K195" s="339"/>
      <c r="L195" s="340"/>
      <c r="M195" s="130"/>
      <c r="N195" s="130"/>
      <c r="O195" s="130"/>
      <c r="P195" s="130"/>
      <c r="Q195" s="130"/>
      <c r="R195" s="130"/>
      <c r="S195" s="130"/>
      <c r="T195" s="130"/>
      <c r="U195" s="130"/>
      <c r="V195" s="59"/>
      <c r="W195" s="59"/>
    </row>
    <row r="196" spans="1:23" ht="12.75">
      <c r="A196" s="61"/>
      <c r="B196" s="339"/>
      <c r="C196" s="339"/>
      <c r="D196" s="339"/>
      <c r="E196" s="340"/>
      <c r="F196" s="340"/>
      <c r="G196" s="340"/>
      <c r="H196" s="340"/>
      <c r="I196" s="340"/>
      <c r="J196" s="340"/>
      <c r="K196" s="339"/>
      <c r="L196" s="340"/>
      <c r="M196" s="130"/>
      <c r="N196" s="130"/>
      <c r="O196" s="130"/>
      <c r="P196" s="130"/>
      <c r="Q196" s="130"/>
      <c r="R196" s="130"/>
      <c r="S196" s="130"/>
      <c r="T196" s="130"/>
      <c r="U196" s="130"/>
      <c r="V196" s="59"/>
      <c r="W196" s="59"/>
    </row>
    <row r="197" spans="1:23" ht="12.75">
      <c r="A197" s="61"/>
      <c r="B197" s="339"/>
      <c r="C197" s="339"/>
      <c r="D197" s="339"/>
      <c r="E197" s="340"/>
      <c r="F197" s="340"/>
      <c r="G197" s="340"/>
      <c r="H197" s="340"/>
      <c r="I197" s="340"/>
      <c r="J197" s="340"/>
      <c r="K197" s="339"/>
      <c r="L197" s="340"/>
      <c r="M197" s="130"/>
      <c r="N197" s="130"/>
      <c r="O197" s="130"/>
      <c r="P197" s="130"/>
      <c r="Q197" s="130"/>
      <c r="R197" s="130"/>
      <c r="S197" s="130"/>
      <c r="T197" s="130"/>
      <c r="U197" s="130"/>
      <c r="V197" s="59"/>
      <c r="W197" s="59"/>
    </row>
    <row r="198" spans="1:23" ht="12.75">
      <c r="A198" s="61"/>
      <c r="B198" s="339"/>
      <c r="C198" s="339"/>
      <c r="D198" s="339"/>
      <c r="E198" s="340"/>
      <c r="F198" s="340"/>
      <c r="G198" s="340"/>
      <c r="H198" s="340"/>
      <c r="I198" s="340"/>
      <c r="J198" s="340"/>
      <c r="K198" s="339"/>
      <c r="L198" s="340"/>
      <c r="M198" s="130"/>
      <c r="N198" s="130"/>
      <c r="O198" s="130"/>
      <c r="P198" s="130"/>
      <c r="Q198" s="130"/>
      <c r="R198" s="130"/>
      <c r="S198" s="130"/>
      <c r="T198" s="130"/>
      <c r="U198" s="130"/>
      <c r="V198" s="59"/>
      <c r="W198" s="59"/>
    </row>
    <row r="199" spans="1:23" ht="12.75">
      <c r="A199" s="61"/>
      <c r="B199" s="339"/>
      <c r="C199" s="339"/>
      <c r="D199" s="339"/>
      <c r="E199" s="340"/>
      <c r="F199" s="340"/>
      <c r="G199" s="340"/>
      <c r="H199" s="340"/>
      <c r="I199" s="340"/>
      <c r="J199" s="340"/>
      <c r="K199" s="339"/>
      <c r="L199" s="340"/>
      <c r="M199" s="130"/>
      <c r="N199" s="130"/>
      <c r="O199" s="130"/>
      <c r="P199" s="130"/>
      <c r="Q199" s="130"/>
      <c r="R199" s="130"/>
      <c r="S199" s="130"/>
      <c r="T199" s="130"/>
      <c r="U199" s="130"/>
      <c r="V199" s="59"/>
      <c r="W199" s="59"/>
    </row>
    <row r="200" spans="1:23" ht="12.75">
      <c r="A200" s="61"/>
      <c r="B200" s="339"/>
      <c r="C200" s="339"/>
      <c r="D200" s="339"/>
      <c r="E200" s="340"/>
      <c r="F200" s="340"/>
      <c r="G200" s="340"/>
      <c r="H200" s="340"/>
      <c r="I200" s="340"/>
      <c r="J200" s="340"/>
      <c r="K200" s="339"/>
      <c r="L200" s="340"/>
      <c r="M200" s="130"/>
      <c r="N200" s="130"/>
      <c r="O200" s="130"/>
      <c r="P200" s="130"/>
      <c r="Q200" s="130"/>
      <c r="R200" s="130"/>
      <c r="S200" s="130"/>
      <c r="T200" s="130"/>
      <c r="U200" s="130"/>
      <c r="V200" s="59"/>
      <c r="W200" s="59"/>
    </row>
    <row r="201" spans="1:23" ht="12.75">
      <c r="A201" s="61"/>
      <c r="B201" s="339"/>
      <c r="C201" s="339"/>
      <c r="D201" s="339"/>
      <c r="E201" s="340"/>
      <c r="F201" s="340"/>
      <c r="G201" s="340"/>
      <c r="H201" s="340"/>
      <c r="I201" s="340"/>
      <c r="J201" s="340"/>
      <c r="K201" s="339"/>
      <c r="L201" s="340"/>
      <c r="M201" s="130"/>
      <c r="N201" s="130"/>
      <c r="O201" s="130"/>
      <c r="P201" s="130"/>
      <c r="Q201" s="130"/>
      <c r="R201" s="130"/>
      <c r="S201" s="130"/>
      <c r="T201" s="130"/>
      <c r="U201" s="130"/>
      <c r="V201" s="59"/>
      <c r="W201" s="59"/>
    </row>
    <row r="202" spans="1:23" ht="12.75">
      <c r="A202" s="61"/>
      <c r="B202" s="339"/>
      <c r="C202" s="339"/>
      <c r="D202" s="339"/>
      <c r="E202" s="340"/>
      <c r="F202" s="340"/>
      <c r="G202" s="340"/>
      <c r="H202" s="340"/>
      <c r="I202" s="340"/>
      <c r="J202" s="340"/>
      <c r="K202" s="339"/>
      <c r="L202" s="340"/>
      <c r="M202" s="130"/>
      <c r="N202" s="130"/>
      <c r="O202" s="130"/>
      <c r="P202" s="130"/>
      <c r="Q202" s="130"/>
      <c r="R202" s="130"/>
      <c r="S202" s="130"/>
      <c r="T202" s="130"/>
      <c r="U202" s="130"/>
      <c r="V202" s="59"/>
      <c r="W202" s="59"/>
    </row>
    <row r="203" spans="1:23" ht="12.75">
      <c r="A203" s="61"/>
      <c r="B203" s="339"/>
      <c r="C203" s="339"/>
      <c r="D203" s="339"/>
      <c r="E203" s="340"/>
      <c r="F203" s="340"/>
      <c r="G203" s="340"/>
      <c r="H203" s="340"/>
      <c r="I203" s="340"/>
      <c r="J203" s="340"/>
      <c r="K203" s="339"/>
      <c r="L203" s="340"/>
      <c r="M203" s="130"/>
      <c r="N203" s="130"/>
      <c r="O203" s="130"/>
      <c r="P203" s="130"/>
      <c r="Q203" s="130"/>
      <c r="R203" s="130"/>
      <c r="S203" s="130"/>
      <c r="T203" s="130"/>
      <c r="U203" s="130"/>
      <c r="V203" s="59"/>
      <c r="W203" s="59"/>
    </row>
    <row r="204" spans="1:23" ht="12.75">
      <c r="A204" s="61"/>
      <c r="B204" s="339"/>
      <c r="C204" s="339"/>
      <c r="D204" s="339"/>
      <c r="E204" s="340"/>
      <c r="F204" s="340"/>
      <c r="G204" s="340"/>
      <c r="H204" s="340"/>
      <c r="I204" s="340"/>
      <c r="J204" s="340"/>
      <c r="K204" s="339"/>
      <c r="L204" s="340"/>
      <c r="M204" s="130"/>
      <c r="N204" s="130"/>
      <c r="O204" s="130"/>
      <c r="P204" s="130"/>
      <c r="Q204" s="130"/>
      <c r="R204" s="130"/>
      <c r="S204" s="130"/>
      <c r="T204" s="130"/>
      <c r="U204" s="130"/>
      <c r="V204" s="59"/>
      <c r="W204" s="59"/>
    </row>
    <row r="205" spans="1:23" ht="12.75">
      <c r="A205" s="61"/>
      <c r="B205" s="339"/>
      <c r="C205" s="347"/>
      <c r="D205" s="347"/>
      <c r="E205" s="341"/>
      <c r="F205" s="341"/>
      <c r="G205" s="341"/>
      <c r="H205" s="341"/>
      <c r="I205" s="341"/>
      <c r="J205" s="341"/>
      <c r="K205" s="341"/>
      <c r="L205" s="341"/>
      <c r="M205" s="130"/>
      <c r="N205" s="130"/>
      <c r="O205" s="130"/>
      <c r="P205" s="130"/>
      <c r="Q205" s="130"/>
      <c r="R205" s="130"/>
      <c r="S205" s="130"/>
      <c r="T205" s="130"/>
      <c r="U205" s="130"/>
      <c r="V205" s="59"/>
      <c r="W205" s="59"/>
    </row>
    <row r="206" spans="1:23" ht="12.75">
      <c r="A206" s="61"/>
      <c r="B206" s="339"/>
      <c r="C206" s="339"/>
      <c r="D206" s="339"/>
      <c r="E206" s="340"/>
      <c r="F206" s="340"/>
      <c r="G206" s="340"/>
      <c r="H206" s="340"/>
      <c r="I206" s="340"/>
      <c r="J206" s="340"/>
      <c r="K206" s="339"/>
      <c r="L206" s="340"/>
      <c r="M206" s="130"/>
      <c r="N206" s="130"/>
      <c r="O206" s="130"/>
      <c r="P206" s="130"/>
      <c r="Q206" s="130"/>
      <c r="R206" s="130"/>
      <c r="S206" s="130"/>
      <c r="T206" s="130"/>
      <c r="U206" s="130"/>
      <c r="V206" s="59"/>
      <c r="W206" s="59"/>
    </row>
    <row r="207" spans="1:23" ht="12.75">
      <c r="A207" s="61"/>
      <c r="B207" s="339"/>
      <c r="C207" s="339"/>
      <c r="D207" s="339"/>
      <c r="E207" s="342"/>
      <c r="F207" s="342"/>
      <c r="G207" s="342"/>
      <c r="H207" s="342"/>
      <c r="I207" s="342"/>
      <c r="J207" s="342"/>
      <c r="K207" s="342"/>
      <c r="L207" s="342"/>
      <c r="M207" s="130"/>
      <c r="N207" s="130"/>
      <c r="O207" s="130"/>
      <c r="P207" s="130"/>
      <c r="Q207" s="130"/>
      <c r="R207" s="130"/>
      <c r="S207" s="130"/>
      <c r="T207" s="130"/>
      <c r="U207" s="130"/>
      <c r="V207" s="59"/>
      <c r="W207" s="59"/>
    </row>
    <row r="208" spans="1:23" ht="12.75">
      <c r="A208" s="61"/>
      <c r="B208" s="339"/>
      <c r="C208" s="339"/>
      <c r="D208" s="339"/>
      <c r="E208" s="342"/>
      <c r="F208" s="342"/>
      <c r="G208" s="342"/>
      <c r="H208" s="342"/>
      <c r="I208" s="342"/>
      <c r="J208" s="342"/>
      <c r="K208" s="342"/>
      <c r="L208" s="342"/>
      <c r="M208" s="182"/>
      <c r="N208" s="130"/>
      <c r="O208" s="130"/>
      <c r="P208" s="130"/>
      <c r="Q208" s="130"/>
      <c r="R208" s="130"/>
      <c r="S208" s="130"/>
      <c r="T208" s="130"/>
      <c r="U208" s="130"/>
      <c r="V208" s="59"/>
      <c r="W208" s="59"/>
    </row>
    <row r="209" spans="1:23" ht="12.75">
      <c r="A209" s="61"/>
      <c r="B209" s="339"/>
      <c r="C209" s="339"/>
      <c r="D209" s="339"/>
      <c r="E209" s="342"/>
      <c r="F209" s="342"/>
      <c r="G209" s="342"/>
      <c r="H209" s="342"/>
      <c r="I209" s="342"/>
      <c r="J209" s="342"/>
      <c r="K209" s="342"/>
      <c r="L209" s="342"/>
      <c r="M209" s="130"/>
      <c r="N209" s="130"/>
      <c r="O209" s="130"/>
      <c r="P209" s="130"/>
      <c r="Q209" s="130"/>
      <c r="R209" s="130"/>
      <c r="S209" s="130"/>
      <c r="T209" s="130"/>
      <c r="U209" s="130"/>
      <c r="V209" s="59"/>
      <c r="W209" s="59"/>
    </row>
    <row r="210" spans="1:23" ht="12.75">
      <c r="A210" s="61"/>
      <c r="B210" s="339"/>
      <c r="C210" s="339"/>
      <c r="D210" s="339"/>
      <c r="E210" s="342"/>
      <c r="F210" s="342"/>
      <c r="G210" s="342"/>
      <c r="H210" s="342"/>
      <c r="I210" s="342"/>
      <c r="J210" s="342"/>
      <c r="K210" s="342"/>
      <c r="L210" s="342"/>
      <c r="M210" s="130"/>
      <c r="N210" s="130"/>
      <c r="O210" s="130"/>
      <c r="P210" s="130"/>
      <c r="Q210" s="130"/>
      <c r="R210" s="130"/>
      <c r="S210" s="130"/>
      <c r="T210" s="130"/>
      <c r="U210" s="130"/>
      <c r="V210" s="59"/>
      <c r="W210" s="59"/>
    </row>
    <row r="211" spans="1:23" ht="12.75">
      <c r="A211" s="61"/>
      <c r="B211" s="339"/>
      <c r="C211" s="339"/>
      <c r="D211" s="339"/>
      <c r="E211" s="342"/>
      <c r="F211" s="342"/>
      <c r="G211" s="342"/>
      <c r="H211" s="342"/>
      <c r="I211" s="342"/>
      <c r="J211" s="342"/>
      <c r="K211" s="342"/>
      <c r="L211" s="342"/>
      <c r="M211" s="130"/>
      <c r="N211" s="130"/>
      <c r="O211" s="130"/>
      <c r="P211" s="130"/>
      <c r="Q211" s="130"/>
      <c r="R211" s="130"/>
      <c r="S211" s="130"/>
      <c r="T211" s="130"/>
      <c r="U211" s="130"/>
      <c r="V211" s="59"/>
      <c r="W211" s="59"/>
    </row>
    <row r="212" spans="1:23" ht="12.75">
      <c r="A212" s="61"/>
      <c r="B212" s="339"/>
      <c r="C212" s="339"/>
      <c r="D212" s="339"/>
      <c r="E212" s="342"/>
      <c r="F212" s="342"/>
      <c r="G212" s="342"/>
      <c r="H212" s="342"/>
      <c r="I212" s="342"/>
      <c r="J212" s="342"/>
      <c r="K212" s="342"/>
      <c r="L212" s="342"/>
      <c r="M212" s="130"/>
      <c r="N212" s="130"/>
      <c r="O212" s="130"/>
      <c r="P212" s="130"/>
      <c r="Q212" s="130"/>
      <c r="R212" s="130"/>
      <c r="S212" s="130"/>
      <c r="T212" s="130"/>
      <c r="U212" s="130"/>
      <c r="V212" s="59"/>
      <c r="W212" s="59"/>
    </row>
    <row r="213" spans="1:23" ht="12.75">
      <c r="A213" s="61"/>
      <c r="B213" s="339"/>
      <c r="C213" s="339"/>
      <c r="D213" s="339"/>
      <c r="E213" s="342"/>
      <c r="F213" s="342"/>
      <c r="G213" s="342"/>
      <c r="H213" s="342"/>
      <c r="I213" s="342"/>
      <c r="J213" s="342"/>
      <c r="K213" s="342"/>
      <c r="L213" s="342"/>
      <c r="M213" s="130"/>
      <c r="N213" s="130"/>
      <c r="O213" s="130"/>
      <c r="P213" s="130"/>
      <c r="Q213" s="130"/>
      <c r="R213" s="130"/>
      <c r="S213" s="130"/>
      <c r="T213" s="130"/>
      <c r="U213" s="130"/>
      <c r="V213" s="59"/>
      <c r="W213" s="59"/>
    </row>
    <row r="214" spans="1:23" ht="12.75">
      <c r="A214" s="61"/>
      <c r="B214" s="339"/>
      <c r="C214" s="339"/>
      <c r="D214" s="339"/>
      <c r="E214" s="342"/>
      <c r="F214" s="342"/>
      <c r="G214" s="342"/>
      <c r="H214" s="342"/>
      <c r="I214" s="342"/>
      <c r="J214" s="342"/>
      <c r="K214" s="342"/>
      <c r="L214" s="342"/>
      <c r="M214" s="130"/>
      <c r="N214" s="130"/>
      <c r="O214" s="130"/>
      <c r="P214" s="130"/>
      <c r="Q214" s="130"/>
      <c r="R214" s="130"/>
      <c r="S214" s="130"/>
      <c r="T214" s="130"/>
      <c r="U214" s="130"/>
      <c r="V214" s="59"/>
      <c r="W214" s="59"/>
    </row>
    <row r="215" spans="1:23" ht="12.75">
      <c r="A215" s="61"/>
      <c r="B215" s="339"/>
      <c r="C215" s="339"/>
      <c r="D215" s="339"/>
      <c r="E215" s="342"/>
      <c r="F215" s="342"/>
      <c r="G215" s="342"/>
      <c r="H215" s="342"/>
      <c r="I215" s="342"/>
      <c r="J215" s="342"/>
      <c r="K215" s="342"/>
      <c r="L215" s="342"/>
      <c r="M215" s="130"/>
      <c r="N215" s="130"/>
      <c r="O215" s="130"/>
      <c r="P215" s="130"/>
      <c r="Q215" s="130"/>
      <c r="R215" s="130"/>
      <c r="S215" s="130"/>
      <c r="T215" s="130"/>
      <c r="U215" s="130"/>
      <c r="V215" s="59"/>
      <c r="W215" s="59"/>
    </row>
    <row r="216" spans="1:23" ht="12.75">
      <c r="A216" s="61"/>
      <c r="B216" s="339"/>
      <c r="C216" s="339"/>
      <c r="D216" s="339"/>
      <c r="E216" s="342"/>
      <c r="F216" s="342"/>
      <c r="G216" s="342"/>
      <c r="H216" s="342"/>
      <c r="I216" s="342"/>
      <c r="J216" s="342"/>
      <c r="K216" s="342"/>
      <c r="L216" s="342"/>
      <c r="M216" s="130"/>
      <c r="N216" s="130"/>
      <c r="O216" s="130"/>
      <c r="P216" s="130"/>
      <c r="Q216" s="130"/>
      <c r="R216" s="130"/>
      <c r="S216" s="130"/>
      <c r="T216" s="130"/>
      <c r="U216" s="130"/>
      <c r="V216" s="59"/>
      <c r="W216" s="59"/>
    </row>
    <row r="217" spans="1:23" ht="12.75">
      <c r="A217" s="61"/>
      <c r="B217" s="339"/>
      <c r="C217" s="339"/>
      <c r="D217" s="339"/>
      <c r="E217" s="342"/>
      <c r="F217" s="342"/>
      <c r="G217" s="342"/>
      <c r="H217" s="342"/>
      <c r="I217" s="342"/>
      <c r="J217" s="342"/>
      <c r="K217" s="342"/>
      <c r="L217" s="342"/>
      <c r="M217" s="130"/>
      <c r="N217" s="130"/>
      <c r="O217" s="130"/>
      <c r="P217" s="130"/>
      <c r="Q217" s="130"/>
      <c r="R217" s="130"/>
      <c r="S217" s="130"/>
      <c r="T217" s="130"/>
      <c r="U217" s="130"/>
      <c r="V217" s="59"/>
      <c r="W217" s="59"/>
    </row>
    <row r="218" spans="1:23" ht="12.75">
      <c r="A218" s="61"/>
      <c r="B218" s="339"/>
      <c r="C218" s="339"/>
      <c r="D218" s="339"/>
      <c r="E218" s="342"/>
      <c r="F218" s="342"/>
      <c r="G218" s="342"/>
      <c r="H218" s="342"/>
      <c r="I218" s="342"/>
      <c r="J218" s="342"/>
      <c r="K218" s="342"/>
      <c r="L218" s="342"/>
      <c r="M218" s="130"/>
      <c r="N218" s="130"/>
      <c r="O218" s="130"/>
      <c r="P218" s="130"/>
      <c r="Q218" s="130"/>
      <c r="R218" s="130"/>
      <c r="S218" s="130"/>
      <c r="T218" s="130"/>
      <c r="U218" s="130"/>
      <c r="V218" s="59"/>
      <c r="W218" s="59"/>
    </row>
    <row r="219" spans="1:23" ht="12.75">
      <c r="A219" s="61"/>
      <c r="B219" s="339"/>
      <c r="C219" s="339"/>
      <c r="D219" s="339"/>
      <c r="E219" s="342"/>
      <c r="F219" s="342"/>
      <c r="G219" s="342"/>
      <c r="H219" s="342"/>
      <c r="I219" s="342"/>
      <c r="J219" s="342"/>
      <c r="K219" s="342"/>
      <c r="L219" s="342"/>
      <c r="M219" s="130"/>
      <c r="N219" s="130"/>
      <c r="O219" s="130"/>
      <c r="P219" s="130"/>
      <c r="Q219" s="130"/>
      <c r="R219" s="130"/>
      <c r="S219" s="130"/>
      <c r="T219" s="130"/>
      <c r="U219" s="130"/>
      <c r="V219" s="59"/>
      <c r="W219" s="59"/>
    </row>
    <row r="220" spans="1:23" ht="12.75">
      <c r="A220" s="61"/>
      <c r="B220" s="339"/>
      <c r="C220" s="339"/>
      <c r="D220" s="339"/>
      <c r="E220" s="342"/>
      <c r="F220" s="342"/>
      <c r="G220" s="342"/>
      <c r="H220" s="342"/>
      <c r="I220" s="342"/>
      <c r="J220" s="342"/>
      <c r="K220" s="342"/>
      <c r="L220" s="342"/>
      <c r="M220" s="130"/>
      <c r="N220" s="130"/>
      <c r="O220" s="130"/>
      <c r="P220" s="130"/>
      <c r="Q220" s="130"/>
      <c r="R220" s="130"/>
      <c r="S220" s="130"/>
      <c r="T220" s="130"/>
      <c r="U220" s="130"/>
      <c r="V220" s="59"/>
      <c r="W220" s="59"/>
    </row>
    <row r="221" spans="1:23" ht="12.75">
      <c r="A221" s="61"/>
      <c r="B221" s="339"/>
      <c r="C221" s="339"/>
      <c r="D221" s="339"/>
      <c r="E221" s="342"/>
      <c r="F221" s="342"/>
      <c r="G221" s="342"/>
      <c r="H221" s="342"/>
      <c r="I221" s="342"/>
      <c r="J221" s="342"/>
      <c r="K221" s="342"/>
      <c r="L221" s="342"/>
      <c r="M221" s="130"/>
      <c r="N221" s="130"/>
      <c r="O221" s="130"/>
      <c r="P221" s="130"/>
      <c r="Q221" s="130"/>
      <c r="R221" s="130"/>
      <c r="S221" s="130"/>
      <c r="T221" s="130"/>
      <c r="U221" s="130"/>
      <c r="V221" s="59"/>
      <c r="W221" s="59"/>
    </row>
    <row r="222" spans="1:23" ht="12.75">
      <c r="A222" s="61"/>
      <c r="B222" s="339"/>
      <c r="C222" s="339"/>
      <c r="D222" s="339"/>
      <c r="E222" s="342"/>
      <c r="F222" s="342"/>
      <c r="G222" s="342"/>
      <c r="H222" s="342"/>
      <c r="I222" s="342"/>
      <c r="J222" s="342"/>
      <c r="K222" s="342"/>
      <c r="L222" s="342"/>
      <c r="M222" s="130"/>
      <c r="N222" s="130"/>
      <c r="O222" s="130"/>
      <c r="P222" s="130"/>
      <c r="Q222" s="130"/>
      <c r="R222" s="130"/>
      <c r="S222" s="130"/>
      <c r="T222" s="130"/>
      <c r="U222" s="130"/>
      <c r="V222" s="59"/>
      <c r="W222" s="59"/>
    </row>
    <row r="223" spans="1:23" ht="12.75">
      <c r="A223" s="61"/>
      <c r="B223" s="339"/>
      <c r="C223" s="339"/>
      <c r="D223" s="339"/>
      <c r="E223" s="342"/>
      <c r="F223" s="342"/>
      <c r="G223" s="342"/>
      <c r="H223" s="342"/>
      <c r="I223" s="342"/>
      <c r="J223" s="342"/>
      <c r="K223" s="342"/>
      <c r="L223" s="342"/>
      <c r="M223" s="130"/>
      <c r="N223" s="130"/>
      <c r="O223" s="130"/>
      <c r="P223" s="130"/>
      <c r="Q223" s="130"/>
      <c r="R223" s="130"/>
      <c r="S223" s="130"/>
      <c r="T223" s="130"/>
      <c r="U223" s="130"/>
      <c r="V223" s="59"/>
      <c r="W223" s="59"/>
    </row>
    <row r="224" spans="1:23" ht="12.75">
      <c r="A224" s="61"/>
      <c r="B224" s="339"/>
      <c r="C224" s="339"/>
      <c r="D224" s="339"/>
      <c r="E224" s="342"/>
      <c r="F224" s="342"/>
      <c r="G224" s="342"/>
      <c r="H224" s="342"/>
      <c r="I224" s="342"/>
      <c r="J224" s="342"/>
      <c r="K224" s="342"/>
      <c r="L224" s="342"/>
      <c r="M224" s="130"/>
      <c r="N224" s="130"/>
      <c r="O224" s="130"/>
      <c r="P224" s="130"/>
      <c r="Q224" s="130"/>
      <c r="R224" s="130"/>
      <c r="S224" s="130"/>
      <c r="T224" s="130"/>
      <c r="U224" s="130"/>
      <c r="V224" s="59"/>
      <c r="W224" s="59"/>
    </row>
    <row r="225" spans="1:23" ht="12.75">
      <c r="A225" s="61"/>
      <c r="B225" s="339"/>
      <c r="C225" s="339"/>
      <c r="D225" s="339"/>
      <c r="E225" s="342"/>
      <c r="F225" s="342"/>
      <c r="G225" s="342"/>
      <c r="H225" s="342"/>
      <c r="I225" s="342"/>
      <c r="J225" s="342"/>
      <c r="K225" s="342"/>
      <c r="L225" s="342"/>
      <c r="M225" s="130"/>
      <c r="N225" s="130"/>
      <c r="O225" s="130"/>
      <c r="P225" s="130"/>
      <c r="Q225" s="130"/>
      <c r="R225" s="130"/>
      <c r="S225" s="130"/>
      <c r="T225" s="130"/>
      <c r="U225" s="130"/>
      <c r="V225" s="59"/>
      <c r="W225" s="59"/>
    </row>
    <row r="226" spans="1:23" ht="12.75">
      <c r="A226" s="61"/>
      <c r="B226" s="339"/>
      <c r="C226" s="339"/>
      <c r="D226" s="339"/>
      <c r="E226" s="342"/>
      <c r="F226" s="342"/>
      <c r="G226" s="342"/>
      <c r="H226" s="342"/>
      <c r="I226" s="342"/>
      <c r="J226" s="342"/>
      <c r="K226" s="342"/>
      <c r="L226" s="342"/>
      <c r="M226" s="130"/>
      <c r="N226" s="130"/>
      <c r="O226" s="130"/>
      <c r="P226" s="130"/>
      <c r="Q226" s="130"/>
      <c r="R226" s="130"/>
      <c r="S226" s="130"/>
      <c r="T226" s="130"/>
      <c r="U226" s="130"/>
      <c r="V226" s="59"/>
      <c r="W226" s="59"/>
    </row>
    <row r="227" spans="1:23" ht="12.75">
      <c r="A227" s="61"/>
      <c r="B227" s="339"/>
      <c r="C227" s="347"/>
      <c r="D227" s="347"/>
      <c r="E227" s="343"/>
      <c r="F227" s="343"/>
      <c r="G227" s="343"/>
      <c r="H227" s="343"/>
      <c r="I227" s="343"/>
      <c r="J227" s="343"/>
      <c r="K227" s="343"/>
      <c r="L227" s="343"/>
      <c r="M227" s="130"/>
      <c r="N227" s="130"/>
      <c r="O227" s="130"/>
      <c r="P227" s="130"/>
      <c r="Q227" s="130"/>
      <c r="R227" s="130"/>
      <c r="S227" s="130"/>
      <c r="T227" s="130"/>
      <c r="U227" s="130"/>
      <c r="V227" s="59"/>
      <c r="W227" s="59"/>
    </row>
    <row r="228" spans="1:23" ht="12.75">
      <c r="A228" s="61"/>
      <c r="B228" s="339"/>
      <c r="C228" s="339"/>
      <c r="D228" s="339"/>
      <c r="E228" s="340"/>
      <c r="F228" s="340"/>
      <c r="G228" s="340"/>
      <c r="H228" s="340"/>
      <c r="I228" s="340"/>
      <c r="J228" s="340"/>
      <c r="K228" s="339"/>
      <c r="L228" s="340"/>
      <c r="M228" s="130"/>
      <c r="N228" s="130"/>
      <c r="O228" s="130"/>
      <c r="P228" s="130"/>
      <c r="Q228" s="130"/>
      <c r="R228" s="130"/>
      <c r="S228" s="130"/>
      <c r="T228" s="130"/>
      <c r="U228" s="130"/>
      <c r="V228" s="59"/>
      <c r="W228" s="59"/>
    </row>
    <row r="229" spans="1:23" ht="12.75">
      <c r="A229" s="61"/>
      <c r="B229" s="339"/>
      <c r="C229" s="339"/>
      <c r="D229" s="339"/>
      <c r="E229" s="340"/>
      <c r="F229" s="340"/>
      <c r="G229" s="340"/>
      <c r="H229" s="340"/>
      <c r="I229" s="340"/>
      <c r="J229" s="340"/>
      <c r="K229" s="339"/>
      <c r="L229" s="340"/>
      <c r="M229" s="130"/>
      <c r="N229" s="130"/>
      <c r="O229" s="130"/>
      <c r="P229" s="130"/>
      <c r="Q229" s="130"/>
      <c r="R229" s="130"/>
      <c r="S229" s="130"/>
      <c r="T229" s="130"/>
      <c r="U229" s="130"/>
      <c r="V229" s="59"/>
      <c r="W229" s="59"/>
    </row>
    <row r="230" spans="1:23" ht="12.75">
      <c r="A230" s="61"/>
      <c r="B230" s="339"/>
      <c r="C230" s="339"/>
      <c r="D230" s="339"/>
      <c r="E230" s="340"/>
      <c r="F230" s="340"/>
      <c r="G230" s="340"/>
      <c r="H230" s="340"/>
      <c r="I230" s="340"/>
      <c r="J230" s="340"/>
      <c r="K230" s="339"/>
      <c r="L230" s="340"/>
      <c r="M230" s="130"/>
      <c r="N230" s="130"/>
      <c r="O230" s="130"/>
      <c r="P230" s="130"/>
      <c r="Q230" s="130"/>
      <c r="R230" s="130"/>
      <c r="S230" s="130"/>
      <c r="T230" s="130"/>
      <c r="U230" s="130"/>
      <c r="V230" s="59"/>
      <c r="W230" s="59"/>
    </row>
    <row r="231" spans="1:23" ht="12.75">
      <c r="A231" s="61"/>
      <c r="B231" s="339"/>
      <c r="C231" s="339"/>
      <c r="D231" s="339"/>
      <c r="E231" s="340"/>
      <c r="F231" s="340"/>
      <c r="G231" s="340"/>
      <c r="H231" s="340"/>
      <c r="I231" s="340"/>
      <c r="J231" s="340"/>
      <c r="K231" s="339"/>
      <c r="L231" s="340"/>
      <c r="M231" s="130"/>
      <c r="N231" s="130"/>
      <c r="O231" s="130"/>
      <c r="P231" s="130"/>
      <c r="Q231" s="130"/>
      <c r="R231" s="130"/>
      <c r="S231" s="130"/>
      <c r="T231" s="130"/>
      <c r="U231" s="130"/>
      <c r="V231" s="59"/>
      <c r="W231" s="59"/>
    </row>
    <row r="232" spans="1:23" ht="12.75">
      <c r="A232" s="61"/>
      <c r="B232" s="339"/>
      <c r="C232" s="339"/>
      <c r="D232" s="339"/>
      <c r="E232" s="340"/>
      <c r="F232" s="340"/>
      <c r="G232" s="340"/>
      <c r="H232" s="340"/>
      <c r="I232" s="340"/>
      <c r="J232" s="340"/>
      <c r="K232" s="339"/>
      <c r="L232" s="340"/>
      <c r="M232" s="130"/>
      <c r="N232" s="130"/>
      <c r="O232" s="130"/>
      <c r="P232" s="130"/>
      <c r="Q232" s="130"/>
      <c r="R232" s="130"/>
      <c r="S232" s="130"/>
      <c r="T232" s="130"/>
      <c r="U232" s="130"/>
      <c r="V232" s="59"/>
      <c r="W232" s="59"/>
    </row>
    <row r="233" spans="1:23" ht="12.75">
      <c r="A233" s="61"/>
      <c r="B233" s="339"/>
      <c r="C233" s="339"/>
      <c r="D233" s="339"/>
      <c r="E233" s="340"/>
      <c r="F233" s="340"/>
      <c r="G233" s="340"/>
      <c r="H233" s="340"/>
      <c r="I233" s="340"/>
      <c r="J233" s="340"/>
      <c r="K233" s="339"/>
      <c r="L233" s="340"/>
      <c r="M233" s="130"/>
      <c r="N233" s="130"/>
      <c r="O233" s="130"/>
      <c r="P233" s="130"/>
      <c r="Q233" s="130"/>
      <c r="R233" s="130"/>
      <c r="S233" s="130"/>
      <c r="T233" s="130"/>
      <c r="U233" s="130"/>
      <c r="V233" s="59"/>
      <c r="W233" s="59"/>
    </row>
    <row r="234" spans="1:23" ht="12.75">
      <c r="A234" s="61"/>
      <c r="B234" s="339"/>
      <c r="C234" s="339"/>
      <c r="D234" s="339"/>
      <c r="E234" s="340"/>
      <c r="F234" s="340"/>
      <c r="G234" s="340"/>
      <c r="H234" s="340"/>
      <c r="I234" s="340"/>
      <c r="J234" s="340"/>
      <c r="K234" s="339"/>
      <c r="L234" s="340"/>
      <c r="M234" s="130"/>
      <c r="N234" s="130"/>
      <c r="O234" s="130"/>
      <c r="P234" s="130"/>
      <c r="Q234" s="130"/>
      <c r="R234" s="130"/>
      <c r="S234" s="130"/>
      <c r="T234" s="130"/>
      <c r="U234" s="130"/>
      <c r="V234" s="59"/>
      <c r="W234" s="59"/>
    </row>
    <row r="235" spans="1:23" ht="12.75">
      <c r="A235" s="61"/>
      <c r="B235" s="339"/>
      <c r="C235" s="339"/>
      <c r="D235" s="339"/>
      <c r="E235" s="340"/>
      <c r="F235" s="340"/>
      <c r="G235" s="340"/>
      <c r="H235" s="340"/>
      <c r="I235" s="340"/>
      <c r="J235" s="340"/>
      <c r="K235" s="339"/>
      <c r="L235" s="340"/>
      <c r="M235" s="130"/>
      <c r="N235" s="130"/>
      <c r="O235" s="130"/>
      <c r="P235" s="130"/>
      <c r="Q235" s="130"/>
      <c r="R235" s="130"/>
      <c r="S235" s="130"/>
      <c r="T235" s="130"/>
      <c r="U235" s="130"/>
      <c r="V235" s="59"/>
      <c r="W235" s="59"/>
    </row>
    <row r="236" spans="1:23" ht="12.75">
      <c r="A236" s="61"/>
      <c r="B236" s="339"/>
      <c r="C236" s="339"/>
      <c r="D236" s="339"/>
      <c r="E236" s="340"/>
      <c r="F236" s="340"/>
      <c r="G236" s="340"/>
      <c r="H236" s="340"/>
      <c r="I236" s="340"/>
      <c r="J236" s="340"/>
      <c r="K236" s="339"/>
      <c r="L236" s="340"/>
      <c r="M236" s="130"/>
      <c r="N236" s="130"/>
      <c r="O236" s="130"/>
      <c r="P236" s="130"/>
      <c r="Q236" s="130"/>
      <c r="R236" s="130"/>
      <c r="S236" s="130"/>
      <c r="T236" s="130"/>
      <c r="U236" s="130"/>
      <c r="V236" s="59"/>
      <c r="W236" s="59"/>
    </row>
    <row r="237" spans="1:23" ht="12.75">
      <c r="A237" s="61"/>
      <c r="B237" s="339"/>
      <c r="C237" s="339"/>
      <c r="D237" s="339"/>
      <c r="E237" s="340"/>
      <c r="F237" s="340"/>
      <c r="G237" s="340"/>
      <c r="H237" s="340"/>
      <c r="I237" s="340"/>
      <c r="J237" s="340"/>
      <c r="K237" s="339"/>
      <c r="L237" s="340"/>
      <c r="M237" s="130"/>
      <c r="N237" s="130"/>
      <c r="O237" s="130"/>
      <c r="P237" s="130"/>
      <c r="Q237" s="130"/>
      <c r="R237" s="130"/>
      <c r="S237" s="130"/>
      <c r="T237" s="130"/>
      <c r="U237" s="130"/>
      <c r="V237" s="59"/>
      <c r="W237" s="59"/>
    </row>
    <row r="238" spans="1:23" ht="12.75">
      <c r="A238" s="61"/>
      <c r="B238" s="339"/>
      <c r="C238" s="339"/>
      <c r="D238" s="339"/>
      <c r="E238" s="340"/>
      <c r="F238" s="340"/>
      <c r="G238" s="340"/>
      <c r="H238" s="340"/>
      <c r="I238" s="340"/>
      <c r="J238" s="340"/>
      <c r="K238" s="339"/>
      <c r="L238" s="340"/>
      <c r="M238" s="130"/>
      <c r="N238" s="130"/>
      <c r="O238" s="130"/>
      <c r="P238" s="130"/>
      <c r="Q238" s="130"/>
      <c r="R238" s="130"/>
      <c r="S238" s="130"/>
      <c r="T238" s="130"/>
      <c r="U238" s="130"/>
      <c r="V238" s="59"/>
      <c r="W238" s="59"/>
    </row>
    <row r="239" spans="1:23" ht="12.75">
      <c r="A239" s="61"/>
      <c r="B239" s="339"/>
      <c r="C239" s="339"/>
      <c r="D239" s="339"/>
      <c r="E239" s="340"/>
      <c r="F239" s="340"/>
      <c r="G239" s="340"/>
      <c r="H239" s="340"/>
      <c r="I239" s="340"/>
      <c r="J239" s="340"/>
      <c r="K239" s="339"/>
      <c r="L239" s="340"/>
      <c r="M239" s="130"/>
      <c r="N239" s="130"/>
      <c r="O239" s="130"/>
      <c r="P239" s="130"/>
      <c r="Q239" s="130"/>
      <c r="R239" s="130"/>
      <c r="S239" s="130"/>
      <c r="T239" s="130"/>
      <c r="U239" s="130"/>
      <c r="V239" s="59"/>
      <c r="W239" s="59"/>
    </row>
    <row r="240" spans="1:23" ht="12.75">
      <c r="A240" s="61"/>
      <c r="B240" s="339"/>
      <c r="C240" s="347"/>
      <c r="D240" s="347"/>
      <c r="E240" s="341"/>
      <c r="F240" s="341"/>
      <c r="G240" s="341"/>
      <c r="H240" s="341"/>
      <c r="I240" s="341"/>
      <c r="J240" s="341"/>
      <c r="K240" s="341"/>
      <c r="L240" s="341"/>
      <c r="M240" s="130"/>
      <c r="N240" s="130"/>
      <c r="O240" s="130"/>
      <c r="P240" s="130"/>
      <c r="Q240" s="130"/>
      <c r="R240" s="130"/>
      <c r="S240" s="130"/>
      <c r="T240" s="130"/>
      <c r="U240" s="130"/>
      <c r="V240" s="59"/>
      <c r="W240" s="59"/>
    </row>
    <row r="241" spans="1:23" ht="12.75">
      <c r="A241" s="61"/>
      <c r="B241" s="339"/>
      <c r="C241" s="339"/>
      <c r="D241" s="339"/>
      <c r="E241" s="340"/>
      <c r="F241" s="340"/>
      <c r="G241" s="340"/>
      <c r="H241" s="340"/>
      <c r="I241" s="340"/>
      <c r="J241" s="340"/>
      <c r="K241" s="339"/>
      <c r="L241" s="340"/>
      <c r="M241" s="130"/>
      <c r="N241" s="130"/>
      <c r="O241" s="130"/>
      <c r="P241" s="130"/>
      <c r="Q241" s="130"/>
      <c r="R241" s="130"/>
      <c r="S241" s="130"/>
      <c r="T241" s="130"/>
      <c r="U241" s="130"/>
      <c r="V241" s="59"/>
      <c r="W241" s="59"/>
    </row>
    <row r="242" spans="1:23" ht="12.75">
      <c r="A242" s="61"/>
      <c r="B242" s="339"/>
      <c r="C242" s="339"/>
      <c r="D242" s="339"/>
      <c r="E242" s="340"/>
      <c r="F242" s="340"/>
      <c r="G242" s="340"/>
      <c r="H242" s="340"/>
      <c r="I242" s="340"/>
      <c r="J242" s="340"/>
      <c r="K242" s="339"/>
      <c r="L242" s="340"/>
      <c r="M242" s="130"/>
      <c r="N242" s="130"/>
      <c r="O242" s="130"/>
      <c r="P242" s="130"/>
      <c r="Q242" s="130"/>
      <c r="R242" s="130"/>
      <c r="S242" s="130"/>
      <c r="T242" s="130"/>
      <c r="U242" s="130"/>
      <c r="V242" s="59"/>
      <c r="W242" s="59"/>
    </row>
    <row r="243" spans="1:23" ht="12.75">
      <c r="A243" s="61"/>
      <c r="B243" s="339"/>
      <c r="C243" s="339"/>
      <c r="D243" s="339"/>
      <c r="E243" s="340"/>
      <c r="F243" s="340"/>
      <c r="G243" s="340"/>
      <c r="H243" s="340"/>
      <c r="I243" s="340"/>
      <c r="J243" s="340"/>
      <c r="K243" s="339"/>
      <c r="L243" s="340"/>
      <c r="M243" s="130"/>
      <c r="N243" s="130"/>
      <c r="O243" s="130"/>
      <c r="P243" s="130"/>
      <c r="Q243" s="130"/>
      <c r="R243" s="130"/>
      <c r="S243" s="130"/>
      <c r="T243" s="130"/>
      <c r="U243" s="130"/>
      <c r="V243" s="59"/>
      <c r="W243" s="59"/>
    </row>
    <row r="244" spans="1:23" ht="12.75">
      <c r="A244" s="61"/>
      <c r="B244" s="339"/>
      <c r="C244" s="339"/>
      <c r="D244" s="339"/>
      <c r="E244" s="340"/>
      <c r="F244" s="340"/>
      <c r="G244" s="340"/>
      <c r="H244" s="340"/>
      <c r="I244" s="340"/>
      <c r="J244" s="340"/>
      <c r="K244" s="339"/>
      <c r="L244" s="340"/>
      <c r="M244" s="130"/>
      <c r="N244" s="130"/>
      <c r="O244" s="130"/>
      <c r="P244" s="130"/>
      <c r="Q244" s="130"/>
      <c r="R244" s="130"/>
      <c r="S244" s="130"/>
      <c r="T244" s="130"/>
      <c r="U244" s="130"/>
      <c r="V244" s="59"/>
      <c r="W244" s="59"/>
    </row>
    <row r="245" spans="1:23" ht="12.75">
      <c r="A245" s="61"/>
      <c r="B245" s="339"/>
      <c r="C245" s="339"/>
      <c r="D245" s="339"/>
      <c r="E245" s="340"/>
      <c r="F245" s="340"/>
      <c r="G245" s="340"/>
      <c r="H245" s="340"/>
      <c r="I245" s="340"/>
      <c r="J245" s="340"/>
      <c r="K245" s="339"/>
      <c r="L245" s="340"/>
      <c r="M245" s="130"/>
      <c r="N245" s="130"/>
      <c r="O245" s="130"/>
      <c r="P245" s="130"/>
      <c r="Q245" s="130"/>
      <c r="R245" s="130"/>
      <c r="S245" s="130"/>
      <c r="T245" s="130"/>
      <c r="U245" s="130"/>
      <c r="V245" s="59"/>
      <c r="W245" s="59"/>
    </row>
    <row r="246" spans="1:23" ht="12.75">
      <c r="A246" s="61"/>
      <c r="B246" s="339"/>
      <c r="C246" s="339"/>
      <c r="D246" s="339"/>
      <c r="E246" s="340"/>
      <c r="F246" s="340"/>
      <c r="G246" s="340"/>
      <c r="H246" s="340"/>
      <c r="I246" s="340"/>
      <c r="J246" s="340"/>
      <c r="K246" s="339"/>
      <c r="L246" s="340"/>
      <c r="M246" s="130"/>
      <c r="N246" s="130"/>
      <c r="O246" s="130"/>
      <c r="P246" s="130"/>
      <c r="Q246" s="130"/>
      <c r="R246" s="130"/>
      <c r="S246" s="130"/>
      <c r="T246" s="130"/>
      <c r="U246" s="130"/>
      <c r="V246" s="59"/>
      <c r="W246" s="59"/>
    </row>
    <row r="247" spans="1:23" ht="12.75">
      <c r="A247" s="61"/>
      <c r="B247" s="339"/>
      <c r="C247" s="339"/>
      <c r="D247" s="339"/>
      <c r="E247" s="340"/>
      <c r="F247" s="340"/>
      <c r="G247" s="340"/>
      <c r="H247" s="340"/>
      <c r="I247" s="340"/>
      <c r="J247" s="340"/>
      <c r="K247" s="339"/>
      <c r="L247" s="340"/>
      <c r="M247" s="130"/>
      <c r="N247" s="130"/>
      <c r="O247" s="130"/>
      <c r="P247" s="130"/>
      <c r="Q247" s="130"/>
      <c r="R247" s="130"/>
      <c r="S247" s="130"/>
      <c r="T247" s="130"/>
      <c r="U247" s="130"/>
      <c r="V247" s="59"/>
      <c r="W247" s="59"/>
    </row>
    <row r="248" spans="1:23" ht="12.75">
      <c r="A248" s="61"/>
      <c r="B248" s="339"/>
      <c r="C248" s="339"/>
      <c r="D248" s="339"/>
      <c r="E248" s="340"/>
      <c r="F248" s="340"/>
      <c r="G248" s="340"/>
      <c r="H248" s="340"/>
      <c r="I248" s="340"/>
      <c r="J248" s="340"/>
      <c r="K248" s="339"/>
      <c r="L248" s="340"/>
      <c r="M248" s="130"/>
      <c r="N248" s="130"/>
      <c r="O248" s="130"/>
      <c r="P248" s="130"/>
      <c r="Q248" s="130"/>
      <c r="R248" s="130"/>
      <c r="S248" s="130"/>
      <c r="T248" s="130"/>
      <c r="U248" s="130"/>
      <c r="V248" s="59"/>
      <c r="W248" s="59"/>
    </row>
    <row r="249" spans="1:23" ht="12.75">
      <c r="A249" s="61"/>
      <c r="B249" s="339"/>
      <c r="C249" s="339"/>
      <c r="D249" s="339"/>
      <c r="E249" s="340"/>
      <c r="F249" s="340"/>
      <c r="G249" s="340"/>
      <c r="H249" s="340"/>
      <c r="I249" s="340"/>
      <c r="J249" s="340"/>
      <c r="K249" s="339"/>
      <c r="L249" s="340"/>
      <c r="M249" s="182"/>
      <c r="N249" s="130"/>
      <c r="O249" s="130"/>
      <c r="P249" s="130"/>
      <c r="Q249" s="130"/>
      <c r="R249" s="130"/>
      <c r="S249" s="130"/>
      <c r="T249" s="130"/>
      <c r="U249" s="130"/>
      <c r="V249" s="59"/>
      <c r="W249" s="59"/>
    </row>
    <row r="250" spans="1:23" ht="12.75">
      <c r="A250" s="61"/>
      <c r="B250" s="339"/>
      <c r="C250" s="339"/>
      <c r="D250" s="339"/>
      <c r="E250" s="340"/>
      <c r="F250" s="340"/>
      <c r="G250" s="340"/>
      <c r="H250" s="340"/>
      <c r="I250" s="340"/>
      <c r="J250" s="340"/>
      <c r="K250" s="339"/>
      <c r="L250" s="340"/>
      <c r="N250" s="130"/>
      <c r="O250" s="130"/>
      <c r="P250" s="130"/>
      <c r="Q250" s="130"/>
      <c r="R250" s="130"/>
      <c r="S250" s="130"/>
      <c r="T250" s="130"/>
      <c r="U250" s="130"/>
      <c r="V250" s="59"/>
      <c r="W250" s="59"/>
    </row>
    <row r="251" spans="1:23" ht="12.75">
      <c r="A251" s="61"/>
      <c r="B251" s="339"/>
      <c r="C251" s="339"/>
      <c r="D251" s="339"/>
      <c r="E251" s="340"/>
      <c r="F251" s="340"/>
      <c r="G251" s="340"/>
      <c r="H251" s="340"/>
      <c r="I251" s="340"/>
      <c r="J251" s="340"/>
      <c r="K251" s="339"/>
      <c r="L251" s="340"/>
      <c r="M251" s="130"/>
      <c r="N251" s="130"/>
      <c r="O251" s="130"/>
      <c r="P251" s="130"/>
      <c r="Q251" s="130"/>
      <c r="R251" s="130"/>
      <c r="S251" s="130"/>
      <c r="T251" s="130"/>
      <c r="U251" s="130"/>
      <c r="V251" s="59"/>
      <c r="W251" s="59"/>
    </row>
    <row r="252" spans="1:23" ht="12.75">
      <c r="A252" s="61"/>
      <c r="B252" s="339"/>
      <c r="C252" s="339"/>
      <c r="D252" s="339"/>
      <c r="E252" s="340"/>
      <c r="F252" s="340"/>
      <c r="G252" s="340"/>
      <c r="H252" s="340"/>
      <c r="I252" s="340"/>
      <c r="J252" s="340"/>
      <c r="K252" s="339"/>
      <c r="L252" s="340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</row>
    <row r="253" spans="1:23" ht="13.5" customHeight="1">
      <c r="A253" s="61"/>
      <c r="B253" s="339"/>
      <c r="C253" s="339"/>
      <c r="D253" s="339"/>
      <c r="E253" s="340"/>
      <c r="F253" s="340"/>
      <c r="G253" s="340"/>
      <c r="H253" s="340"/>
      <c r="I253" s="340"/>
      <c r="J253" s="340"/>
      <c r="K253" s="339"/>
      <c r="L253" s="340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</row>
    <row r="254" spans="1:23" ht="12.75">
      <c r="A254" s="61"/>
      <c r="B254" s="339"/>
      <c r="C254" s="339"/>
      <c r="D254" s="339"/>
      <c r="E254" s="340"/>
      <c r="F254" s="340"/>
      <c r="G254" s="340"/>
      <c r="H254" s="340"/>
      <c r="I254" s="340"/>
      <c r="J254" s="340"/>
      <c r="K254" s="339"/>
      <c r="L254" s="340"/>
      <c r="M254" s="59"/>
      <c r="N254" s="59"/>
      <c r="O254" s="60"/>
      <c r="P254" s="60"/>
      <c r="Q254" s="60"/>
      <c r="R254" s="60"/>
      <c r="S254" s="60"/>
      <c r="T254" s="60"/>
      <c r="U254" s="60"/>
      <c r="V254" s="60"/>
      <c r="W254" s="60"/>
    </row>
    <row r="255" spans="1:23" ht="12.75">
      <c r="A255" s="61"/>
      <c r="B255" s="339"/>
      <c r="C255" s="339"/>
      <c r="D255" s="339"/>
      <c r="E255" s="340"/>
      <c r="F255" s="340"/>
      <c r="G255" s="340"/>
      <c r="H255" s="340"/>
      <c r="I255" s="340"/>
      <c r="J255" s="340"/>
      <c r="K255" s="339"/>
      <c r="L255" s="340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</row>
    <row r="256" spans="1:23" ht="12.75">
      <c r="A256" s="61"/>
      <c r="B256" s="339"/>
      <c r="C256" s="339"/>
      <c r="D256" s="339"/>
      <c r="E256" s="340"/>
      <c r="F256" s="340"/>
      <c r="G256" s="340"/>
      <c r="H256" s="340"/>
      <c r="I256" s="340"/>
      <c r="J256" s="340"/>
      <c r="K256" s="339"/>
      <c r="L256" s="340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</row>
    <row r="257" spans="1:23" ht="12.75">
      <c r="A257" s="61"/>
      <c r="B257" s="339"/>
      <c r="C257" s="339"/>
      <c r="D257" s="339"/>
      <c r="E257" s="340"/>
      <c r="F257" s="340"/>
      <c r="G257" s="340"/>
      <c r="H257" s="340"/>
      <c r="I257" s="340"/>
      <c r="J257" s="340"/>
      <c r="K257" s="339"/>
      <c r="L257" s="340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</row>
    <row r="258" spans="1:12" ht="14.25">
      <c r="A258" s="61"/>
      <c r="B258" s="339"/>
      <c r="C258" s="348"/>
      <c r="D258" s="348"/>
      <c r="E258" s="344"/>
      <c r="F258" s="344"/>
      <c r="G258" s="344"/>
      <c r="H258" s="344"/>
      <c r="I258" s="344"/>
      <c r="J258" s="344"/>
      <c r="K258" s="344"/>
      <c r="L258" s="344"/>
    </row>
    <row r="259" spans="1:12" ht="12.75">
      <c r="A259" s="61"/>
      <c r="B259" s="339"/>
      <c r="C259" s="339"/>
      <c r="D259" s="339"/>
      <c r="E259" s="340"/>
      <c r="F259" s="340"/>
      <c r="G259" s="340"/>
      <c r="H259" s="340"/>
      <c r="I259" s="340"/>
      <c r="J259" s="340"/>
      <c r="K259" s="339"/>
      <c r="L259" s="340"/>
    </row>
    <row r="260" spans="1:12" ht="12.75">
      <c r="A260" s="61"/>
      <c r="B260" s="339"/>
      <c r="C260" s="339"/>
      <c r="D260" s="339"/>
      <c r="E260" s="340"/>
      <c r="F260" s="340"/>
      <c r="G260" s="340"/>
      <c r="H260" s="340"/>
      <c r="I260" s="340"/>
      <c r="J260" s="340"/>
      <c r="K260" s="339"/>
      <c r="L260" s="340"/>
    </row>
    <row r="261" spans="1:12" ht="12.75">
      <c r="A261" s="61"/>
      <c r="B261" s="339"/>
      <c r="C261" s="339"/>
      <c r="D261" s="339"/>
      <c r="E261" s="340"/>
      <c r="F261" s="340"/>
      <c r="G261" s="340"/>
      <c r="H261" s="340"/>
      <c r="I261" s="340"/>
      <c r="J261" s="340"/>
      <c r="K261" s="339"/>
      <c r="L261" s="340"/>
    </row>
    <row r="262" spans="1:12" ht="12.75">
      <c r="A262" s="61"/>
      <c r="B262" s="339"/>
      <c r="C262" s="339"/>
      <c r="D262" s="339"/>
      <c r="E262" s="340"/>
      <c r="F262" s="340"/>
      <c r="G262" s="340"/>
      <c r="H262" s="340"/>
      <c r="I262" s="340"/>
      <c r="J262" s="340"/>
      <c r="K262" s="339"/>
      <c r="L262" s="340"/>
    </row>
    <row r="263" spans="1:12" ht="12.75">
      <c r="A263" s="61"/>
      <c r="B263" s="339"/>
      <c r="C263" s="339"/>
      <c r="D263" s="339"/>
      <c r="E263" s="340"/>
      <c r="F263" s="340"/>
      <c r="G263" s="340"/>
      <c r="H263" s="340"/>
      <c r="I263" s="340"/>
      <c r="J263" s="340"/>
      <c r="K263" s="339"/>
      <c r="L263" s="340"/>
    </row>
    <row r="264" spans="1:12" ht="12.75">
      <c r="A264" s="61"/>
      <c r="B264" s="339"/>
      <c r="C264" s="339"/>
      <c r="D264" s="339"/>
      <c r="E264" s="340"/>
      <c r="F264" s="340"/>
      <c r="G264" s="340"/>
      <c r="H264" s="340"/>
      <c r="I264" s="340"/>
      <c r="J264" s="340"/>
      <c r="K264" s="339"/>
      <c r="L264" s="340"/>
    </row>
    <row r="265" spans="1:12" ht="12.75">
      <c r="A265" s="61"/>
      <c r="B265" s="339"/>
      <c r="C265" s="339"/>
      <c r="D265" s="339"/>
      <c r="E265" s="340"/>
      <c r="F265" s="340"/>
      <c r="G265" s="340"/>
      <c r="H265" s="340"/>
      <c r="I265" s="340"/>
      <c r="J265" s="340"/>
      <c r="K265" s="339"/>
      <c r="L265" s="340"/>
    </row>
    <row r="266" spans="1:12" ht="12.75">
      <c r="A266" s="61"/>
      <c r="B266" s="339"/>
      <c r="C266" s="339"/>
      <c r="D266" s="339"/>
      <c r="E266" s="340"/>
      <c r="F266" s="340"/>
      <c r="G266" s="340"/>
      <c r="H266" s="340"/>
      <c r="I266" s="340"/>
      <c r="J266" s="340"/>
      <c r="K266" s="339"/>
      <c r="L266" s="340"/>
    </row>
    <row r="267" spans="1:12" ht="12.75">
      <c r="A267" s="61"/>
      <c r="B267" s="339"/>
      <c r="C267" s="339"/>
      <c r="D267" s="339"/>
      <c r="E267" s="340"/>
      <c r="F267" s="340"/>
      <c r="G267" s="340"/>
      <c r="H267" s="340"/>
      <c r="I267" s="340"/>
      <c r="J267" s="340"/>
      <c r="K267" s="339"/>
      <c r="L267" s="340"/>
    </row>
    <row r="268" spans="1:12" ht="12.75">
      <c r="A268" s="61"/>
      <c r="B268" s="339"/>
      <c r="C268" s="339"/>
      <c r="D268" s="339"/>
      <c r="E268" s="340"/>
      <c r="F268" s="340"/>
      <c r="G268" s="340"/>
      <c r="H268" s="340"/>
      <c r="I268" s="340"/>
      <c r="J268" s="340"/>
      <c r="K268" s="339"/>
      <c r="L268" s="340"/>
    </row>
    <row r="269" spans="1:12" ht="12.75">
      <c r="A269" s="61"/>
      <c r="B269" s="339"/>
      <c r="C269" s="339"/>
      <c r="D269" s="339"/>
      <c r="E269" s="340"/>
      <c r="F269" s="340"/>
      <c r="G269" s="340"/>
      <c r="H269" s="340"/>
      <c r="I269" s="340"/>
      <c r="J269" s="340"/>
      <c r="K269" s="339"/>
      <c r="L269" s="340"/>
    </row>
    <row r="270" spans="1:27" ht="12.75">
      <c r="A270" s="61"/>
      <c r="B270" s="339"/>
      <c r="C270" s="339"/>
      <c r="D270" s="339"/>
      <c r="E270" s="340"/>
      <c r="F270" s="340"/>
      <c r="G270" s="340"/>
      <c r="H270" s="340"/>
      <c r="I270" s="340"/>
      <c r="J270" s="340"/>
      <c r="K270" s="339"/>
      <c r="L270" s="340"/>
      <c r="O270" s="184"/>
      <c r="P270" s="185"/>
      <c r="Q270" s="186"/>
      <c r="R270" s="186"/>
      <c r="S270" s="186"/>
      <c r="T270" s="186"/>
      <c r="U270" s="186"/>
      <c r="V270" s="186"/>
      <c r="W270" s="184"/>
      <c r="X270" s="61"/>
      <c r="Y270" s="61"/>
      <c r="Z270" s="61"/>
      <c r="AA270" s="61"/>
    </row>
    <row r="271" spans="1:27" ht="12.75">
      <c r="A271" s="61"/>
      <c r="B271" s="339"/>
      <c r="C271" s="339"/>
      <c r="D271" s="339"/>
      <c r="E271" s="340"/>
      <c r="F271" s="340"/>
      <c r="G271" s="340"/>
      <c r="H271" s="340"/>
      <c r="I271" s="340"/>
      <c r="J271" s="340"/>
      <c r="K271" s="339"/>
      <c r="L271" s="340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</row>
    <row r="272" spans="1:12" ht="12.75">
      <c r="A272" s="61"/>
      <c r="B272" s="339"/>
      <c r="C272" s="339"/>
      <c r="D272" s="339"/>
      <c r="E272" s="340"/>
      <c r="F272" s="340"/>
      <c r="G272" s="340"/>
      <c r="H272" s="340"/>
      <c r="I272" s="340"/>
      <c r="J272" s="340"/>
      <c r="K272" s="339"/>
      <c r="L272" s="340"/>
    </row>
    <row r="273" spans="1:12" ht="12.75">
      <c r="A273" s="61"/>
      <c r="B273" s="339"/>
      <c r="C273" s="339"/>
      <c r="D273" s="339"/>
      <c r="E273" s="340"/>
      <c r="F273" s="340"/>
      <c r="G273" s="340"/>
      <c r="H273" s="340"/>
      <c r="I273" s="340"/>
      <c r="J273" s="340"/>
      <c r="K273" s="339"/>
      <c r="L273" s="340"/>
    </row>
    <row r="274" spans="1:12" ht="12.75">
      <c r="A274" s="61"/>
      <c r="B274" s="339"/>
      <c r="C274" s="347"/>
      <c r="D274" s="347"/>
      <c r="E274" s="341"/>
      <c r="F274" s="341"/>
      <c r="G274" s="341"/>
      <c r="H274" s="341"/>
      <c r="I274" s="341"/>
      <c r="J274" s="341"/>
      <c r="K274" s="345"/>
      <c r="L274" s="341"/>
    </row>
    <row r="275" spans="1:12" ht="12.75">
      <c r="A275" s="61"/>
      <c r="B275" s="339"/>
      <c r="C275" s="339"/>
      <c r="D275" s="339"/>
      <c r="E275" s="340"/>
      <c r="F275" s="340"/>
      <c r="G275" s="340"/>
      <c r="H275" s="340"/>
      <c r="I275" s="340"/>
      <c r="J275" s="340"/>
      <c r="K275" s="339"/>
      <c r="L275" s="340"/>
    </row>
    <row r="276" spans="1:12" ht="12.75">
      <c r="A276" s="61"/>
      <c r="B276" s="339"/>
      <c r="C276" s="339"/>
      <c r="D276" s="339"/>
      <c r="E276" s="340"/>
      <c r="F276" s="340"/>
      <c r="G276" s="340"/>
      <c r="H276" s="340"/>
      <c r="I276" s="340"/>
      <c r="J276" s="340"/>
      <c r="K276" s="339"/>
      <c r="L276" s="340"/>
    </row>
    <row r="277" spans="1:12" ht="12.75">
      <c r="A277" s="61"/>
      <c r="B277" s="339"/>
      <c r="C277" s="339"/>
      <c r="D277" s="339"/>
      <c r="E277" s="340"/>
      <c r="F277" s="340"/>
      <c r="G277" s="340"/>
      <c r="H277" s="340"/>
      <c r="I277" s="340"/>
      <c r="J277" s="340"/>
      <c r="K277" s="339"/>
      <c r="L277" s="340"/>
    </row>
    <row r="278" spans="1:12" ht="12.75">
      <c r="A278" s="61"/>
      <c r="B278" s="339"/>
      <c r="C278" s="339"/>
      <c r="D278" s="339"/>
      <c r="E278" s="340"/>
      <c r="F278" s="340"/>
      <c r="G278" s="340"/>
      <c r="H278" s="340"/>
      <c r="I278" s="340"/>
      <c r="J278" s="340"/>
      <c r="K278" s="339"/>
      <c r="L278" s="340"/>
    </row>
    <row r="279" spans="1:12" ht="12.75">
      <c r="A279" s="61"/>
      <c r="B279" s="339"/>
      <c r="C279" s="339"/>
      <c r="D279" s="339"/>
      <c r="E279" s="340"/>
      <c r="F279" s="340"/>
      <c r="G279" s="340"/>
      <c r="H279" s="340"/>
      <c r="I279" s="340"/>
      <c r="J279" s="340"/>
      <c r="K279" s="339"/>
      <c r="L279" s="340"/>
    </row>
    <row r="280" spans="1:12" ht="12.75">
      <c r="A280" s="61"/>
      <c r="B280" s="339"/>
      <c r="C280" s="339"/>
      <c r="D280" s="339"/>
      <c r="E280" s="340"/>
      <c r="F280" s="340"/>
      <c r="G280" s="340"/>
      <c r="H280" s="340"/>
      <c r="I280" s="340"/>
      <c r="J280" s="340"/>
      <c r="K280" s="339"/>
      <c r="L280" s="340"/>
    </row>
    <row r="281" spans="1:12" ht="12.75">
      <c r="A281" s="61"/>
      <c r="B281" s="339"/>
      <c r="C281" s="339"/>
      <c r="D281" s="339"/>
      <c r="E281" s="340"/>
      <c r="F281" s="340"/>
      <c r="G281" s="340"/>
      <c r="H281" s="340"/>
      <c r="I281" s="340"/>
      <c r="J281" s="340"/>
      <c r="K281" s="339"/>
      <c r="L281" s="340"/>
    </row>
    <row r="282" spans="1:12" ht="12.75">
      <c r="A282" s="61"/>
      <c r="B282" s="339"/>
      <c r="C282" s="339"/>
      <c r="D282" s="339"/>
      <c r="E282" s="340"/>
      <c r="F282" s="340"/>
      <c r="G282" s="340"/>
      <c r="H282" s="340"/>
      <c r="I282" s="340"/>
      <c r="J282" s="340"/>
      <c r="K282" s="339"/>
      <c r="L282" s="340"/>
    </row>
    <row r="283" spans="1:12" ht="12.75">
      <c r="A283" s="61"/>
      <c r="B283" s="339"/>
      <c r="C283" s="339"/>
      <c r="D283" s="339"/>
      <c r="E283" s="340"/>
      <c r="F283" s="340"/>
      <c r="G283" s="340"/>
      <c r="H283" s="340"/>
      <c r="I283" s="340"/>
      <c r="J283" s="340"/>
      <c r="K283" s="339"/>
      <c r="L283" s="340"/>
    </row>
    <row r="284" spans="1:12" ht="12.75">
      <c r="A284" s="61"/>
      <c r="B284" s="339"/>
      <c r="C284" s="339"/>
      <c r="D284" s="339"/>
      <c r="E284" s="340"/>
      <c r="F284" s="340"/>
      <c r="G284" s="340"/>
      <c r="H284" s="340"/>
      <c r="I284" s="340"/>
      <c r="J284" s="340"/>
      <c r="K284" s="339"/>
      <c r="L284" s="340"/>
    </row>
    <row r="285" spans="1:12" ht="12.75">
      <c r="A285" s="61"/>
      <c r="B285" s="339"/>
      <c r="C285" s="339"/>
      <c r="D285" s="339"/>
      <c r="E285" s="340"/>
      <c r="F285" s="340"/>
      <c r="G285" s="340"/>
      <c r="H285" s="340"/>
      <c r="I285" s="340"/>
      <c r="J285" s="340"/>
      <c r="K285" s="339"/>
      <c r="L285" s="340"/>
    </row>
    <row r="286" spans="1:12" ht="12.75">
      <c r="A286" s="61"/>
      <c r="B286" s="339"/>
      <c r="C286" s="339"/>
      <c r="D286" s="339"/>
      <c r="E286" s="340"/>
      <c r="F286" s="340"/>
      <c r="G286" s="340"/>
      <c r="H286" s="340"/>
      <c r="I286" s="340"/>
      <c r="J286" s="340"/>
      <c r="K286" s="339"/>
      <c r="L286" s="340"/>
    </row>
    <row r="287" spans="1:12" ht="12.75">
      <c r="A287" s="61"/>
      <c r="B287" s="339"/>
      <c r="C287" s="347"/>
      <c r="D287" s="347"/>
      <c r="E287" s="341"/>
      <c r="F287" s="341"/>
      <c r="G287" s="341"/>
      <c r="H287" s="341"/>
      <c r="I287" s="341"/>
      <c r="J287" s="341"/>
      <c r="K287" s="341"/>
      <c r="L287" s="341"/>
    </row>
    <row r="288" spans="1:12" ht="12.75">
      <c r="A288" s="61"/>
      <c r="B288" s="339"/>
      <c r="C288" s="339"/>
      <c r="D288" s="339"/>
      <c r="E288" s="340"/>
      <c r="F288" s="340"/>
      <c r="G288" s="340"/>
      <c r="H288" s="340"/>
      <c r="I288" s="340"/>
      <c r="J288" s="340"/>
      <c r="K288" s="339"/>
      <c r="L288" s="340"/>
    </row>
    <row r="289" spans="1:12" ht="12.75">
      <c r="A289" s="61"/>
      <c r="B289" s="339"/>
      <c r="C289" s="339"/>
      <c r="D289" s="339"/>
      <c r="E289" s="340"/>
      <c r="F289" s="340"/>
      <c r="G289" s="340"/>
      <c r="H289" s="340"/>
      <c r="I289" s="340"/>
      <c r="J289" s="340"/>
      <c r="K289" s="339"/>
      <c r="L289" s="340"/>
    </row>
    <row r="290" spans="1:12" ht="12.75">
      <c r="A290" s="61"/>
      <c r="B290" s="339"/>
      <c r="C290" s="339"/>
      <c r="D290" s="339"/>
      <c r="E290" s="340"/>
      <c r="F290" s="340"/>
      <c r="G290" s="340"/>
      <c r="H290" s="340"/>
      <c r="I290" s="340"/>
      <c r="J290" s="340"/>
      <c r="K290" s="339"/>
      <c r="L290" s="340"/>
    </row>
    <row r="291" spans="1:12" ht="12.75">
      <c r="A291" s="61"/>
      <c r="B291" s="339"/>
      <c r="C291" s="339"/>
      <c r="D291" s="339"/>
      <c r="E291" s="340"/>
      <c r="F291" s="340"/>
      <c r="G291" s="340"/>
      <c r="H291" s="340"/>
      <c r="I291" s="340"/>
      <c r="J291" s="340"/>
      <c r="K291" s="339"/>
      <c r="L291" s="340"/>
    </row>
    <row r="292" spans="1:12" ht="12.75">
      <c r="A292" s="61"/>
      <c r="B292" s="339"/>
      <c r="C292" s="339"/>
      <c r="D292" s="339"/>
      <c r="E292" s="340"/>
      <c r="F292" s="340"/>
      <c r="G292" s="340"/>
      <c r="H292" s="340"/>
      <c r="I292" s="340"/>
      <c r="J292" s="340"/>
      <c r="K292" s="339"/>
      <c r="L292" s="340"/>
    </row>
    <row r="293" spans="1:12" ht="12.75">
      <c r="A293" s="61"/>
      <c r="B293" s="339"/>
      <c r="C293" s="339"/>
      <c r="D293" s="339"/>
      <c r="E293" s="340"/>
      <c r="F293" s="340"/>
      <c r="G293" s="340"/>
      <c r="H293" s="340"/>
      <c r="I293" s="340"/>
      <c r="J293" s="340"/>
      <c r="K293" s="339"/>
      <c r="L293" s="340"/>
    </row>
    <row r="294" spans="1:12" ht="12.75">
      <c r="A294" s="61"/>
      <c r="B294" s="339"/>
      <c r="C294" s="339"/>
      <c r="D294" s="339"/>
      <c r="E294" s="340"/>
      <c r="F294" s="340"/>
      <c r="G294" s="340"/>
      <c r="H294" s="340"/>
      <c r="I294" s="340"/>
      <c r="J294" s="340"/>
      <c r="K294" s="339"/>
      <c r="L294" s="340"/>
    </row>
    <row r="295" spans="1:12" ht="12.75">
      <c r="A295" s="61"/>
      <c r="B295" s="339"/>
      <c r="C295" s="339"/>
      <c r="D295" s="339"/>
      <c r="E295" s="340"/>
      <c r="F295" s="340"/>
      <c r="G295" s="340"/>
      <c r="H295" s="340"/>
      <c r="I295" s="340"/>
      <c r="J295" s="340"/>
      <c r="K295" s="339"/>
      <c r="L295" s="340"/>
    </row>
    <row r="296" spans="1:12" ht="12.75">
      <c r="A296" s="61"/>
      <c r="B296" s="339"/>
      <c r="C296" s="339"/>
      <c r="D296" s="339"/>
      <c r="E296" s="340"/>
      <c r="F296" s="340"/>
      <c r="G296" s="340"/>
      <c r="H296" s="340"/>
      <c r="I296" s="340"/>
      <c r="J296" s="340"/>
      <c r="K296" s="339"/>
      <c r="L296" s="340"/>
    </row>
    <row r="297" spans="1:12" ht="12.75">
      <c r="A297" s="61"/>
      <c r="B297" s="339"/>
      <c r="C297" s="339"/>
      <c r="D297" s="339"/>
      <c r="E297" s="340"/>
      <c r="F297" s="340"/>
      <c r="G297" s="340"/>
      <c r="H297" s="340"/>
      <c r="I297" s="340"/>
      <c r="J297" s="340"/>
      <c r="K297" s="339"/>
      <c r="L297" s="340"/>
    </row>
    <row r="298" spans="2:12" ht="12.75">
      <c r="B298" s="339"/>
      <c r="C298" s="339"/>
      <c r="D298" s="339"/>
      <c r="E298" s="340"/>
      <c r="F298" s="340"/>
      <c r="G298" s="340"/>
      <c r="H298" s="340"/>
      <c r="I298" s="340"/>
      <c r="J298" s="340"/>
      <c r="K298" s="339"/>
      <c r="L298" s="340"/>
    </row>
    <row r="299" spans="2:12" ht="12.75">
      <c r="B299" s="339"/>
      <c r="C299" s="339"/>
      <c r="D299" s="339"/>
      <c r="E299" s="340"/>
      <c r="F299" s="340"/>
      <c r="G299" s="340"/>
      <c r="H299" s="340"/>
      <c r="I299" s="340"/>
      <c r="J299" s="340"/>
      <c r="K299" s="339"/>
      <c r="L299" s="340"/>
    </row>
    <row r="300" spans="2:12" ht="12.75">
      <c r="B300" s="339"/>
      <c r="C300" s="339"/>
      <c r="D300" s="339"/>
      <c r="E300" s="340"/>
      <c r="F300" s="340"/>
      <c r="G300" s="340"/>
      <c r="H300" s="340"/>
      <c r="I300" s="340"/>
      <c r="J300" s="340"/>
      <c r="K300" s="339"/>
      <c r="L300" s="340"/>
    </row>
    <row r="301" spans="2:12" ht="12.75">
      <c r="B301" s="339"/>
      <c r="C301" s="339"/>
      <c r="D301" s="339"/>
      <c r="E301" s="340"/>
      <c r="F301" s="340"/>
      <c r="G301" s="340"/>
      <c r="H301" s="340"/>
      <c r="I301" s="340"/>
      <c r="J301" s="340"/>
      <c r="K301" s="339"/>
      <c r="L301" s="340"/>
    </row>
    <row r="302" spans="2:12" ht="12.75">
      <c r="B302" s="339"/>
      <c r="C302" s="339"/>
      <c r="D302" s="339"/>
      <c r="E302" s="340"/>
      <c r="F302" s="340"/>
      <c r="G302" s="340"/>
      <c r="H302" s="340"/>
      <c r="I302" s="340"/>
      <c r="J302" s="340"/>
      <c r="K302" s="339"/>
      <c r="L302" s="340"/>
    </row>
    <row r="303" spans="2:12" ht="12.75">
      <c r="B303" s="339"/>
      <c r="C303" s="339"/>
      <c r="D303" s="339"/>
      <c r="E303" s="340"/>
      <c r="F303" s="340"/>
      <c r="G303" s="340"/>
      <c r="H303" s="340"/>
      <c r="I303" s="340"/>
      <c r="J303" s="340"/>
      <c r="K303" s="339"/>
      <c r="L303" s="340"/>
    </row>
    <row r="304" spans="2:12" ht="12.75">
      <c r="B304" s="339"/>
      <c r="C304" s="339"/>
      <c r="D304" s="339"/>
      <c r="E304" s="340"/>
      <c r="F304" s="340"/>
      <c r="G304" s="340"/>
      <c r="H304" s="340"/>
      <c r="I304" s="340"/>
      <c r="J304" s="340"/>
      <c r="K304" s="339"/>
      <c r="L304" s="340"/>
    </row>
    <row r="305" spans="2:12" ht="12.75">
      <c r="B305" s="339"/>
      <c r="C305" s="339"/>
      <c r="D305" s="339"/>
      <c r="E305" s="340"/>
      <c r="F305" s="340"/>
      <c r="G305" s="340"/>
      <c r="H305" s="340"/>
      <c r="I305" s="340"/>
      <c r="J305" s="340"/>
      <c r="K305" s="339"/>
      <c r="L305" s="340"/>
    </row>
    <row r="306" spans="2:12" ht="12.75">
      <c r="B306" s="339"/>
      <c r="C306" s="339"/>
      <c r="D306" s="339"/>
      <c r="E306" s="340"/>
      <c r="F306" s="340"/>
      <c r="G306" s="340"/>
      <c r="H306" s="340"/>
      <c r="I306" s="340"/>
      <c r="J306" s="340"/>
      <c r="K306" s="339"/>
      <c r="L306" s="340"/>
    </row>
    <row r="307" spans="2:12" ht="12.75">
      <c r="B307" s="339"/>
      <c r="C307" s="339"/>
      <c r="D307" s="339"/>
      <c r="E307" s="340"/>
      <c r="F307" s="340"/>
      <c r="G307" s="340"/>
      <c r="H307" s="340"/>
      <c r="I307" s="340"/>
      <c r="J307" s="340"/>
      <c r="K307" s="339"/>
      <c r="L307" s="340"/>
    </row>
    <row r="308" spans="2:12" ht="12.75">
      <c r="B308" s="339"/>
      <c r="C308" s="339"/>
      <c r="D308" s="339"/>
      <c r="E308" s="340"/>
      <c r="F308" s="340"/>
      <c r="G308" s="340"/>
      <c r="H308" s="340"/>
      <c r="I308" s="340"/>
      <c r="J308" s="340"/>
      <c r="K308" s="339"/>
      <c r="L308" s="340"/>
    </row>
    <row r="309" spans="2:12" ht="12.75">
      <c r="B309" s="339"/>
      <c r="C309" s="347"/>
      <c r="D309" s="347"/>
      <c r="E309" s="341"/>
      <c r="F309" s="341"/>
      <c r="G309" s="341"/>
      <c r="H309" s="341"/>
      <c r="I309" s="341"/>
      <c r="J309" s="341"/>
      <c r="K309" s="341"/>
      <c r="L309" s="341"/>
    </row>
    <row r="310" spans="2:12" ht="12.75">
      <c r="B310" s="339"/>
      <c r="C310" s="339"/>
      <c r="D310" s="339"/>
      <c r="E310" s="340"/>
      <c r="F310" s="340"/>
      <c r="G310" s="340"/>
      <c r="H310" s="340"/>
      <c r="I310" s="340"/>
      <c r="J310" s="340"/>
      <c r="K310" s="339"/>
      <c r="L310" s="340"/>
    </row>
    <row r="311" spans="2:12" ht="12.75">
      <c r="B311" s="339"/>
      <c r="C311" s="339"/>
      <c r="D311" s="346"/>
      <c r="E311" s="340"/>
      <c r="F311" s="340"/>
      <c r="G311" s="340"/>
      <c r="H311" s="340"/>
      <c r="I311" s="340"/>
      <c r="J311" s="340"/>
      <c r="K311" s="339"/>
      <c r="L311" s="340"/>
    </row>
    <row r="312" spans="2:12" ht="12.75">
      <c r="B312" s="339"/>
      <c r="C312" s="339"/>
      <c r="D312" s="346"/>
      <c r="E312" s="340"/>
      <c r="F312" s="340"/>
      <c r="G312" s="340"/>
      <c r="H312" s="340"/>
      <c r="I312" s="340"/>
      <c r="J312" s="340"/>
      <c r="K312" s="339"/>
      <c r="L312" s="340"/>
    </row>
    <row r="313" spans="2:12" ht="12.75">
      <c r="B313" s="339"/>
      <c r="C313" s="339"/>
      <c r="D313" s="346"/>
      <c r="E313" s="340"/>
      <c r="F313" s="340"/>
      <c r="G313" s="340"/>
      <c r="H313" s="340"/>
      <c r="I313" s="340"/>
      <c r="J313" s="340"/>
      <c r="K313" s="339"/>
      <c r="L313" s="340"/>
    </row>
    <row r="314" spans="2:12" ht="12.75">
      <c r="B314" s="339"/>
      <c r="C314" s="339"/>
      <c r="D314" s="346"/>
      <c r="E314" s="340"/>
      <c r="F314" s="340"/>
      <c r="G314" s="340"/>
      <c r="H314" s="340"/>
      <c r="I314" s="340"/>
      <c r="J314" s="340"/>
      <c r="K314" s="339"/>
      <c r="L314" s="340"/>
    </row>
    <row r="315" spans="2:12" ht="12.75">
      <c r="B315" s="339"/>
      <c r="C315" s="339"/>
      <c r="D315" s="346"/>
      <c r="E315" s="340"/>
      <c r="F315" s="340"/>
      <c r="G315" s="340"/>
      <c r="H315" s="340"/>
      <c r="I315" s="340"/>
      <c r="J315" s="340"/>
      <c r="K315" s="339"/>
      <c r="L315" s="340"/>
    </row>
    <row r="316" spans="2:12" ht="12.75">
      <c r="B316" s="339"/>
      <c r="C316" s="339"/>
      <c r="D316" s="346"/>
      <c r="E316" s="340"/>
      <c r="F316" s="340"/>
      <c r="G316" s="340"/>
      <c r="H316" s="340"/>
      <c r="I316" s="340"/>
      <c r="J316" s="340"/>
      <c r="K316" s="339"/>
      <c r="L316" s="340"/>
    </row>
    <row r="317" spans="2:12" ht="12.75">
      <c r="B317" s="339"/>
      <c r="C317" s="339"/>
      <c r="D317" s="346"/>
      <c r="E317" s="340"/>
      <c r="F317" s="340"/>
      <c r="G317" s="340"/>
      <c r="H317" s="340"/>
      <c r="I317" s="340"/>
      <c r="J317" s="340"/>
      <c r="K317" s="339"/>
      <c r="L317" s="340"/>
    </row>
    <row r="318" spans="2:12" ht="12.75">
      <c r="B318" s="339"/>
      <c r="C318" s="339"/>
      <c r="D318" s="346"/>
      <c r="E318" s="340"/>
      <c r="F318" s="340"/>
      <c r="G318" s="340"/>
      <c r="H318" s="340"/>
      <c r="I318" s="340"/>
      <c r="J318" s="340"/>
      <c r="K318" s="339"/>
      <c r="L318" s="340"/>
    </row>
    <row r="319" spans="2:12" ht="12.75">
      <c r="B319" s="339"/>
      <c r="C319" s="339"/>
      <c r="D319" s="346"/>
      <c r="E319" s="340"/>
      <c r="F319" s="340"/>
      <c r="G319" s="340"/>
      <c r="H319" s="340"/>
      <c r="I319" s="340"/>
      <c r="J319" s="340"/>
      <c r="K319" s="339"/>
      <c r="L319" s="340"/>
    </row>
    <row r="320" spans="2:12" ht="12.75">
      <c r="B320" s="339"/>
      <c r="C320" s="339"/>
      <c r="D320" s="346"/>
      <c r="E320" s="340"/>
      <c r="F320" s="340"/>
      <c r="G320" s="340"/>
      <c r="H320" s="340"/>
      <c r="I320" s="340"/>
      <c r="J320" s="340"/>
      <c r="K320" s="339"/>
      <c r="L320" s="340"/>
    </row>
    <row r="321" spans="2:12" ht="12.75">
      <c r="B321" s="339"/>
      <c r="C321" s="339"/>
      <c r="D321" s="346"/>
      <c r="E321" s="340"/>
      <c r="F321" s="340"/>
      <c r="G321" s="340"/>
      <c r="H321" s="340"/>
      <c r="I321" s="340"/>
      <c r="J321" s="340"/>
      <c r="K321" s="339"/>
      <c r="L321" s="340"/>
    </row>
    <row r="322" spans="2:12" ht="12.75">
      <c r="B322" s="339"/>
      <c r="C322" s="339"/>
      <c r="D322" s="346"/>
      <c r="E322" s="340"/>
      <c r="F322" s="340"/>
      <c r="G322" s="340"/>
      <c r="H322" s="340"/>
      <c r="I322" s="340"/>
      <c r="J322" s="340"/>
      <c r="K322" s="339"/>
      <c r="L322" s="340"/>
    </row>
    <row r="323" spans="2:12" ht="12.75">
      <c r="B323" s="339"/>
      <c r="C323" s="339"/>
      <c r="D323" s="346"/>
      <c r="E323" s="340"/>
      <c r="F323" s="340"/>
      <c r="G323" s="340"/>
      <c r="H323" s="340"/>
      <c r="I323" s="340"/>
      <c r="J323" s="340"/>
      <c r="K323" s="339"/>
      <c r="L323" s="340"/>
    </row>
    <row r="324" spans="2:12" ht="12.75">
      <c r="B324" s="339"/>
      <c r="C324" s="339"/>
      <c r="D324" s="346"/>
      <c r="E324" s="340"/>
      <c r="F324" s="340"/>
      <c r="G324" s="340"/>
      <c r="H324" s="340"/>
      <c r="I324" s="340"/>
      <c r="J324" s="340"/>
      <c r="K324" s="339"/>
      <c r="L324" s="340"/>
    </row>
    <row r="325" spans="2:12" ht="12.75">
      <c r="B325" s="339"/>
      <c r="C325" s="339"/>
      <c r="D325" s="346"/>
      <c r="E325" s="340"/>
      <c r="F325" s="340"/>
      <c r="G325" s="340"/>
      <c r="H325" s="340"/>
      <c r="I325" s="340"/>
      <c r="J325" s="340"/>
      <c r="K325" s="339"/>
      <c r="L325" s="340"/>
    </row>
    <row r="326" spans="2:12" ht="12.75">
      <c r="B326" s="339"/>
      <c r="C326" s="347"/>
      <c r="D326" s="347"/>
      <c r="E326" s="341"/>
      <c r="F326" s="341"/>
      <c r="G326" s="341"/>
      <c r="H326" s="341"/>
      <c r="I326" s="341"/>
      <c r="J326" s="341"/>
      <c r="K326" s="341"/>
      <c r="L326" s="341"/>
    </row>
    <row r="327" spans="2:12" ht="12.75">
      <c r="B327" s="339"/>
      <c r="C327" s="339"/>
      <c r="D327" s="339"/>
      <c r="E327" s="340"/>
      <c r="F327" s="340"/>
      <c r="G327" s="340"/>
      <c r="H327" s="340"/>
      <c r="I327" s="340"/>
      <c r="J327" s="340"/>
      <c r="K327" s="339"/>
      <c r="L327" s="340"/>
    </row>
    <row r="328" spans="2:12" ht="12.75">
      <c r="B328" s="339"/>
      <c r="C328" s="339"/>
      <c r="D328" s="346"/>
      <c r="E328" s="340"/>
      <c r="F328" s="340"/>
      <c r="G328" s="340"/>
      <c r="H328" s="340"/>
      <c r="I328" s="340"/>
      <c r="J328" s="340"/>
      <c r="K328" s="339"/>
      <c r="L328" s="340"/>
    </row>
    <row r="329" spans="2:12" ht="12.75">
      <c r="B329" s="339"/>
      <c r="C329" s="339"/>
      <c r="D329" s="346"/>
      <c r="E329" s="340"/>
      <c r="F329" s="340"/>
      <c r="G329" s="340"/>
      <c r="H329" s="340"/>
      <c r="I329" s="340"/>
      <c r="J329" s="340"/>
      <c r="K329" s="339"/>
      <c r="L329" s="340"/>
    </row>
    <row r="330" spans="2:12" ht="12.75">
      <c r="B330" s="339"/>
      <c r="C330" s="339"/>
      <c r="D330" s="346"/>
      <c r="E330" s="340"/>
      <c r="F330" s="340"/>
      <c r="G330" s="340"/>
      <c r="H330" s="340"/>
      <c r="I330" s="340"/>
      <c r="J330" s="340"/>
      <c r="K330" s="339"/>
      <c r="L330" s="340"/>
    </row>
    <row r="331" spans="2:12" ht="12.75">
      <c r="B331" s="339"/>
      <c r="C331" s="339"/>
      <c r="D331" s="346"/>
      <c r="E331" s="340"/>
      <c r="F331" s="340"/>
      <c r="G331" s="340"/>
      <c r="H331" s="340"/>
      <c r="I331" s="340"/>
      <c r="J331" s="340"/>
      <c r="K331" s="339"/>
      <c r="L331" s="340"/>
    </row>
    <row r="332" spans="2:12" ht="12.75">
      <c r="B332" s="339"/>
      <c r="C332" s="339"/>
      <c r="D332" s="346"/>
      <c r="E332" s="340"/>
      <c r="F332" s="340"/>
      <c r="G332" s="340"/>
      <c r="H332" s="340"/>
      <c r="I332" s="340"/>
      <c r="J332" s="340"/>
      <c r="K332" s="339"/>
      <c r="L332" s="340"/>
    </row>
    <row r="333" spans="2:12" ht="12.75">
      <c r="B333" s="339"/>
      <c r="C333" s="339"/>
      <c r="D333" s="346"/>
      <c r="E333" s="340"/>
      <c r="F333" s="340"/>
      <c r="G333" s="340"/>
      <c r="H333" s="340"/>
      <c r="I333" s="340"/>
      <c r="J333" s="340"/>
      <c r="K333" s="339"/>
      <c r="L333" s="340"/>
    </row>
    <row r="334" spans="2:12" ht="12.75">
      <c r="B334" s="339"/>
      <c r="C334" s="339"/>
      <c r="D334" s="346"/>
      <c r="E334" s="340"/>
      <c r="F334" s="340"/>
      <c r="G334" s="340"/>
      <c r="H334" s="340"/>
      <c r="I334" s="340"/>
      <c r="J334" s="340"/>
      <c r="K334" s="339"/>
      <c r="L334" s="340"/>
    </row>
    <row r="335" spans="2:12" ht="12.75">
      <c r="B335" s="339"/>
      <c r="C335" s="339"/>
      <c r="D335" s="339"/>
      <c r="E335" s="340"/>
      <c r="F335" s="340"/>
      <c r="G335" s="340"/>
      <c r="H335" s="340"/>
      <c r="I335" s="340"/>
      <c r="J335" s="340"/>
      <c r="K335" s="339"/>
      <c r="L335" s="340"/>
    </row>
    <row r="336" spans="2:12" ht="12.75">
      <c r="B336" s="339"/>
      <c r="C336" s="339"/>
      <c r="D336" s="346"/>
      <c r="E336" s="340"/>
      <c r="F336" s="340"/>
      <c r="G336" s="340"/>
      <c r="H336" s="340"/>
      <c r="I336" s="340"/>
      <c r="J336" s="340"/>
      <c r="K336" s="339"/>
      <c r="L336" s="340"/>
    </row>
    <row r="337" spans="2:12" ht="12.75">
      <c r="B337" s="339"/>
      <c r="C337" s="339"/>
      <c r="D337" s="346"/>
      <c r="E337" s="340"/>
      <c r="F337" s="340"/>
      <c r="G337" s="340"/>
      <c r="H337" s="340"/>
      <c r="I337" s="340"/>
      <c r="J337" s="340"/>
      <c r="K337" s="339"/>
      <c r="L337" s="340"/>
    </row>
    <row r="338" spans="2:12" ht="12.75">
      <c r="B338" s="339"/>
      <c r="C338" s="339"/>
      <c r="D338" s="339"/>
      <c r="E338" s="340"/>
      <c r="F338" s="340"/>
      <c r="G338" s="340"/>
      <c r="H338" s="340"/>
      <c r="I338" s="340"/>
      <c r="J338" s="340"/>
      <c r="K338" s="339"/>
      <c r="L338" s="340"/>
    </row>
    <row r="339" spans="2:12" ht="12.75">
      <c r="B339" s="339"/>
      <c r="C339" s="339"/>
      <c r="D339" s="346"/>
      <c r="E339" s="340"/>
      <c r="F339" s="340"/>
      <c r="G339" s="340"/>
      <c r="H339" s="340"/>
      <c r="I339" s="340"/>
      <c r="J339" s="340"/>
      <c r="K339" s="339"/>
      <c r="L339" s="340"/>
    </row>
    <row r="340" spans="2:12" ht="12.75">
      <c r="B340" s="339"/>
      <c r="C340" s="339"/>
      <c r="D340" s="346"/>
      <c r="E340" s="340"/>
      <c r="F340" s="340"/>
      <c r="G340" s="340"/>
      <c r="H340" s="340"/>
      <c r="I340" s="340"/>
      <c r="J340" s="340"/>
      <c r="K340" s="339"/>
      <c r="L340" s="340"/>
    </row>
    <row r="341" spans="2:12" ht="12.75">
      <c r="B341" s="339"/>
      <c r="C341" s="339"/>
      <c r="D341" s="339"/>
      <c r="E341" s="340"/>
      <c r="F341" s="340"/>
      <c r="G341" s="340"/>
      <c r="H341" s="340"/>
      <c r="I341" s="340"/>
      <c r="J341" s="340"/>
      <c r="K341" s="339"/>
      <c r="L341" s="340"/>
    </row>
    <row r="342" spans="2:12" ht="12.75">
      <c r="B342" s="339"/>
      <c r="C342" s="339"/>
      <c r="D342" s="346"/>
      <c r="E342" s="340"/>
      <c r="F342" s="340"/>
      <c r="G342" s="340"/>
      <c r="H342" s="340"/>
      <c r="I342" s="340"/>
      <c r="J342" s="340"/>
      <c r="K342" s="339"/>
      <c r="L342" s="340"/>
    </row>
    <row r="343" spans="2:12" ht="12.75">
      <c r="B343" s="339"/>
      <c r="C343" s="339"/>
      <c r="D343" s="346"/>
      <c r="E343" s="340"/>
      <c r="F343" s="340"/>
      <c r="G343" s="340"/>
      <c r="H343" s="340"/>
      <c r="I343" s="340"/>
      <c r="J343" s="340"/>
      <c r="K343" s="339"/>
      <c r="L343" s="340"/>
    </row>
    <row r="344" spans="2:12" ht="12.75">
      <c r="B344" s="339"/>
      <c r="C344" s="339"/>
      <c r="D344" s="339"/>
      <c r="E344" s="340"/>
      <c r="F344" s="340"/>
      <c r="G344" s="340"/>
      <c r="H344" s="340"/>
      <c r="I344" s="340"/>
      <c r="J344" s="340"/>
      <c r="K344" s="339"/>
      <c r="L344" s="340"/>
    </row>
    <row r="345" spans="2:12" ht="12.75">
      <c r="B345" s="339"/>
      <c r="C345" s="339"/>
      <c r="D345" s="346"/>
      <c r="E345" s="340"/>
      <c r="F345" s="340"/>
      <c r="G345" s="340"/>
      <c r="H345" s="340"/>
      <c r="I345" s="340"/>
      <c r="J345" s="340"/>
      <c r="K345" s="339"/>
      <c r="L345" s="340"/>
    </row>
    <row r="346" spans="2:12" ht="12.75">
      <c r="B346" s="339"/>
      <c r="C346" s="347"/>
      <c r="D346" s="347"/>
      <c r="E346" s="341"/>
      <c r="F346" s="341"/>
      <c r="G346" s="341"/>
      <c r="H346" s="341"/>
      <c r="I346" s="341"/>
      <c r="J346" s="341"/>
      <c r="K346" s="341"/>
      <c r="L346" s="341"/>
    </row>
    <row r="347" spans="2:12" ht="12.75">
      <c r="B347" s="339"/>
      <c r="C347" s="339"/>
      <c r="D347" s="339"/>
      <c r="E347" s="340"/>
      <c r="F347" s="340"/>
      <c r="G347" s="340"/>
      <c r="H347" s="340"/>
      <c r="I347" s="340"/>
      <c r="J347" s="340"/>
      <c r="K347" s="339"/>
      <c r="L347" s="340"/>
    </row>
    <row r="348" spans="2:12" ht="12.75">
      <c r="B348" s="339"/>
      <c r="C348" s="339"/>
      <c r="D348" s="346"/>
      <c r="E348" s="340"/>
      <c r="F348" s="340"/>
      <c r="G348" s="340"/>
      <c r="H348" s="340"/>
      <c r="I348" s="340"/>
      <c r="J348" s="340"/>
      <c r="K348" s="339"/>
      <c r="L348" s="340"/>
    </row>
    <row r="349" spans="2:12" ht="12.75">
      <c r="B349" s="339"/>
      <c r="C349" s="339"/>
      <c r="D349" s="339"/>
      <c r="E349" s="340"/>
      <c r="F349" s="340"/>
      <c r="G349" s="340"/>
      <c r="H349" s="340"/>
      <c r="I349" s="340"/>
      <c r="J349" s="340"/>
      <c r="K349" s="339"/>
      <c r="L349" s="340"/>
    </row>
    <row r="350" spans="2:12" ht="12.75">
      <c r="B350" s="339"/>
      <c r="C350" s="339"/>
      <c r="D350" s="346"/>
      <c r="E350" s="340"/>
      <c r="F350" s="340"/>
      <c r="G350" s="340"/>
      <c r="H350" s="340"/>
      <c r="I350" s="340"/>
      <c r="J350" s="340"/>
      <c r="K350" s="339"/>
      <c r="L350" s="340"/>
    </row>
    <row r="351" spans="2:12" ht="12.75">
      <c r="B351" s="339"/>
      <c r="C351" s="339"/>
      <c r="D351" s="339"/>
      <c r="E351" s="340"/>
      <c r="F351" s="340"/>
      <c r="G351" s="340"/>
      <c r="H351" s="340"/>
      <c r="I351" s="340"/>
      <c r="J351" s="340"/>
      <c r="K351" s="339"/>
      <c r="L351" s="340"/>
    </row>
    <row r="352" spans="2:12" ht="12.75">
      <c r="B352" s="339"/>
      <c r="C352" s="339"/>
      <c r="D352" s="346"/>
      <c r="E352" s="340"/>
      <c r="F352" s="340"/>
      <c r="G352" s="340"/>
      <c r="H352" s="340"/>
      <c r="I352" s="340"/>
      <c r="J352" s="340"/>
      <c r="K352" s="339"/>
      <c r="L352" s="340"/>
    </row>
    <row r="353" spans="2:12" ht="12.75">
      <c r="B353" s="339"/>
      <c r="C353" s="339"/>
      <c r="D353" s="339"/>
      <c r="E353" s="340"/>
      <c r="F353" s="340"/>
      <c r="G353" s="340"/>
      <c r="H353" s="340"/>
      <c r="I353" s="340"/>
      <c r="J353" s="340"/>
      <c r="K353" s="339"/>
      <c r="L353" s="340"/>
    </row>
    <row r="354" spans="2:12" ht="12.75">
      <c r="B354" s="339"/>
      <c r="C354" s="339"/>
      <c r="D354" s="346"/>
      <c r="E354" s="340"/>
      <c r="F354" s="340"/>
      <c r="G354" s="340"/>
      <c r="H354" s="340"/>
      <c r="I354" s="340"/>
      <c r="J354" s="340"/>
      <c r="K354" s="339"/>
      <c r="L354" s="340"/>
    </row>
    <row r="355" spans="2:12" ht="12.75">
      <c r="B355" s="339"/>
      <c r="C355" s="339"/>
      <c r="D355" s="339"/>
      <c r="E355" s="340"/>
      <c r="F355" s="340"/>
      <c r="G355" s="340"/>
      <c r="H355" s="340"/>
      <c r="I355" s="340"/>
      <c r="J355" s="340"/>
      <c r="K355" s="339"/>
      <c r="L355" s="340"/>
    </row>
    <row r="356" spans="2:12" ht="12.75">
      <c r="B356" s="339"/>
      <c r="C356" s="339"/>
      <c r="D356" s="346"/>
      <c r="E356" s="340"/>
      <c r="F356" s="340"/>
      <c r="G356" s="340"/>
      <c r="H356" s="340"/>
      <c r="I356" s="340"/>
      <c r="J356" s="340"/>
      <c r="K356" s="339"/>
      <c r="L356" s="340"/>
    </row>
    <row r="357" spans="2:12" ht="12.75">
      <c r="B357" s="339"/>
      <c r="C357" s="339"/>
      <c r="D357" s="339"/>
      <c r="E357" s="340"/>
      <c r="F357" s="340"/>
      <c r="G357" s="340"/>
      <c r="H357" s="340"/>
      <c r="I357" s="340"/>
      <c r="J357" s="340"/>
      <c r="K357" s="339"/>
      <c r="L357" s="340"/>
    </row>
    <row r="358" spans="2:12" ht="12.75">
      <c r="B358" s="339"/>
      <c r="C358" s="339"/>
      <c r="D358" s="346"/>
      <c r="E358" s="340"/>
      <c r="F358" s="340"/>
      <c r="G358" s="340"/>
      <c r="H358" s="340"/>
      <c r="I358" s="340"/>
      <c r="J358" s="340"/>
      <c r="K358" s="339"/>
      <c r="L358" s="340"/>
    </row>
    <row r="359" spans="2:12" ht="12.75">
      <c r="B359" s="339"/>
      <c r="C359" s="339"/>
      <c r="D359" s="339"/>
      <c r="E359" s="340"/>
      <c r="F359" s="340"/>
      <c r="G359" s="340"/>
      <c r="H359" s="340"/>
      <c r="I359" s="340"/>
      <c r="J359" s="340"/>
      <c r="K359" s="339"/>
      <c r="L359" s="340"/>
    </row>
    <row r="360" spans="2:12" ht="12.75">
      <c r="B360" s="339"/>
      <c r="C360" s="339"/>
      <c r="D360" s="346"/>
      <c r="E360" s="340"/>
      <c r="F360" s="340"/>
      <c r="G360" s="340"/>
      <c r="H360" s="340"/>
      <c r="I360" s="340"/>
      <c r="J360" s="340"/>
      <c r="K360" s="339"/>
      <c r="L360" s="340"/>
    </row>
    <row r="361" spans="2:12" ht="12.75">
      <c r="B361" s="339"/>
      <c r="C361" s="339"/>
      <c r="D361" s="339"/>
      <c r="E361" s="340"/>
      <c r="F361" s="340"/>
      <c r="G361" s="340"/>
      <c r="H361" s="340"/>
      <c r="I361" s="340"/>
      <c r="J361" s="340"/>
      <c r="K361" s="339"/>
      <c r="L361" s="340"/>
    </row>
    <row r="362" spans="2:12" ht="12.75">
      <c r="B362" s="339"/>
      <c r="C362" s="339"/>
      <c r="D362" s="346"/>
      <c r="E362" s="340"/>
      <c r="F362" s="340"/>
      <c r="G362" s="340"/>
      <c r="H362" s="340"/>
      <c r="I362" s="340"/>
      <c r="J362" s="340"/>
      <c r="K362" s="339"/>
      <c r="L362" s="340"/>
    </row>
    <row r="363" spans="2:12" ht="12.75">
      <c r="B363" s="339"/>
      <c r="C363" s="339"/>
      <c r="D363" s="339"/>
      <c r="E363" s="340"/>
      <c r="F363" s="340"/>
      <c r="G363" s="340"/>
      <c r="H363" s="340"/>
      <c r="I363" s="340"/>
      <c r="J363" s="340"/>
      <c r="K363" s="339"/>
      <c r="L363" s="340"/>
    </row>
    <row r="364" spans="2:12" ht="12.75">
      <c r="B364" s="339"/>
      <c r="C364" s="339"/>
      <c r="D364" s="346"/>
      <c r="E364" s="340"/>
      <c r="F364" s="340"/>
      <c r="G364" s="340"/>
      <c r="H364" s="340"/>
      <c r="I364" s="340"/>
      <c r="J364" s="340"/>
      <c r="K364" s="339"/>
      <c r="L364" s="340"/>
    </row>
    <row r="365" spans="2:12" ht="12.75">
      <c r="B365" s="339"/>
      <c r="C365" s="339"/>
      <c r="D365" s="339"/>
      <c r="E365" s="340"/>
      <c r="F365" s="340"/>
      <c r="G365" s="340"/>
      <c r="H365" s="340"/>
      <c r="I365" s="340"/>
      <c r="J365" s="340"/>
      <c r="K365" s="339"/>
      <c r="L365" s="340"/>
    </row>
    <row r="366" spans="2:12" ht="12.75">
      <c r="B366" s="339"/>
      <c r="C366" s="347"/>
      <c r="D366" s="347"/>
      <c r="E366" s="341"/>
      <c r="F366" s="341"/>
      <c r="G366" s="341"/>
      <c r="H366" s="341"/>
      <c r="I366" s="341"/>
      <c r="J366" s="341"/>
      <c r="K366" s="341"/>
      <c r="L366" s="341"/>
    </row>
    <row r="367" spans="2:12" ht="12.75"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</row>
    <row r="368" spans="2:12" ht="12.75"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</row>
    <row r="369" spans="2:12" ht="12.75"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</row>
    <row r="370" spans="2:12" ht="12.75"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</row>
    <row r="371" spans="2:12" ht="12.75"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</row>
    <row r="372" spans="2:12" ht="12.75"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</row>
    <row r="373" spans="2:12" ht="12.75"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</row>
    <row r="374" spans="2:12" ht="12.75"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</row>
    <row r="375" spans="2:12" ht="12.75"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</row>
    <row r="376" spans="2:12" ht="12.75"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</row>
    <row r="377" ht="12.75"/>
    <row r="378" ht="12.75"/>
  </sheetData>
  <sheetProtection/>
  <mergeCells count="42">
    <mergeCell ref="C151:D151"/>
    <mergeCell ref="C81:D81"/>
    <mergeCell ref="C95:D95"/>
    <mergeCell ref="U30:U31"/>
    <mergeCell ref="M53:O53"/>
    <mergeCell ref="M30:O31"/>
    <mergeCell ref="M37:M38"/>
    <mergeCell ref="C57:D57"/>
    <mergeCell ref="C68:D68"/>
    <mergeCell ref="Q30:Q31"/>
    <mergeCell ref="M21:N21"/>
    <mergeCell ref="P30:P31"/>
    <mergeCell ref="A4:B4"/>
    <mergeCell ref="M6:M7"/>
    <mergeCell ref="N6:N7"/>
    <mergeCell ref="M22:N22"/>
    <mergeCell ref="M20:N20"/>
    <mergeCell ref="B6:J6"/>
    <mergeCell ref="B12:B13"/>
    <mergeCell ref="N23:O23"/>
    <mergeCell ref="N24:O24"/>
    <mergeCell ref="N25:O25"/>
    <mergeCell ref="N29:O29"/>
    <mergeCell ref="N26:O26"/>
    <mergeCell ref="N28:O28"/>
    <mergeCell ref="N27:O27"/>
    <mergeCell ref="C137:D137"/>
    <mergeCell ref="V30:V31"/>
    <mergeCell ref="T30:T31"/>
    <mergeCell ref="W6:W7"/>
    <mergeCell ref="S6:S7"/>
    <mergeCell ref="R30:R31"/>
    <mergeCell ref="S30:S31"/>
    <mergeCell ref="W30:W31"/>
    <mergeCell ref="U6:U7"/>
    <mergeCell ref="V6:V7"/>
    <mergeCell ref="C48:D48"/>
    <mergeCell ref="C37:D37"/>
    <mergeCell ref="C28:D28"/>
    <mergeCell ref="C20:D20"/>
    <mergeCell ref="C109:D109"/>
    <mergeCell ref="C125:D125"/>
  </mergeCells>
  <printOptions/>
  <pageMargins left="0" right="0" top="0" bottom="0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S569"/>
  <sheetViews>
    <sheetView zoomScale="90" zoomScaleNormal="90" zoomScalePageLayoutView="0" workbookViewId="0" topLeftCell="AF1">
      <selection activeCell="AS28" sqref="AS28"/>
    </sheetView>
  </sheetViews>
  <sheetFormatPr defaultColWidth="9.140625" defaultRowHeight="12.75"/>
  <cols>
    <col min="1" max="1" width="5.421875" style="133" customWidth="1"/>
    <col min="2" max="2" width="6.7109375" style="133" customWidth="1"/>
    <col min="3" max="3" width="9.140625" style="133" customWidth="1"/>
    <col min="4" max="4" width="10.57421875" style="133" customWidth="1"/>
    <col min="5" max="5" width="9.8515625" style="133" customWidth="1"/>
    <col min="6" max="6" width="7.7109375" style="133" customWidth="1"/>
    <col min="7" max="7" width="7.8515625" style="133" customWidth="1"/>
    <col min="8" max="8" width="10.8515625" style="133" customWidth="1"/>
    <col min="9" max="10" width="9.140625" style="133" customWidth="1"/>
    <col min="11" max="11" width="11.57421875" style="133" customWidth="1"/>
    <col min="12" max="12" width="11.00390625" style="133" customWidth="1"/>
    <col min="13" max="13" width="9.28125" style="133" customWidth="1"/>
    <col min="14" max="29" width="9.140625" style="133" customWidth="1"/>
    <col min="30" max="30" width="14.00390625" style="133" customWidth="1"/>
    <col min="31" max="31" width="9.140625" style="133" customWidth="1"/>
    <col min="32" max="32" width="6.00390625" style="133" customWidth="1"/>
    <col min="33" max="33" width="6.7109375" style="133" customWidth="1"/>
    <col min="34" max="34" width="12.421875" style="133" customWidth="1"/>
    <col min="35" max="35" width="11.57421875" style="133" customWidth="1"/>
    <col min="36" max="36" width="12.140625" style="133" customWidth="1"/>
    <col min="37" max="37" width="9.140625" style="133" customWidth="1"/>
    <col min="38" max="38" width="11.140625" style="133" customWidth="1"/>
    <col min="39" max="41" width="9.140625" style="133" customWidth="1"/>
    <col min="42" max="42" width="12.00390625" style="133" customWidth="1"/>
    <col min="43" max="43" width="9.140625" style="133" customWidth="1"/>
    <col min="44" max="44" width="11.7109375" style="133" customWidth="1"/>
    <col min="45" max="16384" width="9.140625" style="133" customWidth="1"/>
  </cols>
  <sheetData>
    <row r="1" spans="1:43" ht="15">
      <c r="A1" s="1025" t="s">
        <v>133</v>
      </c>
      <c r="B1" s="1025"/>
      <c r="C1" s="1025"/>
      <c r="D1" s="1025"/>
      <c r="E1" s="1025"/>
      <c r="F1" s="1025"/>
      <c r="G1" s="1025"/>
      <c r="H1" s="1025"/>
      <c r="I1" s="1025"/>
      <c r="J1" s="1025"/>
      <c r="K1" s="1025"/>
      <c r="L1" s="1025"/>
      <c r="M1" s="1025"/>
      <c r="N1" s="1025"/>
      <c r="O1" s="1025"/>
      <c r="P1" s="1025"/>
      <c r="Q1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4"/>
      <c r="AF1" s="654"/>
      <c r="AG1" s="654"/>
      <c r="AH1"/>
      <c r="AI1"/>
      <c r="AJ1"/>
      <c r="AK1"/>
      <c r="AL1"/>
      <c r="AM1"/>
      <c r="AN1"/>
      <c r="AO1"/>
      <c r="AP1"/>
      <c r="AQ1"/>
    </row>
    <row r="2" spans="1:43" ht="15">
      <c r="A2" s="1025" t="s">
        <v>1293</v>
      </c>
      <c r="B2" s="1025"/>
      <c r="C2" s="1025"/>
      <c r="D2"/>
      <c r="E2" s="1025" t="s">
        <v>1294</v>
      </c>
      <c r="F2" s="1025"/>
      <c r="G2" s="1025"/>
      <c r="H2" s="1025"/>
      <c r="I2" s="1025"/>
      <c r="J2" s="1025" t="s">
        <v>1295</v>
      </c>
      <c r="K2" s="1025"/>
      <c r="L2" s="1025"/>
      <c r="M2" s="1025"/>
      <c r="N2" s="1025"/>
      <c r="O2" s="1025"/>
      <c r="P2" s="1025"/>
      <c r="Q2"/>
      <c r="R2" s="654" t="s">
        <v>724</v>
      </c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4"/>
      <c r="AE2" s="654"/>
      <c r="AF2" s="654"/>
      <c r="AG2" s="654"/>
      <c r="AH2" s="10"/>
      <c r="AI2" s="1488"/>
      <c r="AJ2" s="1488"/>
      <c r="AK2" s="1488"/>
      <c r="AL2" s="1488"/>
      <c r="AM2" s="1488"/>
      <c r="AN2" s="1488"/>
      <c r="AO2"/>
      <c r="AP2"/>
      <c r="AQ2"/>
    </row>
    <row r="3" spans="1:43" ht="16.5" thickBot="1">
      <c r="A3" s="1026" t="s">
        <v>725</v>
      </c>
      <c r="B3" s="1026"/>
      <c r="C3" s="1026"/>
      <c r="D3" s="1026"/>
      <c r="E3" s="1026"/>
      <c r="F3" s="1026" t="s">
        <v>1296</v>
      </c>
      <c r="G3" s="1026"/>
      <c r="H3" s="1026"/>
      <c r="I3" s="1026"/>
      <c r="J3" s="1026"/>
      <c r="K3" s="1026"/>
      <c r="L3" s="1026" t="s">
        <v>727</v>
      </c>
      <c r="M3" s="1026"/>
      <c r="N3" s="1026"/>
      <c r="O3" s="1026"/>
      <c r="P3" s="1026"/>
      <c r="Q3"/>
      <c r="R3" s="654" t="s">
        <v>721</v>
      </c>
      <c r="S3" s="654"/>
      <c r="T3" s="654"/>
      <c r="U3" s="654" t="s">
        <v>722</v>
      </c>
      <c r="V3" s="654"/>
      <c r="W3" s="654"/>
      <c r="X3" s="654"/>
      <c r="Y3" s="654"/>
      <c r="Z3" s="654" t="s">
        <v>728</v>
      </c>
      <c r="AA3" s="654"/>
      <c r="AB3" s="654"/>
      <c r="AC3" s="654"/>
      <c r="AD3" s="654" t="s">
        <v>723</v>
      </c>
      <c r="AE3" s="657"/>
      <c r="AF3" s="657"/>
      <c r="AG3" s="347"/>
      <c r="AH3" s="10"/>
      <c r="AI3" s="1488"/>
      <c r="AJ3" s="1488"/>
      <c r="AK3" s="1488"/>
      <c r="AL3" s="1488"/>
      <c r="AM3" s="1488"/>
      <c r="AN3" s="1488"/>
      <c r="AO3"/>
      <c r="AP3"/>
      <c r="AQ3"/>
    </row>
    <row r="4" spans="1:45" ht="36" customHeight="1" thickBot="1">
      <c r="A4" s="1027" t="s">
        <v>199</v>
      </c>
      <c r="B4" s="1028" t="s">
        <v>729</v>
      </c>
      <c r="C4" s="1029"/>
      <c r="D4" s="1030"/>
      <c r="E4" s="1481" t="s">
        <v>1297</v>
      </c>
      <c r="F4" s="1028" t="s">
        <v>1298</v>
      </c>
      <c r="G4" s="1028" t="s">
        <v>1299</v>
      </c>
      <c r="H4" s="1028" t="s">
        <v>1300</v>
      </c>
      <c r="I4" s="1031" t="s">
        <v>780</v>
      </c>
      <c r="J4" s="1032"/>
      <c r="K4" s="1031" t="s">
        <v>200</v>
      </c>
      <c r="L4" s="1033"/>
      <c r="M4" s="1033"/>
      <c r="N4" s="1032"/>
      <c r="O4" s="1028" t="s">
        <v>201</v>
      </c>
      <c r="P4" s="1028" t="s">
        <v>202</v>
      </c>
      <c r="Q4" s="1034" t="s">
        <v>203</v>
      </c>
      <c r="R4" s="654" t="s">
        <v>725</v>
      </c>
      <c r="S4" s="654"/>
      <c r="T4" s="654"/>
      <c r="U4" s="654"/>
      <c r="V4" s="656"/>
      <c r="W4" s="656"/>
      <c r="X4" s="656"/>
      <c r="Y4" s="656" t="s">
        <v>726</v>
      </c>
      <c r="Z4" s="656"/>
      <c r="AA4" s="656"/>
      <c r="AB4" s="654"/>
      <c r="AC4" s="657" t="s">
        <v>727</v>
      </c>
      <c r="AD4" s="657"/>
      <c r="AE4"/>
      <c r="AF4"/>
      <c r="AG4" s="140"/>
      <c r="AH4" s="709"/>
      <c r="AI4" s="710" t="s">
        <v>779</v>
      </c>
      <c r="AJ4" s="710"/>
      <c r="AK4" s="710"/>
      <c r="AL4" s="710"/>
      <c r="AM4" s="710"/>
      <c r="AN4" s="710"/>
      <c r="AO4" s="710"/>
      <c r="AP4" s="709"/>
      <c r="AQ4" s="709"/>
      <c r="AR4" s="709"/>
      <c r="AS4" s="709"/>
    </row>
    <row r="5" spans="1:45" ht="13.5" customHeight="1" thickBot="1">
      <c r="A5" s="1035"/>
      <c r="B5" s="1036" t="s">
        <v>730</v>
      </c>
      <c r="C5" s="1037" t="s">
        <v>1301</v>
      </c>
      <c r="D5" s="1038"/>
      <c r="E5" s="1482"/>
      <c r="F5" s="1036" t="s">
        <v>1302</v>
      </c>
      <c r="G5" s="1036" t="s">
        <v>1303</v>
      </c>
      <c r="H5" s="1036" t="s">
        <v>1304</v>
      </c>
      <c r="I5" s="1039" t="s">
        <v>205</v>
      </c>
      <c r="J5" s="1039" t="s">
        <v>782</v>
      </c>
      <c r="K5" s="1039"/>
      <c r="L5" s="1040" t="s">
        <v>206</v>
      </c>
      <c r="M5" s="1041"/>
      <c r="N5" s="1039" t="s">
        <v>731</v>
      </c>
      <c r="O5" s="1036" t="s">
        <v>732</v>
      </c>
      <c r="P5" s="1036" t="s">
        <v>207</v>
      </c>
      <c r="Q5" s="1042" t="s">
        <v>208</v>
      </c>
      <c r="R5" s="1489" t="s">
        <v>733</v>
      </c>
      <c r="S5" s="1490"/>
      <c r="T5" s="1490"/>
      <c r="U5" s="1490"/>
      <c r="V5" s="1490"/>
      <c r="W5" s="1490"/>
      <c r="X5" s="1491"/>
      <c r="Y5" s="1492" t="s">
        <v>734</v>
      </c>
      <c r="Z5" s="1493"/>
      <c r="AA5" s="1493"/>
      <c r="AB5" s="1493"/>
      <c r="AC5" s="1493"/>
      <c r="AD5" s="1494"/>
      <c r="AE5"/>
      <c r="AF5"/>
      <c r="AG5" s="140"/>
      <c r="AH5" s="140"/>
      <c r="AI5" s="140"/>
      <c r="AJ5" s="140"/>
      <c r="AK5" s="140"/>
      <c r="AL5" s="711" t="s">
        <v>131</v>
      </c>
      <c r="AM5" s="712"/>
      <c r="AN5" s="712">
        <f>'[1]Kopertina '!AK27</f>
        <v>0</v>
      </c>
      <c r="AO5" s="709"/>
      <c r="AP5" s="709"/>
      <c r="AQ5" s="709"/>
      <c r="AR5" s="709"/>
      <c r="AS5" s="709"/>
    </row>
    <row r="6" spans="1:45" ht="13.5" thickBot="1">
      <c r="A6" s="1043"/>
      <c r="B6" s="1044" t="s">
        <v>735</v>
      </c>
      <c r="C6" s="1037"/>
      <c r="D6" s="1038"/>
      <c r="E6" s="1483"/>
      <c r="F6" s="1044" t="s">
        <v>1305</v>
      </c>
      <c r="G6" s="1044" t="s">
        <v>1306</v>
      </c>
      <c r="H6" s="1044" t="s">
        <v>1307</v>
      </c>
      <c r="I6" s="1044"/>
      <c r="J6" s="1044" t="s">
        <v>1308</v>
      </c>
      <c r="K6" s="1044" t="s">
        <v>1309</v>
      </c>
      <c r="L6" s="1045" t="s">
        <v>736</v>
      </c>
      <c r="M6" s="1045" t="s">
        <v>737</v>
      </c>
      <c r="N6" s="1044" t="s">
        <v>738</v>
      </c>
      <c r="O6" s="1044" t="s">
        <v>739</v>
      </c>
      <c r="P6" s="1044" t="s">
        <v>740</v>
      </c>
      <c r="Q6" s="1046" t="s">
        <v>1310</v>
      </c>
      <c r="R6" s="1495" t="s">
        <v>1</v>
      </c>
      <c r="S6" s="1495" t="s">
        <v>741</v>
      </c>
      <c r="T6" s="1498" t="s">
        <v>742</v>
      </c>
      <c r="U6" s="1499"/>
      <c r="V6" s="1504" t="s">
        <v>743</v>
      </c>
      <c r="W6" s="1504" t="s">
        <v>744</v>
      </c>
      <c r="X6" s="1504" t="s">
        <v>745</v>
      </c>
      <c r="Y6" s="1495" t="s">
        <v>1</v>
      </c>
      <c r="Z6" s="1495" t="s">
        <v>741</v>
      </c>
      <c r="AA6" s="1498" t="s">
        <v>742</v>
      </c>
      <c r="AB6" s="1504" t="s">
        <v>743</v>
      </c>
      <c r="AC6" s="1504" t="s">
        <v>744</v>
      </c>
      <c r="AD6" s="1504" t="s">
        <v>746</v>
      </c>
      <c r="AE6"/>
      <c r="AF6"/>
      <c r="AG6" s="709"/>
      <c r="AH6" s="709"/>
      <c r="AI6" s="709"/>
      <c r="AJ6" s="709"/>
      <c r="AK6" s="709"/>
      <c r="AL6" s="709"/>
      <c r="AM6" s="709"/>
      <c r="AN6" s="709"/>
      <c r="AO6" s="709"/>
      <c r="AP6" s="709"/>
      <c r="AQ6" s="709"/>
      <c r="AR6" s="709"/>
      <c r="AS6" s="709"/>
    </row>
    <row r="7" spans="1:45" ht="12.75">
      <c r="A7" s="1047">
        <v>1</v>
      </c>
      <c r="B7" s="1048" t="s">
        <v>1311</v>
      </c>
      <c r="C7" s="1484" t="s">
        <v>1270</v>
      </c>
      <c r="D7" s="1485"/>
      <c r="E7" s="1050" t="s">
        <v>1312</v>
      </c>
      <c r="F7" s="1051">
        <v>1</v>
      </c>
      <c r="G7" s="1052">
        <v>0</v>
      </c>
      <c r="H7" s="1052">
        <v>22</v>
      </c>
      <c r="I7" s="1052">
        <v>50000</v>
      </c>
      <c r="J7" s="1052">
        <v>50000</v>
      </c>
      <c r="K7" s="1052">
        <f aca="true" t="shared" si="0" ref="K7:K12">L7+M7</f>
        <v>12250</v>
      </c>
      <c r="L7" s="1052">
        <f aca="true" t="shared" si="1" ref="L7:L12">I7*0.15</f>
        <v>7500</v>
      </c>
      <c r="M7" s="1052">
        <f aca="true" t="shared" si="2" ref="M7:M12">I7*0.095</f>
        <v>4750</v>
      </c>
      <c r="N7" s="1052">
        <v>0</v>
      </c>
      <c r="O7" s="1052">
        <f aca="true" t="shared" si="3" ref="O7:O12">I7*0.034</f>
        <v>1700.0000000000002</v>
      </c>
      <c r="P7" s="1052">
        <f aca="true" t="shared" si="4" ref="P7:P12">I7</f>
        <v>50000</v>
      </c>
      <c r="Q7" s="1053">
        <v>5000</v>
      </c>
      <c r="R7" s="1496"/>
      <c r="S7" s="1496"/>
      <c r="T7" s="1500"/>
      <c r="U7" s="1501"/>
      <c r="V7" s="1505"/>
      <c r="W7" s="1505"/>
      <c r="X7" s="1505"/>
      <c r="Y7" s="1496"/>
      <c r="Z7" s="1496"/>
      <c r="AA7" s="1500"/>
      <c r="AB7" s="1505"/>
      <c r="AC7" s="1505"/>
      <c r="AD7" s="1505"/>
      <c r="AE7"/>
      <c r="AF7"/>
      <c r="AG7" s="709"/>
      <c r="AH7" s="712"/>
      <c r="AI7" s="712"/>
      <c r="AJ7" s="712"/>
      <c r="AK7" s="712"/>
      <c r="AL7" s="712"/>
      <c r="AM7" s="712"/>
      <c r="AN7" s="712"/>
      <c r="AO7" s="712"/>
      <c r="AP7" s="712"/>
      <c r="AQ7" s="712"/>
      <c r="AR7" s="709"/>
      <c r="AS7" s="709"/>
    </row>
    <row r="8" spans="1:45" ht="13.5" thickBot="1">
      <c r="A8" s="1054">
        <v>2</v>
      </c>
      <c r="B8" s="1055" t="s">
        <v>1313</v>
      </c>
      <c r="C8" s="1484" t="s">
        <v>1314</v>
      </c>
      <c r="D8" s="1485"/>
      <c r="E8" s="1049" t="s">
        <v>1315</v>
      </c>
      <c r="F8" s="1056">
        <v>1</v>
      </c>
      <c r="G8" s="1056">
        <v>0</v>
      </c>
      <c r="H8" s="1056">
        <v>22</v>
      </c>
      <c r="I8" s="1052">
        <v>23100</v>
      </c>
      <c r="J8" s="1056">
        <f>I8</f>
        <v>23100</v>
      </c>
      <c r="K8" s="1056">
        <f t="shared" si="0"/>
        <v>5659.5</v>
      </c>
      <c r="L8" s="1052">
        <f t="shared" si="1"/>
        <v>3465</v>
      </c>
      <c r="M8" s="1052">
        <f t="shared" si="2"/>
        <v>2194.5</v>
      </c>
      <c r="N8" s="1056">
        <v>0</v>
      </c>
      <c r="O8" s="1052">
        <f t="shared" si="3"/>
        <v>785.4000000000001</v>
      </c>
      <c r="P8" s="1056">
        <f t="shared" si="4"/>
        <v>23100</v>
      </c>
      <c r="Q8" s="1053">
        <v>1310</v>
      </c>
      <c r="R8" s="1497"/>
      <c r="S8" s="1497"/>
      <c r="T8" s="1502"/>
      <c r="U8" s="1503"/>
      <c r="V8" s="1506"/>
      <c r="W8" s="1506"/>
      <c r="X8" s="1506"/>
      <c r="Y8" s="1497"/>
      <c r="Z8" s="1497"/>
      <c r="AA8" s="1502"/>
      <c r="AB8" s="1506"/>
      <c r="AC8" s="1506"/>
      <c r="AD8" s="1506"/>
      <c r="AE8"/>
      <c r="AF8"/>
      <c r="AG8" s="709"/>
      <c r="AH8" s="712"/>
      <c r="AI8" s="712"/>
      <c r="AJ8" s="712"/>
      <c r="AK8" s="712"/>
      <c r="AL8" s="712"/>
      <c r="AM8" s="712"/>
      <c r="AN8" s="712"/>
      <c r="AO8" s="712"/>
      <c r="AP8" s="712"/>
      <c r="AQ8" s="712"/>
      <c r="AR8" s="709"/>
      <c r="AS8" s="709"/>
    </row>
    <row r="9" spans="1:45" ht="12.75">
      <c r="A9" s="1054">
        <v>3</v>
      </c>
      <c r="B9" s="1056"/>
      <c r="C9" s="1484" t="s">
        <v>1316</v>
      </c>
      <c r="D9" s="1485"/>
      <c r="E9" s="1049" t="s">
        <v>1317</v>
      </c>
      <c r="F9" s="1056">
        <v>1</v>
      </c>
      <c r="G9" s="1056">
        <v>0</v>
      </c>
      <c r="H9" s="1056">
        <v>22</v>
      </c>
      <c r="I9" s="1052">
        <v>20100</v>
      </c>
      <c r="J9" s="1052">
        <v>20100</v>
      </c>
      <c r="K9" s="1056">
        <f t="shared" si="0"/>
        <v>4924.5</v>
      </c>
      <c r="L9" s="1052">
        <f t="shared" si="1"/>
        <v>3015</v>
      </c>
      <c r="M9" s="1052">
        <f t="shared" si="2"/>
        <v>1909.5</v>
      </c>
      <c r="N9" s="1056">
        <v>0</v>
      </c>
      <c r="O9" s="1052">
        <f t="shared" si="3"/>
        <v>683.4000000000001</v>
      </c>
      <c r="P9" s="1056">
        <f t="shared" si="4"/>
        <v>20100</v>
      </c>
      <c r="Q9" s="1053">
        <v>1010</v>
      </c>
      <c r="R9" s="659">
        <v>1</v>
      </c>
      <c r="S9" s="660"/>
      <c r="T9" s="1508"/>
      <c r="U9" s="1509"/>
      <c r="V9" s="661"/>
      <c r="W9" s="661"/>
      <c r="X9" s="662"/>
      <c r="Y9" s="659">
        <v>1</v>
      </c>
      <c r="Z9" s="660"/>
      <c r="AA9" s="663"/>
      <c r="AB9" s="661"/>
      <c r="AC9" s="661"/>
      <c r="AD9" s="664"/>
      <c r="AE9"/>
      <c r="AF9"/>
      <c r="AG9" s="713" t="s">
        <v>199</v>
      </c>
      <c r="AH9" s="714"/>
      <c r="AI9" s="1520" t="s">
        <v>780</v>
      </c>
      <c r="AJ9" s="1521"/>
      <c r="AK9" s="1520" t="s">
        <v>200</v>
      </c>
      <c r="AL9" s="1522"/>
      <c r="AM9" s="1522"/>
      <c r="AN9" s="1521"/>
      <c r="AO9" s="714" t="s">
        <v>201</v>
      </c>
      <c r="AP9" s="714" t="s">
        <v>202</v>
      </c>
      <c r="AQ9" s="714" t="s">
        <v>203</v>
      </c>
      <c r="AR9" s="715"/>
      <c r="AS9" s="1523" t="s">
        <v>781</v>
      </c>
    </row>
    <row r="10" spans="1:45" ht="12.75">
      <c r="A10" s="1054">
        <v>4</v>
      </c>
      <c r="B10" s="1056"/>
      <c r="C10" s="1484" t="s">
        <v>1318</v>
      </c>
      <c r="D10" s="1485"/>
      <c r="E10" s="1049" t="s">
        <v>1317</v>
      </c>
      <c r="F10" s="1056">
        <v>1</v>
      </c>
      <c r="G10" s="1056">
        <v>0</v>
      </c>
      <c r="H10" s="1056">
        <v>22</v>
      </c>
      <c r="I10" s="1052">
        <v>20100</v>
      </c>
      <c r="J10" s="1052">
        <v>20100</v>
      </c>
      <c r="K10" s="1056">
        <f t="shared" si="0"/>
        <v>4924.5</v>
      </c>
      <c r="L10" s="1052">
        <f t="shared" si="1"/>
        <v>3015</v>
      </c>
      <c r="M10" s="1052">
        <f t="shared" si="2"/>
        <v>1909.5</v>
      </c>
      <c r="N10" s="1052">
        <v>0</v>
      </c>
      <c r="O10" s="1052">
        <f t="shared" si="3"/>
        <v>683.4000000000001</v>
      </c>
      <c r="P10" s="1056">
        <f t="shared" si="4"/>
        <v>20100</v>
      </c>
      <c r="Q10" s="1053">
        <v>1010</v>
      </c>
      <c r="R10" s="665">
        <v>2</v>
      </c>
      <c r="S10" s="660"/>
      <c r="T10" s="1507"/>
      <c r="U10" s="1507"/>
      <c r="V10" s="661"/>
      <c r="W10" s="661"/>
      <c r="X10" s="662"/>
      <c r="Y10" s="665">
        <v>2</v>
      </c>
      <c r="Z10" s="660"/>
      <c r="AA10" s="663"/>
      <c r="AB10" s="661"/>
      <c r="AC10" s="661"/>
      <c r="AD10" s="664"/>
      <c r="AE10"/>
      <c r="AF10"/>
      <c r="AG10" s="716"/>
      <c r="AH10" s="717" t="s">
        <v>204</v>
      </c>
      <c r="AI10" s="718" t="s">
        <v>205</v>
      </c>
      <c r="AJ10" s="718" t="s">
        <v>782</v>
      </c>
      <c r="AK10" s="1526" t="s">
        <v>206</v>
      </c>
      <c r="AL10" s="1527"/>
      <c r="AM10" s="1527"/>
      <c r="AN10" s="1528"/>
      <c r="AO10" s="717" t="s">
        <v>783</v>
      </c>
      <c r="AP10" s="717" t="s">
        <v>207</v>
      </c>
      <c r="AQ10" s="717" t="s">
        <v>208</v>
      </c>
      <c r="AR10" s="719" t="s">
        <v>784</v>
      </c>
      <c r="AS10" s="1524"/>
    </row>
    <row r="11" spans="1:45" ht="11.25" customHeight="1">
      <c r="A11" s="1054">
        <v>5</v>
      </c>
      <c r="B11" s="1056"/>
      <c r="C11" s="1057" t="s">
        <v>1319</v>
      </c>
      <c r="D11" s="1058"/>
      <c r="E11" s="1049" t="s">
        <v>1317</v>
      </c>
      <c r="F11" s="1056">
        <v>1</v>
      </c>
      <c r="G11" s="1056">
        <v>0</v>
      </c>
      <c r="H11" s="1056">
        <v>22</v>
      </c>
      <c r="I11" s="1052">
        <v>20100</v>
      </c>
      <c r="J11" s="1052">
        <v>20100</v>
      </c>
      <c r="K11" s="1056">
        <f t="shared" si="0"/>
        <v>4924.5</v>
      </c>
      <c r="L11" s="1052">
        <f t="shared" si="1"/>
        <v>3015</v>
      </c>
      <c r="M11" s="1052">
        <f t="shared" si="2"/>
        <v>1909.5</v>
      </c>
      <c r="N11" s="1056">
        <v>0</v>
      </c>
      <c r="O11" s="1052">
        <f t="shared" si="3"/>
        <v>683.4000000000001</v>
      </c>
      <c r="P11" s="1056">
        <f t="shared" si="4"/>
        <v>20100</v>
      </c>
      <c r="Q11" s="1053">
        <v>1010</v>
      </c>
      <c r="R11" s="665">
        <v>3</v>
      </c>
      <c r="S11" s="660"/>
      <c r="T11" s="1507"/>
      <c r="U11" s="1507"/>
      <c r="V11" s="661"/>
      <c r="W11" s="661"/>
      <c r="X11" s="662"/>
      <c r="Y11" s="665">
        <v>3</v>
      </c>
      <c r="Z11" s="666"/>
      <c r="AA11" s="663"/>
      <c r="AB11" s="661"/>
      <c r="AC11" s="661"/>
      <c r="AD11" s="664"/>
      <c r="AE11"/>
      <c r="AF11"/>
      <c r="AG11" s="716"/>
      <c r="AH11" s="717"/>
      <c r="AI11" s="717"/>
      <c r="AJ11" s="717" t="s">
        <v>785</v>
      </c>
      <c r="AK11" s="717" t="s">
        <v>786</v>
      </c>
      <c r="AL11" s="717" t="s">
        <v>787</v>
      </c>
      <c r="AM11" s="719" t="s">
        <v>788</v>
      </c>
      <c r="AN11" s="718" t="s">
        <v>221</v>
      </c>
      <c r="AO11" s="717" t="s">
        <v>789</v>
      </c>
      <c r="AP11" s="717"/>
      <c r="AQ11" s="717" t="s">
        <v>790</v>
      </c>
      <c r="AR11" s="719" t="s">
        <v>222</v>
      </c>
      <c r="AS11" s="1524"/>
    </row>
    <row r="12" spans="1:45" ht="15.75" customHeight="1" thickBot="1">
      <c r="A12" s="1054">
        <v>6</v>
      </c>
      <c r="B12" s="1056"/>
      <c r="C12" s="1484" t="s">
        <v>1320</v>
      </c>
      <c r="D12" s="1485"/>
      <c r="E12" s="1049" t="s">
        <v>1317</v>
      </c>
      <c r="F12" s="1056">
        <v>1</v>
      </c>
      <c r="G12" s="1056">
        <v>0</v>
      </c>
      <c r="H12" s="1056">
        <v>22</v>
      </c>
      <c r="I12" s="1052">
        <v>20100</v>
      </c>
      <c r="J12" s="1052">
        <v>20100</v>
      </c>
      <c r="K12" s="1056">
        <f t="shared" si="0"/>
        <v>4924.5</v>
      </c>
      <c r="L12" s="1052">
        <f t="shared" si="1"/>
        <v>3015</v>
      </c>
      <c r="M12" s="1052">
        <f t="shared" si="2"/>
        <v>1909.5</v>
      </c>
      <c r="N12" s="1052">
        <v>0</v>
      </c>
      <c r="O12" s="1052">
        <f t="shared" si="3"/>
        <v>683.4000000000001</v>
      </c>
      <c r="P12" s="1056">
        <f t="shared" si="4"/>
        <v>20100</v>
      </c>
      <c r="Q12" s="1053">
        <v>1010</v>
      </c>
      <c r="R12" s="659">
        <v>4</v>
      </c>
      <c r="S12" s="660"/>
      <c r="T12" s="1507"/>
      <c r="U12" s="1507"/>
      <c r="V12" s="661"/>
      <c r="W12" s="661"/>
      <c r="X12" s="662"/>
      <c r="Y12" s="659">
        <v>4</v>
      </c>
      <c r="Z12" s="666"/>
      <c r="AA12" s="663"/>
      <c r="AB12" s="661"/>
      <c r="AC12" s="661"/>
      <c r="AD12" s="664"/>
      <c r="AE12"/>
      <c r="AF12"/>
      <c r="AG12" s="720"/>
      <c r="AH12" s="721"/>
      <c r="AI12" s="721"/>
      <c r="AJ12" s="721" t="s">
        <v>791</v>
      </c>
      <c r="AK12" s="721"/>
      <c r="AL12" s="721"/>
      <c r="AM12" s="722"/>
      <c r="AN12" s="721"/>
      <c r="AO12" s="721" t="s">
        <v>792</v>
      </c>
      <c r="AP12" s="721"/>
      <c r="AQ12" s="721"/>
      <c r="AR12" s="722"/>
      <c r="AS12" s="1525"/>
    </row>
    <row r="13" spans="1:45" ht="15.75" customHeight="1" thickBot="1">
      <c r="A13" s="1054">
        <v>7</v>
      </c>
      <c r="B13" s="1056"/>
      <c r="C13" s="1486" t="s">
        <v>1321</v>
      </c>
      <c r="D13" s="1487"/>
      <c r="E13" s="1049"/>
      <c r="F13" s="1056">
        <v>1</v>
      </c>
      <c r="G13" s="1056">
        <v>0</v>
      </c>
      <c r="H13" s="1056">
        <v>5</v>
      </c>
      <c r="I13" s="1056">
        <v>7000</v>
      </c>
      <c r="J13" s="1056">
        <v>7000</v>
      </c>
      <c r="K13" s="1056">
        <f>L13+M13</f>
        <v>1715</v>
      </c>
      <c r="L13" s="1052">
        <f>I13*0.15</f>
        <v>1050</v>
      </c>
      <c r="M13" s="1052">
        <f>I13*0.095</f>
        <v>665</v>
      </c>
      <c r="N13" s="1056">
        <v>0</v>
      </c>
      <c r="O13" s="1052">
        <f>I13*0.034</f>
        <v>238.00000000000003</v>
      </c>
      <c r="P13" s="1056">
        <f>I13</f>
        <v>7000</v>
      </c>
      <c r="Q13" s="1053">
        <v>0</v>
      </c>
      <c r="R13" s="659">
        <v>5</v>
      </c>
      <c r="S13" s="660"/>
      <c r="T13" s="1507"/>
      <c r="U13" s="1507"/>
      <c r="V13" s="661"/>
      <c r="W13" s="661"/>
      <c r="X13" s="662"/>
      <c r="Y13" s="659">
        <v>5</v>
      </c>
      <c r="Z13" s="658"/>
      <c r="AA13" s="667"/>
      <c r="AB13" s="661"/>
      <c r="AC13" s="661"/>
      <c r="AD13" s="664"/>
      <c r="AE13"/>
      <c r="AF13"/>
      <c r="AG13" s="723">
        <v>1</v>
      </c>
      <c r="AH13" s="724" t="s">
        <v>209</v>
      </c>
      <c r="AI13" s="724">
        <f>I34</f>
        <v>167500</v>
      </c>
      <c r="AJ13" s="724">
        <f>J34</f>
        <v>167500</v>
      </c>
      <c r="AK13" s="724">
        <f aca="true" t="shared" si="5" ref="AK13:AQ13">K34</f>
        <v>41037.5</v>
      </c>
      <c r="AL13" s="724">
        <f t="shared" si="5"/>
        <v>25125</v>
      </c>
      <c r="AM13" s="724">
        <f t="shared" si="5"/>
        <v>15912.5</v>
      </c>
      <c r="AN13" s="724">
        <f t="shared" si="5"/>
        <v>0</v>
      </c>
      <c r="AO13" s="724">
        <f t="shared" si="5"/>
        <v>5695</v>
      </c>
      <c r="AP13" s="1268">
        <f t="shared" si="5"/>
        <v>167500</v>
      </c>
      <c r="AQ13" s="724">
        <f t="shared" si="5"/>
        <v>10350</v>
      </c>
      <c r="AR13" s="724">
        <f>AI13-AM13-AO13/2-AQ13</f>
        <v>138390</v>
      </c>
      <c r="AS13" s="460">
        <v>8</v>
      </c>
    </row>
    <row r="14" spans="1:45" ht="12" customHeight="1" thickBot="1">
      <c r="A14" s="1054">
        <v>8</v>
      </c>
      <c r="B14" s="1056"/>
      <c r="C14" s="1057" t="s">
        <v>1322</v>
      </c>
      <c r="D14" s="1058"/>
      <c r="E14" s="1058"/>
      <c r="F14" s="1056">
        <v>1</v>
      </c>
      <c r="G14" s="1056">
        <v>0</v>
      </c>
      <c r="H14" s="1056">
        <v>5</v>
      </c>
      <c r="I14" s="1056">
        <v>7000</v>
      </c>
      <c r="J14" s="1056">
        <v>7000</v>
      </c>
      <c r="K14" s="1056">
        <f>L14+M14</f>
        <v>1715</v>
      </c>
      <c r="L14" s="1052">
        <f>I14*0.15</f>
        <v>1050</v>
      </c>
      <c r="M14" s="1052">
        <f>I14*0.095</f>
        <v>665</v>
      </c>
      <c r="N14" s="1052">
        <v>0</v>
      </c>
      <c r="O14" s="1052">
        <f>I14*0.034</f>
        <v>238.00000000000003</v>
      </c>
      <c r="P14" s="1056">
        <f>I14</f>
        <v>7000</v>
      </c>
      <c r="Q14" s="1053">
        <v>0</v>
      </c>
      <c r="R14" s="665">
        <v>6</v>
      </c>
      <c r="S14" s="660"/>
      <c r="T14" s="1507"/>
      <c r="U14" s="1507"/>
      <c r="V14" s="661"/>
      <c r="W14" s="661"/>
      <c r="X14" s="662"/>
      <c r="Y14" s="665">
        <v>6</v>
      </c>
      <c r="Z14" s="658"/>
      <c r="AA14" s="667"/>
      <c r="AB14" s="661"/>
      <c r="AC14" s="661"/>
      <c r="AD14" s="664"/>
      <c r="AE14"/>
      <c r="AF14"/>
      <c r="AG14" s="142">
        <v>2</v>
      </c>
      <c r="AH14" s="139" t="s">
        <v>793</v>
      </c>
      <c r="AI14" s="139">
        <v>170600</v>
      </c>
      <c r="AJ14" s="139">
        <v>170600</v>
      </c>
      <c r="AK14" s="139">
        <f aca="true" t="shared" si="6" ref="AK14:AQ14">K81</f>
        <v>41797</v>
      </c>
      <c r="AL14" s="139">
        <f t="shared" si="6"/>
        <v>25590</v>
      </c>
      <c r="AM14" s="139">
        <f t="shared" si="6"/>
        <v>16207</v>
      </c>
      <c r="AN14" s="139">
        <f t="shared" si="6"/>
        <v>0</v>
      </c>
      <c r="AO14" s="139">
        <f t="shared" si="6"/>
        <v>5800.4</v>
      </c>
      <c r="AP14" s="141">
        <f t="shared" si="6"/>
        <v>170600</v>
      </c>
      <c r="AQ14" s="139">
        <f t="shared" si="6"/>
        <v>11060</v>
      </c>
      <c r="AR14" s="724">
        <f aca="true" t="shared" si="7" ref="AR14:AR25">AI14-AM14-AO14/2-AQ14</f>
        <v>140432.8</v>
      </c>
      <c r="AS14" s="139">
        <v>8</v>
      </c>
    </row>
    <row r="15" spans="1:45" ht="13.5" thickBot="1">
      <c r="A15" s="1054">
        <v>9</v>
      </c>
      <c r="B15" s="1056"/>
      <c r="C15" s="1057"/>
      <c r="D15" s="1058"/>
      <c r="E15" s="1058"/>
      <c r="F15" s="1056"/>
      <c r="G15" s="1056"/>
      <c r="H15" s="1056"/>
      <c r="I15" s="1056"/>
      <c r="J15" s="1056"/>
      <c r="K15" s="1056"/>
      <c r="L15" s="1056"/>
      <c r="M15" s="1056"/>
      <c r="N15" s="1056"/>
      <c r="O15" s="1056"/>
      <c r="P15" s="1056"/>
      <c r="Q15" s="1059"/>
      <c r="R15" s="665">
        <v>7</v>
      </c>
      <c r="S15" s="660"/>
      <c r="T15" s="1507"/>
      <c r="U15" s="1507"/>
      <c r="V15" s="661"/>
      <c r="W15" s="661"/>
      <c r="X15" s="662"/>
      <c r="Y15" s="665">
        <v>7</v>
      </c>
      <c r="Z15" s="658"/>
      <c r="AA15" s="667"/>
      <c r="AB15" s="661"/>
      <c r="AC15" s="661"/>
      <c r="AD15" s="664"/>
      <c r="AE15"/>
      <c r="AF15"/>
      <c r="AG15" s="142">
        <v>3</v>
      </c>
      <c r="AH15" s="139" t="s">
        <v>210</v>
      </c>
      <c r="AI15" s="139">
        <f>I129</f>
        <v>170600</v>
      </c>
      <c r="AJ15" s="139">
        <f>J129</f>
        <v>170600</v>
      </c>
      <c r="AK15" s="139">
        <f aca="true" t="shared" si="8" ref="AK15:AQ15">K129</f>
        <v>41797</v>
      </c>
      <c r="AL15" s="139">
        <f t="shared" si="8"/>
        <v>25590</v>
      </c>
      <c r="AM15" s="139">
        <f t="shared" si="8"/>
        <v>16207</v>
      </c>
      <c r="AN15" s="139">
        <f t="shared" si="8"/>
        <v>0</v>
      </c>
      <c r="AO15" s="139">
        <f t="shared" si="8"/>
        <v>5800.4</v>
      </c>
      <c r="AP15" s="141">
        <f t="shared" si="8"/>
        <v>170600</v>
      </c>
      <c r="AQ15" s="139">
        <f t="shared" si="8"/>
        <v>11060</v>
      </c>
      <c r="AR15" s="724">
        <f t="shared" si="7"/>
        <v>140432.8</v>
      </c>
      <c r="AS15" s="139">
        <v>7</v>
      </c>
    </row>
    <row r="16" spans="1:45" ht="13.5" thickBot="1">
      <c r="A16" s="1054">
        <v>10</v>
      </c>
      <c r="B16" s="1056"/>
      <c r="C16" s="1057"/>
      <c r="D16" s="1058"/>
      <c r="E16" s="1058"/>
      <c r="F16" s="1056"/>
      <c r="G16" s="1056"/>
      <c r="H16" s="1056"/>
      <c r="I16" s="1056"/>
      <c r="J16" s="1056"/>
      <c r="K16" s="1056"/>
      <c r="L16" s="1056"/>
      <c r="M16" s="1056"/>
      <c r="N16" s="1056"/>
      <c r="O16" s="1056"/>
      <c r="P16" s="1056"/>
      <c r="Q16" s="1059"/>
      <c r="R16" s="659">
        <v>8</v>
      </c>
      <c r="S16" s="660"/>
      <c r="T16" s="1507"/>
      <c r="U16" s="1507"/>
      <c r="V16" s="661"/>
      <c r="W16" s="661"/>
      <c r="X16" s="662"/>
      <c r="Y16" s="659">
        <v>8</v>
      </c>
      <c r="Z16" s="660"/>
      <c r="AA16" s="667"/>
      <c r="AB16" s="100"/>
      <c r="AC16" s="100"/>
      <c r="AD16" s="177"/>
      <c r="AE16"/>
      <c r="AF16"/>
      <c r="AG16" s="142">
        <v>4</v>
      </c>
      <c r="AH16" s="139" t="s">
        <v>211</v>
      </c>
      <c r="AI16" s="139">
        <f>I178</f>
        <v>170600</v>
      </c>
      <c r="AJ16" s="139">
        <f>J178</f>
        <v>170600</v>
      </c>
      <c r="AK16" s="139">
        <f aca="true" t="shared" si="9" ref="AK16:AQ16">K178</f>
        <v>41797</v>
      </c>
      <c r="AL16" s="139">
        <f t="shared" si="9"/>
        <v>25590</v>
      </c>
      <c r="AM16" s="139">
        <f t="shared" si="9"/>
        <v>16207</v>
      </c>
      <c r="AN16" s="139">
        <f t="shared" si="9"/>
        <v>0</v>
      </c>
      <c r="AO16" s="139">
        <f t="shared" si="9"/>
        <v>5800.4</v>
      </c>
      <c r="AP16" s="141">
        <f t="shared" si="9"/>
        <v>170600</v>
      </c>
      <c r="AQ16" s="139">
        <f t="shared" si="9"/>
        <v>11060</v>
      </c>
      <c r="AR16" s="724">
        <f t="shared" si="7"/>
        <v>140432.8</v>
      </c>
      <c r="AS16" s="139">
        <v>7</v>
      </c>
    </row>
    <row r="17" spans="1:45" ht="13.5" thickBot="1">
      <c r="A17" s="1054">
        <v>11</v>
      </c>
      <c r="B17" s="1056"/>
      <c r="C17" s="1057"/>
      <c r="D17" s="1058"/>
      <c r="E17" s="1058"/>
      <c r="F17" s="1056"/>
      <c r="G17" s="1056"/>
      <c r="H17" s="1056"/>
      <c r="I17" s="1056"/>
      <c r="J17" s="1056"/>
      <c r="K17" s="1056"/>
      <c r="L17" s="1056"/>
      <c r="M17" s="1056"/>
      <c r="N17" s="1056"/>
      <c r="O17" s="1056"/>
      <c r="P17" s="1056"/>
      <c r="Q17" s="1059"/>
      <c r="R17" s="659">
        <v>9</v>
      </c>
      <c r="S17" s="660"/>
      <c r="T17" s="1507"/>
      <c r="U17" s="1507"/>
      <c r="V17" s="661"/>
      <c r="W17" s="661"/>
      <c r="X17" s="662"/>
      <c r="Y17" s="659">
        <v>9</v>
      </c>
      <c r="Z17" s="660"/>
      <c r="AA17" s="667"/>
      <c r="AB17" s="100"/>
      <c r="AC17" s="100"/>
      <c r="AD17" s="177"/>
      <c r="AE17"/>
      <c r="AF17"/>
      <c r="AG17" s="142">
        <v>5</v>
      </c>
      <c r="AH17" s="139" t="s">
        <v>212</v>
      </c>
      <c r="AI17" s="139">
        <f>I225</f>
        <v>150500</v>
      </c>
      <c r="AJ17" s="139">
        <f>J225</f>
        <v>150500</v>
      </c>
      <c r="AK17" s="139">
        <f aca="true" t="shared" si="10" ref="AK17:AQ17">K225</f>
        <v>36872.5</v>
      </c>
      <c r="AL17" s="139">
        <f t="shared" si="10"/>
        <v>22575</v>
      </c>
      <c r="AM17" s="139">
        <f t="shared" si="10"/>
        <v>14297.5</v>
      </c>
      <c r="AN17" s="139">
        <f t="shared" si="10"/>
        <v>0</v>
      </c>
      <c r="AO17" s="139">
        <f t="shared" si="10"/>
        <v>5117</v>
      </c>
      <c r="AP17" s="141">
        <f t="shared" si="10"/>
        <v>150500</v>
      </c>
      <c r="AQ17" s="139">
        <f t="shared" si="10"/>
        <v>10050</v>
      </c>
      <c r="AR17" s="724">
        <f t="shared" si="7"/>
        <v>123594</v>
      </c>
      <c r="AS17" s="139">
        <v>6</v>
      </c>
    </row>
    <row r="18" spans="1:45" ht="13.5" thickBot="1">
      <c r="A18" s="1054">
        <v>12</v>
      </c>
      <c r="B18" s="1056"/>
      <c r="C18" s="1057"/>
      <c r="D18" s="1058"/>
      <c r="E18" s="1058"/>
      <c r="F18" s="1056"/>
      <c r="G18" s="1056"/>
      <c r="H18" s="1056"/>
      <c r="I18" s="1056"/>
      <c r="J18" s="1056"/>
      <c r="K18" s="1056"/>
      <c r="L18" s="1056"/>
      <c r="M18" s="1056"/>
      <c r="N18" s="1056"/>
      <c r="O18" s="1056"/>
      <c r="P18" s="1056"/>
      <c r="Q18" s="1059"/>
      <c r="R18" s="665">
        <v>10</v>
      </c>
      <c r="S18" s="660"/>
      <c r="T18" s="1507"/>
      <c r="U18" s="1507"/>
      <c r="V18" s="661"/>
      <c r="W18" s="661"/>
      <c r="X18" s="662"/>
      <c r="Y18" s="665">
        <v>10</v>
      </c>
      <c r="Z18" s="660"/>
      <c r="AA18" s="667"/>
      <c r="AB18" s="100"/>
      <c r="AC18" s="100"/>
      <c r="AD18" s="177"/>
      <c r="AE18"/>
      <c r="AF18"/>
      <c r="AG18" s="142">
        <v>6</v>
      </c>
      <c r="AH18" s="139" t="s">
        <v>213</v>
      </c>
      <c r="AI18" s="139">
        <f>I272</f>
        <v>150500</v>
      </c>
      <c r="AJ18" s="139">
        <f>J272</f>
        <v>150500</v>
      </c>
      <c r="AK18" s="139">
        <f aca="true" t="shared" si="11" ref="AK18:AQ18">K272</f>
        <v>36872.5</v>
      </c>
      <c r="AL18" s="139">
        <f t="shared" si="11"/>
        <v>22575</v>
      </c>
      <c r="AM18" s="139">
        <f t="shared" si="11"/>
        <v>14297.5</v>
      </c>
      <c r="AN18" s="139">
        <f t="shared" si="11"/>
        <v>0</v>
      </c>
      <c r="AO18" s="139">
        <f t="shared" si="11"/>
        <v>5117</v>
      </c>
      <c r="AP18" s="141">
        <f t="shared" si="11"/>
        <v>150500</v>
      </c>
      <c r="AQ18" s="139">
        <f t="shared" si="11"/>
        <v>10050</v>
      </c>
      <c r="AR18" s="724">
        <f t="shared" si="7"/>
        <v>123594</v>
      </c>
      <c r="AS18" s="139">
        <v>6</v>
      </c>
    </row>
    <row r="19" spans="1:45" ht="13.5" thickBot="1">
      <c r="A19" s="1054">
        <v>13</v>
      </c>
      <c r="B19" s="1056"/>
      <c r="C19" s="1057"/>
      <c r="D19" s="1058"/>
      <c r="E19" s="1058"/>
      <c r="F19" s="1056"/>
      <c r="G19" s="1056"/>
      <c r="H19" s="1056"/>
      <c r="I19" s="1056"/>
      <c r="J19" s="1056"/>
      <c r="K19" s="1056"/>
      <c r="L19" s="1056"/>
      <c r="M19" s="1056"/>
      <c r="N19" s="1056"/>
      <c r="O19" s="1056"/>
      <c r="P19" s="1056"/>
      <c r="Q19" s="1059"/>
      <c r="R19" s="665">
        <v>11</v>
      </c>
      <c r="S19" s="660"/>
      <c r="T19" s="1507"/>
      <c r="U19" s="1507"/>
      <c r="V19" s="661"/>
      <c r="W19" s="661"/>
      <c r="X19" s="662"/>
      <c r="Y19" s="665">
        <v>11</v>
      </c>
      <c r="Z19" s="660"/>
      <c r="AA19" s="667"/>
      <c r="AB19" s="100"/>
      <c r="AC19" s="100"/>
      <c r="AD19" s="177"/>
      <c r="AE19"/>
      <c r="AF19"/>
      <c r="AG19" s="142">
        <v>7</v>
      </c>
      <c r="AH19" s="139" t="s">
        <v>214</v>
      </c>
      <c r="AI19" s="139">
        <f>I320</f>
        <v>155500</v>
      </c>
      <c r="AJ19" s="139">
        <f>J320</f>
        <v>155500</v>
      </c>
      <c r="AK19" s="139">
        <f aca="true" t="shared" si="12" ref="AK19:AQ19">K320</f>
        <v>38097.5</v>
      </c>
      <c r="AL19" s="139">
        <f t="shared" si="12"/>
        <v>23325</v>
      </c>
      <c r="AM19" s="139">
        <f t="shared" si="12"/>
        <v>14772.5</v>
      </c>
      <c r="AN19" s="139">
        <f t="shared" si="12"/>
        <v>0</v>
      </c>
      <c r="AO19" s="139">
        <f t="shared" si="12"/>
        <v>5287</v>
      </c>
      <c r="AP19" s="141">
        <f t="shared" si="12"/>
        <v>155500</v>
      </c>
      <c r="AQ19" s="139">
        <f t="shared" si="12"/>
        <v>10550</v>
      </c>
      <c r="AR19" s="724">
        <f t="shared" si="7"/>
        <v>127534</v>
      </c>
      <c r="AS19" s="139">
        <v>6</v>
      </c>
    </row>
    <row r="20" spans="1:45" ht="13.5" thickBot="1">
      <c r="A20" s="1054">
        <v>14</v>
      </c>
      <c r="B20" s="1056"/>
      <c r="C20" s="1057"/>
      <c r="D20" s="1058"/>
      <c r="E20" s="1058"/>
      <c r="F20" s="1056"/>
      <c r="G20" s="1056"/>
      <c r="H20" s="1056"/>
      <c r="I20" s="1056"/>
      <c r="J20" s="1056"/>
      <c r="K20" s="1056"/>
      <c r="L20" s="1056"/>
      <c r="M20" s="1056"/>
      <c r="N20" s="1056"/>
      <c r="O20" s="1056"/>
      <c r="P20" s="1056"/>
      <c r="Q20" s="1059"/>
      <c r="R20" s="659">
        <v>12</v>
      </c>
      <c r="S20" s="660"/>
      <c r="T20" s="1507"/>
      <c r="U20" s="1507"/>
      <c r="V20" s="661"/>
      <c r="W20" s="661"/>
      <c r="X20" s="662"/>
      <c r="Y20" s="659">
        <v>12</v>
      </c>
      <c r="Z20" s="660"/>
      <c r="AA20" s="667"/>
      <c r="AB20" s="100"/>
      <c r="AC20" s="100"/>
      <c r="AD20" s="177"/>
      <c r="AE20"/>
      <c r="AF20"/>
      <c r="AG20" s="142">
        <v>8</v>
      </c>
      <c r="AH20" s="139" t="s">
        <v>215</v>
      </c>
      <c r="AI20" s="139">
        <f>I368</f>
        <v>155500</v>
      </c>
      <c r="AJ20" s="139">
        <f>J368</f>
        <v>155500</v>
      </c>
      <c r="AK20" s="139">
        <f aca="true" t="shared" si="13" ref="AK20:AQ20">K368</f>
        <v>38097.5</v>
      </c>
      <c r="AL20" s="139">
        <f t="shared" si="13"/>
        <v>23325</v>
      </c>
      <c r="AM20" s="139">
        <f t="shared" si="13"/>
        <v>14772.5</v>
      </c>
      <c r="AN20" s="139">
        <f t="shared" si="13"/>
        <v>0</v>
      </c>
      <c r="AO20" s="139">
        <f t="shared" si="13"/>
        <v>5287</v>
      </c>
      <c r="AP20" s="141">
        <f t="shared" si="13"/>
        <v>155500</v>
      </c>
      <c r="AQ20" s="139">
        <f t="shared" si="13"/>
        <v>10550</v>
      </c>
      <c r="AR20" s="724">
        <f t="shared" si="7"/>
        <v>127534</v>
      </c>
      <c r="AS20" s="139">
        <v>6</v>
      </c>
    </row>
    <row r="21" spans="1:45" ht="13.5" thickBot="1">
      <c r="A21" s="1054">
        <v>15</v>
      </c>
      <c r="B21" s="1056"/>
      <c r="C21" s="1057"/>
      <c r="D21" s="1058"/>
      <c r="E21" s="1058"/>
      <c r="F21" s="1056"/>
      <c r="G21" s="1056"/>
      <c r="H21" s="1056"/>
      <c r="I21" s="1056"/>
      <c r="J21" s="1056"/>
      <c r="K21" s="1056"/>
      <c r="L21" s="1056"/>
      <c r="M21" s="1056"/>
      <c r="N21" s="1056"/>
      <c r="O21" s="1056"/>
      <c r="P21" s="1056"/>
      <c r="Q21" s="1059"/>
      <c r="R21" s="659">
        <v>13</v>
      </c>
      <c r="S21" s="100"/>
      <c r="T21" s="1507"/>
      <c r="U21" s="1507"/>
      <c r="V21" s="661"/>
      <c r="W21" s="661"/>
      <c r="X21" s="662"/>
      <c r="Y21" s="659">
        <v>13</v>
      </c>
      <c r="Z21" s="660"/>
      <c r="AA21" s="667"/>
      <c r="AB21" s="100"/>
      <c r="AC21" s="100"/>
      <c r="AD21" s="177"/>
      <c r="AE21" s="229"/>
      <c r="AF21" s="229"/>
      <c r="AG21" s="142">
        <v>9</v>
      </c>
      <c r="AH21" s="139" t="s">
        <v>216</v>
      </c>
      <c r="AI21" s="139">
        <f>I416</f>
        <v>155500</v>
      </c>
      <c r="AJ21" s="139">
        <f>J416</f>
        <v>155500</v>
      </c>
      <c r="AK21" s="139">
        <f aca="true" t="shared" si="14" ref="AK21:AQ21">K416</f>
        <v>38097.5</v>
      </c>
      <c r="AL21" s="139">
        <f t="shared" si="14"/>
        <v>23325</v>
      </c>
      <c r="AM21" s="139">
        <f t="shared" si="14"/>
        <v>14772.5</v>
      </c>
      <c r="AN21" s="139">
        <f t="shared" si="14"/>
        <v>0</v>
      </c>
      <c r="AO21" s="139">
        <f t="shared" si="14"/>
        <v>5287</v>
      </c>
      <c r="AP21" s="141">
        <f t="shared" si="14"/>
        <v>155500</v>
      </c>
      <c r="AQ21" s="139">
        <f t="shared" si="14"/>
        <v>10550</v>
      </c>
      <c r="AR21" s="724">
        <f t="shared" si="7"/>
        <v>127534</v>
      </c>
      <c r="AS21" s="139">
        <v>6</v>
      </c>
    </row>
    <row r="22" spans="1:45" ht="13.5" thickBot="1">
      <c r="A22" s="1054">
        <v>16</v>
      </c>
      <c r="B22" s="1056"/>
      <c r="C22" s="1057"/>
      <c r="D22" s="1058"/>
      <c r="E22" s="1058"/>
      <c r="F22" s="1056"/>
      <c r="G22" s="1056"/>
      <c r="H22" s="1056"/>
      <c r="I22" s="1056"/>
      <c r="J22" s="1056"/>
      <c r="K22" s="1056"/>
      <c r="L22" s="1056"/>
      <c r="M22" s="1056"/>
      <c r="N22" s="1056"/>
      <c r="O22" s="1056"/>
      <c r="P22" s="1056"/>
      <c r="Q22" s="1059"/>
      <c r="R22" s="665">
        <v>14</v>
      </c>
      <c r="S22" s="100"/>
      <c r="T22" s="1507"/>
      <c r="U22" s="1507"/>
      <c r="V22" s="100"/>
      <c r="W22" s="100"/>
      <c r="X22" s="100"/>
      <c r="Y22" s="665">
        <v>14</v>
      </c>
      <c r="Z22" s="100"/>
      <c r="AA22" s="667"/>
      <c r="AB22" s="100"/>
      <c r="AC22" s="100"/>
      <c r="AD22" s="177"/>
      <c r="AE22"/>
      <c r="AF22"/>
      <c r="AG22" s="142">
        <v>10</v>
      </c>
      <c r="AH22" s="139" t="s">
        <v>217</v>
      </c>
      <c r="AI22" s="139">
        <f>I464</f>
        <v>200500</v>
      </c>
      <c r="AJ22" s="139">
        <f>J464</f>
        <v>200500</v>
      </c>
      <c r="AK22" s="139">
        <f aca="true" t="shared" si="15" ref="AK22:AQ22">K464</f>
        <v>49122.5</v>
      </c>
      <c r="AL22" s="139">
        <f t="shared" si="15"/>
        <v>30075</v>
      </c>
      <c r="AM22" s="139">
        <f t="shared" si="15"/>
        <v>19047.5</v>
      </c>
      <c r="AN22" s="139">
        <f t="shared" si="15"/>
        <v>0</v>
      </c>
      <c r="AO22" s="139">
        <f t="shared" si="15"/>
        <v>6817</v>
      </c>
      <c r="AP22" s="141">
        <f t="shared" si="15"/>
        <v>200500</v>
      </c>
      <c r="AQ22" s="139">
        <f t="shared" si="15"/>
        <v>15050</v>
      </c>
      <c r="AR22" s="724">
        <f t="shared" si="7"/>
        <v>162994</v>
      </c>
      <c r="AS22" s="139">
        <v>7</v>
      </c>
    </row>
    <row r="23" spans="1:45" ht="13.5" thickBot="1">
      <c r="A23" s="1054">
        <v>17</v>
      </c>
      <c r="B23" s="1056"/>
      <c r="C23" s="1057"/>
      <c r="D23" s="1058"/>
      <c r="E23" s="1058"/>
      <c r="F23" s="1056"/>
      <c r="G23" s="1056"/>
      <c r="H23" s="1056"/>
      <c r="I23" s="1056"/>
      <c r="J23" s="1056"/>
      <c r="K23" s="1056"/>
      <c r="L23" s="1056"/>
      <c r="M23" s="1056"/>
      <c r="N23" s="1056"/>
      <c r="O23" s="1056"/>
      <c r="P23" s="1056"/>
      <c r="Q23" s="1059"/>
      <c r="R23" s="665">
        <v>15</v>
      </c>
      <c r="S23" s="100"/>
      <c r="T23" s="1507"/>
      <c r="U23" s="1507"/>
      <c r="V23" s="100"/>
      <c r="W23" s="100"/>
      <c r="X23" s="100"/>
      <c r="Y23" s="665">
        <v>15</v>
      </c>
      <c r="Z23" s="100"/>
      <c r="AA23" s="667"/>
      <c r="AB23" s="100"/>
      <c r="AC23" s="100"/>
      <c r="AD23" s="177"/>
      <c r="AE23"/>
      <c r="AF23"/>
      <c r="AG23" s="142">
        <v>11</v>
      </c>
      <c r="AH23" s="139" t="s">
        <v>218</v>
      </c>
      <c r="AI23" s="139">
        <f>I513</f>
        <v>200500</v>
      </c>
      <c r="AJ23" s="139">
        <f>J513</f>
        <v>200500</v>
      </c>
      <c r="AK23" s="139">
        <f aca="true" t="shared" si="16" ref="AK23:AQ23">K513</f>
        <v>49122.5</v>
      </c>
      <c r="AL23" s="139">
        <f t="shared" si="16"/>
        <v>30075</v>
      </c>
      <c r="AM23" s="139">
        <f t="shared" si="16"/>
        <v>19047.5</v>
      </c>
      <c r="AN23" s="139">
        <f t="shared" si="16"/>
        <v>0</v>
      </c>
      <c r="AO23" s="139">
        <f t="shared" si="16"/>
        <v>6817</v>
      </c>
      <c r="AP23" s="141">
        <f t="shared" si="16"/>
        <v>200500</v>
      </c>
      <c r="AQ23" s="139">
        <f t="shared" si="16"/>
        <v>15050</v>
      </c>
      <c r="AR23" s="724">
        <f t="shared" si="7"/>
        <v>162994</v>
      </c>
      <c r="AS23" s="139">
        <v>7</v>
      </c>
    </row>
    <row r="24" spans="1:45" ht="13.5" thickBot="1">
      <c r="A24" s="1054">
        <v>18</v>
      </c>
      <c r="B24" s="1056"/>
      <c r="C24" s="1057"/>
      <c r="D24" s="1058"/>
      <c r="E24" s="1058"/>
      <c r="F24" s="1056"/>
      <c r="G24" s="1056"/>
      <c r="H24" s="1056"/>
      <c r="I24" s="1056"/>
      <c r="J24" s="1056"/>
      <c r="K24" s="1056"/>
      <c r="L24" s="1056"/>
      <c r="M24" s="1056"/>
      <c r="N24" s="1056"/>
      <c r="O24" s="1056"/>
      <c r="P24" s="1056"/>
      <c r="Q24" s="1059"/>
      <c r="R24" s="659">
        <v>16</v>
      </c>
      <c r="S24" s="100"/>
      <c r="T24" s="1507"/>
      <c r="U24" s="1507"/>
      <c r="V24" s="100"/>
      <c r="W24" s="100"/>
      <c r="X24" s="100"/>
      <c r="Y24" s="659">
        <v>16</v>
      </c>
      <c r="Z24" s="100"/>
      <c r="AA24" s="667"/>
      <c r="AB24" s="100"/>
      <c r="AC24" s="100"/>
      <c r="AD24" s="177"/>
      <c r="AE24"/>
      <c r="AF24"/>
      <c r="AG24" s="142">
        <v>12</v>
      </c>
      <c r="AH24" s="139" t="s">
        <v>219</v>
      </c>
      <c r="AI24" s="139">
        <f>I559</f>
        <v>200500</v>
      </c>
      <c r="AJ24" s="139">
        <f>J559</f>
        <v>200500</v>
      </c>
      <c r="AK24" s="139">
        <f aca="true" t="shared" si="17" ref="AK24:AQ24">K559</f>
        <v>49122.5</v>
      </c>
      <c r="AL24" s="139">
        <f t="shared" si="17"/>
        <v>30075</v>
      </c>
      <c r="AM24" s="139">
        <f t="shared" si="17"/>
        <v>19047.5</v>
      </c>
      <c r="AN24" s="139">
        <f t="shared" si="17"/>
        <v>0</v>
      </c>
      <c r="AO24" s="139">
        <f t="shared" si="17"/>
        <v>6817</v>
      </c>
      <c r="AP24" s="141">
        <f t="shared" si="17"/>
        <v>200500</v>
      </c>
      <c r="AQ24" s="139">
        <f t="shared" si="17"/>
        <v>15050</v>
      </c>
      <c r="AR24" s="724">
        <f t="shared" si="7"/>
        <v>162994</v>
      </c>
      <c r="AS24" s="139">
        <v>7</v>
      </c>
    </row>
    <row r="25" spans="1:45" ht="12.75">
      <c r="A25" s="1054">
        <v>19</v>
      </c>
      <c r="B25" s="1056"/>
      <c r="C25" s="1057"/>
      <c r="D25" s="1058"/>
      <c r="E25" s="1058"/>
      <c r="F25" s="1056"/>
      <c r="G25" s="1056"/>
      <c r="H25" s="1056"/>
      <c r="I25" s="1056"/>
      <c r="J25" s="1056"/>
      <c r="K25" s="1056"/>
      <c r="L25" s="1056"/>
      <c r="M25" s="1056"/>
      <c r="N25" s="1056"/>
      <c r="O25" s="1056"/>
      <c r="P25" s="1056"/>
      <c r="Q25" s="1059"/>
      <c r="R25" s="659">
        <v>17</v>
      </c>
      <c r="S25" s="100"/>
      <c r="T25" s="1507"/>
      <c r="U25" s="1507"/>
      <c r="V25" s="100"/>
      <c r="W25" s="100"/>
      <c r="X25" s="100"/>
      <c r="Y25" s="659">
        <v>17</v>
      </c>
      <c r="Z25" s="100"/>
      <c r="AA25" s="667"/>
      <c r="AB25" s="100"/>
      <c r="AC25" s="100"/>
      <c r="AD25" s="177"/>
      <c r="AE25"/>
      <c r="AF25"/>
      <c r="AG25" s="142">
        <v>13</v>
      </c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724">
        <f t="shared" si="7"/>
        <v>0</v>
      </c>
      <c r="AS25" s="139"/>
    </row>
    <row r="26" spans="1:45" ht="13.5" thickBot="1">
      <c r="A26" s="1054">
        <v>20</v>
      </c>
      <c r="B26" s="1056"/>
      <c r="C26" s="1057"/>
      <c r="D26" s="1058"/>
      <c r="E26" s="1058"/>
      <c r="F26" s="1056"/>
      <c r="G26" s="1056"/>
      <c r="H26" s="1056"/>
      <c r="I26" s="1056"/>
      <c r="J26" s="1056"/>
      <c r="K26" s="1056"/>
      <c r="L26" s="1056"/>
      <c r="M26" s="1056"/>
      <c r="N26" s="1056"/>
      <c r="O26" s="1056"/>
      <c r="P26" s="1056"/>
      <c r="Q26" s="1059"/>
      <c r="R26" s="665">
        <v>18</v>
      </c>
      <c r="S26" s="100"/>
      <c r="T26" s="1507"/>
      <c r="U26" s="1507"/>
      <c r="V26" s="100"/>
      <c r="W26" s="100"/>
      <c r="X26" s="100"/>
      <c r="Y26" s="665">
        <v>18</v>
      </c>
      <c r="Z26" s="100"/>
      <c r="AA26" s="667"/>
      <c r="AB26" s="100"/>
      <c r="AC26" s="100"/>
      <c r="AD26" s="177"/>
      <c r="AE26"/>
      <c r="AF26"/>
      <c r="AG26" s="144">
        <v>14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725"/>
      <c r="AS26" s="139"/>
    </row>
    <row r="27" spans="1:45" ht="13.5" thickBot="1">
      <c r="A27" s="1054">
        <v>21</v>
      </c>
      <c r="B27" s="1056"/>
      <c r="C27" s="1057"/>
      <c r="D27" s="1058"/>
      <c r="E27" s="1058"/>
      <c r="F27" s="1056"/>
      <c r="G27" s="1056"/>
      <c r="H27" s="1056"/>
      <c r="I27" s="1056"/>
      <c r="J27" s="1056"/>
      <c r="K27" s="1056"/>
      <c r="L27" s="1056"/>
      <c r="M27" s="1056"/>
      <c r="N27" s="1056"/>
      <c r="O27" s="1056"/>
      <c r="P27" s="1056"/>
      <c r="Q27" s="1059"/>
      <c r="R27" s="668">
        <v>19</v>
      </c>
      <c r="S27" s="457"/>
      <c r="T27" s="1516"/>
      <c r="U27" s="1516"/>
      <c r="V27" s="457"/>
      <c r="W27" s="457"/>
      <c r="X27" s="457"/>
      <c r="Y27" s="668">
        <v>19</v>
      </c>
      <c r="Z27" s="457"/>
      <c r="AA27" s="669"/>
      <c r="AB27" s="457"/>
      <c r="AC27" s="457"/>
      <c r="AD27" s="670"/>
      <c r="AE27"/>
      <c r="AF27"/>
      <c r="AG27" s="726">
        <v>15</v>
      </c>
      <c r="AH27" s="727" t="s">
        <v>220</v>
      </c>
      <c r="AI27" s="727">
        <f>SUM(AI13:AI26)</f>
        <v>2048300</v>
      </c>
      <c r="AJ27" s="727">
        <f aca="true" t="shared" si="18" ref="AJ27:AS27">SUM(AJ13:AJ26)</f>
        <v>2048300</v>
      </c>
      <c r="AK27" s="727">
        <f t="shared" si="18"/>
        <v>501833.5</v>
      </c>
      <c r="AL27" s="727">
        <f t="shared" si="18"/>
        <v>307245</v>
      </c>
      <c r="AM27" s="727">
        <f t="shared" si="18"/>
        <v>194588.5</v>
      </c>
      <c r="AN27" s="727">
        <f t="shared" si="18"/>
        <v>0</v>
      </c>
      <c r="AO27" s="727">
        <f t="shared" si="18"/>
        <v>69642.2</v>
      </c>
      <c r="AP27" s="727">
        <f t="shared" si="18"/>
        <v>2048300</v>
      </c>
      <c r="AQ27" s="727">
        <f t="shared" si="18"/>
        <v>140430</v>
      </c>
      <c r="AR27" s="728">
        <f t="shared" si="18"/>
        <v>1678460.4</v>
      </c>
      <c r="AS27" s="728">
        <f t="shared" si="18"/>
        <v>81</v>
      </c>
    </row>
    <row r="28" spans="1:45" ht="13.5" thickBot="1">
      <c r="A28" s="1054">
        <v>22</v>
      </c>
      <c r="B28" s="1056"/>
      <c r="C28" s="1057"/>
      <c r="D28" s="1058"/>
      <c r="E28" s="1058"/>
      <c r="F28" s="1056"/>
      <c r="G28" s="1056"/>
      <c r="H28" s="1056"/>
      <c r="I28" s="1056"/>
      <c r="J28" s="1056"/>
      <c r="K28" s="1056"/>
      <c r="L28" s="1056"/>
      <c r="M28" s="1056"/>
      <c r="N28" s="1056"/>
      <c r="O28" s="1056"/>
      <c r="P28" s="1056"/>
      <c r="Q28" s="1059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/>
      <c r="AF28"/>
      <c r="AG28" s="709"/>
      <c r="AH28" s="709"/>
      <c r="AI28" s="709">
        <v>2048300</v>
      </c>
      <c r="AJ28" s="709"/>
      <c r="AK28" s="709"/>
      <c r="AL28" s="709">
        <v>307245</v>
      </c>
      <c r="AM28" s="709">
        <v>194627</v>
      </c>
      <c r="AN28" s="709"/>
      <c r="AO28" s="709">
        <v>69656</v>
      </c>
      <c r="AP28" s="709"/>
      <c r="AQ28" s="709"/>
      <c r="AR28" s="709"/>
      <c r="AS28" s="709"/>
    </row>
    <row r="29" spans="1:45" ht="12.75">
      <c r="A29" s="1054">
        <v>23</v>
      </c>
      <c r="B29" s="1056"/>
      <c r="C29" s="1057"/>
      <c r="D29" s="1058"/>
      <c r="E29" s="1058"/>
      <c r="F29" s="1056"/>
      <c r="G29" s="1056"/>
      <c r="H29" s="1056"/>
      <c r="I29" s="1056"/>
      <c r="J29" s="1056"/>
      <c r="K29" s="1056"/>
      <c r="L29" s="1056"/>
      <c r="M29" s="1056"/>
      <c r="N29" s="1056"/>
      <c r="O29" s="1056"/>
      <c r="P29" s="1056"/>
      <c r="Q29" s="1059"/>
      <c r="R29" s="671" t="s">
        <v>747</v>
      </c>
      <c r="S29" s="672"/>
      <c r="T29" s="672"/>
      <c r="U29" s="672"/>
      <c r="V29" s="672"/>
      <c r="W29" s="672"/>
      <c r="X29" s="673"/>
      <c r="Y29" s="674" t="s">
        <v>748</v>
      </c>
      <c r="Z29" s="675"/>
      <c r="AA29" s="675"/>
      <c r="AB29" s="675"/>
      <c r="AC29" s="675"/>
      <c r="AD29" s="676"/>
      <c r="AE29"/>
      <c r="AF29"/>
      <c r="AG29" s="709"/>
      <c r="AH29" s="709"/>
      <c r="AI29" s="729">
        <f>AI27-AI28</f>
        <v>0</v>
      </c>
      <c r="AJ29" s="729">
        <f aca="true" t="shared" si="19" ref="AJ29:AQ29">AJ27-AJ28</f>
        <v>2048300</v>
      </c>
      <c r="AK29" s="729">
        <f t="shared" si="19"/>
        <v>501833.5</v>
      </c>
      <c r="AL29" s="729">
        <f t="shared" si="19"/>
        <v>0</v>
      </c>
      <c r="AM29" s="729">
        <f t="shared" si="19"/>
        <v>-38.5</v>
      </c>
      <c r="AN29" s="729">
        <f t="shared" si="19"/>
        <v>0</v>
      </c>
      <c r="AO29" s="729">
        <f t="shared" si="19"/>
        <v>-13.80000000000291</v>
      </c>
      <c r="AP29" s="729">
        <f t="shared" si="19"/>
        <v>2048300</v>
      </c>
      <c r="AQ29" s="729">
        <f t="shared" si="19"/>
        <v>140430</v>
      </c>
      <c r="AR29" s="709"/>
      <c r="AS29" s="709"/>
    </row>
    <row r="30" spans="1:45" ht="12.75">
      <c r="A30" s="1054">
        <v>24</v>
      </c>
      <c r="B30" s="1056"/>
      <c r="C30" s="1057"/>
      <c r="D30" s="1058"/>
      <c r="E30" s="1058"/>
      <c r="F30" s="1056"/>
      <c r="G30" s="1056"/>
      <c r="H30" s="1056"/>
      <c r="I30" s="1056"/>
      <c r="J30" s="1056"/>
      <c r="K30" s="1056"/>
      <c r="L30" s="1056"/>
      <c r="M30" s="1056"/>
      <c r="N30" s="1056"/>
      <c r="O30" s="1056"/>
      <c r="P30" s="1056"/>
      <c r="Q30" s="1059"/>
      <c r="R30" s="677" t="s">
        <v>749</v>
      </c>
      <c r="S30" s="678"/>
      <c r="T30" s="678"/>
      <c r="U30" s="678"/>
      <c r="V30" s="678"/>
      <c r="W30" s="678"/>
      <c r="X30" s="679"/>
      <c r="Y30" s="680" t="s">
        <v>750</v>
      </c>
      <c r="Z30" s="123"/>
      <c r="AA30" s="123"/>
      <c r="AB30" s="123"/>
      <c r="AC30" s="123"/>
      <c r="AD30" s="681"/>
      <c r="AE30"/>
      <c r="AF30"/>
      <c r="AG30" s="709"/>
      <c r="AH30" s="709"/>
      <c r="AI30" s="709"/>
      <c r="AJ30" s="709"/>
      <c r="AK30" s="709"/>
      <c r="AL30" s="709"/>
      <c r="AM30" s="709"/>
      <c r="AN30" s="709"/>
      <c r="AO30" s="709"/>
      <c r="AP30" s="709"/>
      <c r="AQ30" s="709"/>
      <c r="AR30" s="709"/>
      <c r="AS30" s="709"/>
    </row>
    <row r="31" spans="1:43" ht="13.5" thickBot="1">
      <c r="A31" s="1054">
        <v>25</v>
      </c>
      <c r="B31" s="1060"/>
      <c r="C31" s="1061"/>
      <c r="D31" s="1062"/>
      <c r="E31" s="1062"/>
      <c r="F31" s="1060"/>
      <c r="G31" s="1060"/>
      <c r="H31" s="1060"/>
      <c r="I31" s="1060"/>
      <c r="J31" s="1060"/>
      <c r="K31" s="1060"/>
      <c r="L31" s="1060"/>
      <c r="M31" s="1060"/>
      <c r="N31" s="1060"/>
      <c r="O31" s="1060"/>
      <c r="P31" s="1060"/>
      <c r="Q31" s="1063"/>
      <c r="R31" s="677" t="s">
        <v>751</v>
      </c>
      <c r="S31" s="678"/>
      <c r="T31" s="678"/>
      <c r="U31" s="678"/>
      <c r="V31" s="678"/>
      <c r="W31" s="678"/>
      <c r="X31" s="679"/>
      <c r="Y31" s="680" t="s">
        <v>752</v>
      </c>
      <c r="Z31" s="123"/>
      <c r="AA31" s="123"/>
      <c r="AB31" s="123"/>
      <c r="AC31" s="123"/>
      <c r="AD31" s="68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3.5" thickBot="1">
      <c r="A32" s="1472" t="s">
        <v>753</v>
      </c>
      <c r="B32" s="1473"/>
      <c r="C32" s="1473"/>
      <c r="D32" s="1473"/>
      <c r="E32" s="1473"/>
      <c r="F32" s="1473"/>
      <c r="G32" s="1473"/>
      <c r="H32" s="1474"/>
      <c r="I32" s="1064">
        <f>SUM(I7:I31)</f>
        <v>167500</v>
      </c>
      <c r="J32" s="1064">
        <f aca="true" t="shared" si="20" ref="J32:Q32">SUM(J7:J31)</f>
        <v>167500</v>
      </c>
      <c r="K32" s="1064">
        <f t="shared" si="20"/>
        <v>41037.5</v>
      </c>
      <c r="L32" s="1064">
        <f t="shared" si="20"/>
        <v>25125</v>
      </c>
      <c r="M32" s="1064">
        <f t="shared" si="20"/>
        <v>15912.5</v>
      </c>
      <c r="N32" s="1064">
        <f t="shared" si="20"/>
        <v>0</v>
      </c>
      <c r="O32" s="1064">
        <f t="shared" si="20"/>
        <v>5695</v>
      </c>
      <c r="P32" s="1064">
        <f t="shared" si="20"/>
        <v>167500</v>
      </c>
      <c r="Q32" s="1064">
        <f t="shared" si="20"/>
        <v>10350</v>
      </c>
      <c r="R32" s="1510" t="s">
        <v>754</v>
      </c>
      <c r="S32" s="1511"/>
      <c r="T32" s="1511"/>
      <c r="U32" s="1511"/>
      <c r="V32" s="1511"/>
      <c r="W32" s="1511"/>
      <c r="X32" s="1512"/>
      <c r="Y32" s="680" t="s">
        <v>755</v>
      </c>
      <c r="Z32" s="123"/>
      <c r="AA32" s="123"/>
      <c r="AB32" s="123"/>
      <c r="AC32" s="123"/>
      <c r="AD32" s="681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3.5" thickBot="1">
      <c r="A33" s="1475" t="s">
        <v>756</v>
      </c>
      <c r="B33" s="1476"/>
      <c r="C33" s="1476"/>
      <c r="D33" s="1476"/>
      <c r="E33" s="1476"/>
      <c r="F33" s="1476"/>
      <c r="G33" s="1476"/>
      <c r="H33" s="1477"/>
      <c r="I33" s="1065"/>
      <c r="J33" s="1066"/>
      <c r="K33" s="1066"/>
      <c r="L33" s="1066"/>
      <c r="M33" s="1066"/>
      <c r="N33" s="1066">
        <v>0</v>
      </c>
      <c r="O33" s="1066"/>
      <c r="P33" s="1066"/>
      <c r="Q33" s="1067"/>
      <c r="R33" s="1513" t="s">
        <v>757</v>
      </c>
      <c r="S33" s="1514"/>
      <c r="T33" s="1514"/>
      <c r="U33" s="1514"/>
      <c r="V33" s="1514"/>
      <c r="W33" s="1514"/>
      <c r="X33" s="1515"/>
      <c r="Y33" s="680"/>
      <c r="Z33" s="123"/>
      <c r="AA33" s="122" t="s">
        <v>758</v>
      </c>
      <c r="AB33" s="123"/>
      <c r="AC33" s="123"/>
      <c r="AD33" s="681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5" thickBot="1">
      <c r="A34" s="1478" t="s">
        <v>759</v>
      </c>
      <c r="B34" s="1479"/>
      <c r="C34" s="1479"/>
      <c r="D34" s="1479"/>
      <c r="E34" s="1479"/>
      <c r="F34" s="1479"/>
      <c r="G34" s="1479"/>
      <c r="H34" s="1480"/>
      <c r="I34" s="1064">
        <f>SUM(I32:I33)</f>
        <v>167500</v>
      </c>
      <c r="J34" s="1064">
        <f aca="true" t="shared" si="21" ref="J34:Q34">SUM(J32:J33)</f>
        <v>167500</v>
      </c>
      <c r="K34" s="1064">
        <f t="shared" si="21"/>
        <v>41037.5</v>
      </c>
      <c r="L34" s="1064">
        <f t="shared" si="21"/>
        <v>25125</v>
      </c>
      <c r="M34" s="1064">
        <f t="shared" si="21"/>
        <v>15912.5</v>
      </c>
      <c r="N34" s="1064">
        <f t="shared" si="21"/>
        <v>0</v>
      </c>
      <c r="O34" s="1064">
        <f t="shared" si="21"/>
        <v>5695</v>
      </c>
      <c r="P34" s="1064">
        <f t="shared" si="21"/>
        <v>167500</v>
      </c>
      <c r="Q34" s="1064">
        <f t="shared" si="21"/>
        <v>10350</v>
      </c>
      <c r="R34" s="1510" t="s">
        <v>760</v>
      </c>
      <c r="S34" s="1511"/>
      <c r="T34" s="1511"/>
      <c r="U34" s="1511"/>
      <c r="V34" s="1511"/>
      <c r="W34" s="1511"/>
      <c r="X34" s="1512"/>
      <c r="Y34" s="680" t="s">
        <v>761</v>
      </c>
      <c r="Z34" s="123"/>
      <c r="AA34" s="123"/>
      <c r="AB34" s="123"/>
      <c r="AC34" s="123"/>
      <c r="AD34" s="681"/>
      <c r="AE34"/>
      <c r="AF34"/>
      <c r="AG34"/>
      <c r="AH34" s="682"/>
      <c r="AI34" s="1337"/>
      <c r="AJ34" s="1337"/>
      <c r="AK34" s="1337"/>
      <c r="AL34" s="1337"/>
      <c r="AM34" s="1337"/>
      <c r="AN34" s="1337"/>
      <c r="AO34" s="1"/>
      <c r="AP34"/>
      <c r="AQ34"/>
    </row>
    <row r="35" spans="1:43" ht="14.25">
      <c r="A35" s="683"/>
      <c r="B35" s="684" t="s">
        <v>764</v>
      </c>
      <c r="C35" s="685"/>
      <c r="D35" s="685"/>
      <c r="E35" s="685"/>
      <c r="F35" s="685"/>
      <c r="G35" s="685"/>
      <c r="H35" s="1068"/>
      <c r="I35" s="686" t="s">
        <v>765</v>
      </c>
      <c r="J35" s="685"/>
      <c r="K35" s="685"/>
      <c r="L35" s="685"/>
      <c r="M35" s="685"/>
      <c r="N35" s="685"/>
      <c r="O35" s="685"/>
      <c r="P35" s="685"/>
      <c r="Q35" s="687"/>
      <c r="R35" s="1510" t="s">
        <v>762</v>
      </c>
      <c r="S35" s="1511"/>
      <c r="T35" s="1511"/>
      <c r="U35" s="1511"/>
      <c r="V35" s="1511"/>
      <c r="W35" s="1511"/>
      <c r="X35" s="1512"/>
      <c r="Y35" s="680" t="s">
        <v>763</v>
      </c>
      <c r="Z35" s="123"/>
      <c r="AA35" s="123"/>
      <c r="AB35" s="123"/>
      <c r="AC35" s="123"/>
      <c r="AD35" s="681"/>
      <c r="AE35"/>
      <c r="AF35"/>
      <c r="AG35"/>
      <c r="AH35" s="682"/>
      <c r="AI35" s="1337"/>
      <c r="AJ35" s="1337"/>
      <c r="AK35" s="1337"/>
      <c r="AL35" s="1337"/>
      <c r="AM35" s="1337"/>
      <c r="AN35" s="1337"/>
      <c r="AO35" s="1"/>
      <c r="AP35"/>
      <c r="AQ35"/>
    </row>
    <row r="36" spans="1:43" ht="12.75">
      <c r="A36" s="688" t="s">
        <v>1323</v>
      </c>
      <c r="B36" s="689"/>
      <c r="C36" s="689"/>
      <c r="D36" s="689"/>
      <c r="E36" s="689"/>
      <c r="F36" s="689"/>
      <c r="G36" s="689"/>
      <c r="H36" s="1069"/>
      <c r="I36" s="690" t="s">
        <v>766</v>
      </c>
      <c r="J36" s="689"/>
      <c r="K36" s="689"/>
      <c r="L36" s="689"/>
      <c r="M36" s="689"/>
      <c r="N36" s="689"/>
      <c r="O36" s="689"/>
      <c r="P36" s="689"/>
      <c r="Q36" s="691"/>
      <c r="R36" s="1510"/>
      <c r="S36" s="1511"/>
      <c r="T36" s="1511"/>
      <c r="U36" s="1511"/>
      <c r="V36" s="1511"/>
      <c r="W36" s="1511"/>
      <c r="X36" s="1512"/>
      <c r="Y36" s="680"/>
      <c r="Z36" s="123" t="s">
        <v>760</v>
      </c>
      <c r="AA36" s="123"/>
      <c r="AB36" s="123"/>
      <c r="AC36" s="123"/>
      <c r="AD36" s="681"/>
      <c r="AE36"/>
      <c r="AF36"/>
      <c r="AG36"/>
      <c r="AH36" s="1"/>
      <c r="AI36" s="1"/>
      <c r="AJ36" s="1"/>
      <c r="AK36" s="1"/>
      <c r="AL36" s="1"/>
      <c r="AM36" s="1"/>
      <c r="AN36" s="1"/>
      <c r="AO36" s="1"/>
      <c r="AP36"/>
      <c r="AQ36"/>
    </row>
    <row r="37" spans="1:43" ht="13.5" thickBot="1">
      <c r="A37" s="688" t="s">
        <v>1324</v>
      </c>
      <c r="B37" s="689"/>
      <c r="C37" s="689"/>
      <c r="D37" s="689"/>
      <c r="E37" s="689"/>
      <c r="F37" s="689"/>
      <c r="G37" s="689"/>
      <c r="H37" s="1069"/>
      <c r="I37" s="47" t="s">
        <v>767</v>
      </c>
      <c r="J37" s="689"/>
      <c r="K37" s="689"/>
      <c r="L37" s="689"/>
      <c r="M37" s="689"/>
      <c r="N37" s="689"/>
      <c r="O37" s="689"/>
      <c r="P37" s="689"/>
      <c r="Q37" s="691"/>
      <c r="R37" s="1517"/>
      <c r="S37" s="1518"/>
      <c r="T37" s="1518"/>
      <c r="U37" s="1518"/>
      <c r="V37" s="1518"/>
      <c r="W37" s="1518"/>
      <c r="X37" s="1519"/>
      <c r="Y37" s="692"/>
      <c r="Z37" s="693"/>
      <c r="AA37" s="693"/>
      <c r="AB37" s="693"/>
      <c r="AC37" s="693"/>
      <c r="AD37" s="694"/>
      <c r="AE37"/>
      <c r="AF37"/>
      <c r="AG37"/>
      <c r="AH37" s="695"/>
      <c r="AI37" s="695"/>
      <c r="AJ37" s="695"/>
      <c r="AK37" s="695"/>
      <c r="AL37" s="695"/>
      <c r="AM37" s="695"/>
      <c r="AN37" s="696"/>
      <c r="AO37" s="1"/>
      <c r="AP37"/>
      <c r="AQ37"/>
    </row>
    <row r="38" spans="1:43" ht="12.75">
      <c r="A38" s="688" t="s">
        <v>1325</v>
      </c>
      <c r="B38" s="689"/>
      <c r="C38" s="1"/>
      <c r="D38" s="689"/>
      <c r="E38" s="689"/>
      <c r="F38" s="689"/>
      <c r="G38" s="689"/>
      <c r="H38" s="1069"/>
      <c r="I38" s="690" t="s">
        <v>768</v>
      </c>
      <c r="J38" s="689"/>
      <c r="K38" s="689"/>
      <c r="L38" s="689"/>
      <c r="M38" s="689"/>
      <c r="N38" s="689"/>
      <c r="O38" s="689"/>
      <c r="P38" s="689"/>
      <c r="Q38" s="691"/>
      <c r="R38" s="655"/>
      <c r="S38" s="655"/>
      <c r="T38" s="655"/>
      <c r="U38" s="655"/>
      <c r="V38" s="655"/>
      <c r="W38" s="655"/>
      <c r="X38" s="655"/>
      <c r="Y38" s="655"/>
      <c r="Z38" s="655"/>
      <c r="AA38" s="655"/>
      <c r="AB38" s="655"/>
      <c r="AC38" s="655"/>
      <c r="AD38" s="655"/>
      <c r="AE38"/>
      <c r="AF38"/>
      <c r="AG38"/>
      <c r="AH38" s="695"/>
      <c r="AI38" s="695"/>
      <c r="AJ38" s="695"/>
      <c r="AK38" s="695"/>
      <c r="AL38" s="695"/>
      <c r="AM38" s="695"/>
      <c r="AN38" s="697"/>
      <c r="AO38" s="1"/>
      <c r="AP38"/>
      <c r="AQ38"/>
    </row>
    <row r="39" spans="1:43" ht="12.75">
      <c r="A39" s="688"/>
      <c r="B39" s="689"/>
      <c r="C39" s="689"/>
      <c r="D39" s="689"/>
      <c r="E39" s="689"/>
      <c r="F39" s="689"/>
      <c r="G39" s="689"/>
      <c r="H39" s="1069"/>
      <c r="I39" s="690" t="s">
        <v>769</v>
      </c>
      <c r="J39" s="689"/>
      <c r="K39" s="689"/>
      <c r="L39" s="689"/>
      <c r="M39" s="689"/>
      <c r="N39" s="689"/>
      <c r="O39" s="689"/>
      <c r="P39" s="689"/>
      <c r="Q39" s="691"/>
      <c r="R39" s="655"/>
      <c r="S39" s="655"/>
      <c r="T39" s="655"/>
      <c r="U39" s="655"/>
      <c r="V39" s="655"/>
      <c r="W39" s="655"/>
      <c r="X39" s="655"/>
      <c r="Y39" s="655"/>
      <c r="Z39" s="655"/>
      <c r="AA39" s="655"/>
      <c r="AB39" s="655"/>
      <c r="AC39" s="655"/>
      <c r="AD39" s="655"/>
      <c r="AE39"/>
      <c r="AF39"/>
      <c r="AG39"/>
      <c r="AH39" s="695"/>
      <c r="AI39" s="695"/>
      <c r="AJ39" s="695"/>
      <c r="AK39" s="695"/>
      <c r="AL39" s="695"/>
      <c r="AM39" s="695"/>
      <c r="AN39" s="697"/>
      <c r="AO39" s="1"/>
      <c r="AP39"/>
      <c r="AQ39"/>
    </row>
    <row r="40" spans="1:43" ht="14.25">
      <c r="A40" s="688"/>
      <c r="B40" s="700" t="s">
        <v>770</v>
      </c>
      <c r="C40" s="689"/>
      <c r="D40" s="689"/>
      <c r="E40" s="689"/>
      <c r="F40" s="689"/>
      <c r="G40" s="689"/>
      <c r="H40" s="1069"/>
      <c r="I40" s="47" t="s">
        <v>771</v>
      </c>
      <c r="J40" s="689"/>
      <c r="K40" s="689"/>
      <c r="L40" s="689"/>
      <c r="M40" s="689"/>
      <c r="N40" s="689"/>
      <c r="O40" s="689"/>
      <c r="P40" s="689"/>
      <c r="Q40" s="691"/>
      <c r="R40" s="655"/>
      <c r="S40" s="655"/>
      <c r="T40" s="655"/>
      <c r="U40" s="655"/>
      <c r="V40" s="655"/>
      <c r="W40" s="655"/>
      <c r="X40" s="655"/>
      <c r="Y40" s="655"/>
      <c r="Z40" s="655"/>
      <c r="AA40" s="655"/>
      <c r="AB40" s="655"/>
      <c r="AC40" s="655"/>
      <c r="AD40" s="655"/>
      <c r="AE40"/>
      <c r="AF40"/>
      <c r="AG40"/>
      <c r="AH40" s="698"/>
      <c r="AI40" s="699"/>
      <c r="AJ40" s="699"/>
      <c r="AK40" s="699"/>
      <c r="AL40" s="699"/>
      <c r="AM40" s="699"/>
      <c r="AN40" s="699"/>
      <c r="AO40" s="1"/>
      <c r="AP40"/>
      <c r="AQ40"/>
    </row>
    <row r="41" spans="1:43" ht="14.25">
      <c r="A41" s="688"/>
      <c r="B41" s="689" t="s">
        <v>1326</v>
      </c>
      <c r="C41" s="689"/>
      <c r="D41" s="689"/>
      <c r="E41" s="689"/>
      <c r="F41" s="689"/>
      <c r="G41" s="689"/>
      <c r="H41" s="1069"/>
      <c r="I41" s="47"/>
      <c r="J41" s="689"/>
      <c r="K41" s="689"/>
      <c r="L41" s="701" t="s">
        <v>772</v>
      </c>
      <c r="M41" s="689"/>
      <c r="N41" s="689"/>
      <c r="O41" s="689"/>
      <c r="P41" s="689"/>
      <c r="Q41" s="691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/>
      <c r="AF41"/>
      <c r="AG41"/>
      <c r="AH41" s="698"/>
      <c r="AI41" s="699"/>
      <c r="AJ41" s="699"/>
      <c r="AK41" s="699"/>
      <c r="AL41" s="699"/>
      <c r="AM41" s="699"/>
      <c r="AN41" s="699"/>
      <c r="AO41" s="1"/>
      <c r="AP41"/>
      <c r="AQ41"/>
    </row>
    <row r="42" spans="1:43" ht="14.25">
      <c r="A42" s="688"/>
      <c r="B42" s="689"/>
      <c r="C42" s="689"/>
      <c r="D42" s="689" t="s">
        <v>773</v>
      </c>
      <c r="E42" s="689"/>
      <c r="F42" s="689"/>
      <c r="G42" s="689"/>
      <c r="H42" s="1069"/>
      <c r="I42" s="690" t="s">
        <v>774</v>
      </c>
      <c r="J42" s="689"/>
      <c r="K42" s="689"/>
      <c r="L42" s="689"/>
      <c r="M42" s="689"/>
      <c r="N42" s="689"/>
      <c r="O42" s="689"/>
      <c r="P42" s="689"/>
      <c r="Q42" s="689"/>
      <c r="R42" s="655"/>
      <c r="S42" s="655"/>
      <c r="T42" s="655"/>
      <c r="U42" s="655"/>
      <c r="V42" s="655"/>
      <c r="W42" s="655"/>
      <c r="X42" s="655"/>
      <c r="Y42" s="655"/>
      <c r="Z42" s="655"/>
      <c r="AA42" s="655"/>
      <c r="AB42" s="655"/>
      <c r="AC42" s="655"/>
      <c r="AD42" s="655"/>
      <c r="AE42"/>
      <c r="AF42"/>
      <c r="AG42"/>
      <c r="AH42" s="698"/>
      <c r="AI42" s="699"/>
      <c r="AJ42" s="699"/>
      <c r="AK42" s="699"/>
      <c r="AL42" s="699"/>
      <c r="AM42" s="699"/>
      <c r="AN42" s="699"/>
      <c r="AO42" s="1"/>
      <c r="AP42"/>
      <c r="AQ42"/>
    </row>
    <row r="43" spans="1:43" ht="12.75">
      <c r="A43" s="688"/>
      <c r="B43" s="689"/>
      <c r="C43" s="689"/>
      <c r="D43" s="689"/>
      <c r="E43" s="689"/>
      <c r="F43" s="689"/>
      <c r="G43" s="689"/>
      <c r="H43" s="1069"/>
      <c r="I43" s="690"/>
      <c r="J43" s="689" t="s">
        <v>775</v>
      </c>
      <c r="K43" s="689"/>
      <c r="L43" s="689"/>
      <c r="M43" s="689"/>
      <c r="N43" s="689"/>
      <c r="O43" s="689"/>
      <c r="P43" s="689"/>
      <c r="Q43" s="689"/>
      <c r="R43" s="655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3.5" thickBot="1">
      <c r="A44" s="702"/>
      <c r="B44" s="703"/>
      <c r="C44" s="703"/>
      <c r="D44" s="703"/>
      <c r="E44" s="703"/>
      <c r="F44" s="703"/>
      <c r="G44" s="703"/>
      <c r="H44" s="1070"/>
      <c r="I44" s="704"/>
      <c r="J44" s="705" t="s">
        <v>776</v>
      </c>
      <c r="K44" s="703"/>
      <c r="L44" s="703"/>
      <c r="M44" s="703"/>
      <c r="N44" s="703"/>
      <c r="O44" s="703"/>
      <c r="P44" s="703"/>
      <c r="Q44" s="706"/>
      <c r="R44" s="655"/>
      <c r="S44" s="655"/>
      <c r="T44" s="655"/>
      <c r="U44" s="655"/>
      <c r="V44" s="655"/>
      <c r="W44" s="655"/>
      <c r="X44" s="655"/>
      <c r="Y44" s="655"/>
      <c r="Z44" s="655"/>
      <c r="AA44" s="655"/>
      <c r="AB44" s="655"/>
      <c r="AC44" s="655"/>
      <c r="AD44" s="655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 s="654" t="s">
        <v>724</v>
      </c>
      <c r="S47" s="654"/>
      <c r="T47" s="654"/>
      <c r="U47" s="654"/>
      <c r="V47" s="654"/>
      <c r="W47" s="654"/>
      <c r="X47" s="654"/>
      <c r="Y47" s="654"/>
      <c r="Z47" s="654"/>
      <c r="AA47" s="654"/>
      <c r="AB47" s="654"/>
      <c r="AC47" s="654"/>
      <c r="AD47" s="654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5">
      <c r="A48" s="1025" t="s">
        <v>133</v>
      </c>
      <c r="B48" s="1025"/>
      <c r="C48" s="1025"/>
      <c r="D48" s="1025"/>
      <c r="E48" s="1025"/>
      <c r="F48" s="1025"/>
      <c r="G48" s="1025"/>
      <c r="H48" s="1025"/>
      <c r="I48" s="1025"/>
      <c r="J48" s="1025"/>
      <c r="K48" s="1025"/>
      <c r="L48" s="1025"/>
      <c r="M48" s="1025"/>
      <c r="N48" s="1025"/>
      <c r="O48" s="1025"/>
      <c r="P48" s="1025"/>
      <c r="Q48"/>
      <c r="R48" s="654" t="s">
        <v>721</v>
      </c>
      <c r="S48" s="654"/>
      <c r="T48" s="654"/>
      <c r="U48" s="654" t="s">
        <v>722</v>
      </c>
      <c r="V48" s="654"/>
      <c r="W48" s="654"/>
      <c r="X48" s="654"/>
      <c r="Y48" s="654"/>
      <c r="Z48" s="654" t="s">
        <v>728</v>
      </c>
      <c r="AA48" s="654"/>
      <c r="AB48" s="654"/>
      <c r="AC48" s="654"/>
      <c r="AD48" s="654" t="s">
        <v>723</v>
      </c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36.75" customHeight="1" thickBot="1">
      <c r="A49" s="1025" t="s">
        <v>1293</v>
      </c>
      <c r="B49" s="1025"/>
      <c r="C49" s="1025"/>
      <c r="D49"/>
      <c r="E49" s="1025" t="s">
        <v>1294</v>
      </c>
      <c r="F49" s="1025"/>
      <c r="G49" s="1025"/>
      <c r="H49" s="1025"/>
      <c r="I49" s="1025"/>
      <c r="J49" s="1025" t="s">
        <v>1327</v>
      </c>
      <c r="K49" s="1025"/>
      <c r="L49" s="1025"/>
      <c r="M49" s="1025"/>
      <c r="N49" s="1025"/>
      <c r="O49" s="1025"/>
      <c r="P49" s="1025"/>
      <c r="Q49"/>
      <c r="R49" s="654" t="s">
        <v>725</v>
      </c>
      <c r="S49" s="654"/>
      <c r="T49" s="654"/>
      <c r="U49" s="654"/>
      <c r="V49" s="656"/>
      <c r="W49" s="656"/>
      <c r="X49" s="656"/>
      <c r="Y49" s="656" t="s">
        <v>726</v>
      </c>
      <c r="Z49" s="656"/>
      <c r="AA49" s="656"/>
      <c r="AB49" s="654"/>
      <c r="AC49" s="657" t="s">
        <v>727</v>
      </c>
      <c r="AD49" s="657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3.5" customHeight="1" thickBot="1">
      <c r="A50" s="1026" t="s">
        <v>725</v>
      </c>
      <c r="B50" s="1026"/>
      <c r="C50" s="1026"/>
      <c r="D50" s="1026"/>
      <c r="E50" s="1026"/>
      <c r="F50" s="1026" t="s">
        <v>1296</v>
      </c>
      <c r="G50" s="1026"/>
      <c r="H50" s="1026"/>
      <c r="I50" s="1026"/>
      <c r="J50" s="1026"/>
      <c r="K50" s="1026"/>
      <c r="L50" s="1026" t="s">
        <v>727</v>
      </c>
      <c r="M50" s="1026"/>
      <c r="N50" s="1026"/>
      <c r="O50" s="1026"/>
      <c r="P50" s="1026"/>
      <c r="Q50"/>
      <c r="R50" s="1489" t="s">
        <v>733</v>
      </c>
      <c r="S50" s="1490"/>
      <c r="T50" s="1490"/>
      <c r="U50" s="1490"/>
      <c r="V50" s="1490"/>
      <c r="W50" s="1490"/>
      <c r="X50" s="1491"/>
      <c r="Y50" s="1492" t="s">
        <v>734</v>
      </c>
      <c r="Z50" s="1493"/>
      <c r="AA50" s="1493"/>
      <c r="AB50" s="1493"/>
      <c r="AC50" s="1493"/>
      <c r="AD50" s="1494"/>
      <c r="AE50" s="654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.75" customHeight="1">
      <c r="A51" s="1027" t="s">
        <v>199</v>
      </c>
      <c r="B51" s="1028" t="s">
        <v>729</v>
      </c>
      <c r="C51" s="1029"/>
      <c r="D51" s="1030"/>
      <c r="E51" s="1481" t="s">
        <v>1297</v>
      </c>
      <c r="F51" s="1028" t="s">
        <v>1298</v>
      </c>
      <c r="G51" s="1028" t="s">
        <v>1299</v>
      </c>
      <c r="H51" s="1028" t="s">
        <v>1300</v>
      </c>
      <c r="I51" s="1031" t="s">
        <v>780</v>
      </c>
      <c r="J51" s="1032"/>
      <c r="K51" s="1031" t="s">
        <v>200</v>
      </c>
      <c r="L51" s="1033"/>
      <c r="M51" s="1033"/>
      <c r="N51" s="1032"/>
      <c r="O51" s="1028" t="s">
        <v>201</v>
      </c>
      <c r="P51" s="1028" t="s">
        <v>202</v>
      </c>
      <c r="Q51" s="1034" t="s">
        <v>203</v>
      </c>
      <c r="R51" s="1495" t="s">
        <v>1</v>
      </c>
      <c r="S51" s="1495" t="s">
        <v>741</v>
      </c>
      <c r="T51" s="1498" t="s">
        <v>742</v>
      </c>
      <c r="U51" s="1499"/>
      <c r="V51" s="1504" t="s">
        <v>743</v>
      </c>
      <c r="W51" s="1504" t="s">
        <v>744</v>
      </c>
      <c r="X51" s="1504" t="s">
        <v>745</v>
      </c>
      <c r="Y51" s="1495" t="s">
        <v>1</v>
      </c>
      <c r="Z51" s="1495" t="s">
        <v>741</v>
      </c>
      <c r="AA51" s="1498" t="s">
        <v>742</v>
      </c>
      <c r="AB51" s="1504" t="s">
        <v>743</v>
      </c>
      <c r="AC51" s="1504" t="s">
        <v>744</v>
      </c>
      <c r="AD51" s="1504" t="s">
        <v>746</v>
      </c>
      <c r="AE51" s="654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>
      <c r="A52" s="1035"/>
      <c r="B52" s="1036" t="s">
        <v>730</v>
      </c>
      <c r="C52" s="1037" t="s">
        <v>1301</v>
      </c>
      <c r="D52" s="1038"/>
      <c r="E52" s="1482"/>
      <c r="F52" s="1036" t="s">
        <v>1302</v>
      </c>
      <c r="G52" s="1036" t="s">
        <v>1303</v>
      </c>
      <c r="H52" s="1036" t="s">
        <v>1304</v>
      </c>
      <c r="I52" s="1039" t="s">
        <v>205</v>
      </c>
      <c r="J52" s="1039" t="s">
        <v>782</v>
      </c>
      <c r="K52" s="1039"/>
      <c r="L52" s="1040" t="s">
        <v>206</v>
      </c>
      <c r="M52" s="1041"/>
      <c r="N52" s="1039" t="s">
        <v>731</v>
      </c>
      <c r="O52" s="1036" t="s">
        <v>732</v>
      </c>
      <c r="P52" s="1036" t="s">
        <v>207</v>
      </c>
      <c r="Q52" s="1042" t="s">
        <v>208</v>
      </c>
      <c r="R52" s="1496"/>
      <c r="S52" s="1496"/>
      <c r="T52" s="1500"/>
      <c r="U52" s="1501"/>
      <c r="V52" s="1505"/>
      <c r="W52" s="1505"/>
      <c r="X52" s="1505"/>
      <c r="Y52" s="1496"/>
      <c r="Z52" s="1496"/>
      <c r="AA52" s="1500"/>
      <c r="AB52" s="1505"/>
      <c r="AC52" s="1505"/>
      <c r="AD52" s="1505"/>
      <c r="AE52" s="654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3.5" thickBot="1">
      <c r="A53" s="1043"/>
      <c r="B53" s="1044" t="s">
        <v>735</v>
      </c>
      <c r="C53" s="1037"/>
      <c r="D53" s="1038"/>
      <c r="E53" s="1483"/>
      <c r="F53" s="1044" t="s">
        <v>1305</v>
      </c>
      <c r="G53" s="1044" t="s">
        <v>1306</v>
      </c>
      <c r="H53" s="1044" t="s">
        <v>1307</v>
      </c>
      <c r="I53" s="1044"/>
      <c r="J53" s="1044" t="s">
        <v>1308</v>
      </c>
      <c r="K53" s="1044" t="s">
        <v>1309</v>
      </c>
      <c r="L53" s="1045" t="s">
        <v>736</v>
      </c>
      <c r="M53" s="1045" t="s">
        <v>737</v>
      </c>
      <c r="N53" s="1044" t="s">
        <v>738</v>
      </c>
      <c r="O53" s="1044" t="s">
        <v>739</v>
      </c>
      <c r="P53" s="1044" t="s">
        <v>740</v>
      </c>
      <c r="Q53" s="1046" t="s">
        <v>1310</v>
      </c>
      <c r="R53" s="1497"/>
      <c r="S53" s="1497"/>
      <c r="T53" s="1502"/>
      <c r="U53" s="1503"/>
      <c r="V53" s="1506"/>
      <c r="W53" s="1506"/>
      <c r="X53" s="1506"/>
      <c r="Y53" s="1497"/>
      <c r="Z53" s="1497"/>
      <c r="AA53" s="1502"/>
      <c r="AB53" s="1506"/>
      <c r="AC53" s="1506"/>
      <c r="AD53" s="1506"/>
      <c r="AE53" s="657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>
      <c r="A54" s="1047">
        <v>1</v>
      </c>
      <c r="B54" s="1048" t="s">
        <v>1311</v>
      </c>
      <c r="C54" s="1470" t="s">
        <v>1270</v>
      </c>
      <c r="D54" s="1471"/>
      <c r="E54" s="1050" t="s">
        <v>1312</v>
      </c>
      <c r="F54" s="1051">
        <v>1</v>
      </c>
      <c r="G54" s="1052">
        <v>0</v>
      </c>
      <c r="H54" s="1052">
        <v>22</v>
      </c>
      <c r="I54" s="1052">
        <v>50000</v>
      </c>
      <c r="J54" s="1052">
        <v>50000</v>
      </c>
      <c r="K54" s="1052">
        <f aca="true" t="shared" si="22" ref="K54:K60">L54+M54</f>
        <v>12250</v>
      </c>
      <c r="L54" s="1052">
        <f aca="true" t="shared" si="23" ref="L54:L60">I54*0.15</f>
        <v>7500</v>
      </c>
      <c r="M54" s="1052">
        <f aca="true" t="shared" si="24" ref="M54:M60">I54*0.095</f>
        <v>4750</v>
      </c>
      <c r="N54" s="1052">
        <v>0</v>
      </c>
      <c r="O54" s="1052">
        <f aca="true" t="shared" si="25" ref="O54:O60">I54*0.034</f>
        <v>1700.0000000000002</v>
      </c>
      <c r="P54" s="1052">
        <f aca="true" t="shared" si="26" ref="P54:P60">I54</f>
        <v>50000</v>
      </c>
      <c r="Q54" s="1053">
        <v>5000</v>
      </c>
      <c r="R54" s="659">
        <v>1</v>
      </c>
      <c r="S54" s="707"/>
      <c r="T54" s="1508"/>
      <c r="U54" s="1509"/>
      <c r="V54" s="661"/>
      <c r="W54" s="661"/>
      <c r="X54" s="662"/>
      <c r="Y54" s="659">
        <v>1</v>
      </c>
      <c r="Z54" s="660"/>
      <c r="AA54" s="663"/>
      <c r="AB54" s="661"/>
      <c r="AC54" s="661"/>
      <c r="AD54" s="66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.75">
      <c r="A55" s="1054">
        <v>2</v>
      </c>
      <c r="B55" s="1056"/>
      <c r="C55" s="1470" t="s">
        <v>1316</v>
      </c>
      <c r="D55" s="1471"/>
      <c r="E55" s="1049" t="s">
        <v>1317</v>
      </c>
      <c r="F55" s="1056">
        <v>1</v>
      </c>
      <c r="G55" s="1056">
        <v>0</v>
      </c>
      <c r="H55" s="1056">
        <v>22</v>
      </c>
      <c r="I55" s="1052">
        <v>20100</v>
      </c>
      <c r="J55" s="1052">
        <v>20100</v>
      </c>
      <c r="K55" s="1056">
        <f t="shared" si="22"/>
        <v>4924.5</v>
      </c>
      <c r="L55" s="1052">
        <f t="shared" si="23"/>
        <v>3015</v>
      </c>
      <c r="M55" s="1052">
        <f t="shared" si="24"/>
        <v>1909.5</v>
      </c>
      <c r="N55" s="1056">
        <v>0</v>
      </c>
      <c r="O55" s="1052">
        <f t="shared" si="25"/>
        <v>683.4000000000001</v>
      </c>
      <c r="P55" s="1056">
        <f t="shared" si="26"/>
        <v>20100</v>
      </c>
      <c r="Q55" s="1053">
        <v>1010</v>
      </c>
      <c r="R55" s="665">
        <v>2</v>
      </c>
      <c r="S55" s="660"/>
      <c r="T55" s="1507"/>
      <c r="U55" s="1507"/>
      <c r="V55" s="661"/>
      <c r="W55" s="661"/>
      <c r="X55" s="662"/>
      <c r="Y55" s="665">
        <v>2</v>
      </c>
      <c r="Z55" s="660"/>
      <c r="AA55" s="663"/>
      <c r="AB55" s="661"/>
      <c r="AC55" s="661"/>
      <c r="AD55" s="664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75">
      <c r="A56" s="1054">
        <v>3</v>
      </c>
      <c r="B56" s="1056"/>
      <c r="C56" s="1470" t="s">
        <v>1318</v>
      </c>
      <c r="D56" s="1471"/>
      <c r="E56" s="1049" t="s">
        <v>1317</v>
      </c>
      <c r="F56" s="1056">
        <v>1</v>
      </c>
      <c r="G56" s="1056">
        <v>0</v>
      </c>
      <c r="H56" s="1056">
        <v>22</v>
      </c>
      <c r="I56" s="1052">
        <v>20100</v>
      </c>
      <c r="J56" s="1052">
        <v>20100</v>
      </c>
      <c r="K56" s="1056">
        <f t="shared" si="22"/>
        <v>4924.5</v>
      </c>
      <c r="L56" s="1052">
        <f t="shared" si="23"/>
        <v>3015</v>
      </c>
      <c r="M56" s="1052">
        <f t="shared" si="24"/>
        <v>1909.5</v>
      </c>
      <c r="N56" s="1052">
        <v>0</v>
      </c>
      <c r="O56" s="1052">
        <f t="shared" si="25"/>
        <v>683.4000000000001</v>
      </c>
      <c r="P56" s="1056">
        <f t="shared" si="26"/>
        <v>20100</v>
      </c>
      <c r="Q56" s="1053">
        <v>1010</v>
      </c>
      <c r="R56" s="665">
        <v>3</v>
      </c>
      <c r="S56" s="660"/>
      <c r="T56" s="1507"/>
      <c r="U56" s="1507"/>
      <c r="V56" s="661"/>
      <c r="W56" s="661"/>
      <c r="X56" s="662"/>
      <c r="Y56" s="665">
        <v>3</v>
      </c>
      <c r="Z56" s="666"/>
      <c r="AA56" s="663"/>
      <c r="AB56" s="661"/>
      <c r="AC56" s="661"/>
      <c r="AD56" s="664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>
      <c r="A57" s="1054">
        <v>4</v>
      </c>
      <c r="B57" s="1056"/>
      <c r="C57" s="1470" t="s">
        <v>1319</v>
      </c>
      <c r="D57" s="1471"/>
      <c r="E57" s="1049" t="s">
        <v>1317</v>
      </c>
      <c r="F57" s="1056">
        <v>1</v>
      </c>
      <c r="G57" s="1056">
        <v>0</v>
      </c>
      <c r="H57" s="1056">
        <v>22</v>
      </c>
      <c r="I57" s="1052">
        <v>20100</v>
      </c>
      <c r="J57" s="1052">
        <v>20100</v>
      </c>
      <c r="K57" s="1056">
        <f t="shared" si="22"/>
        <v>4924.5</v>
      </c>
      <c r="L57" s="1052">
        <f t="shared" si="23"/>
        <v>3015</v>
      </c>
      <c r="M57" s="1052">
        <f t="shared" si="24"/>
        <v>1909.5</v>
      </c>
      <c r="N57" s="1056">
        <v>0</v>
      </c>
      <c r="O57" s="1052">
        <f t="shared" si="25"/>
        <v>683.4000000000001</v>
      </c>
      <c r="P57" s="1056">
        <f t="shared" si="26"/>
        <v>20100</v>
      </c>
      <c r="Q57" s="1053">
        <v>1010</v>
      </c>
      <c r="R57" s="659">
        <v>4</v>
      </c>
      <c r="S57" s="660"/>
      <c r="T57" s="1507"/>
      <c r="U57" s="1507"/>
      <c r="V57" s="661"/>
      <c r="W57" s="661"/>
      <c r="X57" s="662"/>
      <c r="Y57" s="659">
        <v>4</v>
      </c>
      <c r="Z57" s="666"/>
      <c r="AA57" s="663"/>
      <c r="AB57" s="661"/>
      <c r="AC57" s="661"/>
      <c r="AD57" s="664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2.75">
      <c r="A58" s="1054">
        <v>5</v>
      </c>
      <c r="B58" s="1056"/>
      <c r="C58" s="1470" t="s">
        <v>1320</v>
      </c>
      <c r="D58" s="1471"/>
      <c r="E58" s="1049" t="s">
        <v>1317</v>
      </c>
      <c r="F58" s="1056">
        <v>1</v>
      </c>
      <c r="G58" s="1056">
        <v>0</v>
      </c>
      <c r="H58" s="1056">
        <v>22</v>
      </c>
      <c r="I58" s="1052">
        <v>20100</v>
      </c>
      <c r="J58" s="1052">
        <v>20100</v>
      </c>
      <c r="K58" s="1056">
        <f t="shared" si="22"/>
        <v>4924.5</v>
      </c>
      <c r="L58" s="1052">
        <f t="shared" si="23"/>
        <v>3015</v>
      </c>
      <c r="M58" s="1052">
        <f t="shared" si="24"/>
        <v>1909.5</v>
      </c>
      <c r="N58" s="1052">
        <v>0</v>
      </c>
      <c r="O58" s="1052">
        <f t="shared" si="25"/>
        <v>683.4000000000001</v>
      </c>
      <c r="P58" s="1056">
        <f t="shared" si="26"/>
        <v>20100</v>
      </c>
      <c r="Q58" s="1053">
        <v>1010</v>
      </c>
      <c r="R58" s="659">
        <v>5</v>
      </c>
      <c r="S58" s="660"/>
      <c r="T58" s="1507"/>
      <c r="U58" s="1507"/>
      <c r="V58" s="661"/>
      <c r="W58" s="661"/>
      <c r="X58" s="662"/>
      <c r="Y58" s="659">
        <v>5</v>
      </c>
      <c r="Z58" s="658"/>
      <c r="AA58" s="667"/>
      <c r="AB58" s="661"/>
      <c r="AC58" s="661"/>
      <c r="AD58" s="664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12.75">
      <c r="A59" s="1054">
        <v>6</v>
      </c>
      <c r="B59" s="1056"/>
      <c r="C59" s="1470" t="s">
        <v>1321</v>
      </c>
      <c r="D59" s="1471"/>
      <c r="E59" s="1049"/>
      <c r="F59" s="1056">
        <v>1</v>
      </c>
      <c r="G59" s="1056">
        <v>0</v>
      </c>
      <c r="H59" s="1056">
        <v>22</v>
      </c>
      <c r="I59" s="1052">
        <v>20100</v>
      </c>
      <c r="J59" s="1056">
        <v>7000</v>
      </c>
      <c r="K59" s="1056">
        <f t="shared" si="22"/>
        <v>4924.5</v>
      </c>
      <c r="L59" s="1052">
        <f t="shared" si="23"/>
        <v>3015</v>
      </c>
      <c r="M59" s="1052">
        <f t="shared" si="24"/>
        <v>1909.5</v>
      </c>
      <c r="N59" s="1056">
        <v>0</v>
      </c>
      <c r="O59" s="1052">
        <f t="shared" si="25"/>
        <v>683.4000000000001</v>
      </c>
      <c r="P59" s="1056">
        <f t="shared" si="26"/>
        <v>20100</v>
      </c>
      <c r="Q59" s="1053">
        <v>1010</v>
      </c>
      <c r="R59" s="665">
        <v>6</v>
      </c>
      <c r="S59" s="660"/>
      <c r="T59" s="1507"/>
      <c r="U59" s="1507"/>
      <c r="V59" s="661"/>
      <c r="W59" s="661"/>
      <c r="X59" s="662"/>
      <c r="Y59" s="665">
        <v>6</v>
      </c>
      <c r="Z59" s="658"/>
      <c r="AA59" s="667"/>
      <c r="AB59" s="661"/>
      <c r="AC59" s="661"/>
      <c r="AD59" s="664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.75">
      <c r="A60" s="1054">
        <v>7</v>
      </c>
      <c r="B60" s="1056"/>
      <c r="C60" s="1470" t="s">
        <v>1322</v>
      </c>
      <c r="D60" s="1471"/>
      <c r="E60" s="1058"/>
      <c r="F60" s="1056">
        <v>1</v>
      </c>
      <c r="G60" s="1056">
        <v>0</v>
      </c>
      <c r="H60" s="1056">
        <v>22</v>
      </c>
      <c r="I60" s="1052">
        <v>20100</v>
      </c>
      <c r="J60" s="1056">
        <v>7000</v>
      </c>
      <c r="K60" s="1056">
        <f t="shared" si="22"/>
        <v>4924.5</v>
      </c>
      <c r="L60" s="1052">
        <f t="shared" si="23"/>
        <v>3015</v>
      </c>
      <c r="M60" s="1052">
        <f t="shared" si="24"/>
        <v>1909.5</v>
      </c>
      <c r="N60" s="1052">
        <v>0</v>
      </c>
      <c r="O60" s="1052">
        <f t="shared" si="25"/>
        <v>683.4000000000001</v>
      </c>
      <c r="P60" s="1056">
        <f t="shared" si="26"/>
        <v>20100</v>
      </c>
      <c r="Q60" s="1053">
        <v>1010</v>
      </c>
      <c r="R60" s="665">
        <v>7</v>
      </c>
      <c r="S60" s="660"/>
      <c r="T60" s="1507"/>
      <c r="U60" s="1507"/>
      <c r="V60" s="661"/>
      <c r="W60" s="661"/>
      <c r="X60" s="662"/>
      <c r="Y60" s="665">
        <v>7</v>
      </c>
      <c r="Z60" s="658"/>
      <c r="AA60" s="667"/>
      <c r="AB60" s="661"/>
      <c r="AC60" s="661"/>
      <c r="AD60" s="664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75">
      <c r="A61" s="1054">
        <v>8</v>
      </c>
      <c r="B61" s="1056"/>
      <c r="C61" s="1057"/>
      <c r="D61" s="1058"/>
      <c r="E61" s="1058"/>
      <c r="F61" s="1056"/>
      <c r="G61" s="1056"/>
      <c r="H61" s="1056"/>
      <c r="I61" s="1056"/>
      <c r="J61" s="1056"/>
      <c r="K61" s="1056"/>
      <c r="L61" s="1052"/>
      <c r="M61" s="1052"/>
      <c r="N61" s="1052"/>
      <c r="O61" s="1052"/>
      <c r="P61" s="1056"/>
      <c r="Q61" s="1053"/>
      <c r="R61" s="659">
        <v>8</v>
      </c>
      <c r="S61" s="660"/>
      <c r="T61" s="1507"/>
      <c r="U61" s="1507"/>
      <c r="V61" s="661"/>
      <c r="W61" s="661"/>
      <c r="X61" s="662"/>
      <c r="Y61" s="659">
        <v>8</v>
      </c>
      <c r="Z61" s="660"/>
      <c r="AA61" s="667"/>
      <c r="AB61" s="100"/>
      <c r="AC61" s="100"/>
      <c r="AD61" s="177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.75">
      <c r="A62" s="1054">
        <v>9</v>
      </c>
      <c r="B62" s="1056"/>
      <c r="C62" s="1057"/>
      <c r="D62" s="1058"/>
      <c r="E62" s="1058"/>
      <c r="F62" s="1056"/>
      <c r="G62" s="1056"/>
      <c r="H62" s="1056"/>
      <c r="I62" s="1056"/>
      <c r="J62" s="1056"/>
      <c r="K62" s="1056"/>
      <c r="L62" s="1056"/>
      <c r="M62" s="1056"/>
      <c r="N62" s="1056"/>
      <c r="O62" s="1056"/>
      <c r="P62" s="1056"/>
      <c r="Q62" s="1059"/>
      <c r="R62" s="659">
        <v>9</v>
      </c>
      <c r="S62" s="660"/>
      <c r="T62" s="1507"/>
      <c r="U62" s="1507"/>
      <c r="V62" s="661"/>
      <c r="W62" s="661"/>
      <c r="X62" s="662"/>
      <c r="Y62" s="659">
        <v>9</v>
      </c>
      <c r="Z62" s="660"/>
      <c r="AA62" s="667"/>
      <c r="AB62" s="100"/>
      <c r="AC62" s="100"/>
      <c r="AD62" s="177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12.75">
      <c r="A63" s="1054">
        <v>10</v>
      </c>
      <c r="B63" s="1056"/>
      <c r="C63" s="1057"/>
      <c r="D63" s="1058"/>
      <c r="E63" s="1058"/>
      <c r="F63" s="1056"/>
      <c r="G63" s="1056"/>
      <c r="H63" s="1056"/>
      <c r="I63" s="1056"/>
      <c r="J63" s="1056"/>
      <c r="K63" s="1056"/>
      <c r="L63" s="1056"/>
      <c r="M63" s="1056"/>
      <c r="N63" s="1056"/>
      <c r="O63" s="1056"/>
      <c r="P63" s="1056"/>
      <c r="Q63" s="1059"/>
      <c r="R63" s="665">
        <v>10</v>
      </c>
      <c r="S63" s="660"/>
      <c r="T63" s="1507"/>
      <c r="U63" s="1507"/>
      <c r="V63" s="661"/>
      <c r="W63" s="661"/>
      <c r="X63" s="662"/>
      <c r="Y63" s="665">
        <v>10</v>
      </c>
      <c r="Z63" s="660"/>
      <c r="AA63" s="667"/>
      <c r="AB63" s="100"/>
      <c r="AC63" s="100"/>
      <c r="AD63" s="177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2.75">
      <c r="A64" s="1054">
        <v>11</v>
      </c>
      <c r="B64" s="1056"/>
      <c r="C64" s="1057"/>
      <c r="D64" s="1058"/>
      <c r="E64" s="1058"/>
      <c r="F64" s="1056"/>
      <c r="G64" s="1056"/>
      <c r="H64" s="1056"/>
      <c r="I64" s="1056"/>
      <c r="J64" s="1056"/>
      <c r="K64" s="1056"/>
      <c r="L64" s="1056"/>
      <c r="M64" s="1056"/>
      <c r="N64" s="1056"/>
      <c r="O64" s="1056"/>
      <c r="P64" s="1056"/>
      <c r="Q64" s="1059"/>
      <c r="R64" s="665">
        <v>11</v>
      </c>
      <c r="S64" s="660"/>
      <c r="T64" s="1507"/>
      <c r="U64" s="1507"/>
      <c r="V64" s="661"/>
      <c r="W64" s="661"/>
      <c r="X64" s="662"/>
      <c r="Y64" s="665">
        <v>11</v>
      </c>
      <c r="Z64" s="101"/>
      <c r="AA64" s="667"/>
      <c r="AB64" s="100"/>
      <c r="AC64" s="100"/>
      <c r="AD64" s="177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2.75">
      <c r="A65" s="1054">
        <v>12</v>
      </c>
      <c r="B65" s="1056"/>
      <c r="C65" s="1057"/>
      <c r="D65" s="1058"/>
      <c r="E65" s="1058"/>
      <c r="F65" s="1056"/>
      <c r="G65" s="1056"/>
      <c r="H65" s="1056"/>
      <c r="I65" s="1056"/>
      <c r="J65" s="1056"/>
      <c r="K65" s="1056"/>
      <c r="L65" s="1056"/>
      <c r="M65" s="1056"/>
      <c r="N65" s="1056"/>
      <c r="O65" s="1056"/>
      <c r="P65" s="1056"/>
      <c r="Q65" s="1059"/>
      <c r="R65" s="659">
        <v>12</v>
      </c>
      <c r="S65" s="660"/>
      <c r="T65" s="1507"/>
      <c r="U65" s="1507"/>
      <c r="V65" s="661"/>
      <c r="W65" s="661"/>
      <c r="X65" s="662"/>
      <c r="Y65" s="659">
        <v>12</v>
      </c>
      <c r="Z65" s="101"/>
      <c r="AA65" s="667"/>
      <c r="AB65" s="100"/>
      <c r="AC65" s="100"/>
      <c r="AD65" s="177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ht="12.75">
      <c r="A66" s="1054">
        <v>13</v>
      </c>
      <c r="B66" s="1056"/>
      <c r="C66" s="1057"/>
      <c r="D66" s="1058"/>
      <c r="E66" s="1058"/>
      <c r="F66" s="1056"/>
      <c r="G66" s="1056"/>
      <c r="H66" s="1056"/>
      <c r="I66" s="1056"/>
      <c r="J66" s="1056"/>
      <c r="K66" s="1056"/>
      <c r="L66" s="1056"/>
      <c r="M66" s="1056"/>
      <c r="N66" s="1056"/>
      <c r="O66" s="1056"/>
      <c r="P66" s="1056"/>
      <c r="Q66" s="1059"/>
      <c r="R66" s="659">
        <v>13</v>
      </c>
      <c r="S66" s="100"/>
      <c r="T66" s="1507"/>
      <c r="U66" s="1507"/>
      <c r="V66" s="661"/>
      <c r="W66" s="661"/>
      <c r="X66" s="662"/>
      <c r="Y66" s="659">
        <v>13</v>
      </c>
      <c r="Z66" s="101"/>
      <c r="AA66" s="667"/>
      <c r="AB66" s="100"/>
      <c r="AC66" s="100"/>
      <c r="AD66" s="177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12.75">
      <c r="A67" s="1054">
        <v>14</v>
      </c>
      <c r="B67" s="1056"/>
      <c r="C67" s="1057"/>
      <c r="D67" s="1058"/>
      <c r="E67" s="1058"/>
      <c r="F67" s="1056"/>
      <c r="G67" s="1056"/>
      <c r="H67" s="1056"/>
      <c r="I67" s="1056"/>
      <c r="J67" s="1056"/>
      <c r="K67" s="1056"/>
      <c r="L67" s="1056"/>
      <c r="M67" s="1056"/>
      <c r="N67" s="1056"/>
      <c r="O67" s="1056"/>
      <c r="P67" s="1056"/>
      <c r="Q67" s="1059"/>
      <c r="R67" s="665">
        <v>14</v>
      </c>
      <c r="S67" s="100"/>
      <c r="T67" s="1507"/>
      <c r="U67" s="1507"/>
      <c r="V67" s="100"/>
      <c r="W67" s="100"/>
      <c r="X67" s="100"/>
      <c r="Y67" s="665">
        <v>14</v>
      </c>
      <c r="Z67" s="100"/>
      <c r="AA67" s="667"/>
      <c r="AB67" s="100"/>
      <c r="AC67" s="100"/>
      <c r="AD67" s="17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12.75">
      <c r="A68" s="1054">
        <v>15</v>
      </c>
      <c r="B68" s="1056"/>
      <c r="C68" s="1057"/>
      <c r="D68" s="1058"/>
      <c r="E68" s="1058"/>
      <c r="F68" s="1056"/>
      <c r="G68" s="1056"/>
      <c r="H68" s="1056"/>
      <c r="I68" s="1056"/>
      <c r="J68" s="1056"/>
      <c r="K68" s="1056"/>
      <c r="L68" s="1056"/>
      <c r="M68" s="1056"/>
      <c r="N68" s="1056"/>
      <c r="O68" s="1056"/>
      <c r="P68" s="1056"/>
      <c r="Q68" s="1059"/>
      <c r="R68" s="665">
        <v>15</v>
      </c>
      <c r="S68" s="100"/>
      <c r="T68" s="1507"/>
      <c r="U68" s="1507"/>
      <c r="V68" s="100"/>
      <c r="W68" s="100"/>
      <c r="X68" s="100"/>
      <c r="Y68" s="665">
        <v>15</v>
      </c>
      <c r="Z68" s="100"/>
      <c r="AA68" s="667"/>
      <c r="AB68" s="100"/>
      <c r="AC68" s="100"/>
      <c r="AD68" s="177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12.75">
      <c r="A69" s="1054">
        <v>16</v>
      </c>
      <c r="B69" s="1056"/>
      <c r="C69" s="1057"/>
      <c r="D69" s="1058"/>
      <c r="E69" s="1058"/>
      <c r="F69" s="1056"/>
      <c r="G69" s="1056"/>
      <c r="H69" s="1056"/>
      <c r="I69" s="1056"/>
      <c r="J69" s="1056"/>
      <c r="K69" s="1056"/>
      <c r="L69" s="1056"/>
      <c r="M69" s="1056"/>
      <c r="N69" s="1056"/>
      <c r="O69" s="1056"/>
      <c r="P69" s="1056"/>
      <c r="Q69" s="1059"/>
      <c r="R69" s="659">
        <v>16</v>
      </c>
      <c r="S69" s="100"/>
      <c r="T69" s="1507"/>
      <c r="U69" s="1507"/>
      <c r="V69" s="100"/>
      <c r="W69" s="100"/>
      <c r="X69" s="100"/>
      <c r="Y69" s="659">
        <v>16</v>
      </c>
      <c r="Z69" s="100"/>
      <c r="AA69" s="667"/>
      <c r="AB69" s="100"/>
      <c r="AC69" s="100"/>
      <c r="AD69" s="177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12.75">
      <c r="A70" s="1054">
        <v>17</v>
      </c>
      <c r="B70" s="1056"/>
      <c r="C70" s="1057"/>
      <c r="D70" s="1058"/>
      <c r="E70" s="1058"/>
      <c r="F70" s="1056"/>
      <c r="G70" s="1056"/>
      <c r="H70" s="1056"/>
      <c r="I70" s="1056"/>
      <c r="J70" s="1056"/>
      <c r="K70" s="1056"/>
      <c r="L70" s="1056"/>
      <c r="M70" s="1056"/>
      <c r="N70" s="1056"/>
      <c r="O70" s="1056"/>
      <c r="P70" s="1056"/>
      <c r="Q70" s="1059"/>
      <c r="R70" s="659">
        <v>17</v>
      </c>
      <c r="S70" s="100"/>
      <c r="T70" s="1507"/>
      <c r="U70" s="1507"/>
      <c r="V70" s="100"/>
      <c r="W70" s="100"/>
      <c r="X70" s="100"/>
      <c r="Y70" s="659">
        <v>17</v>
      </c>
      <c r="Z70" s="100"/>
      <c r="AA70" s="667"/>
      <c r="AB70" s="100"/>
      <c r="AC70" s="100"/>
      <c r="AD70" s="177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12.75">
      <c r="A71" s="1054">
        <v>18</v>
      </c>
      <c r="B71" s="1056"/>
      <c r="C71" s="1057"/>
      <c r="D71" s="1058"/>
      <c r="E71" s="1058"/>
      <c r="F71" s="1056"/>
      <c r="G71" s="1056"/>
      <c r="H71" s="1056"/>
      <c r="I71" s="1056"/>
      <c r="J71" s="1056"/>
      <c r="K71" s="1056"/>
      <c r="L71" s="1056"/>
      <c r="M71" s="1056"/>
      <c r="N71" s="1056"/>
      <c r="O71" s="1056"/>
      <c r="P71" s="1056"/>
      <c r="Q71" s="1059"/>
      <c r="R71" s="665">
        <v>18</v>
      </c>
      <c r="S71" s="100"/>
      <c r="T71" s="1507"/>
      <c r="U71" s="1507"/>
      <c r="V71" s="100"/>
      <c r="W71" s="100"/>
      <c r="X71" s="100"/>
      <c r="Y71" s="665">
        <v>18</v>
      </c>
      <c r="Z71" s="100"/>
      <c r="AA71" s="667"/>
      <c r="AB71" s="100"/>
      <c r="AC71" s="100"/>
      <c r="AD71" s="177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13.5" thickBot="1">
      <c r="A72" s="1054">
        <v>19</v>
      </c>
      <c r="B72" s="1056"/>
      <c r="C72" s="1057"/>
      <c r="D72" s="1058"/>
      <c r="E72" s="1058"/>
      <c r="F72" s="1056"/>
      <c r="G72" s="1056"/>
      <c r="H72" s="1056"/>
      <c r="I72" s="1056"/>
      <c r="J72" s="1056"/>
      <c r="K72" s="1056"/>
      <c r="L72" s="1056"/>
      <c r="M72" s="1056"/>
      <c r="N72" s="1056"/>
      <c r="O72" s="1056"/>
      <c r="P72" s="1056"/>
      <c r="Q72" s="1059"/>
      <c r="R72" s="668">
        <v>19</v>
      </c>
      <c r="S72" s="457"/>
      <c r="T72" s="1516"/>
      <c r="U72" s="1516"/>
      <c r="V72" s="457"/>
      <c r="W72" s="457"/>
      <c r="X72" s="457"/>
      <c r="Y72" s="668">
        <v>19</v>
      </c>
      <c r="Z72" s="457"/>
      <c r="AA72" s="669"/>
      <c r="AB72" s="457"/>
      <c r="AC72" s="457"/>
      <c r="AD72" s="670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13.5" thickBot="1">
      <c r="A73" s="1054">
        <v>20</v>
      </c>
      <c r="B73" s="1056"/>
      <c r="C73" s="1057"/>
      <c r="D73" s="1058"/>
      <c r="E73" s="1058"/>
      <c r="F73" s="1056"/>
      <c r="G73" s="1056"/>
      <c r="H73" s="1056"/>
      <c r="I73" s="1056"/>
      <c r="J73" s="1056"/>
      <c r="K73" s="1056"/>
      <c r="L73" s="1056"/>
      <c r="M73" s="1056"/>
      <c r="N73" s="1056"/>
      <c r="O73" s="1056"/>
      <c r="P73" s="1056"/>
      <c r="Q73" s="1059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12.75">
      <c r="A74" s="1054">
        <v>21</v>
      </c>
      <c r="B74" s="1056"/>
      <c r="C74" s="1057"/>
      <c r="D74" s="1058"/>
      <c r="E74" s="1058"/>
      <c r="F74" s="1056"/>
      <c r="G74" s="1056"/>
      <c r="H74" s="1056"/>
      <c r="I74" s="1056"/>
      <c r="J74" s="1056"/>
      <c r="K74" s="1056"/>
      <c r="L74" s="1056"/>
      <c r="M74" s="1056"/>
      <c r="N74" s="1056"/>
      <c r="O74" s="1056"/>
      <c r="P74" s="1056"/>
      <c r="Q74" s="1059"/>
      <c r="R74" s="671" t="s">
        <v>747</v>
      </c>
      <c r="S74" s="672"/>
      <c r="T74" s="672"/>
      <c r="U74" s="672"/>
      <c r="V74" s="672"/>
      <c r="W74" s="672"/>
      <c r="X74" s="673"/>
      <c r="Y74" s="674" t="s">
        <v>748</v>
      </c>
      <c r="Z74" s="675"/>
      <c r="AA74" s="675"/>
      <c r="AB74" s="675"/>
      <c r="AC74" s="675"/>
      <c r="AD74" s="676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ht="12.75">
      <c r="A75" s="1054">
        <v>22</v>
      </c>
      <c r="B75" s="1056"/>
      <c r="C75" s="1057"/>
      <c r="D75" s="1058"/>
      <c r="E75" s="1058"/>
      <c r="F75" s="1056"/>
      <c r="G75" s="1056"/>
      <c r="H75" s="1056"/>
      <c r="I75" s="1056"/>
      <c r="J75" s="1056"/>
      <c r="K75" s="1056"/>
      <c r="L75" s="1056"/>
      <c r="M75" s="1056"/>
      <c r="N75" s="1056"/>
      <c r="O75" s="1056"/>
      <c r="P75" s="1056"/>
      <c r="Q75" s="1059"/>
      <c r="R75" s="677" t="s">
        <v>749</v>
      </c>
      <c r="S75" s="678"/>
      <c r="T75" s="678"/>
      <c r="U75" s="678"/>
      <c r="V75" s="678"/>
      <c r="W75" s="678"/>
      <c r="X75" s="679"/>
      <c r="Y75" s="680" t="s">
        <v>750</v>
      </c>
      <c r="Z75" s="123"/>
      <c r="AA75" s="123"/>
      <c r="AB75" s="123"/>
      <c r="AC75" s="123"/>
      <c r="AD75" s="681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ht="12.75">
      <c r="A76" s="1054">
        <v>23</v>
      </c>
      <c r="B76" s="1056"/>
      <c r="C76" s="1057"/>
      <c r="D76" s="1058"/>
      <c r="E76" s="1058"/>
      <c r="F76" s="1056"/>
      <c r="G76" s="1056"/>
      <c r="H76" s="1056"/>
      <c r="I76" s="1056"/>
      <c r="J76" s="1056"/>
      <c r="K76" s="1056"/>
      <c r="L76" s="1056"/>
      <c r="M76" s="1056"/>
      <c r="N76" s="1056"/>
      <c r="O76" s="1056"/>
      <c r="P76" s="1056"/>
      <c r="Q76" s="1059"/>
      <c r="R76" s="677" t="s">
        <v>751</v>
      </c>
      <c r="S76" s="678"/>
      <c r="T76" s="678"/>
      <c r="U76" s="678"/>
      <c r="V76" s="678"/>
      <c r="W76" s="678"/>
      <c r="X76" s="679"/>
      <c r="Y76" s="680" t="s">
        <v>752</v>
      </c>
      <c r="Z76" s="123"/>
      <c r="AA76" s="123"/>
      <c r="AB76" s="123"/>
      <c r="AC76" s="123"/>
      <c r="AD76" s="681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ht="12.75">
      <c r="A77" s="1054">
        <v>24</v>
      </c>
      <c r="B77" s="1056"/>
      <c r="C77" s="1057"/>
      <c r="D77" s="1058"/>
      <c r="E77" s="1058"/>
      <c r="F77" s="1056"/>
      <c r="G77" s="1056"/>
      <c r="H77" s="1056"/>
      <c r="I77" s="1056"/>
      <c r="J77" s="1056"/>
      <c r="K77" s="1056"/>
      <c r="L77" s="1056"/>
      <c r="M77" s="1056"/>
      <c r="N77" s="1056"/>
      <c r="O77" s="1056"/>
      <c r="P77" s="1056"/>
      <c r="Q77" s="1059"/>
      <c r="R77" s="1510" t="s">
        <v>754</v>
      </c>
      <c r="S77" s="1511"/>
      <c r="T77" s="1511"/>
      <c r="U77" s="1511"/>
      <c r="V77" s="1511"/>
      <c r="W77" s="1511"/>
      <c r="X77" s="1512"/>
      <c r="Y77" s="680" t="s">
        <v>755</v>
      </c>
      <c r="Z77" s="123"/>
      <c r="AA77" s="123"/>
      <c r="AB77" s="123"/>
      <c r="AC77" s="123"/>
      <c r="AD77" s="681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ht="13.5" thickBot="1">
      <c r="A78" s="1054">
        <v>25</v>
      </c>
      <c r="B78" s="1060"/>
      <c r="C78" s="1061"/>
      <c r="D78" s="1062"/>
      <c r="E78" s="1062"/>
      <c r="F78" s="1060"/>
      <c r="G78" s="1060"/>
      <c r="H78" s="1060"/>
      <c r="I78" s="1060"/>
      <c r="J78" s="1060"/>
      <c r="K78" s="1060"/>
      <c r="L78" s="1060"/>
      <c r="M78" s="1060"/>
      <c r="N78" s="1060"/>
      <c r="O78" s="1060"/>
      <c r="P78" s="1060"/>
      <c r="Q78" s="1063"/>
      <c r="R78" s="1513" t="s">
        <v>757</v>
      </c>
      <c r="S78" s="1514"/>
      <c r="T78" s="1514"/>
      <c r="U78" s="1514"/>
      <c r="V78" s="1514"/>
      <c r="W78" s="1514"/>
      <c r="X78" s="1515"/>
      <c r="Y78" s="680"/>
      <c r="Z78" s="123"/>
      <c r="AA78" s="122" t="s">
        <v>758</v>
      </c>
      <c r="AB78" s="123"/>
      <c r="AC78" s="123"/>
      <c r="AD78" s="681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ht="13.5" thickBot="1">
      <c r="A79" s="1472" t="s">
        <v>753</v>
      </c>
      <c r="B79" s="1473"/>
      <c r="C79" s="1473"/>
      <c r="D79" s="1473"/>
      <c r="E79" s="1473"/>
      <c r="F79" s="1473"/>
      <c r="G79" s="1473"/>
      <c r="H79" s="1474"/>
      <c r="I79" s="1064">
        <f>SUM(I54:I78)</f>
        <v>170600</v>
      </c>
      <c r="J79" s="1064">
        <f aca="true" t="shared" si="27" ref="J79:Q79">SUM(J54:J78)</f>
        <v>144400</v>
      </c>
      <c r="K79" s="1064">
        <f t="shared" si="27"/>
        <v>41797</v>
      </c>
      <c r="L79" s="1064">
        <f t="shared" si="27"/>
        <v>25590</v>
      </c>
      <c r="M79" s="1064">
        <f t="shared" si="27"/>
        <v>16207</v>
      </c>
      <c r="N79" s="1064">
        <f t="shared" si="27"/>
        <v>0</v>
      </c>
      <c r="O79" s="1064">
        <f t="shared" si="27"/>
        <v>5800.4</v>
      </c>
      <c r="P79" s="1064">
        <f t="shared" si="27"/>
        <v>170600</v>
      </c>
      <c r="Q79" s="1064">
        <f t="shared" si="27"/>
        <v>11060</v>
      </c>
      <c r="R79" s="1510" t="s">
        <v>760</v>
      </c>
      <c r="S79" s="1511"/>
      <c r="T79" s="1511"/>
      <c r="U79" s="1511"/>
      <c r="V79" s="1511"/>
      <c r="W79" s="1511"/>
      <c r="X79" s="1512"/>
      <c r="Y79" s="680" t="s">
        <v>761</v>
      </c>
      <c r="Z79" s="123"/>
      <c r="AA79" s="123"/>
      <c r="AB79" s="123"/>
      <c r="AC79" s="123"/>
      <c r="AD79" s="681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ht="13.5" thickBot="1">
      <c r="A80" s="1475" t="s">
        <v>756</v>
      </c>
      <c r="B80" s="1476"/>
      <c r="C80" s="1476"/>
      <c r="D80" s="1476"/>
      <c r="E80" s="1476"/>
      <c r="F80" s="1476"/>
      <c r="G80" s="1476"/>
      <c r="H80" s="1477"/>
      <c r="I80" s="1065"/>
      <c r="J80" s="1066"/>
      <c r="K80" s="1066"/>
      <c r="L80" s="1066"/>
      <c r="M80" s="1066"/>
      <c r="N80" s="1066">
        <v>0</v>
      </c>
      <c r="O80" s="1066"/>
      <c r="P80" s="1066"/>
      <c r="Q80" s="1067"/>
      <c r="R80" s="1510" t="s">
        <v>762</v>
      </c>
      <c r="S80" s="1511"/>
      <c r="T80" s="1511"/>
      <c r="U80" s="1511"/>
      <c r="V80" s="1511"/>
      <c r="W80" s="1511"/>
      <c r="X80" s="1512"/>
      <c r="Y80" s="680" t="s">
        <v>763</v>
      </c>
      <c r="Z80" s="123"/>
      <c r="AA80" s="123"/>
      <c r="AB80" s="123"/>
      <c r="AC80" s="123"/>
      <c r="AD80" s="681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ht="13.5" thickBot="1">
      <c r="A81" s="1478" t="s">
        <v>759</v>
      </c>
      <c r="B81" s="1479"/>
      <c r="C81" s="1479"/>
      <c r="D81" s="1479"/>
      <c r="E81" s="1479"/>
      <c r="F81" s="1479"/>
      <c r="G81" s="1479"/>
      <c r="H81" s="1480"/>
      <c r="I81" s="1064">
        <f>SUM(I79:I80)</f>
        <v>170600</v>
      </c>
      <c r="J81" s="1064">
        <f aca="true" t="shared" si="28" ref="J81:Q81">SUM(J79:J80)</f>
        <v>144400</v>
      </c>
      <c r="K81" s="1064">
        <f t="shared" si="28"/>
        <v>41797</v>
      </c>
      <c r="L81" s="1064">
        <f t="shared" si="28"/>
        <v>25590</v>
      </c>
      <c r="M81" s="1064">
        <f t="shared" si="28"/>
        <v>16207</v>
      </c>
      <c r="N81" s="1064">
        <f t="shared" si="28"/>
        <v>0</v>
      </c>
      <c r="O81" s="1064">
        <f t="shared" si="28"/>
        <v>5800.4</v>
      </c>
      <c r="P81" s="1064">
        <f t="shared" si="28"/>
        <v>170600</v>
      </c>
      <c r="Q81" s="1064">
        <f t="shared" si="28"/>
        <v>11060</v>
      </c>
      <c r="R81" s="1510"/>
      <c r="S81" s="1511"/>
      <c r="T81" s="1511"/>
      <c r="U81" s="1511"/>
      <c r="V81" s="1511"/>
      <c r="W81" s="1511"/>
      <c r="X81" s="1512"/>
      <c r="Y81" s="680"/>
      <c r="Z81" s="123" t="s">
        <v>760</v>
      </c>
      <c r="AA81" s="123"/>
      <c r="AB81" s="123"/>
      <c r="AC81" s="123"/>
      <c r="AD81" s="6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ht="13.5" thickBot="1">
      <c r="A82" s="683"/>
      <c r="B82" s="684" t="s">
        <v>764</v>
      </c>
      <c r="C82" s="685"/>
      <c r="D82" s="685"/>
      <c r="E82" s="685"/>
      <c r="F82" s="685"/>
      <c r="G82" s="685"/>
      <c r="H82" s="1068"/>
      <c r="I82" s="686" t="s">
        <v>765</v>
      </c>
      <c r="J82" s="685"/>
      <c r="K82" s="685"/>
      <c r="L82" s="685"/>
      <c r="M82" s="685"/>
      <c r="N82" s="685"/>
      <c r="O82" s="685"/>
      <c r="P82" s="685"/>
      <c r="Q82" s="687"/>
      <c r="R82" s="1517"/>
      <c r="S82" s="1518"/>
      <c r="T82" s="1518"/>
      <c r="U82" s="1518"/>
      <c r="V82" s="1518"/>
      <c r="W82" s="1518"/>
      <c r="X82" s="1519"/>
      <c r="Y82" s="692"/>
      <c r="Z82" s="693"/>
      <c r="AA82" s="693"/>
      <c r="AB82" s="693"/>
      <c r="AC82" s="693"/>
      <c r="AD82" s="694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ht="12.75">
      <c r="A83" s="688" t="s">
        <v>1323</v>
      </c>
      <c r="B83" s="689"/>
      <c r="C83" s="689"/>
      <c r="D83" s="689"/>
      <c r="E83" s="689"/>
      <c r="F83" s="689"/>
      <c r="G83" s="689"/>
      <c r="H83" s="1069"/>
      <c r="I83" s="690" t="s">
        <v>766</v>
      </c>
      <c r="J83" s="689"/>
      <c r="K83" s="689"/>
      <c r="L83" s="689"/>
      <c r="M83" s="689"/>
      <c r="N83" s="689"/>
      <c r="O83" s="689"/>
      <c r="P83" s="689"/>
      <c r="Q83" s="691"/>
      <c r="R83" s="655"/>
      <c r="S83" s="655"/>
      <c r="T83" s="655"/>
      <c r="U83" s="655"/>
      <c r="V83" s="655"/>
      <c r="W83" s="655"/>
      <c r="X83" s="655"/>
      <c r="Y83" s="655"/>
      <c r="Z83" s="655"/>
      <c r="AA83" s="655"/>
      <c r="AB83" s="655"/>
      <c r="AC83" s="655"/>
      <c r="AD83" s="655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ht="12.75">
      <c r="A84" s="688" t="s">
        <v>1324</v>
      </c>
      <c r="B84" s="689"/>
      <c r="C84" s="689"/>
      <c r="D84" s="689"/>
      <c r="E84" s="689"/>
      <c r="F84" s="689"/>
      <c r="G84" s="689"/>
      <c r="H84" s="1069"/>
      <c r="I84" s="47" t="s">
        <v>767</v>
      </c>
      <c r="J84" s="689"/>
      <c r="K84" s="689"/>
      <c r="L84" s="689"/>
      <c r="M84" s="689"/>
      <c r="N84" s="689"/>
      <c r="O84" s="689"/>
      <c r="P84" s="689"/>
      <c r="Q84" s="691"/>
      <c r="R84" s="655"/>
      <c r="S84" s="655"/>
      <c r="T84" s="655"/>
      <c r="U84" s="655"/>
      <c r="V84" s="655"/>
      <c r="W84" s="655"/>
      <c r="X84" s="655"/>
      <c r="Y84" s="655"/>
      <c r="Z84" s="655"/>
      <c r="AA84" s="655"/>
      <c r="AB84" s="655"/>
      <c r="AC84" s="655"/>
      <c r="AD84" s="655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ht="12.75">
      <c r="A85" s="688" t="s">
        <v>1325</v>
      </c>
      <c r="B85" s="689"/>
      <c r="C85" s="1"/>
      <c r="D85" s="689"/>
      <c r="E85" s="689"/>
      <c r="F85" s="689"/>
      <c r="G85" s="689"/>
      <c r="H85" s="1069"/>
      <c r="I85" s="690" t="s">
        <v>768</v>
      </c>
      <c r="J85" s="689"/>
      <c r="K85" s="689"/>
      <c r="L85" s="689"/>
      <c r="M85" s="689"/>
      <c r="N85" s="689"/>
      <c r="O85" s="689"/>
      <c r="P85" s="689"/>
      <c r="Q85" s="691"/>
      <c r="R85" s="655"/>
      <c r="S85" s="655"/>
      <c r="T85" s="655"/>
      <c r="U85" s="655"/>
      <c r="V85" s="655"/>
      <c r="W85" s="655"/>
      <c r="X85" s="655"/>
      <c r="Y85" s="655"/>
      <c r="Z85" s="655"/>
      <c r="AA85" s="655"/>
      <c r="AB85" s="655"/>
      <c r="AC85" s="655"/>
      <c r="AD85" s="65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ht="12.75">
      <c r="A86" s="688"/>
      <c r="B86" s="689"/>
      <c r="C86" s="689"/>
      <c r="D86" s="689"/>
      <c r="E86" s="689"/>
      <c r="F86" s="689"/>
      <c r="G86" s="689"/>
      <c r="H86" s="1069"/>
      <c r="I86" s="690" t="s">
        <v>769</v>
      </c>
      <c r="J86" s="689"/>
      <c r="K86" s="689"/>
      <c r="L86" s="689"/>
      <c r="M86" s="689"/>
      <c r="N86" s="689"/>
      <c r="O86" s="689"/>
      <c r="P86" s="689"/>
      <c r="Q86" s="691"/>
      <c r="R86" s="655"/>
      <c r="S86" s="655"/>
      <c r="T86" s="655"/>
      <c r="U86" s="655"/>
      <c r="V86" s="655"/>
      <c r="W86" s="655"/>
      <c r="X86" s="655"/>
      <c r="Y86" s="655"/>
      <c r="Z86" s="655"/>
      <c r="AA86" s="655"/>
      <c r="AB86" s="655"/>
      <c r="AC86" s="655"/>
      <c r="AD86" s="655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ht="12.75">
      <c r="A87" s="688"/>
      <c r="B87" s="700" t="s">
        <v>770</v>
      </c>
      <c r="C87" s="689"/>
      <c r="D87" s="689"/>
      <c r="E87" s="689"/>
      <c r="F87" s="689"/>
      <c r="G87" s="689"/>
      <c r="H87" s="1069"/>
      <c r="I87" s="47" t="s">
        <v>771</v>
      </c>
      <c r="J87" s="689"/>
      <c r="K87" s="689"/>
      <c r="L87" s="689"/>
      <c r="M87" s="689"/>
      <c r="N87" s="689"/>
      <c r="O87" s="689"/>
      <c r="P87" s="689"/>
      <c r="Q87" s="691"/>
      <c r="R87" s="655"/>
      <c r="S87" s="655"/>
      <c r="T87" s="655"/>
      <c r="U87" s="655"/>
      <c r="V87" s="655"/>
      <c r="W87" s="655"/>
      <c r="X87" s="655"/>
      <c r="Y87" s="655"/>
      <c r="Z87" s="655"/>
      <c r="AA87" s="655"/>
      <c r="AB87" s="655"/>
      <c r="AC87" s="655"/>
      <c r="AD87" s="655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ht="12.75">
      <c r="A88" s="688"/>
      <c r="B88" s="689" t="s">
        <v>1326</v>
      </c>
      <c r="C88" s="689"/>
      <c r="D88" s="689"/>
      <c r="E88" s="689"/>
      <c r="F88" s="689"/>
      <c r="G88" s="689"/>
      <c r="H88" s="1069"/>
      <c r="I88" s="47"/>
      <c r="J88" s="689"/>
      <c r="K88" s="689"/>
      <c r="L88" s="701" t="s">
        <v>772</v>
      </c>
      <c r="M88" s="689"/>
      <c r="N88" s="689"/>
      <c r="O88" s="689"/>
      <c r="P88" s="689"/>
      <c r="Q88" s="691"/>
      <c r="R88" s="655"/>
      <c r="S88" s="655"/>
      <c r="T88" s="655"/>
      <c r="U88" s="655"/>
      <c r="V88" s="655"/>
      <c r="W88" s="655"/>
      <c r="X88" s="655"/>
      <c r="Y88" s="655"/>
      <c r="Z88" s="655"/>
      <c r="AA88" s="655"/>
      <c r="AB88" s="655"/>
      <c r="AC88" s="655"/>
      <c r="AD88" s="655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ht="12.75">
      <c r="A89" s="688"/>
      <c r="B89" s="689"/>
      <c r="C89" s="689"/>
      <c r="D89" s="689" t="s">
        <v>773</v>
      </c>
      <c r="E89" s="689"/>
      <c r="F89" s="689"/>
      <c r="G89" s="689"/>
      <c r="H89" s="1069"/>
      <c r="I89" s="690" t="s">
        <v>774</v>
      </c>
      <c r="J89" s="689"/>
      <c r="K89" s="689"/>
      <c r="L89" s="689"/>
      <c r="M89" s="689"/>
      <c r="N89" s="689"/>
      <c r="O89" s="689"/>
      <c r="P89" s="689"/>
      <c r="Q89" s="689"/>
      <c r="R89" s="655"/>
      <c r="S89" s="655"/>
      <c r="T89" s="655"/>
      <c r="U89" s="655"/>
      <c r="V89" s="655"/>
      <c r="W89" s="655"/>
      <c r="X89" s="655"/>
      <c r="Y89" s="655"/>
      <c r="Z89" s="655"/>
      <c r="AA89" s="655"/>
      <c r="AB89" s="655"/>
      <c r="AC89" s="655"/>
      <c r="AD89" s="655"/>
      <c r="AE89" s="655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ht="12.75">
      <c r="A90" s="688"/>
      <c r="B90" s="689"/>
      <c r="C90" s="689"/>
      <c r="D90" s="689"/>
      <c r="E90" s="689"/>
      <c r="F90" s="689"/>
      <c r="G90" s="689"/>
      <c r="H90" s="1069"/>
      <c r="I90" s="690"/>
      <c r="J90" s="689" t="s">
        <v>775</v>
      </c>
      <c r="K90" s="689"/>
      <c r="L90" s="689"/>
      <c r="M90" s="689"/>
      <c r="N90" s="689"/>
      <c r="O90" s="689"/>
      <c r="P90" s="689"/>
      <c r="Q90" s="689"/>
      <c r="R90" s="655"/>
      <c r="S90" s="655"/>
      <c r="T90" s="655"/>
      <c r="U90" s="655"/>
      <c r="V90" s="655"/>
      <c r="W90" s="655"/>
      <c r="X90" s="655"/>
      <c r="Y90" s="655"/>
      <c r="Z90" s="655"/>
      <c r="AA90" s="655"/>
      <c r="AB90" s="655"/>
      <c r="AC90" s="655"/>
      <c r="AD90" s="655"/>
      <c r="AE90" s="655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ht="13.5" thickBot="1">
      <c r="A91" s="702"/>
      <c r="B91" s="703"/>
      <c r="C91" s="703"/>
      <c r="D91" s="703"/>
      <c r="E91" s="703"/>
      <c r="F91" s="703"/>
      <c r="G91" s="703"/>
      <c r="H91" s="1070"/>
      <c r="I91" s="704"/>
      <c r="J91" s="705" t="s">
        <v>776</v>
      </c>
      <c r="K91" s="703"/>
      <c r="L91" s="703"/>
      <c r="M91" s="703"/>
      <c r="N91" s="703"/>
      <c r="O91" s="703"/>
      <c r="P91" s="703"/>
      <c r="Q91" s="706"/>
      <c r="R91" s="654" t="s">
        <v>724</v>
      </c>
      <c r="S91" s="654"/>
      <c r="T91" s="654"/>
      <c r="U91" s="654"/>
      <c r="V91" s="654"/>
      <c r="W91" s="654"/>
      <c r="X91" s="654"/>
      <c r="Y91" s="654"/>
      <c r="Z91" s="654"/>
      <c r="AA91" s="654"/>
      <c r="AB91" s="654"/>
      <c r="AC91" s="654"/>
      <c r="AD91" s="654"/>
      <c r="AE91" s="655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 s="654" t="s">
        <v>721</v>
      </c>
      <c r="S92" s="654"/>
      <c r="T92" s="654"/>
      <c r="U92" s="654" t="s">
        <v>722</v>
      </c>
      <c r="V92" s="654"/>
      <c r="W92" s="654"/>
      <c r="X92" s="654"/>
      <c r="Y92" s="654"/>
      <c r="Z92" s="654" t="s">
        <v>777</v>
      </c>
      <c r="AA92" s="654"/>
      <c r="AB92" s="654"/>
      <c r="AC92" s="654"/>
      <c r="AD92" s="654" t="s">
        <v>723</v>
      </c>
      <c r="AE92" s="655"/>
      <c r="AF92"/>
      <c r="AG92"/>
      <c r="AH92"/>
      <c r="AI92"/>
      <c r="AJ92"/>
      <c r="AK92"/>
      <c r="AL92"/>
      <c r="AM92"/>
      <c r="AN92"/>
      <c r="AO92"/>
      <c r="AP92"/>
      <c r="AQ92"/>
    </row>
    <row r="93" spans="1:43" ht="36.75" customHeight="1" thickBo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 s="654" t="s">
        <v>725</v>
      </c>
      <c r="S93" s="654"/>
      <c r="T93" s="654"/>
      <c r="U93" s="654"/>
      <c r="V93" s="656"/>
      <c r="W93" s="656"/>
      <c r="X93" s="656"/>
      <c r="Y93" s="656" t="s">
        <v>726</v>
      </c>
      <c r="Z93" s="656"/>
      <c r="AA93" s="656"/>
      <c r="AB93" s="654"/>
      <c r="AC93" s="657" t="s">
        <v>727</v>
      </c>
      <c r="AD93" s="657"/>
      <c r="AE93" s="655"/>
      <c r="AF93"/>
      <c r="AG93"/>
      <c r="AH93"/>
      <c r="AI93"/>
      <c r="AJ93"/>
      <c r="AK93"/>
      <c r="AL93"/>
      <c r="AM93"/>
      <c r="AN93"/>
      <c r="AO93"/>
      <c r="AP93"/>
      <c r="AQ93"/>
    </row>
    <row r="94" spans="1:43" ht="13.5" customHeight="1" thickBo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 s="1489" t="s">
        <v>733</v>
      </c>
      <c r="S94" s="1490"/>
      <c r="T94" s="1490"/>
      <c r="U94" s="1490"/>
      <c r="V94" s="1490"/>
      <c r="W94" s="1490"/>
      <c r="X94" s="1491"/>
      <c r="Y94" s="1492" t="s">
        <v>734</v>
      </c>
      <c r="Z94" s="1493"/>
      <c r="AA94" s="1493"/>
      <c r="AB94" s="1493"/>
      <c r="AC94" s="1493"/>
      <c r="AD94" s="1494"/>
      <c r="AE94" s="655"/>
      <c r="AF94"/>
      <c r="AG94"/>
      <c r="AH94"/>
      <c r="AI94"/>
      <c r="AJ94"/>
      <c r="AK94"/>
      <c r="AL94"/>
      <c r="AM94"/>
      <c r="AN94"/>
      <c r="AO94"/>
      <c r="AP94"/>
      <c r="AQ94"/>
    </row>
    <row r="95" spans="1:43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 s="1495" t="s">
        <v>1</v>
      </c>
      <c r="S95" s="1495" t="s">
        <v>741</v>
      </c>
      <c r="T95" s="1498" t="s">
        <v>742</v>
      </c>
      <c r="U95" s="1499"/>
      <c r="V95" s="1504" t="s">
        <v>743</v>
      </c>
      <c r="W95" s="1504" t="s">
        <v>744</v>
      </c>
      <c r="X95" s="1504" t="s">
        <v>745</v>
      </c>
      <c r="Y95" s="1495" t="s">
        <v>1</v>
      </c>
      <c r="Z95" s="1495" t="s">
        <v>741</v>
      </c>
      <c r="AA95" s="1498" t="s">
        <v>742</v>
      </c>
      <c r="AB95" s="1504" t="s">
        <v>743</v>
      </c>
      <c r="AC95" s="1504" t="s">
        <v>744</v>
      </c>
      <c r="AD95" s="1504" t="s">
        <v>746</v>
      </c>
      <c r="AE95" s="65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:43" ht="15">
      <c r="A96" s="1025" t="s">
        <v>133</v>
      </c>
      <c r="B96" s="1025"/>
      <c r="C96" s="1025"/>
      <c r="D96" s="1025"/>
      <c r="E96" s="1025"/>
      <c r="F96" s="1025"/>
      <c r="G96" s="1025"/>
      <c r="H96" s="1025"/>
      <c r="I96" s="1025"/>
      <c r="J96" s="1025"/>
      <c r="K96" s="1025"/>
      <c r="L96" s="1025"/>
      <c r="M96" s="1025"/>
      <c r="N96" s="1025"/>
      <c r="O96" s="1025"/>
      <c r="P96" s="1025"/>
      <c r="Q96"/>
      <c r="R96" s="1496"/>
      <c r="S96" s="1496"/>
      <c r="T96" s="1500"/>
      <c r="U96" s="1501"/>
      <c r="V96" s="1505"/>
      <c r="W96" s="1505"/>
      <c r="X96" s="1505"/>
      <c r="Y96" s="1496"/>
      <c r="Z96" s="1496"/>
      <c r="AA96" s="1500"/>
      <c r="AB96" s="1505"/>
      <c r="AC96" s="1505"/>
      <c r="AD96" s="1505"/>
      <c r="AE96" s="655"/>
      <c r="AF96"/>
      <c r="AG96"/>
      <c r="AH96"/>
      <c r="AI96"/>
      <c r="AJ96"/>
      <c r="AK96"/>
      <c r="AL96"/>
      <c r="AM96"/>
      <c r="AN96"/>
      <c r="AO96"/>
      <c r="AP96"/>
      <c r="AQ96"/>
    </row>
    <row r="97" spans="1:43" ht="15.75" thickBot="1">
      <c r="A97" s="1025" t="s">
        <v>1293</v>
      </c>
      <c r="B97" s="1025"/>
      <c r="C97" s="1025"/>
      <c r="D97"/>
      <c r="E97" s="1025" t="s">
        <v>1294</v>
      </c>
      <c r="F97" s="1025"/>
      <c r="G97" s="1025"/>
      <c r="H97" s="1025"/>
      <c r="I97" s="1025"/>
      <c r="J97" s="1025" t="s">
        <v>1328</v>
      </c>
      <c r="K97" s="1025"/>
      <c r="L97" s="1025"/>
      <c r="M97" s="1025"/>
      <c r="N97" s="1025"/>
      <c r="O97" s="1025"/>
      <c r="P97" s="1025"/>
      <c r="Q97"/>
      <c r="R97" s="1497"/>
      <c r="S97" s="1497"/>
      <c r="T97" s="1502"/>
      <c r="U97" s="1503"/>
      <c r="V97" s="1506"/>
      <c r="W97" s="1506"/>
      <c r="X97" s="1506"/>
      <c r="Y97" s="1497"/>
      <c r="Z97" s="1497"/>
      <c r="AA97" s="1502"/>
      <c r="AB97" s="1506"/>
      <c r="AC97" s="1506"/>
      <c r="AD97" s="1506"/>
      <c r="AE97" s="655"/>
      <c r="AF97"/>
      <c r="AG97"/>
      <c r="AH97"/>
      <c r="AI97"/>
      <c r="AJ97"/>
      <c r="AK97"/>
      <c r="AL97"/>
      <c r="AM97"/>
      <c r="AN97"/>
      <c r="AO97"/>
      <c r="AP97"/>
      <c r="AQ97"/>
    </row>
    <row r="98" spans="1:43" ht="16.5" thickBot="1">
      <c r="A98" s="1026" t="s">
        <v>725</v>
      </c>
      <c r="B98" s="1026"/>
      <c r="C98" s="1026"/>
      <c r="D98" s="1026"/>
      <c r="E98" s="1026"/>
      <c r="F98" s="1026" t="s">
        <v>1296</v>
      </c>
      <c r="G98" s="1026"/>
      <c r="H98" s="1026"/>
      <c r="I98" s="1026"/>
      <c r="J98" s="1026"/>
      <c r="K98" s="1026"/>
      <c r="L98" s="1026" t="s">
        <v>727</v>
      </c>
      <c r="M98" s="1026"/>
      <c r="N98" s="1026"/>
      <c r="O98" s="1026"/>
      <c r="P98" s="1026"/>
      <c r="Q98"/>
      <c r="R98" s="659">
        <v>1</v>
      </c>
      <c r="S98" s="707"/>
      <c r="T98" s="1508"/>
      <c r="U98" s="1509"/>
      <c r="V98" s="661"/>
      <c r="W98" s="661"/>
      <c r="X98" s="662"/>
      <c r="Y98" s="659">
        <v>1</v>
      </c>
      <c r="Z98" s="660"/>
      <c r="AA98" s="663"/>
      <c r="AB98" s="661"/>
      <c r="AC98" s="661"/>
      <c r="AD98" s="664"/>
      <c r="AE98" s="655"/>
      <c r="AF98"/>
      <c r="AG98"/>
      <c r="AH98"/>
      <c r="AI98"/>
      <c r="AJ98"/>
      <c r="AK98"/>
      <c r="AL98"/>
      <c r="AM98"/>
      <c r="AN98"/>
      <c r="AO98"/>
      <c r="AP98"/>
      <c r="AQ98"/>
    </row>
    <row r="99" spans="1:43" ht="12.75" customHeight="1">
      <c r="A99" s="1027" t="s">
        <v>199</v>
      </c>
      <c r="B99" s="1028" t="s">
        <v>729</v>
      </c>
      <c r="C99" s="1029"/>
      <c r="D99" s="1030"/>
      <c r="E99" s="1481" t="s">
        <v>1297</v>
      </c>
      <c r="F99" s="1028" t="s">
        <v>1298</v>
      </c>
      <c r="G99" s="1028" t="s">
        <v>1299</v>
      </c>
      <c r="H99" s="1028" t="s">
        <v>1300</v>
      </c>
      <c r="I99" s="1031" t="s">
        <v>780</v>
      </c>
      <c r="J99" s="1032"/>
      <c r="K99" s="1031" t="s">
        <v>200</v>
      </c>
      <c r="L99" s="1033"/>
      <c r="M99" s="1033"/>
      <c r="N99" s="1032"/>
      <c r="O99" s="1028" t="s">
        <v>201</v>
      </c>
      <c r="P99" s="1028" t="s">
        <v>202</v>
      </c>
      <c r="Q99" s="1034" t="s">
        <v>203</v>
      </c>
      <c r="R99" s="665">
        <v>2</v>
      </c>
      <c r="S99" s="660"/>
      <c r="T99" s="1507"/>
      <c r="U99" s="1507"/>
      <c r="V99" s="661"/>
      <c r="W99" s="661"/>
      <c r="X99" s="662"/>
      <c r="Y99" s="665">
        <v>2</v>
      </c>
      <c r="Z99" s="660"/>
      <c r="AA99" s="663"/>
      <c r="AB99" s="661"/>
      <c r="AC99" s="661"/>
      <c r="AD99" s="664"/>
      <c r="AE99" s="655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:43" ht="12.75">
      <c r="A100" s="1035"/>
      <c r="B100" s="1036" t="s">
        <v>730</v>
      </c>
      <c r="C100" s="1037" t="s">
        <v>1301</v>
      </c>
      <c r="D100" s="1038"/>
      <c r="E100" s="1482"/>
      <c r="F100" s="1036" t="s">
        <v>1302</v>
      </c>
      <c r="G100" s="1036" t="s">
        <v>1303</v>
      </c>
      <c r="H100" s="1036" t="s">
        <v>1304</v>
      </c>
      <c r="I100" s="1039" t="s">
        <v>205</v>
      </c>
      <c r="J100" s="1039" t="s">
        <v>782</v>
      </c>
      <c r="K100" s="1039"/>
      <c r="L100" s="1040" t="s">
        <v>206</v>
      </c>
      <c r="M100" s="1041"/>
      <c r="N100" s="1039" t="s">
        <v>731</v>
      </c>
      <c r="O100" s="1036" t="s">
        <v>732</v>
      </c>
      <c r="P100" s="1036" t="s">
        <v>207</v>
      </c>
      <c r="Q100" s="1042" t="s">
        <v>208</v>
      </c>
      <c r="R100" s="665">
        <v>3</v>
      </c>
      <c r="S100" s="660"/>
      <c r="T100" s="1507"/>
      <c r="U100" s="1507"/>
      <c r="V100" s="661"/>
      <c r="W100" s="661"/>
      <c r="X100" s="662"/>
      <c r="Y100" s="665">
        <v>3</v>
      </c>
      <c r="Z100" s="660"/>
      <c r="AA100" s="663"/>
      <c r="AB100" s="661"/>
      <c r="AC100" s="661"/>
      <c r="AD100" s="664"/>
      <c r="AE100" s="655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3" ht="13.5" thickBot="1">
      <c r="A101" s="1043"/>
      <c r="B101" s="1044" t="s">
        <v>735</v>
      </c>
      <c r="C101" s="1037"/>
      <c r="D101" s="1038"/>
      <c r="E101" s="1483"/>
      <c r="F101" s="1044" t="s">
        <v>1305</v>
      </c>
      <c r="G101" s="1044" t="s">
        <v>1306</v>
      </c>
      <c r="H101" s="1044" t="s">
        <v>1307</v>
      </c>
      <c r="I101" s="1044"/>
      <c r="J101" s="1044" t="s">
        <v>1308</v>
      </c>
      <c r="K101" s="1044" t="s">
        <v>1309</v>
      </c>
      <c r="L101" s="1045" t="s">
        <v>736</v>
      </c>
      <c r="M101" s="1045" t="s">
        <v>737</v>
      </c>
      <c r="N101" s="1044" t="s">
        <v>738</v>
      </c>
      <c r="O101" s="1044" t="s">
        <v>739</v>
      </c>
      <c r="P101" s="1044" t="s">
        <v>740</v>
      </c>
      <c r="Q101" s="1046" t="s">
        <v>1310</v>
      </c>
      <c r="R101" s="659">
        <v>4</v>
      </c>
      <c r="S101" s="660"/>
      <c r="T101" s="1507"/>
      <c r="U101" s="1507"/>
      <c r="V101" s="661"/>
      <c r="W101" s="661"/>
      <c r="X101" s="662"/>
      <c r="Y101" s="665">
        <v>4</v>
      </c>
      <c r="Z101" s="660"/>
      <c r="AA101" s="663"/>
      <c r="AB101" s="661"/>
      <c r="AC101" s="661"/>
      <c r="AD101" s="664"/>
      <c r="AE101" s="655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:43" ht="12.75">
      <c r="A102" s="1047">
        <v>1</v>
      </c>
      <c r="B102" s="1048" t="s">
        <v>1311</v>
      </c>
      <c r="C102" s="1470" t="s">
        <v>1270</v>
      </c>
      <c r="D102" s="1471"/>
      <c r="E102" s="1050" t="s">
        <v>1312</v>
      </c>
      <c r="F102" s="1051">
        <v>1</v>
      </c>
      <c r="G102" s="1052">
        <v>0</v>
      </c>
      <c r="H102" s="1052">
        <v>22</v>
      </c>
      <c r="I102" s="1052">
        <v>50000</v>
      </c>
      <c r="J102" s="1052">
        <v>50000</v>
      </c>
      <c r="K102" s="1052">
        <f aca="true" t="shared" si="29" ref="K102:K108">L102+M102</f>
        <v>12250</v>
      </c>
      <c r="L102" s="1052">
        <f aca="true" t="shared" si="30" ref="L102:L108">I102*0.15</f>
        <v>7500</v>
      </c>
      <c r="M102" s="1052">
        <f aca="true" t="shared" si="31" ref="M102:M108">I102*0.095</f>
        <v>4750</v>
      </c>
      <c r="N102" s="1052">
        <v>0</v>
      </c>
      <c r="O102" s="1052">
        <f aca="true" t="shared" si="32" ref="O102:O108">I102*0.034</f>
        <v>1700.0000000000002</v>
      </c>
      <c r="P102" s="1052">
        <f aca="true" t="shared" si="33" ref="P102:P108">I102</f>
        <v>50000</v>
      </c>
      <c r="Q102" s="1053">
        <v>5000</v>
      </c>
      <c r="R102" s="659">
        <v>5</v>
      </c>
      <c r="S102" s="660"/>
      <c r="T102" s="1507"/>
      <c r="U102" s="1507"/>
      <c r="V102" s="661"/>
      <c r="W102" s="661"/>
      <c r="X102" s="662"/>
      <c r="Y102" s="665">
        <v>5</v>
      </c>
      <c r="Z102" s="658"/>
      <c r="AA102" s="667"/>
      <c r="AB102" s="661"/>
      <c r="AC102" s="661"/>
      <c r="AD102" s="664"/>
      <c r="AE102" s="655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:43" ht="12.75">
      <c r="A103" s="1054">
        <v>2</v>
      </c>
      <c r="B103" s="1056"/>
      <c r="C103" s="1470" t="s">
        <v>1316</v>
      </c>
      <c r="D103" s="1471"/>
      <c r="E103" s="1049" t="s">
        <v>1317</v>
      </c>
      <c r="F103" s="1056">
        <v>1</v>
      </c>
      <c r="G103" s="1056">
        <v>0</v>
      </c>
      <c r="H103" s="1056">
        <v>22</v>
      </c>
      <c r="I103" s="1052">
        <v>20100</v>
      </c>
      <c r="J103" s="1052">
        <v>20100</v>
      </c>
      <c r="K103" s="1056">
        <f t="shared" si="29"/>
        <v>4924.5</v>
      </c>
      <c r="L103" s="1052">
        <f t="shared" si="30"/>
        <v>3015</v>
      </c>
      <c r="M103" s="1052">
        <f t="shared" si="31"/>
        <v>1909.5</v>
      </c>
      <c r="N103" s="1056">
        <v>0</v>
      </c>
      <c r="O103" s="1052">
        <f t="shared" si="32"/>
        <v>683.4000000000001</v>
      </c>
      <c r="P103" s="1056">
        <f t="shared" si="33"/>
        <v>20100</v>
      </c>
      <c r="Q103" s="1053">
        <v>1010</v>
      </c>
      <c r="R103" s="665">
        <v>6</v>
      </c>
      <c r="S103" s="660"/>
      <c r="T103" s="1507"/>
      <c r="U103" s="1507"/>
      <c r="V103" s="661"/>
      <c r="W103" s="661"/>
      <c r="X103" s="662"/>
      <c r="Y103" s="665">
        <v>6</v>
      </c>
      <c r="Z103" s="658"/>
      <c r="AA103" s="667"/>
      <c r="AB103" s="661"/>
      <c r="AC103" s="661"/>
      <c r="AD103" s="664"/>
      <c r="AE103" s="655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:43" ht="12.75">
      <c r="A104" s="1054">
        <v>3</v>
      </c>
      <c r="B104" s="1056"/>
      <c r="C104" s="1470" t="s">
        <v>1318</v>
      </c>
      <c r="D104" s="1471"/>
      <c r="E104" s="1049" t="s">
        <v>1317</v>
      </c>
      <c r="F104" s="1056">
        <v>1</v>
      </c>
      <c r="G104" s="1056">
        <v>0</v>
      </c>
      <c r="H104" s="1056">
        <v>22</v>
      </c>
      <c r="I104" s="1052">
        <v>20100</v>
      </c>
      <c r="J104" s="1052">
        <v>20100</v>
      </c>
      <c r="K104" s="1056">
        <f t="shared" si="29"/>
        <v>4924.5</v>
      </c>
      <c r="L104" s="1052">
        <f t="shared" si="30"/>
        <v>3015</v>
      </c>
      <c r="M104" s="1052">
        <f t="shared" si="31"/>
        <v>1909.5</v>
      </c>
      <c r="N104" s="1052">
        <v>0</v>
      </c>
      <c r="O104" s="1052">
        <f t="shared" si="32"/>
        <v>683.4000000000001</v>
      </c>
      <c r="P104" s="1056">
        <f t="shared" si="33"/>
        <v>20100</v>
      </c>
      <c r="Q104" s="1053">
        <v>1010</v>
      </c>
      <c r="R104" s="665">
        <v>7</v>
      </c>
      <c r="S104" s="660"/>
      <c r="T104" s="1507"/>
      <c r="U104" s="1507"/>
      <c r="V104" s="661"/>
      <c r="W104" s="661"/>
      <c r="X104" s="662"/>
      <c r="Y104" s="665">
        <v>7</v>
      </c>
      <c r="Z104" s="658"/>
      <c r="AA104" s="667"/>
      <c r="AB104" s="661"/>
      <c r="AC104" s="661"/>
      <c r="AD104" s="664"/>
      <c r="AE104" s="655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:43" ht="12.75">
      <c r="A105" s="1054">
        <v>4</v>
      </c>
      <c r="B105" s="1056"/>
      <c r="C105" s="1470" t="s">
        <v>1319</v>
      </c>
      <c r="D105" s="1471"/>
      <c r="E105" s="1049" t="s">
        <v>1317</v>
      </c>
      <c r="F105" s="1056">
        <v>1</v>
      </c>
      <c r="G105" s="1056">
        <v>0</v>
      </c>
      <c r="H105" s="1056">
        <v>22</v>
      </c>
      <c r="I105" s="1052">
        <v>20100</v>
      </c>
      <c r="J105" s="1052">
        <v>20100</v>
      </c>
      <c r="K105" s="1056">
        <f t="shared" si="29"/>
        <v>4924.5</v>
      </c>
      <c r="L105" s="1052">
        <f t="shared" si="30"/>
        <v>3015</v>
      </c>
      <c r="M105" s="1052">
        <f t="shared" si="31"/>
        <v>1909.5</v>
      </c>
      <c r="N105" s="1056">
        <v>0</v>
      </c>
      <c r="O105" s="1052">
        <f t="shared" si="32"/>
        <v>683.4000000000001</v>
      </c>
      <c r="P105" s="1056">
        <f t="shared" si="33"/>
        <v>20100</v>
      </c>
      <c r="Q105" s="1053">
        <v>1010</v>
      </c>
      <c r="R105" s="659">
        <v>8</v>
      </c>
      <c r="S105" s="660"/>
      <c r="T105" s="1507"/>
      <c r="U105" s="1507"/>
      <c r="V105" s="661"/>
      <c r="W105" s="661"/>
      <c r="X105" s="662"/>
      <c r="Y105" s="665">
        <v>8</v>
      </c>
      <c r="Z105" s="660"/>
      <c r="AA105" s="667"/>
      <c r="AB105" s="661"/>
      <c r="AC105" s="661"/>
      <c r="AD105" s="664"/>
      <c r="AE105" s="65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:43" ht="12.75">
      <c r="A106" s="1054">
        <v>5</v>
      </c>
      <c r="B106" s="1056"/>
      <c r="C106" s="1470" t="s">
        <v>1320</v>
      </c>
      <c r="D106" s="1471"/>
      <c r="E106" s="1049" t="s">
        <v>1317</v>
      </c>
      <c r="F106" s="1056">
        <v>1</v>
      </c>
      <c r="G106" s="1056">
        <v>0</v>
      </c>
      <c r="H106" s="1056">
        <v>22</v>
      </c>
      <c r="I106" s="1052">
        <v>20100</v>
      </c>
      <c r="J106" s="1052">
        <v>20100</v>
      </c>
      <c r="K106" s="1056">
        <f t="shared" si="29"/>
        <v>4924.5</v>
      </c>
      <c r="L106" s="1052">
        <f t="shared" si="30"/>
        <v>3015</v>
      </c>
      <c r="M106" s="1052">
        <f t="shared" si="31"/>
        <v>1909.5</v>
      </c>
      <c r="N106" s="1052">
        <v>0</v>
      </c>
      <c r="O106" s="1052">
        <f t="shared" si="32"/>
        <v>683.4000000000001</v>
      </c>
      <c r="P106" s="1056">
        <f t="shared" si="33"/>
        <v>20100</v>
      </c>
      <c r="Q106" s="1053">
        <v>1010</v>
      </c>
      <c r="R106" s="659">
        <v>9</v>
      </c>
      <c r="S106" s="660"/>
      <c r="T106" s="1507"/>
      <c r="U106" s="1507"/>
      <c r="V106" s="661"/>
      <c r="W106" s="661"/>
      <c r="X106" s="662"/>
      <c r="Y106" s="665">
        <v>9</v>
      </c>
      <c r="Z106" s="660"/>
      <c r="AA106" s="667"/>
      <c r="AB106" s="661"/>
      <c r="AC106" s="661"/>
      <c r="AD106" s="664"/>
      <c r="AE106" s="655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:43" ht="12.75">
      <c r="A107" s="1054">
        <v>6</v>
      </c>
      <c r="B107" s="1056"/>
      <c r="C107" s="1470" t="s">
        <v>1321</v>
      </c>
      <c r="D107" s="1471"/>
      <c r="E107" s="1049"/>
      <c r="F107" s="1056">
        <v>1</v>
      </c>
      <c r="G107" s="1056">
        <v>0</v>
      </c>
      <c r="H107" s="1056">
        <v>22</v>
      </c>
      <c r="I107" s="1052">
        <v>20100</v>
      </c>
      <c r="J107" s="1052">
        <v>20100</v>
      </c>
      <c r="K107" s="1056">
        <f t="shared" si="29"/>
        <v>4924.5</v>
      </c>
      <c r="L107" s="1052">
        <f t="shared" si="30"/>
        <v>3015</v>
      </c>
      <c r="M107" s="1052">
        <f t="shared" si="31"/>
        <v>1909.5</v>
      </c>
      <c r="N107" s="1056">
        <v>0</v>
      </c>
      <c r="O107" s="1052">
        <f t="shared" si="32"/>
        <v>683.4000000000001</v>
      </c>
      <c r="P107" s="1056">
        <f t="shared" si="33"/>
        <v>20100</v>
      </c>
      <c r="Q107" s="1053">
        <v>1010</v>
      </c>
      <c r="R107" s="665">
        <v>10</v>
      </c>
      <c r="S107" s="660"/>
      <c r="T107" s="1507"/>
      <c r="U107" s="1507"/>
      <c r="V107" s="661"/>
      <c r="W107" s="661"/>
      <c r="X107" s="662"/>
      <c r="Y107" s="665">
        <v>10</v>
      </c>
      <c r="Z107" s="660"/>
      <c r="AA107" s="667"/>
      <c r="AB107" s="661"/>
      <c r="AC107" s="661"/>
      <c r="AD107" s="664"/>
      <c r="AE107" s="655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:43" ht="12.75">
      <c r="A108" s="1054">
        <v>7</v>
      </c>
      <c r="B108" s="1056"/>
      <c r="C108" s="1470" t="s">
        <v>1322</v>
      </c>
      <c r="D108" s="1471"/>
      <c r="E108" s="1058"/>
      <c r="F108" s="1056">
        <v>1</v>
      </c>
      <c r="G108" s="1056">
        <v>0</v>
      </c>
      <c r="H108" s="1056">
        <v>22</v>
      </c>
      <c r="I108" s="1052">
        <v>20100</v>
      </c>
      <c r="J108" s="1052">
        <v>20100</v>
      </c>
      <c r="K108" s="1056">
        <f t="shared" si="29"/>
        <v>4924.5</v>
      </c>
      <c r="L108" s="1052">
        <f t="shared" si="30"/>
        <v>3015</v>
      </c>
      <c r="M108" s="1052">
        <f t="shared" si="31"/>
        <v>1909.5</v>
      </c>
      <c r="N108" s="1052">
        <v>0</v>
      </c>
      <c r="O108" s="1052">
        <f t="shared" si="32"/>
        <v>683.4000000000001</v>
      </c>
      <c r="P108" s="1056">
        <f t="shared" si="33"/>
        <v>20100</v>
      </c>
      <c r="Q108" s="1053">
        <v>1010</v>
      </c>
      <c r="R108" s="665">
        <v>11</v>
      </c>
      <c r="S108" s="660"/>
      <c r="T108" s="1507"/>
      <c r="U108" s="1507"/>
      <c r="V108" s="661"/>
      <c r="W108" s="661"/>
      <c r="X108" s="662"/>
      <c r="Y108" s="665">
        <v>11</v>
      </c>
      <c r="Z108" s="100"/>
      <c r="AA108" s="667"/>
      <c r="AB108" s="100"/>
      <c r="AC108" s="100"/>
      <c r="AD108" s="177"/>
      <c r="AE108" s="655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:43" ht="12.75">
      <c r="A109" s="1054">
        <v>8</v>
      </c>
      <c r="B109" s="1056"/>
      <c r="C109" s="1057"/>
      <c r="D109" s="1058"/>
      <c r="E109" s="1058"/>
      <c r="F109" s="1056"/>
      <c r="G109" s="1056"/>
      <c r="H109" s="1056"/>
      <c r="I109" s="1056"/>
      <c r="J109" s="1056"/>
      <c r="K109" s="1056"/>
      <c r="L109" s="1052"/>
      <c r="M109" s="1052"/>
      <c r="N109" s="1052"/>
      <c r="O109" s="1052"/>
      <c r="P109" s="1056"/>
      <c r="Q109" s="1053"/>
      <c r="R109" s="659">
        <v>12</v>
      </c>
      <c r="S109" s="660"/>
      <c r="T109" s="1507"/>
      <c r="U109" s="1507"/>
      <c r="V109" s="661"/>
      <c r="W109" s="661"/>
      <c r="X109" s="662"/>
      <c r="Y109" s="659">
        <v>12</v>
      </c>
      <c r="Z109" s="100"/>
      <c r="AA109" s="667"/>
      <c r="AB109" s="100"/>
      <c r="AC109" s="100"/>
      <c r="AD109" s="177"/>
      <c r="AE109" s="655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:43" ht="12.75">
      <c r="A110" s="1054">
        <v>9</v>
      </c>
      <c r="B110" s="1056"/>
      <c r="C110" s="1057"/>
      <c r="D110" s="1058"/>
      <c r="E110" s="1058"/>
      <c r="F110" s="1056"/>
      <c r="G110" s="1056"/>
      <c r="H110" s="1056"/>
      <c r="I110" s="1056"/>
      <c r="J110" s="1056"/>
      <c r="K110" s="1056"/>
      <c r="L110" s="1056"/>
      <c r="M110" s="1056"/>
      <c r="N110" s="1056"/>
      <c r="O110" s="1056"/>
      <c r="P110" s="1056"/>
      <c r="Q110" s="1059"/>
      <c r="R110" s="659">
        <v>13</v>
      </c>
      <c r="S110" s="100"/>
      <c r="T110" s="1507"/>
      <c r="U110" s="1507"/>
      <c r="V110" s="661"/>
      <c r="W110" s="661"/>
      <c r="X110" s="662"/>
      <c r="Y110" s="659">
        <v>13</v>
      </c>
      <c r="Z110" s="100"/>
      <c r="AA110" s="667"/>
      <c r="AB110" s="100"/>
      <c r="AC110" s="100"/>
      <c r="AD110" s="177"/>
      <c r="AE110" s="655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:43" ht="12.75">
      <c r="A111" s="1054">
        <v>10</v>
      </c>
      <c r="B111" s="1056"/>
      <c r="C111" s="1057"/>
      <c r="D111" s="1058"/>
      <c r="E111" s="1058"/>
      <c r="F111" s="1056"/>
      <c r="G111" s="1056"/>
      <c r="H111" s="1056"/>
      <c r="I111" s="1056"/>
      <c r="J111" s="1056"/>
      <c r="K111" s="1056"/>
      <c r="L111" s="1056"/>
      <c r="M111" s="1056"/>
      <c r="N111" s="1056"/>
      <c r="O111" s="1056"/>
      <c r="P111" s="1056"/>
      <c r="Q111" s="1059"/>
      <c r="R111" s="665">
        <v>14</v>
      </c>
      <c r="S111" s="100"/>
      <c r="T111" s="1507"/>
      <c r="U111" s="1507"/>
      <c r="V111" s="100"/>
      <c r="W111" s="100"/>
      <c r="X111" s="100"/>
      <c r="Y111" s="665">
        <v>14</v>
      </c>
      <c r="Z111" s="100"/>
      <c r="AA111" s="667"/>
      <c r="AB111" s="100"/>
      <c r="AC111" s="100"/>
      <c r="AD111" s="177"/>
      <c r="AE111" s="655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:43" ht="12.75">
      <c r="A112" s="1054">
        <v>11</v>
      </c>
      <c r="B112" s="1056"/>
      <c r="C112" s="1057"/>
      <c r="D112" s="1058"/>
      <c r="E112" s="1058"/>
      <c r="F112" s="1056"/>
      <c r="G112" s="1056"/>
      <c r="H112" s="1056"/>
      <c r="I112" s="1056"/>
      <c r="J112" s="1056"/>
      <c r="K112" s="1056"/>
      <c r="L112" s="1056"/>
      <c r="M112" s="1056"/>
      <c r="N112" s="1056"/>
      <c r="O112" s="1056"/>
      <c r="P112" s="1056"/>
      <c r="Q112" s="1059"/>
      <c r="R112" s="665">
        <v>15</v>
      </c>
      <c r="S112" s="100"/>
      <c r="T112" s="1507"/>
      <c r="U112" s="1507"/>
      <c r="V112" s="100"/>
      <c r="W112" s="100"/>
      <c r="X112" s="100"/>
      <c r="Y112" s="665">
        <v>15</v>
      </c>
      <c r="Z112" s="100"/>
      <c r="AA112" s="667"/>
      <c r="AB112" s="100"/>
      <c r="AC112" s="100"/>
      <c r="AD112" s="177"/>
      <c r="AE112" s="655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:43" ht="12.75">
      <c r="A113" s="1054">
        <v>12</v>
      </c>
      <c r="B113" s="1056"/>
      <c r="C113" s="1057"/>
      <c r="D113" s="1058"/>
      <c r="E113" s="1058"/>
      <c r="F113" s="1056"/>
      <c r="G113" s="1056"/>
      <c r="H113" s="1056"/>
      <c r="I113" s="1056"/>
      <c r="J113" s="1056"/>
      <c r="K113" s="1056"/>
      <c r="L113" s="1056"/>
      <c r="M113" s="1056"/>
      <c r="N113" s="1056"/>
      <c r="O113" s="1056"/>
      <c r="P113" s="1056"/>
      <c r="Q113" s="1059"/>
      <c r="R113" s="659">
        <v>16</v>
      </c>
      <c r="S113" s="100"/>
      <c r="T113" s="1507"/>
      <c r="U113" s="1507"/>
      <c r="V113" s="100"/>
      <c r="W113" s="100"/>
      <c r="X113" s="100"/>
      <c r="Y113" s="659">
        <v>16</v>
      </c>
      <c r="Z113" s="100"/>
      <c r="AA113" s="667"/>
      <c r="AB113" s="100"/>
      <c r="AC113" s="100"/>
      <c r="AD113" s="177"/>
      <c r="AE113" s="655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:43" ht="12.75">
      <c r="A114" s="1054">
        <v>13</v>
      </c>
      <c r="B114" s="1056"/>
      <c r="C114" s="1057"/>
      <c r="D114" s="1058"/>
      <c r="E114" s="1058"/>
      <c r="F114" s="1056"/>
      <c r="G114" s="1056"/>
      <c r="H114" s="1056"/>
      <c r="I114" s="1056"/>
      <c r="J114" s="1056"/>
      <c r="K114" s="1056"/>
      <c r="L114" s="1056"/>
      <c r="M114" s="1056"/>
      <c r="N114" s="1056"/>
      <c r="O114" s="1056"/>
      <c r="P114" s="1056"/>
      <c r="Q114" s="1059"/>
      <c r="R114" s="659">
        <v>17</v>
      </c>
      <c r="S114" s="100"/>
      <c r="T114" s="1507"/>
      <c r="U114" s="1507"/>
      <c r="V114" s="100"/>
      <c r="W114" s="100"/>
      <c r="X114" s="100"/>
      <c r="Y114" s="659">
        <v>17</v>
      </c>
      <c r="Z114" s="100"/>
      <c r="AA114" s="667"/>
      <c r="AB114" s="100"/>
      <c r="AC114" s="100"/>
      <c r="AD114" s="177"/>
      <c r="AE114" s="655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:43" ht="12.75">
      <c r="A115" s="1054">
        <v>14</v>
      </c>
      <c r="B115" s="1056"/>
      <c r="C115" s="1057"/>
      <c r="D115" s="1058"/>
      <c r="E115" s="1058"/>
      <c r="F115" s="1056"/>
      <c r="G115" s="1056"/>
      <c r="H115" s="1056"/>
      <c r="I115" s="1056"/>
      <c r="J115" s="1056"/>
      <c r="K115" s="1056"/>
      <c r="L115" s="1056"/>
      <c r="M115" s="1056"/>
      <c r="N115" s="1056"/>
      <c r="O115" s="1056"/>
      <c r="P115" s="1056"/>
      <c r="Q115" s="1059"/>
      <c r="R115" s="665">
        <v>18</v>
      </c>
      <c r="S115" s="100"/>
      <c r="T115" s="1507"/>
      <c r="U115" s="1507"/>
      <c r="V115" s="100"/>
      <c r="W115" s="100"/>
      <c r="X115" s="100"/>
      <c r="Y115" s="665">
        <v>18</v>
      </c>
      <c r="Z115" s="100"/>
      <c r="AA115" s="667"/>
      <c r="AB115" s="100"/>
      <c r="AC115" s="100"/>
      <c r="AD115" s="177"/>
      <c r="AE115" s="65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:43" ht="13.5" thickBot="1">
      <c r="A116" s="1054">
        <v>15</v>
      </c>
      <c r="B116" s="1056"/>
      <c r="C116" s="1057"/>
      <c r="D116" s="1058"/>
      <c r="E116" s="1058"/>
      <c r="F116" s="1056"/>
      <c r="G116" s="1056"/>
      <c r="H116" s="1056"/>
      <c r="I116" s="1056"/>
      <c r="J116" s="1056"/>
      <c r="K116" s="1056"/>
      <c r="L116" s="1056"/>
      <c r="M116" s="1056"/>
      <c r="N116" s="1056"/>
      <c r="O116" s="1056"/>
      <c r="P116" s="1056"/>
      <c r="Q116" s="1059"/>
      <c r="R116" s="668">
        <v>19</v>
      </c>
      <c r="S116" s="457"/>
      <c r="T116" s="1516"/>
      <c r="U116" s="1516"/>
      <c r="V116" s="457"/>
      <c r="W116" s="457"/>
      <c r="X116" s="457"/>
      <c r="Y116" s="668">
        <v>19</v>
      </c>
      <c r="Z116" s="457"/>
      <c r="AA116" s="669"/>
      <c r="AB116" s="457"/>
      <c r="AC116" s="457"/>
      <c r="AD116" s="670"/>
      <c r="AE116" s="655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:43" ht="13.5" thickBot="1">
      <c r="A117" s="1054">
        <v>16</v>
      </c>
      <c r="B117" s="1056"/>
      <c r="C117" s="1057"/>
      <c r="D117" s="1058"/>
      <c r="E117" s="1058"/>
      <c r="F117" s="1056"/>
      <c r="G117" s="1056"/>
      <c r="H117" s="1056"/>
      <c r="I117" s="1056"/>
      <c r="J117" s="1056"/>
      <c r="K117" s="1056"/>
      <c r="L117" s="1056"/>
      <c r="M117" s="1056"/>
      <c r="N117" s="1056"/>
      <c r="O117" s="1056"/>
      <c r="P117" s="1056"/>
      <c r="Q117" s="1059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655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:43" ht="12.75">
      <c r="A118" s="1054">
        <v>17</v>
      </c>
      <c r="B118" s="1056"/>
      <c r="C118" s="1057"/>
      <c r="D118" s="1058"/>
      <c r="E118" s="1058"/>
      <c r="F118" s="1056"/>
      <c r="G118" s="1056"/>
      <c r="H118" s="1056"/>
      <c r="I118" s="1056"/>
      <c r="J118" s="1056"/>
      <c r="K118" s="1056"/>
      <c r="L118" s="1056"/>
      <c r="M118" s="1056"/>
      <c r="N118" s="1056"/>
      <c r="O118" s="1056"/>
      <c r="P118" s="1056"/>
      <c r="Q118" s="1059"/>
      <c r="R118" s="671" t="s">
        <v>747</v>
      </c>
      <c r="S118" s="672"/>
      <c r="T118" s="672"/>
      <c r="U118" s="672"/>
      <c r="V118" s="672"/>
      <c r="W118" s="672"/>
      <c r="X118" s="673"/>
      <c r="Y118" s="674" t="s">
        <v>748</v>
      </c>
      <c r="Z118" s="675"/>
      <c r="AA118" s="675"/>
      <c r="AB118" s="675"/>
      <c r="AC118" s="675"/>
      <c r="AD118" s="676"/>
      <c r="AE118" s="655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:43" ht="12.75">
      <c r="A119" s="1054">
        <v>18</v>
      </c>
      <c r="B119" s="1056"/>
      <c r="C119" s="1057"/>
      <c r="D119" s="1058"/>
      <c r="E119" s="1058"/>
      <c r="F119" s="1056"/>
      <c r="G119" s="1056"/>
      <c r="H119" s="1056"/>
      <c r="I119" s="1056"/>
      <c r="J119" s="1056"/>
      <c r="K119" s="1056"/>
      <c r="L119" s="1056"/>
      <c r="M119" s="1056"/>
      <c r="N119" s="1056"/>
      <c r="O119" s="1056"/>
      <c r="P119" s="1056"/>
      <c r="Q119" s="1059"/>
      <c r="R119" s="677" t="s">
        <v>749</v>
      </c>
      <c r="S119" s="678"/>
      <c r="T119" s="678"/>
      <c r="U119" s="678"/>
      <c r="V119" s="678"/>
      <c r="W119" s="678"/>
      <c r="X119" s="679"/>
      <c r="Y119" s="680" t="s">
        <v>750</v>
      </c>
      <c r="Z119" s="123"/>
      <c r="AA119" s="123"/>
      <c r="AB119" s="123"/>
      <c r="AC119" s="123"/>
      <c r="AD119" s="681"/>
      <c r="AE119" s="655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:43" ht="12.75">
      <c r="A120" s="1054">
        <v>19</v>
      </c>
      <c r="B120" s="1056"/>
      <c r="C120" s="1057"/>
      <c r="D120" s="1058"/>
      <c r="E120" s="1058"/>
      <c r="F120" s="1056"/>
      <c r="G120" s="1056"/>
      <c r="H120" s="1056"/>
      <c r="I120" s="1056"/>
      <c r="J120" s="1056"/>
      <c r="K120" s="1056"/>
      <c r="L120" s="1056"/>
      <c r="M120" s="1056"/>
      <c r="N120" s="1056"/>
      <c r="O120" s="1056"/>
      <c r="P120" s="1056"/>
      <c r="Q120" s="1059"/>
      <c r="R120" s="677" t="s">
        <v>751</v>
      </c>
      <c r="S120" s="678"/>
      <c r="T120" s="678"/>
      <c r="U120" s="678"/>
      <c r="V120" s="678"/>
      <c r="W120" s="678"/>
      <c r="X120" s="679"/>
      <c r="Y120" s="680" t="s">
        <v>752</v>
      </c>
      <c r="Z120" s="123"/>
      <c r="AA120" s="123"/>
      <c r="AB120" s="123"/>
      <c r="AC120" s="123"/>
      <c r="AD120" s="681"/>
      <c r="AE120" s="655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:43" ht="12.75">
      <c r="A121" s="1054">
        <v>20</v>
      </c>
      <c r="B121" s="1056"/>
      <c r="C121" s="1057"/>
      <c r="D121" s="1058"/>
      <c r="E121" s="1058"/>
      <c r="F121" s="1056"/>
      <c r="G121" s="1056"/>
      <c r="H121" s="1056"/>
      <c r="I121" s="1056"/>
      <c r="J121" s="1056"/>
      <c r="K121" s="1056"/>
      <c r="L121" s="1056"/>
      <c r="M121" s="1056"/>
      <c r="N121" s="1056"/>
      <c r="O121" s="1056"/>
      <c r="P121" s="1056"/>
      <c r="Q121" s="1059"/>
      <c r="R121" s="1510" t="s">
        <v>754</v>
      </c>
      <c r="S121" s="1511"/>
      <c r="T121" s="1511"/>
      <c r="U121" s="1511"/>
      <c r="V121" s="1511"/>
      <c r="W121" s="1511"/>
      <c r="X121" s="1512"/>
      <c r="Y121" s="680" t="s">
        <v>755</v>
      </c>
      <c r="Z121" s="123"/>
      <c r="AA121" s="123"/>
      <c r="AB121" s="123"/>
      <c r="AC121" s="123"/>
      <c r="AD121" s="681"/>
      <c r="AE121" s="655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:43" ht="12.75">
      <c r="A122" s="1054">
        <v>21</v>
      </c>
      <c r="B122" s="1056"/>
      <c r="C122" s="1057"/>
      <c r="D122" s="1058"/>
      <c r="E122" s="1058"/>
      <c r="F122" s="1056"/>
      <c r="G122" s="1056"/>
      <c r="H122" s="1056"/>
      <c r="I122" s="1056"/>
      <c r="J122" s="1056"/>
      <c r="K122" s="1056"/>
      <c r="L122" s="1056"/>
      <c r="M122" s="1056"/>
      <c r="N122" s="1056"/>
      <c r="O122" s="1056"/>
      <c r="P122" s="1056"/>
      <c r="Q122" s="1059"/>
      <c r="R122" s="1513" t="s">
        <v>757</v>
      </c>
      <c r="S122" s="1514"/>
      <c r="T122" s="1514"/>
      <c r="U122" s="1514"/>
      <c r="V122" s="1514"/>
      <c r="W122" s="1514"/>
      <c r="X122" s="1515"/>
      <c r="Y122" s="680"/>
      <c r="Z122" s="123"/>
      <c r="AA122" s="122" t="s">
        <v>758</v>
      </c>
      <c r="AB122" s="123"/>
      <c r="AC122" s="123"/>
      <c r="AD122" s="681"/>
      <c r="AE122" s="655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:43" ht="12.75">
      <c r="A123" s="1054">
        <v>22</v>
      </c>
      <c r="B123" s="1056"/>
      <c r="C123" s="1057"/>
      <c r="D123" s="1058"/>
      <c r="E123" s="1058"/>
      <c r="F123" s="1056"/>
      <c r="G123" s="1056"/>
      <c r="H123" s="1056"/>
      <c r="I123" s="1056"/>
      <c r="J123" s="1056"/>
      <c r="K123" s="1056"/>
      <c r="L123" s="1056"/>
      <c r="M123" s="1056"/>
      <c r="N123" s="1056"/>
      <c r="O123" s="1056"/>
      <c r="P123" s="1056"/>
      <c r="Q123" s="1059"/>
      <c r="R123" s="1510" t="s">
        <v>778</v>
      </c>
      <c r="S123" s="1511"/>
      <c r="T123" s="1511"/>
      <c r="U123" s="1511"/>
      <c r="V123" s="1511"/>
      <c r="W123" s="1511"/>
      <c r="X123" s="1512"/>
      <c r="Y123" s="680" t="s">
        <v>761</v>
      </c>
      <c r="Z123" s="123"/>
      <c r="AA123" s="123"/>
      <c r="AB123" s="123"/>
      <c r="AC123" s="123"/>
      <c r="AD123" s="681"/>
      <c r="AE123" s="655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:43" ht="12.75">
      <c r="A124" s="1054">
        <v>23</v>
      </c>
      <c r="B124" s="1056"/>
      <c r="C124" s="1057"/>
      <c r="D124" s="1058"/>
      <c r="E124" s="1058"/>
      <c r="F124" s="1056"/>
      <c r="G124" s="1056"/>
      <c r="H124" s="1056"/>
      <c r="I124" s="1056"/>
      <c r="J124" s="1056"/>
      <c r="K124" s="1056"/>
      <c r="L124" s="1056"/>
      <c r="M124" s="1056"/>
      <c r="N124" s="1056"/>
      <c r="O124" s="1056"/>
      <c r="P124" s="1056"/>
      <c r="Q124" s="1059"/>
      <c r="R124" s="1510" t="s">
        <v>762</v>
      </c>
      <c r="S124" s="1511"/>
      <c r="T124" s="1511"/>
      <c r="U124" s="1511"/>
      <c r="V124" s="1511"/>
      <c r="W124" s="1511"/>
      <c r="X124" s="1512"/>
      <c r="Y124" s="680" t="s">
        <v>763</v>
      </c>
      <c r="Z124" s="123"/>
      <c r="AA124" s="123"/>
      <c r="AB124" s="123"/>
      <c r="AC124" s="123"/>
      <c r="AD124" s="681"/>
      <c r="AE124" s="655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:43" ht="12.75">
      <c r="A125" s="1054">
        <v>24</v>
      </c>
      <c r="B125" s="1056"/>
      <c r="C125" s="1057"/>
      <c r="D125" s="1058"/>
      <c r="E125" s="1058"/>
      <c r="F125" s="1056"/>
      <c r="G125" s="1056"/>
      <c r="H125" s="1056"/>
      <c r="I125" s="1056"/>
      <c r="J125" s="1056"/>
      <c r="K125" s="1056"/>
      <c r="L125" s="1056"/>
      <c r="M125" s="1056"/>
      <c r="N125" s="1056"/>
      <c r="O125" s="1056"/>
      <c r="P125" s="1056"/>
      <c r="Q125" s="1059"/>
      <c r="R125" s="1510"/>
      <c r="S125" s="1511"/>
      <c r="T125" s="1511"/>
      <c r="U125" s="1511"/>
      <c r="V125" s="1511"/>
      <c r="W125" s="1511"/>
      <c r="X125" s="1512"/>
      <c r="Y125" s="680"/>
      <c r="Z125" s="123" t="s">
        <v>760</v>
      </c>
      <c r="AA125" s="123"/>
      <c r="AB125" s="123"/>
      <c r="AC125" s="123"/>
      <c r="AD125" s="681"/>
      <c r="AE125" s="65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:43" ht="13.5" thickBot="1">
      <c r="A126" s="1054">
        <v>25</v>
      </c>
      <c r="B126" s="1060"/>
      <c r="C126" s="1061"/>
      <c r="D126" s="1062"/>
      <c r="E126" s="1062"/>
      <c r="F126" s="1060"/>
      <c r="G126" s="1060"/>
      <c r="H126" s="1060"/>
      <c r="I126" s="1060"/>
      <c r="J126" s="1060"/>
      <c r="K126" s="1060"/>
      <c r="L126" s="1060"/>
      <c r="M126" s="1060"/>
      <c r="N126" s="1060"/>
      <c r="O126" s="1060"/>
      <c r="P126" s="1060"/>
      <c r="Q126" s="1063"/>
      <c r="R126" s="1517"/>
      <c r="S126" s="1518"/>
      <c r="T126" s="1518"/>
      <c r="U126" s="1518"/>
      <c r="V126" s="1518"/>
      <c r="W126" s="1518"/>
      <c r="X126" s="1519"/>
      <c r="Y126" s="692"/>
      <c r="Z126" s="693"/>
      <c r="AA126" s="693"/>
      <c r="AB126" s="693"/>
      <c r="AC126" s="693"/>
      <c r="AD126" s="694"/>
      <c r="AE126" s="655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:43" ht="13.5" thickBot="1">
      <c r="A127" s="1472" t="s">
        <v>753</v>
      </c>
      <c r="B127" s="1473"/>
      <c r="C127" s="1473"/>
      <c r="D127" s="1473"/>
      <c r="E127" s="1473"/>
      <c r="F127" s="1473"/>
      <c r="G127" s="1473"/>
      <c r="H127" s="1474"/>
      <c r="I127" s="1064">
        <f>SUM(I102:I126)</f>
        <v>170600</v>
      </c>
      <c r="J127" s="1064">
        <f aca="true" t="shared" si="34" ref="J127:Q127">SUM(J102:J126)</f>
        <v>170600</v>
      </c>
      <c r="K127" s="1064">
        <f t="shared" si="34"/>
        <v>41797</v>
      </c>
      <c r="L127" s="1064">
        <f t="shared" si="34"/>
        <v>25590</v>
      </c>
      <c r="M127" s="1064">
        <f t="shared" si="34"/>
        <v>16207</v>
      </c>
      <c r="N127" s="1064">
        <f t="shared" si="34"/>
        <v>0</v>
      </c>
      <c r="O127" s="1064">
        <f t="shared" si="34"/>
        <v>5800.4</v>
      </c>
      <c r="P127" s="1064">
        <f t="shared" si="34"/>
        <v>170600</v>
      </c>
      <c r="Q127" s="1064">
        <f t="shared" si="34"/>
        <v>11060</v>
      </c>
      <c r="R127" s="655"/>
      <c r="S127" s="655"/>
      <c r="T127" s="655"/>
      <c r="U127" s="655"/>
      <c r="V127" s="655"/>
      <c r="W127" s="655"/>
      <c r="X127" s="655"/>
      <c r="Y127" s="655"/>
      <c r="Z127" s="655"/>
      <c r="AA127" s="655"/>
      <c r="AB127" s="655"/>
      <c r="AC127" s="655"/>
      <c r="AD127" s="655"/>
      <c r="AE127" s="655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:43" ht="13.5" thickBot="1">
      <c r="A128" s="1475" t="s">
        <v>756</v>
      </c>
      <c r="B128" s="1476"/>
      <c r="C128" s="1476"/>
      <c r="D128" s="1476"/>
      <c r="E128" s="1476"/>
      <c r="F128" s="1476"/>
      <c r="G128" s="1476"/>
      <c r="H128" s="1477"/>
      <c r="I128" s="1065"/>
      <c r="J128" s="1066"/>
      <c r="K128" s="1066"/>
      <c r="L128" s="1066"/>
      <c r="M128" s="1066"/>
      <c r="N128" s="1066">
        <v>0</v>
      </c>
      <c r="O128" s="1066"/>
      <c r="P128" s="1066"/>
      <c r="Q128" s="1067"/>
      <c r="R128" s="655"/>
      <c r="S128" s="655"/>
      <c r="T128" s="655"/>
      <c r="U128" s="655"/>
      <c r="V128" s="655"/>
      <c r="W128" s="655"/>
      <c r="X128" s="655"/>
      <c r="Y128" s="655"/>
      <c r="Z128" s="655"/>
      <c r="AA128" s="655"/>
      <c r="AB128" s="655"/>
      <c r="AC128" s="655"/>
      <c r="AD128" s="655"/>
      <c r="AE128" s="655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:43" ht="13.5" thickBot="1">
      <c r="A129" s="1478" t="s">
        <v>759</v>
      </c>
      <c r="B129" s="1479"/>
      <c r="C129" s="1479"/>
      <c r="D129" s="1479"/>
      <c r="E129" s="1479"/>
      <c r="F129" s="1479"/>
      <c r="G129" s="1479"/>
      <c r="H129" s="1480"/>
      <c r="I129" s="1064">
        <f>SUM(I127:I128)</f>
        <v>170600</v>
      </c>
      <c r="J129" s="1064">
        <f aca="true" t="shared" si="35" ref="J129:Q129">SUM(J127:J128)</f>
        <v>170600</v>
      </c>
      <c r="K129" s="1064">
        <f t="shared" si="35"/>
        <v>41797</v>
      </c>
      <c r="L129" s="1064">
        <f t="shared" si="35"/>
        <v>25590</v>
      </c>
      <c r="M129" s="1064">
        <f t="shared" si="35"/>
        <v>16207</v>
      </c>
      <c r="N129" s="1064">
        <f t="shared" si="35"/>
        <v>0</v>
      </c>
      <c r="O129" s="1064">
        <f t="shared" si="35"/>
        <v>5800.4</v>
      </c>
      <c r="P129" s="1064">
        <f t="shared" si="35"/>
        <v>170600</v>
      </c>
      <c r="Q129" s="1064">
        <f t="shared" si="35"/>
        <v>11060</v>
      </c>
      <c r="R129" s="655"/>
      <c r="S129" s="655"/>
      <c r="T129" s="655"/>
      <c r="U129" s="655"/>
      <c r="V129" s="655"/>
      <c r="W129" s="655"/>
      <c r="X129" s="655"/>
      <c r="Y129" s="655"/>
      <c r="Z129" s="655"/>
      <c r="AA129" s="655"/>
      <c r="AB129" s="655"/>
      <c r="AC129" s="655"/>
      <c r="AD129" s="655"/>
      <c r="AE129" s="655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:43" ht="12.75">
      <c r="A130" s="683"/>
      <c r="B130" s="684" t="s">
        <v>764</v>
      </c>
      <c r="C130" s="685"/>
      <c r="D130" s="685"/>
      <c r="E130" s="685"/>
      <c r="F130" s="685"/>
      <c r="G130" s="685"/>
      <c r="H130" s="1068"/>
      <c r="I130" s="686" t="s">
        <v>765</v>
      </c>
      <c r="J130" s="685"/>
      <c r="K130" s="685"/>
      <c r="L130" s="685"/>
      <c r="M130" s="685"/>
      <c r="N130" s="685"/>
      <c r="O130" s="685"/>
      <c r="P130" s="685"/>
      <c r="Q130" s="687"/>
      <c r="R130" s="655"/>
      <c r="S130" s="655"/>
      <c r="T130" s="655"/>
      <c r="U130" s="655"/>
      <c r="V130" s="655"/>
      <c r="W130" s="655"/>
      <c r="X130" s="655"/>
      <c r="Y130" s="655"/>
      <c r="Z130" s="655"/>
      <c r="AA130" s="655"/>
      <c r="AB130" s="655"/>
      <c r="AC130" s="655"/>
      <c r="AD130" s="655"/>
      <c r="AE130" s="655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:43" ht="12.75">
      <c r="A131" s="688" t="s">
        <v>1323</v>
      </c>
      <c r="B131" s="689"/>
      <c r="C131" s="689"/>
      <c r="D131" s="689"/>
      <c r="E131" s="689"/>
      <c r="F131" s="689"/>
      <c r="G131" s="689"/>
      <c r="H131" s="1069"/>
      <c r="I131" s="690" t="s">
        <v>766</v>
      </c>
      <c r="J131" s="689"/>
      <c r="K131" s="689"/>
      <c r="L131" s="689"/>
      <c r="M131" s="689"/>
      <c r="N131" s="689"/>
      <c r="O131" s="689"/>
      <c r="P131" s="689"/>
      <c r="Q131" s="691"/>
      <c r="R131" s="655"/>
      <c r="S131" s="655"/>
      <c r="T131" s="655"/>
      <c r="U131" s="655"/>
      <c r="V131" s="655"/>
      <c r="W131" s="655"/>
      <c r="X131" s="655"/>
      <c r="Y131" s="655"/>
      <c r="Z131" s="655"/>
      <c r="AA131" s="655"/>
      <c r="AB131" s="655"/>
      <c r="AC131" s="655"/>
      <c r="AD131" s="655"/>
      <c r="AE131" s="655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:43" ht="12.75">
      <c r="A132" s="688" t="s">
        <v>1324</v>
      </c>
      <c r="B132" s="689"/>
      <c r="C132" s="689"/>
      <c r="D132" s="689"/>
      <c r="E132" s="689"/>
      <c r="F132" s="689"/>
      <c r="G132" s="689"/>
      <c r="H132" s="1069"/>
      <c r="I132" s="47" t="s">
        <v>767</v>
      </c>
      <c r="J132" s="689"/>
      <c r="K132" s="689"/>
      <c r="L132" s="689"/>
      <c r="M132" s="689"/>
      <c r="N132" s="689"/>
      <c r="O132" s="689"/>
      <c r="P132" s="689"/>
      <c r="Q132" s="691"/>
      <c r="R132" s="655"/>
      <c r="S132" s="655"/>
      <c r="T132" s="655"/>
      <c r="U132" s="655"/>
      <c r="V132" s="655"/>
      <c r="W132" s="655"/>
      <c r="X132" s="655"/>
      <c r="Y132" s="655"/>
      <c r="Z132" s="655"/>
      <c r="AA132" s="655"/>
      <c r="AB132" s="655"/>
      <c r="AC132" s="655"/>
      <c r="AD132" s="655"/>
      <c r="AE132" s="655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:43" ht="12.75">
      <c r="A133" s="688" t="s">
        <v>1325</v>
      </c>
      <c r="B133" s="689"/>
      <c r="C133" s="1"/>
      <c r="D133" s="689"/>
      <c r="E133" s="689"/>
      <c r="F133" s="689"/>
      <c r="G133" s="689"/>
      <c r="H133" s="1069"/>
      <c r="I133" s="690" t="s">
        <v>768</v>
      </c>
      <c r="J133" s="689"/>
      <c r="K133" s="689"/>
      <c r="L133" s="689"/>
      <c r="M133" s="689"/>
      <c r="N133" s="689"/>
      <c r="O133" s="689"/>
      <c r="P133" s="689"/>
      <c r="Q133" s="691"/>
      <c r="R133" s="655"/>
      <c r="S133" s="655"/>
      <c r="T133" s="655"/>
      <c r="U133" s="655"/>
      <c r="V133" s="655"/>
      <c r="W133" s="655"/>
      <c r="X133" s="655"/>
      <c r="Y133" s="655"/>
      <c r="Z133" s="655"/>
      <c r="AA133" s="655"/>
      <c r="AB133" s="655"/>
      <c r="AC133" s="655"/>
      <c r="AD133" s="655"/>
      <c r="AE133" s="655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:43" ht="12.75">
      <c r="A134" s="688"/>
      <c r="B134" s="689"/>
      <c r="C134" s="689"/>
      <c r="D134" s="689"/>
      <c r="E134" s="689"/>
      <c r="F134" s="689"/>
      <c r="G134" s="689"/>
      <c r="H134" s="1069"/>
      <c r="I134" s="690" t="s">
        <v>769</v>
      </c>
      <c r="J134" s="689"/>
      <c r="K134" s="689"/>
      <c r="L134" s="689"/>
      <c r="M134" s="689"/>
      <c r="N134" s="689"/>
      <c r="O134" s="689"/>
      <c r="P134" s="689"/>
      <c r="Q134" s="691"/>
      <c r="R134" s="655"/>
      <c r="S134" s="655"/>
      <c r="T134" s="655"/>
      <c r="U134" s="655"/>
      <c r="V134" s="655"/>
      <c r="W134" s="655"/>
      <c r="X134" s="655"/>
      <c r="Y134" s="655"/>
      <c r="Z134" s="655"/>
      <c r="AA134" s="655"/>
      <c r="AB134" s="655"/>
      <c r="AC134" s="655"/>
      <c r="AD134" s="655"/>
      <c r="AE134" s="655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:43" ht="12.75">
      <c r="A135" s="688"/>
      <c r="B135" s="700" t="s">
        <v>770</v>
      </c>
      <c r="C135" s="689"/>
      <c r="D135" s="689"/>
      <c r="E135" s="689"/>
      <c r="F135" s="689"/>
      <c r="G135" s="689"/>
      <c r="H135" s="1069"/>
      <c r="I135" s="47" t="s">
        <v>771</v>
      </c>
      <c r="J135" s="689"/>
      <c r="K135" s="689"/>
      <c r="L135" s="689"/>
      <c r="M135" s="689"/>
      <c r="N135" s="689"/>
      <c r="O135" s="689"/>
      <c r="P135" s="689"/>
      <c r="Q135" s="691"/>
      <c r="R135" s="655"/>
      <c r="S135" s="655"/>
      <c r="T135" s="655"/>
      <c r="U135" s="655"/>
      <c r="V135" s="655"/>
      <c r="W135" s="655"/>
      <c r="X135" s="655"/>
      <c r="Y135" s="655"/>
      <c r="Z135" s="655"/>
      <c r="AA135" s="655"/>
      <c r="AB135" s="655"/>
      <c r="AC135" s="655"/>
      <c r="AD135" s="655"/>
      <c r="AE135" s="65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:43" ht="12.75">
      <c r="A136" s="688"/>
      <c r="B136" s="689" t="s">
        <v>1326</v>
      </c>
      <c r="C136" s="689"/>
      <c r="D136" s="689"/>
      <c r="E136" s="689"/>
      <c r="F136" s="689"/>
      <c r="G136" s="689"/>
      <c r="H136" s="1069"/>
      <c r="I136" s="47"/>
      <c r="J136" s="689"/>
      <c r="K136" s="689"/>
      <c r="L136" s="701" t="s">
        <v>772</v>
      </c>
      <c r="M136" s="689"/>
      <c r="N136" s="689"/>
      <c r="O136" s="689"/>
      <c r="P136" s="689"/>
      <c r="Q136" s="691"/>
      <c r="R136" s="655"/>
      <c r="S136" s="655"/>
      <c r="T136" s="655"/>
      <c r="U136" s="655"/>
      <c r="V136" s="655"/>
      <c r="W136" s="655"/>
      <c r="X136" s="655"/>
      <c r="Y136" s="655"/>
      <c r="Z136" s="655"/>
      <c r="AA136" s="655"/>
      <c r="AB136" s="655"/>
      <c r="AC136" s="655"/>
      <c r="AD136" s="655"/>
      <c r="AE136" s="655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:43" ht="12.75">
      <c r="A137" s="688"/>
      <c r="B137" s="689"/>
      <c r="C137" s="689"/>
      <c r="D137" s="689" t="s">
        <v>773</v>
      </c>
      <c r="E137" s="689"/>
      <c r="F137" s="689"/>
      <c r="G137" s="689"/>
      <c r="H137" s="1069"/>
      <c r="I137" s="690" t="s">
        <v>774</v>
      </c>
      <c r="J137" s="689"/>
      <c r="K137" s="689"/>
      <c r="L137" s="689"/>
      <c r="M137" s="689"/>
      <c r="N137" s="689"/>
      <c r="O137" s="689"/>
      <c r="P137" s="689"/>
      <c r="Q137" s="689"/>
      <c r="R137" s="655"/>
      <c r="S137" s="655"/>
      <c r="T137" s="655"/>
      <c r="U137" s="655"/>
      <c r="V137" s="655"/>
      <c r="W137" s="655"/>
      <c r="X137" s="655"/>
      <c r="Y137" s="655"/>
      <c r="Z137" s="655"/>
      <c r="AA137" s="655"/>
      <c r="AB137" s="655"/>
      <c r="AC137" s="655"/>
      <c r="AD137" s="655"/>
      <c r="AE137" s="655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:43" ht="12.75">
      <c r="A138" s="688"/>
      <c r="B138" s="689"/>
      <c r="C138" s="689"/>
      <c r="D138" s="689"/>
      <c r="E138" s="689"/>
      <c r="F138" s="689"/>
      <c r="G138" s="689"/>
      <c r="H138" s="1069"/>
      <c r="I138" s="690"/>
      <c r="J138" s="689" t="s">
        <v>775</v>
      </c>
      <c r="K138" s="689"/>
      <c r="L138" s="689"/>
      <c r="M138" s="689"/>
      <c r="N138" s="689"/>
      <c r="O138" s="689"/>
      <c r="P138" s="689"/>
      <c r="Q138" s="689"/>
      <c r="R138" s="655"/>
      <c r="S138" s="655"/>
      <c r="T138" s="655"/>
      <c r="U138" s="655"/>
      <c r="V138" s="655"/>
      <c r="W138" s="655"/>
      <c r="X138" s="655"/>
      <c r="Y138" s="655"/>
      <c r="Z138" s="655"/>
      <c r="AA138" s="655"/>
      <c r="AB138" s="655"/>
      <c r="AC138" s="655"/>
      <c r="AD138" s="655"/>
      <c r="AE138" s="655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:43" ht="13.5" thickBot="1">
      <c r="A139" s="702"/>
      <c r="B139" s="703"/>
      <c r="C139" s="703"/>
      <c r="D139" s="703"/>
      <c r="E139" s="703"/>
      <c r="F139" s="703"/>
      <c r="G139" s="703"/>
      <c r="H139" s="1070"/>
      <c r="I139" s="704"/>
      <c r="J139" s="705" t="s">
        <v>776</v>
      </c>
      <c r="K139" s="703"/>
      <c r="L139" s="703"/>
      <c r="M139" s="703"/>
      <c r="N139" s="703"/>
      <c r="O139" s="703"/>
      <c r="P139" s="703"/>
      <c r="Q139" s="706"/>
      <c r="R139" s="655"/>
      <c r="S139" s="655"/>
      <c r="T139" s="655"/>
      <c r="U139" s="655"/>
      <c r="V139" s="655"/>
      <c r="W139" s="655"/>
      <c r="X139" s="655"/>
      <c r="Y139" s="655"/>
      <c r="Z139" s="655"/>
      <c r="AA139" s="655"/>
      <c r="AB139" s="655"/>
      <c r="AC139" s="655"/>
      <c r="AD139" s="655"/>
      <c r="AE139" s="655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:43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 s="655"/>
      <c r="S140" s="655"/>
      <c r="T140" s="655"/>
      <c r="U140" s="655"/>
      <c r="V140" s="655"/>
      <c r="W140" s="655"/>
      <c r="X140" s="655"/>
      <c r="Y140" s="655"/>
      <c r="Z140" s="655"/>
      <c r="AA140" s="655"/>
      <c r="AB140" s="655"/>
      <c r="AC140" s="655"/>
      <c r="AD140" s="655"/>
      <c r="AE140" s="655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:43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 s="655"/>
      <c r="S141" s="655"/>
      <c r="T141" s="655"/>
      <c r="U141" s="655"/>
      <c r="V141" s="655"/>
      <c r="W141" s="655"/>
      <c r="X141" s="655"/>
      <c r="Y141" s="655"/>
      <c r="Z141" s="655"/>
      <c r="AA141" s="655"/>
      <c r="AB141" s="655"/>
      <c r="AC141" s="655"/>
      <c r="AD141" s="655"/>
      <c r="AE141" s="655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:43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 s="655"/>
      <c r="S142" s="655"/>
      <c r="T142" s="655"/>
      <c r="U142" s="655"/>
      <c r="V142" s="655"/>
      <c r="W142" s="655"/>
      <c r="X142" s="655"/>
      <c r="Y142" s="655"/>
      <c r="Z142" s="655"/>
      <c r="AA142" s="655"/>
      <c r="AB142" s="655"/>
      <c r="AC142" s="655"/>
      <c r="AD142" s="655"/>
      <c r="AE142" s="655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:43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 s="655"/>
      <c r="S143" s="655"/>
      <c r="T143" s="655"/>
      <c r="U143" s="655"/>
      <c r="V143" s="655"/>
      <c r="W143" s="655"/>
      <c r="X143" s="655"/>
      <c r="Y143" s="655"/>
      <c r="Z143" s="655"/>
      <c r="AA143" s="655"/>
      <c r="AB143" s="655"/>
      <c r="AC143" s="655"/>
      <c r="AD143" s="655"/>
      <c r="AE143" s="655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:43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 s="655"/>
      <c r="S144" s="655"/>
      <c r="T144" s="655"/>
      <c r="U144" s="655"/>
      <c r="V144" s="655"/>
      <c r="W144" s="655"/>
      <c r="X144" s="655"/>
      <c r="Y144" s="655"/>
      <c r="Z144" s="655"/>
      <c r="AA144" s="655"/>
      <c r="AB144" s="655"/>
      <c r="AC144" s="655"/>
      <c r="AD144" s="655"/>
      <c r="AE144" s="655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:43" ht="15">
      <c r="A145" s="1025" t="s">
        <v>133</v>
      </c>
      <c r="B145" s="1025"/>
      <c r="C145" s="1025"/>
      <c r="D145" s="1025"/>
      <c r="E145" s="1025"/>
      <c r="F145" s="1025"/>
      <c r="G145" s="1025"/>
      <c r="H145" s="1025"/>
      <c r="I145" s="1025"/>
      <c r="J145" s="1025"/>
      <c r="K145" s="1025"/>
      <c r="L145" s="1025"/>
      <c r="M145" s="1025"/>
      <c r="N145" s="1025"/>
      <c r="O145" s="1025"/>
      <c r="P145" s="1025"/>
      <c r="Q145"/>
      <c r="R145" s="655"/>
      <c r="S145" s="655"/>
      <c r="T145" s="655"/>
      <c r="U145" s="655"/>
      <c r="V145" s="655"/>
      <c r="W145" s="655"/>
      <c r="X145" s="655"/>
      <c r="Y145" s="655"/>
      <c r="Z145" s="655"/>
      <c r="AA145" s="655"/>
      <c r="AB145" s="655"/>
      <c r="AC145" s="655"/>
      <c r="AD145" s="655"/>
      <c r="AE145" s="65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:43" ht="15">
      <c r="A146" s="1025" t="s">
        <v>1293</v>
      </c>
      <c r="B146" s="1025"/>
      <c r="C146" s="1025"/>
      <c r="D146"/>
      <c r="E146" s="1025" t="s">
        <v>1294</v>
      </c>
      <c r="F146" s="1025"/>
      <c r="G146" s="1025"/>
      <c r="H146" s="1025"/>
      <c r="I146" s="1025"/>
      <c r="J146" s="1025" t="s">
        <v>1329</v>
      </c>
      <c r="K146" s="1025"/>
      <c r="L146" s="1025"/>
      <c r="M146" s="1025"/>
      <c r="N146" s="1025"/>
      <c r="O146" s="1025"/>
      <c r="P146" s="1025"/>
      <c r="Q146"/>
      <c r="R146" s="655"/>
      <c r="S146" s="655"/>
      <c r="T146" s="655"/>
      <c r="U146" s="655"/>
      <c r="V146" s="655"/>
      <c r="W146" s="655"/>
      <c r="X146" s="655"/>
      <c r="Y146" s="655"/>
      <c r="Z146" s="655"/>
      <c r="AA146" s="655"/>
      <c r="AB146" s="655"/>
      <c r="AC146" s="655"/>
      <c r="AD146" s="655"/>
      <c r="AE146" s="655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:43" ht="16.5" thickBot="1">
      <c r="A147" s="1026" t="s">
        <v>725</v>
      </c>
      <c r="B147" s="1026"/>
      <c r="C147" s="1026"/>
      <c r="D147" s="1026"/>
      <c r="E147" s="1026"/>
      <c r="F147" s="1026" t="s">
        <v>1296</v>
      </c>
      <c r="G147" s="1026"/>
      <c r="H147" s="1026"/>
      <c r="I147" s="1026"/>
      <c r="J147" s="1026"/>
      <c r="K147" s="1026"/>
      <c r="L147" s="1026" t="s">
        <v>727</v>
      </c>
      <c r="M147" s="1026"/>
      <c r="N147" s="1026"/>
      <c r="O147" s="1026"/>
      <c r="P147" s="1026"/>
      <c r="Q147"/>
      <c r="R147" s="655"/>
      <c r="S147" s="655"/>
      <c r="T147" s="655"/>
      <c r="U147" s="655"/>
      <c r="V147" s="655"/>
      <c r="W147" s="655"/>
      <c r="X147" s="655"/>
      <c r="Y147" s="655"/>
      <c r="Z147" s="655"/>
      <c r="AA147" s="655"/>
      <c r="AB147" s="655"/>
      <c r="AC147" s="655"/>
      <c r="AD147" s="655"/>
      <c r="AE147" s="655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:43" ht="12.75" customHeight="1">
      <c r="A148" s="1027" t="s">
        <v>199</v>
      </c>
      <c r="B148" s="1028" t="s">
        <v>729</v>
      </c>
      <c r="C148" s="1029"/>
      <c r="D148" s="1030"/>
      <c r="E148" s="1481" t="s">
        <v>1297</v>
      </c>
      <c r="F148" s="1028" t="s">
        <v>1298</v>
      </c>
      <c r="G148" s="1028" t="s">
        <v>1299</v>
      </c>
      <c r="H148" s="1028" t="s">
        <v>1300</v>
      </c>
      <c r="I148" s="1031" t="s">
        <v>780</v>
      </c>
      <c r="J148" s="1032"/>
      <c r="K148" s="1031" t="s">
        <v>200</v>
      </c>
      <c r="L148" s="1033"/>
      <c r="M148" s="1033"/>
      <c r="N148" s="1032"/>
      <c r="O148" s="1028" t="s">
        <v>201</v>
      </c>
      <c r="P148" s="1028" t="s">
        <v>202</v>
      </c>
      <c r="Q148" s="1034" t="s">
        <v>203</v>
      </c>
      <c r="R148" s="655"/>
      <c r="S148" s="655"/>
      <c r="T148" s="655"/>
      <c r="U148" s="655"/>
      <c r="V148" s="655"/>
      <c r="W148" s="655"/>
      <c r="X148" s="655"/>
      <c r="Y148" s="655"/>
      <c r="Z148" s="655"/>
      <c r="AA148" s="655"/>
      <c r="AB148" s="655"/>
      <c r="AC148" s="655"/>
      <c r="AD148" s="655"/>
      <c r="AE148" s="655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:43" ht="12.75">
      <c r="A149" s="1035"/>
      <c r="B149" s="1036" t="s">
        <v>730</v>
      </c>
      <c r="C149" s="1037" t="s">
        <v>1301</v>
      </c>
      <c r="D149" s="1038"/>
      <c r="E149" s="1482"/>
      <c r="F149" s="1036" t="s">
        <v>1302</v>
      </c>
      <c r="G149" s="1036" t="s">
        <v>1303</v>
      </c>
      <c r="H149" s="1036" t="s">
        <v>1304</v>
      </c>
      <c r="I149" s="1039" t="s">
        <v>205</v>
      </c>
      <c r="J149" s="1039" t="s">
        <v>782</v>
      </c>
      <c r="K149" s="1039"/>
      <c r="L149" s="1040" t="s">
        <v>206</v>
      </c>
      <c r="M149" s="1041"/>
      <c r="N149" s="1039" t="s">
        <v>731</v>
      </c>
      <c r="O149" s="1036" t="s">
        <v>732</v>
      </c>
      <c r="P149" s="1036" t="s">
        <v>207</v>
      </c>
      <c r="Q149" s="1042" t="s">
        <v>208</v>
      </c>
      <c r="R149" s="655"/>
      <c r="S149" s="655"/>
      <c r="T149" s="655"/>
      <c r="U149" s="655"/>
      <c r="V149" s="655"/>
      <c r="W149" s="655"/>
      <c r="X149" s="655"/>
      <c r="Y149" s="655"/>
      <c r="Z149" s="655"/>
      <c r="AA149" s="655"/>
      <c r="AB149" s="655"/>
      <c r="AC149" s="655"/>
      <c r="AD149" s="655"/>
      <c r="AE149" s="655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:43" ht="13.5" thickBot="1">
      <c r="A150" s="1043"/>
      <c r="B150" s="1044" t="s">
        <v>735</v>
      </c>
      <c r="C150" s="1037"/>
      <c r="D150" s="1038"/>
      <c r="E150" s="1483"/>
      <c r="F150" s="1044" t="s">
        <v>1305</v>
      </c>
      <c r="G150" s="1044" t="s">
        <v>1306</v>
      </c>
      <c r="H150" s="1044" t="s">
        <v>1307</v>
      </c>
      <c r="I150" s="1044"/>
      <c r="J150" s="1044" t="s">
        <v>1308</v>
      </c>
      <c r="K150" s="1044" t="s">
        <v>1309</v>
      </c>
      <c r="L150" s="1045" t="s">
        <v>736</v>
      </c>
      <c r="M150" s="1045" t="s">
        <v>737</v>
      </c>
      <c r="N150" s="1044" t="s">
        <v>738</v>
      </c>
      <c r="O150" s="1044" t="s">
        <v>739</v>
      </c>
      <c r="P150" s="1044" t="s">
        <v>740</v>
      </c>
      <c r="Q150" s="1046" t="s">
        <v>1310</v>
      </c>
      <c r="R150" s="655"/>
      <c r="S150" s="655"/>
      <c r="T150" s="655"/>
      <c r="U150" s="655"/>
      <c r="V150" s="655"/>
      <c r="W150" s="655"/>
      <c r="X150" s="655"/>
      <c r="Y150" s="655"/>
      <c r="Z150" s="655"/>
      <c r="AA150" s="655"/>
      <c r="AB150" s="655"/>
      <c r="AC150" s="655"/>
      <c r="AD150" s="655"/>
      <c r="AE150" s="655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:43" ht="12.75">
      <c r="A151" s="1047">
        <v>1</v>
      </c>
      <c r="B151" s="1048" t="s">
        <v>1311</v>
      </c>
      <c r="C151" s="1470" t="s">
        <v>1270</v>
      </c>
      <c r="D151" s="1471"/>
      <c r="E151" s="1050" t="s">
        <v>1312</v>
      </c>
      <c r="F151" s="1051">
        <v>1</v>
      </c>
      <c r="G151" s="1052">
        <v>0</v>
      </c>
      <c r="H151" s="1052">
        <v>22</v>
      </c>
      <c r="I151" s="1052">
        <v>50000</v>
      </c>
      <c r="J151" s="1052">
        <v>50000</v>
      </c>
      <c r="K151" s="1052">
        <f aca="true" t="shared" si="36" ref="K151:K157">L151+M151</f>
        <v>12250</v>
      </c>
      <c r="L151" s="1052">
        <f aca="true" t="shared" si="37" ref="L151:L157">I151*0.15</f>
        <v>7500</v>
      </c>
      <c r="M151" s="1052">
        <f aca="true" t="shared" si="38" ref="M151:M157">I151*0.095</f>
        <v>4750</v>
      </c>
      <c r="N151" s="1052">
        <v>0</v>
      </c>
      <c r="O151" s="1052">
        <f aca="true" t="shared" si="39" ref="O151:O157">I151*0.034</f>
        <v>1700.0000000000002</v>
      </c>
      <c r="P151" s="1052">
        <f aca="true" t="shared" si="40" ref="P151:P157">I151</f>
        <v>50000</v>
      </c>
      <c r="Q151" s="1053">
        <v>5000</v>
      </c>
      <c r="R151" s="655"/>
      <c r="S151" s="655"/>
      <c r="T151" s="655"/>
      <c r="U151" s="655"/>
      <c r="V151" s="655"/>
      <c r="W151" s="655"/>
      <c r="X151" s="655"/>
      <c r="Y151" s="655"/>
      <c r="Z151" s="655"/>
      <c r="AA151" s="655"/>
      <c r="AB151" s="655"/>
      <c r="AC151" s="655"/>
      <c r="AD151" s="655"/>
      <c r="AE151" s="655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:43" ht="12.75">
      <c r="A152" s="1054">
        <v>2</v>
      </c>
      <c r="B152" s="1056"/>
      <c r="C152" s="1470" t="s">
        <v>1316</v>
      </c>
      <c r="D152" s="1471"/>
      <c r="E152" s="1049" t="s">
        <v>1317</v>
      </c>
      <c r="F152" s="1056">
        <v>1</v>
      </c>
      <c r="G152" s="1056">
        <v>0</v>
      </c>
      <c r="H152" s="1056">
        <v>22</v>
      </c>
      <c r="I152" s="1052">
        <v>20100</v>
      </c>
      <c r="J152" s="1052">
        <v>20100</v>
      </c>
      <c r="K152" s="1056">
        <f t="shared" si="36"/>
        <v>4924.5</v>
      </c>
      <c r="L152" s="1052">
        <f t="shared" si="37"/>
        <v>3015</v>
      </c>
      <c r="M152" s="1052">
        <f t="shared" si="38"/>
        <v>1909.5</v>
      </c>
      <c r="N152" s="1056">
        <v>0</v>
      </c>
      <c r="O152" s="1052">
        <f t="shared" si="39"/>
        <v>683.4000000000001</v>
      </c>
      <c r="P152" s="1056">
        <f t="shared" si="40"/>
        <v>20100</v>
      </c>
      <c r="Q152" s="1053">
        <v>1010</v>
      </c>
      <c r="R152" s="655"/>
      <c r="S152" s="655"/>
      <c r="T152" s="655"/>
      <c r="U152" s="655"/>
      <c r="V152" s="655"/>
      <c r="W152" s="655"/>
      <c r="X152" s="655"/>
      <c r="Y152" s="655"/>
      <c r="Z152" s="655"/>
      <c r="AA152" s="655"/>
      <c r="AB152" s="655"/>
      <c r="AC152" s="655"/>
      <c r="AD152" s="655"/>
      <c r="AE152" s="655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:43" ht="12.75">
      <c r="A153" s="1054">
        <v>3</v>
      </c>
      <c r="B153" s="1056"/>
      <c r="C153" s="1470" t="s">
        <v>1318</v>
      </c>
      <c r="D153" s="1471"/>
      <c r="E153" s="1049" t="s">
        <v>1317</v>
      </c>
      <c r="F153" s="1056">
        <v>1</v>
      </c>
      <c r="G153" s="1056">
        <v>0</v>
      </c>
      <c r="H153" s="1056">
        <v>22</v>
      </c>
      <c r="I153" s="1052">
        <v>20100</v>
      </c>
      <c r="J153" s="1052">
        <v>20100</v>
      </c>
      <c r="K153" s="1056">
        <f t="shared" si="36"/>
        <v>4924.5</v>
      </c>
      <c r="L153" s="1052">
        <f t="shared" si="37"/>
        <v>3015</v>
      </c>
      <c r="M153" s="1052">
        <f t="shared" si="38"/>
        <v>1909.5</v>
      </c>
      <c r="N153" s="1052">
        <v>0</v>
      </c>
      <c r="O153" s="1052">
        <f t="shared" si="39"/>
        <v>683.4000000000001</v>
      </c>
      <c r="P153" s="1056">
        <f t="shared" si="40"/>
        <v>20100</v>
      </c>
      <c r="Q153" s="1053">
        <v>1010</v>
      </c>
      <c r="R153" s="655"/>
      <c r="S153" s="655"/>
      <c r="T153" s="655"/>
      <c r="U153" s="655"/>
      <c r="V153" s="655"/>
      <c r="W153" s="655"/>
      <c r="X153" s="655"/>
      <c r="Y153" s="655"/>
      <c r="Z153" s="655"/>
      <c r="AA153" s="655"/>
      <c r="AB153" s="655"/>
      <c r="AC153" s="655"/>
      <c r="AD153" s="655"/>
      <c r="AE153" s="655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:43" ht="12.75">
      <c r="A154" s="1054">
        <v>4</v>
      </c>
      <c r="B154" s="1056"/>
      <c r="C154" s="1470" t="s">
        <v>1319</v>
      </c>
      <c r="D154" s="1471"/>
      <c r="E154" s="1049" t="s">
        <v>1317</v>
      </c>
      <c r="F154" s="1056">
        <v>1</v>
      </c>
      <c r="G154" s="1056">
        <v>0</v>
      </c>
      <c r="H154" s="1056">
        <v>22</v>
      </c>
      <c r="I154" s="1052">
        <v>20100</v>
      </c>
      <c r="J154" s="1052">
        <v>20100</v>
      </c>
      <c r="K154" s="1056">
        <f t="shared" si="36"/>
        <v>4924.5</v>
      </c>
      <c r="L154" s="1052">
        <f t="shared" si="37"/>
        <v>3015</v>
      </c>
      <c r="M154" s="1052">
        <f t="shared" si="38"/>
        <v>1909.5</v>
      </c>
      <c r="N154" s="1056">
        <v>0</v>
      </c>
      <c r="O154" s="1052">
        <f t="shared" si="39"/>
        <v>683.4000000000001</v>
      </c>
      <c r="P154" s="1056">
        <f t="shared" si="40"/>
        <v>20100</v>
      </c>
      <c r="Q154" s="1053">
        <v>1010</v>
      </c>
      <c r="R154" s="655"/>
      <c r="S154" s="655"/>
      <c r="T154" s="655"/>
      <c r="U154" s="655"/>
      <c r="V154" s="655"/>
      <c r="W154" s="655"/>
      <c r="X154" s="655"/>
      <c r="Y154" s="655"/>
      <c r="Z154" s="655"/>
      <c r="AA154" s="655"/>
      <c r="AB154" s="655"/>
      <c r="AC154" s="655"/>
      <c r="AD154" s="655"/>
      <c r="AE154" s="655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:43" ht="12.75">
      <c r="A155" s="1054">
        <v>5</v>
      </c>
      <c r="B155" s="1056"/>
      <c r="C155" s="1470" t="s">
        <v>1320</v>
      </c>
      <c r="D155" s="1471"/>
      <c r="E155" s="1049" t="s">
        <v>1317</v>
      </c>
      <c r="F155" s="1056">
        <v>1</v>
      </c>
      <c r="G155" s="1056">
        <v>0</v>
      </c>
      <c r="H155" s="1056">
        <v>22</v>
      </c>
      <c r="I155" s="1052">
        <v>20100</v>
      </c>
      <c r="J155" s="1052">
        <v>20100</v>
      </c>
      <c r="K155" s="1056">
        <f t="shared" si="36"/>
        <v>4924.5</v>
      </c>
      <c r="L155" s="1052">
        <f t="shared" si="37"/>
        <v>3015</v>
      </c>
      <c r="M155" s="1052">
        <f t="shared" si="38"/>
        <v>1909.5</v>
      </c>
      <c r="N155" s="1052">
        <v>0</v>
      </c>
      <c r="O155" s="1052">
        <f t="shared" si="39"/>
        <v>683.4000000000001</v>
      </c>
      <c r="P155" s="1056">
        <f t="shared" si="40"/>
        <v>20100</v>
      </c>
      <c r="Q155" s="1053">
        <v>1010</v>
      </c>
      <c r="R155" s="655"/>
      <c r="S155" s="655"/>
      <c r="T155" s="655"/>
      <c r="U155" s="655"/>
      <c r="V155" s="655"/>
      <c r="W155" s="655"/>
      <c r="X155" s="655"/>
      <c r="Y155" s="655"/>
      <c r="Z155" s="655"/>
      <c r="AA155" s="655"/>
      <c r="AB155" s="655"/>
      <c r="AC155" s="655"/>
      <c r="AD155" s="655"/>
      <c r="AE155" s="6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:43" ht="12.75">
      <c r="A156" s="1054">
        <v>6</v>
      </c>
      <c r="B156" s="1056"/>
      <c r="C156" s="1470" t="s">
        <v>1321</v>
      </c>
      <c r="D156" s="1471"/>
      <c r="E156" s="1049"/>
      <c r="F156" s="1056">
        <v>1</v>
      </c>
      <c r="G156" s="1056">
        <v>0</v>
      </c>
      <c r="H156" s="1056">
        <v>22</v>
      </c>
      <c r="I156" s="1052">
        <v>20100</v>
      </c>
      <c r="J156" s="1052">
        <v>20100</v>
      </c>
      <c r="K156" s="1056">
        <f t="shared" si="36"/>
        <v>4924.5</v>
      </c>
      <c r="L156" s="1052">
        <f t="shared" si="37"/>
        <v>3015</v>
      </c>
      <c r="M156" s="1052">
        <f t="shared" si="38"/>
        <v>1909.5</v>
      </c>
      <c r="N156" s="1056">
        <v>0</v>
      </c>
      <c r="O156" s="1052">
        <f t="shared" si="39"/>
        <v>683.4000000000001</v>
      </c>
      <c r="P156" s="1056">
        <f t="shared" si="40"/>
        <v>20100</v>
      </c>
      <c r="Q156" s="1053">
        <v>1010</v>
      </c>
      <c r="R156" s="655"/>
      <c r="S156" s="655"/>
      <c r="T156" s="655"/>
      <c r="U156" s="655"/>
      <c r="V156" s="655"/>
      <c r="W156" s="655"/>
      <c r="X156" s="655"/>
      <c r="Y156" s="655"/>
      <c r="Z156" s="655"/>
      <c r="AA156" s="655"/>
      <c r="AB156" s="655"/>
      <c r="AC156" s="655"/>
      <c r="AD156" s="655"/>
      <c r="AE156" s="655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:43" ht="12.75">
      <c r="A157" s="1054">
        <v>7</v>
      </c>
      <c r="B157" s="1056"/>
      <c r="C157" s="1470" t="s">
        <v>1322</v>
      </c>
      <c r="D157" s="1471"/>
      <c r="E157" s="1058"/>
      <c r="F157" s="1056">
        <v>1</v>
      </c>
      <c r="G157" s="1056">
        <v>0</v>
      </c>
      <c r="H157" s="1056">
        <v>22</v>
      </c>
      <c r="I157" s="1052">
        <v>20100</v>
      </c>
      <c r="J157" s="1052">
        <v>20100</v>
      </c>
      <c r="K157" s="1056">
        <f t="shared" si="36"/>
        <v>4924.5</v>
      </c>
      <c r="L157" s="1052">
        <f t="shared" si="37"/>
        <v>3015</v>
      </c>
      <c r="M157" s="1052">
        <f t="shared" si="38"/>
        <v>1909.5</v>
      </c>
      <c r="N157" s="1052">
        <v>0</v>
      </c>
      <c r="O157" s="1052">
        <f t="shared" si="39"/>
        <v>683.4000000000001</v>
      </c>
      <c r="P157" s="1056">
        <f t="shared" si="40"/>
        <v>20100</v>
      </c>
      <c r="Q157" s="1053">
        <v>1010</v>
      </c>
      <c r="R157" s="655"/>
      <c r="S157" s="655"/>
      <c r="T157" s="655"/>
      <c r="U157" s="655"/>
      <c r="V157" s="655"/>
      <c r="W157" s="655"/>
      <c r="X157" s="655"/>
      <c r="Y157" s="655"/>
      <c r="Z157" s="655"/>
      <c r="AA157" s="655"/>
      <c r="AB157" s="655"/>
      <c r="AC157" s="655"/>
      <c r="AD157" s="655"/>
      <c r="AE157" s="655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:43" ht="12.75">
      <c r="A158" s="1054">
        <v>8</v>
      </c>
      <c r="B158" s="1056"/>
      <c r="C158" s="1057"/>
      <c r="D158" s="1058"/>
      <c r="E158" s="1058"/>
      <c r="F158" s="1056"/>
      <c r="G158" s="1056"/>
      <c r="H158" s="1056"/>
      <c r="I158" s="1056"/>
      <c r="J158" s="1056"/>
      <c r="K158" s="1056"/>
      <c r="L158" s="1052"/>
      <c r="M158" s="1052"/>
      <c r="N158" s="1052"/>
      <c r="O158" s="1052"/>
      <c r="P158" s="1056"/>
      <c r="Q158" s="1053"/>
      <c r="R158" s="655"/>
      <c r="S158" s="655"/>
      <c r="T158" s="655"/>
      <c r="U158" s="655"/>
      <c r="V158" s="655"/>
      <c r="W158" s="655"/>
      <c r="X158" s="655"/>
      <c r="Y158" s="655"/>
      <c r="Z158" s="655"/>
      <c r="AA158" s="655"/>
      <c r="AB158" s="655"/>
      <c r="AC158" s="655"/>
      <c r="AD158" s="655"/>
      <c r="AE158" s="655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:43" ht="12.75">
      <c r="A159" s="1054">
        <v>9</v>
      </c>
      <c r="B159" s="1056"/>
      <c r="C159" s="1057"/>
      <c r="D159" s="1058"/>
      <c r="E159" s="1058"/>
      <c r="F159" s="1056"/>
      <c r="G159" s="1056"/>
      <c r="H159" s="1056"/>
      <c r="I159" s="1056"/>
      <c r="J159" s="1056"/>
      <c r="K159" s="1056"/>
      <c r="L159" s="1056"/>
      <c r="M159" s="1056"/>
      <c r="N159" s="1056"/>
      <c r="O159" s="1056"/>
      <c r="P159" s="1056"/>
      <c r="Q159" s="1059"/>
      <c r="R159" s="655"/>
      <c r="S159" s="655"/>
      <c r="T159" s="655"/>
      <c r="U159" s="655"/>
      <c r="V159" s="655"/>
      <c r="W159" s="655"/>
      <c r="X159" s="655"/>
      <c r="Y159" s="655"/>
      <c r="Z159" s="655"/>
      <c r="AA159" s="655"/>
      <c r="AB159" s="655"/>
      <c r="AC159" s="655"/>
      <c r="AD159" s="655"/>
      <c r="AE159" s="655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:43" ht="12.75">
      <c r="A160" s="1054">
        <v>10</v>
      </c>
      <c r="B160" s="1056"/>
      <c r="C160" s="1057"/>
      <c r="D160" s="1058"/>
      <c r="E160" s="1058"/>
      <c r="F160" s="1056"/>
      <c r="G160" s="1056"/>
      <c r="H160" s="1056"/>
      <c r="I160" s="1056"/>
      <c r="J160" s="1056"/>
      <c r="K160" s="1056"/>
      <c r="L160" s="1056"/>
      <c r="M160" s="1056"/>
      <c r="N160" s="1056"/>
      <c r="O160" s="1056"/>
      <c r="P160" s="1056"/>
      <c r="Q160" s="1059"/>
      <c r="R160" s="655"/>
      <c r="S160" s="655"/>
      <c r="T160" s="655"/>
      <c r="U160" s="655"/>
      <c r="V160" s="655"/>
      <c r="W160" s="655"/>
      <c r="X160" s="655"/>
      <c r="Y160" s="655"/>
      <c r="Z160" s="655"/>
      <c r="AA160" s="655"/>
      <c r="AB160" s="655"/>
      <c r="AC160" s="655"/>
      <c r="AD160" s="655"/>
      <c r="AE160" s="655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:43" ht="12.75">
      <c r="A161" s="1054">
        <v>11</v>
      </c>
      <c r="B161" s="1056"/>
      <c r="C161" s="1057"/>
      <c r="D161" s="1058"/>
      <c r="E161" s="1058"/>
      <c r="F161" s="1056"/>
      <c r="G161" s="1056"/>
      <c r="H161" s="1056"/>
      <c r="I161" s="1056"/>
      <c r="J161" s="1056"/>
      <c r="K161" s="1056"/>
      <c r="L161" s="1056"/>
      <c r="M161" s="1056"/>
      <c r="N161" s="1056"/>
      <c r="O161" s="1056"/>
      <c r="P161" s="1056"/>
      <c r="Q161" s="1059"/>
      <c r="R161" s="655"/>
      <c r="S161" s="655"/>
      <c r="T161" s="655"/>
      <c r="U161" s="655"/>
      <c r="V161" s="655"/>
      <c r="W161" s="655"/>
      <c r="X161" s="655"/>
      <c r="Y161" s="655"/>
      <c r="Z161" s="655"/>
      <c r="AA161" s="655"/>
      <c r="AB161" s="655"/>
      <c r="AC161" s="655"/>
      <c r="AD161" s="655"/>
      <c r="AE161" s="655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:43" ht="12.75">
      <c r="A162" s="1054">
        <v>12</v>
      </c>
      <c r="B162" s="1056"/>
      <c r="C162" s="1057"/>
      <c r="D162" s="1058"/>
      <c r="E162" s="1058"/>
      <c r="F162" s="1056"/>
      <c r="G162" s="1056"/>
      <c r="H162" s="1056"/>
      <c r="I162" s="1056"/>
      <c r="J162" s="1056"/>
      <c r="K162" s="1056"/>
      <c r="L162" s="1056"/>
      <c r="M162" s="1056"/>
      <c r="N162" s="1056"/>
      <c r="O162" s="1056"/>
      <c r="P162" s="1056"/>
      <c r="Q162" s="1059"/>
      <c r="R162" s="655"/>
      <c r="S162" s="655"/>
      <c r="T162" s="655"/>
      <c r="U162" s="655"/>
      <c r="V162" s="655"/>
      <c r="W162" s="655"/>
      <c r="X162" s="655"/>
      <c r="Y162" s="655"/>
      <c r="Z162" s="655"/>
      <c r="AA162" s="655"/>
      <c r="AB162" s="655"/>
      <c r="AC162" s="655"/>
      <c r="AD162" s="655"/>
      <c r="AE162" s="655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:43" ht="12.75">
      <c r="A163" s="1054">
        <v>13</v>
      </c>
      <c r="B163" s="1056"/>
      <c r="C163" s="1057"/>
      <c r="D163" s="1058"/>
      <c r="E163" s="1058"/>
      <c r="F163" s="1056"/>
      <c r="G163" s="1056"/>
      <c r="H163" s="1056"/>
      <c r="I163" s="1056"/>
      <c r="J163" s="1056"/>
      <c r="K163" s="1056"/>
      <c r="L163" s="1056"/>
      <c r="M163" s="1056"/>
      <c r="N163" s="1056"/>
      <c r="O163" s="1056"/>
      <c r="P163" s="1056"/>
      <c r="Q163" s="1059"/>
      <c r="R163" s="655"/>
      <c r="S163" s="655"/>
      <c r="T163" s="655"/>
      <c r="U163" s="655"/>
      <c r="V163" s="655"/>
      <c r="W163" s="655"/>
      <c r="X163" s="655"/>
      <c r="Y163" s="655"/>
      <c r="Z163" s="655"/>
      <c r="AA163" s="655"/>
      <c r="AB163" s="655"/>
      <c r="AC163" s="655"/>
      <c r="AD163" s="655"/>
      <c r="AE163" s="655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:43" ht="12.75">
      <c r="A164" s="1054">
        <v>14</v>
      </c>
      <c r="B164" s="1056"/>
      <c r="C164" s="1057"/>
      <c r="D164" s="1058"/>
      <c r="E164" s="1058"/>
      <c r="F164" s="1056"/>
      <c r="G164" s="1056"/>
      <c r="H164" s="1056"/>
      <c r="I164" s="1056"/>
      <c r="J164" s="1056"/>
      <c r="K164" s="1056"/>
      <c r="L164" s="1056"/>
      <c r="M164" s="1056"/>
      <c r="N164" s="1056"/>
      <c r="O164" s="1056"/>
      <c r="P164" s="1056"/>
      <c r="Q164" s="1059"/>
      <c r="R164" s="655"/>
      <c r="S164" s="655"/>
      <c r="T164" s="655"/>
      <c r="U164" s="655"/>
      <c r="V164" s="655"/>
      <c r="W164" s="655"/>
      <c r="X164" s="655"/>
      <c r="Y164" s="655"/>
      <c r="Z164" s="655"/>
      <c r="AA164" s="655"/>
      <c r="AB164" s="655"/>
      <c r="AC164" s="655"/>
      <c r="AD164" s="655"/>
      <c r="AE164" s="655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:43" ht="12.75">
      <c r="A165" s="1054">
        <v>15</v>
      </c>
      <c r="B165" s="1056"/>
      <c r="C165" s="1057"/>
      <c r="D165" s="1058"/>
      <c r="E165" s="1058"/>
      <c r="F165" s="1056"/>
      <c r="G165" s="1056"/>
      <c r="H165" s="1056"/>
      <c r="I165" s="1056"/>
      <c r="J165" s="1056"/>
      <c r="K165" s="1056"/>
      <c r="L165" s="1056"/>
      <c r="M165" s="1056"/>
      <c r="N165" s="1056"/>
      <c r="O165" s="1056"/>
      <c r="P165" s="1056"/>
      <c r="Q165" s="1059"/>
      <c r="R165" s="655"/>
      <c r="S165" s="655"/>
      <c r="T165" s="655"/>
      <c r="U165" s="655"/>
      <c r="V165" s="655"/>
      <c r="W165" s="655"/>
      <c r="X165" s="655"/>
      <c r="Y165" s="655"/>
      <c r="Z165" s="655"/>
      <c r="AA165" s="655"/>
      <c r="AB165" s="655"/>
      <c r="AC165" s="655"/>
      <c r="AD165" s="655"/>
      <c r="AE165" s="65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:43" ht="12.75">
      <c r="A166" s="1054">
        <v>16</v>
      </c>
      <c r="B166" s="1056"/>
      <c r="C166" s="1057"/>
      <c r="D166" s="1058"/>
      <c r="E166" s="1058"/>
      <c r="F166" s="1056"/>
      <c r="G166" s="1056"/>
      <c r="H166" s="1056"/>
      <c r="I166" s="1056"/>
      <c r="J166" s="1056"/>
      <c r="K166" s="1056"/>
      <c r="L166" s="1056"/>
      <c r="M166" s="1056"/>
      <c r="N166" s="1056"/>
      <c r="O166" s="1056"/>
      <c r="P166" s="1056"/>
      <c r="Q166" s="1059"/>
      <c r="R166" s="655"/>
      <c r="S166" s="655"/>
      <c r="T166" s="655"/>
      <c r="U166" s="655"/>
      <c r="V166" s="655"/>
      <c r="W166" s="655"/>
      <c r="X166" s="655"/>
      <c r="Y166" s="655"/>
      <c r="Z166" s="655"/>
      <c r="AA166" s="655"/>
      <c r="AB166" s="655"/>
      <c r="AC166" s="655"/>
      <c r="AD166" s="655"/>
      <c r="AE166" s="655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:43" ht="12.75">
      <c r="A167" s="1054">
        <v>17</v>
      </c>
      <c r="B167" s="1056"/>
      <c r="C167" s="1057"/>
      <c r="D167" s="1058"/>
      <c r="E167" s="1058"/>
      <c r="F167" s="1056"/>
      <c r="G167" s="1056"/>
      <c r="H167" s="1056"/>
      <c r="I167" s="1056"/>
      <c r="J167" s="1056"/>
      <c r="K167" s="1056"/>
      <c r="L167" s="1056"/>
      <c r="M167" s="1056"/>
      <c r="N167" s="1056"/>
      <c r="O167" s="1056"/>
      <c r="P167" s="1056"/>
      <c r="Q167" s="1059"/>
      <c r="R167" s="655"/>
      <c r="S167" s="655"/>
      <c r="T167" s="655"/>
      <c r="U167" s="655"/>
      <c r="V167" s="655"/>
      <c r="W167" s="655"/>
      <c r="X167" s="655"/>
      <c r="Y167" s="655"/>
      <c r="Z167" s="655"/>
      <c r="AA167" s="655"/>
      <c r="AB167" s="655"/>
      <c r="AC167" s="655"/>
      <c r="AD167" s="655"/>
      <c r="AE167" s="655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:43" ht="12.75">
      <c r="A168" s="1054">
        <v>18</v>
      </c>
      <c r="B168" s="1056"/>
      <c r="C168" s="1057"/>
      <c r="D168" s="1058"/>
      <c r="E168" s="1058"/>
      <c r="F168" s="1056"/>
      <c r="G168" s="1056"/>
      <c r="H168" s="1056"/>
      <c r="I168" s="1056"/>
      <c r="J168" s="1056"/>
      <c r="K168" s="1056"/>
      <c r="L168" s="1056"/>
      <c r="M168" s="1056"/>
      <c r="N168" s="1056"/>
      <c r="O168" s="1056"/>
      <c r="P168" s="1056"/>
      <c r="Q168" s="1059"/>
      <c r="R168" s="655"/>
      <c r="S168" s="655"/>
      <c r="T168" s="655"/>
      <c r="U168" s="655"/>
      <c r="V168" s="655"/>
      <c r="W168" s="655"/>
      <c r="X168" s="655"/>
      <c r="Y168" s="655"/>
      <c r="Z168" s="655"/>
      <c r="AA168" s="655"/>
      <c r="AB168" s="655"/>
      <c r="AC168" s="655"/>
      <c r="AD168" s="655"/>
      <c r="AE168" s="655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:43" ht="12.75">
      <c r="A169" s="1054">
        <v>19</v>
      </c>
      <c r="B169" s="1056"/>
      <c r="C169" s="1057"/>
      <c r="D169" s="1058"/>
      <c r="E169" s="1058"/>
      <c r="F169" s="1056"/>
      <c r="G169" s="1056"/>
      <c r="H169" s="1056"/>
      <c r="I169" s="1056"/>
      <c r="J169" s="1056"/>
      <c r="K169" s="1056"/>
      <c r="L169" s="1056"/>
      <c r="M169" s="1056"/>
      <c r="N169" s="1056"/>
      <c r="O169" s="1056"/>
      <c r="P169" s="1056"/>
      <c r="Q169" s="1059"/>
      <c r="R169" s="655"/>
      <c r="S169" s="655"/>
      <c r="T169" s="655"/>
      <c r="U169" s="655"/>
      <c r="V169" s="655"/>
      <c r="W169" s="655"/>
      <c r="X169" s="655"/>
      <c r="Y169" s="655"/>
      <c r="Z169" s="655"/>
      <c r="AA169" s="655"/>
      <c r="AB169" s="655"/>
      <c r="AC169" s="655"/>
      <c r="AD169" s="655"/>
      <c r="AE169" s="655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:43" ht="12.75">
      <c r="A170" s="1054">
        <v>20</v>
      </c>
      <c r="B170" s="1056"/>
      <c r="C170" s="1057"/>
      <c r="D170" s="1058"/>
      <c r="E170" s="1058"/>
      <c r="F170" s="1056"/>
      <c r="G170" s="1056"/>
      <c r="H170" s="1056"/>
      <c r="I170" s="1056"/>
      <c r="J170" s="1056"/>
      <c r="K170" s="1056"/>
      <c r="L170" s="1056"/>
      <c r="M170" s="1056"/>
      <c r="N170" s="1056"/>
      <c r="O170" s="1056"/>
      <c r="P170" s="1056"/>
      <c r="Q170" s="1059"/>
      <c r="R170" s="655"/>
      <c r="S170" s="655"/>
      <c r="T170" s="655"/>
      <c r="U170" s="655"/>
      <c r="V170" s="655"/>
      <c r="W170" s="655"/>
      <c r="X170" s="655"/>
      <c r="Y170" s="655"/>
      <c r="Z170" s="655"/>
      <c r="AA170" s="655"/>
      <c r="AB170" s="655"/>
      <c r="AC170" s="655"/>
      <c r="AD170" s="655"/>
      <c r="AE170" s="655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:43" ht="12.75">
      <c r="A171" s="1054">
        <v>21</v>
      </c>
      <c r="B171" s="1056"/>
      <c r="C171" s="1057"/>
      <c r="D171" s="1058"/>
      <c r="E171" s="1058"/>
      <c r="F171" s="1056"/>
      <c r="G171" s="1056"/>
      <c r="H171" s="1056"/>
      <c r="I171" s="1056"/>
      <c r="J171" s="1056"/>
      <c r="K171" s="1056"/>
      <c r="L171" s="1056"/>
      <c r="M171" s="1056"/>
      <c r="N171" s="1056"/>
      <c r="O171" s="1056"/>
      <c r="P171" s="1056"/>
      <c r="Q171" s="1059"/>
      <c r="R171" s="655"/>
      <c r="S171" s="655"/>
      <c r="T171" s="655"/>
      <c r="U171" s="655"/>
      <c r="V171" s="655"/>
      <c r="W171" s="655"/>
      <c r="X171" s="655"/>
      <c r="Y171" s="655"/>
      <c r="Z171" s="655"/>
      <c r="AA171" s="655"/>
      <c r="AB171" s="655"/>
      <c r="AC171" s="655"/>
      <c r="AD171" s="655"/>
      <c r="AE171" s="655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:43" ht="12.75">
      <c r="A172" s="1054">
        <v>22</v>
      </c>
      <c r="B172" s="1056"/>
      <c r="C172" s="1057"/>
      <c r="D172" s="1058"/>
      <c r="E172" s="1058"/>
      <c r="F172" s="1056"/>
      <c r="G172" s="1056"/>
      <c r="H172" s="1056"/>
      <c r="I172" s="1056"/>
      <c r="J172" s="1056"/>
      <c r="K172" s="1056"/>
      <c r="L172" s="1056"/>
      <c r="M172" s="1056"/>
      <c r="N172" s="1056"/>
      <c r="O172" s="1056"/>
      <c r="P172" s="1056"/>
      <c r="Q172" s="1059"/>
      <c r="R172" s="655"/>
      <c r="S172" s="655"/>
      <c r="T172" s="655"/>
      <c r="U172" s="655"/>
      <c r="V172" s="655"/>
      <c r="W172" s="655"/>
      <c r="X172" s="655"/>
      <c r="Y172" s="655"/>
      <c r="Z172" s="655"/>
      <c r="AA172" s="655"/>
      <c r="AB172" s="655"/>
      <c r="AC172" s="655"/>
      <c r="AD172" s="655"/>
      <c r="AE172" s="655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:43" ht="12.75">
      <c r="A173" s="1054">
        <v>23</v>
      </c>
      <c r="B173" s="1056"/>
      <c r="C173" s="1057"/>
      <c r="D173" s="1058"/>
      <c r="E173" s="1058"/>
      <c r="F173" s="1056"/>
      <c r="G173" s="1056"/>
      <c r="H173" s="1056"/>
      <c r="I173" s="1056"/>
      <c r="J173" s="1056"/>
      <c r="K173" s="1056"/>
      <c r="L173" s="1056"/>
      <c r="M173" s="1056"/>
      <c r="N173" s="1056"/>
      <c r="O173" s="1056"/>
      <c r="P173" s="1056"/>
      <c r="Q173" s="1059"/>
      <c r="R173" s="655"/>
      <c r="S173" s="655"/>
      <c r="T173" s="655"/>
      <c r="U173" s="655"/>
      <c r="V173" s="655"/>
      <c r="W173" s="655"/>
      <c r="X173" s="655"/>
      <c r="Y173" s="655"/>
      <c r="Z173" s="655"/>
      <c r="AA173" s="655"/>
      <c r="AB173" s="655"/>
      <c r="AC173" s="655"/>
      <c r="AD173" s="655"/>
      <c r="AE173" s="655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:43" ht="12.75">
      <c r="A174" s="1054">
        <v>24</v>
      </c>
      <c r="B174" s="1056"/>
      <c r="C174" s="1057"/>
      <c r="D174" s="1058"/>
      <c r="E174" s="1058"/>
      <c r="F174" s="1056"/>
      <c r="G174" s="1056"/>
      <c r="H174" s="1056"/>
      <c r="I174" s="1056"/>
      <c r="J174" s="1056"/>
      <c r="K174" s="1056"/>
      <c r="L174" s="1056"/>
      <c r="M174" s="1056"/>
      <c r="N174" s="1056"/>
      <c r="O174" s="1056"/>
      <c r="P174" s="1056"/>
      <c r="Q174" s="1059"/>
      <c r="R174" s="655"/>
      <c r="S174" s="655"/>
      <c r="T174" s="655"/>
      <c r="U174" s="655"/>
      <c r="V174" s="655"/>
      <c r="W174" s="655"/>
      <c r="X174" s="655"/>
      <c r="Y174" s="655"/>
      <c r="Z174" s="655"/>
      <c r="AA174" s="655"/>
      <c r="AB174" s="655"/>
      <c r="AC174" s="655"/>
      <c r="AD174" s="655"/>
      <c r="AE174" s="655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:43" ht="13.5" thickBot="1">
      <c r="A175" s="1054">
        <v>25</v>
      </c>
      <c r="B175" s="1060"/>
      <c r="C175" s="1061"/>
      <c r="D175" s="1062"/>
      <c r="E175" s="1062"/>
      <c r="F175" s="1060"/>
      <c r="G175" s="1060"/>
      <c r="H175" s="1060"/>
      <c r="I175" s="1060"/>
      <c r="J175" s="1060"/>
      <c r="K175" s="1060"/>
      <c r="L175" s="1060"/>
      <c r="M175" s="1060"/>
      <c r="N175" s="1060"/>
      <c r="O175" s="1060"/>
      <c r="P175" s="1060"/>
      <c r="Q175" s="1063"/>
      <c r="R175" s="655"/>
      <c r="S175" s="655"/>
      <c r="T175" s="655"/>
      <c r="U175" s="655"/>
      <c r="V175" s="655"/>
      <c r="W175" s="655"/>
      <c r="X175" s="655"/>
      <c r="Y175" s="655"/>
      <c r="Z175" s="655"/>
      <c r="AA175" s="655"/>
      <c r="AB175" s="655"/>
      <c r="AC175" s="655"/>
      <c r="AD175" s="655"/>
      <c r="AE175" s="65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:43" ht="13.5" thickBot="1">
      <c r="A176" s="1472" t="s">
        <v>753</v>
      </c>
      <c r="B176" s="1473"/>
      <c r="C176" s="1473"/>
      <c r="D176" s="1473"/>
      <c r="E176" s="1473"/>
      <c r="F176" s="1473"/>
      <c r="G176" s="1473"/>
      <c r="H176" s="1474"/>
      <c r="I176" s="1064">
        <f>SUM(I151:I175)</f>
        <v>170600</v>
      </c>
      <c r="J176" s="1064">
        <f aca="true" t="shared" si="41" ref="J176:Q176">SUM(J151:J175)</f>
        <v>170600</v>
      </c>
      <c r="K176" s="1064">
        <f t="shared" si="41"/>
        <v>41797</v>
      </c>
      <c r="L176" s="1064">
        <f t="shared" si="41"/>
        <v>25590</v>
      </c>
      <c r="M176" s="1064">
        <f t="shared" si="41"/>
        <v>16207</v>
      </c>
      <c r="N176" s="1064">
        <f t="shared" si="41"/>
        <v>0</v>
      </c>
      <c r="O176" s="1064">
        <f t="shared" si="41"/>
        <v>5800.4</v>
      </c>
      <c r="P176" s="1064">
        <f t="shared" si="41"/>
        <v>170600</v>
      </c>
      <c r="Q176" s="1064">
        <f t="shared" si="41"/>
        <v>11060</v>
      </c>
      <c r="R176" s="655"/>
      <c r="S176" s="655"/>
      <c r="T176" s="655"/>
      <c r="U176" s="655"/>
      <c r="V176" s="655"/>
      <c r="W176" s="655"/>
      <c r="X176" s="655"/>
      <c r="Y176" s="655"/>
      <c r="Z176" s="655"/>
      <c r="AA176" s="655"/>
      <c r="AB176" s="655"/>
      <c r="AC176" s="655"/>
      <c r="AD176" s="655"/>
      <c r="AE176" s="655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:43" ht="13.5" thickBot="1">
      <c r="A177" s="1475" t="s">
        <v>756</v>
      </c>
      <c r="B177" s="1476"/>
      <c r="C177" s="1476"/>
      <c r="D177" s="1476"/>
      <c r="E177" s="1476"/>
      <c r="F177" s="1476"/>
      <c r="G177" s="1476"/>
      <c r="H177" s="1477"/>
      <c r="I177" s="1065"/>
      <c r="J177" s="1066"/>
      <c r="K177" s="1066"/>
      <c r="L177" s="1066"/>
      <c r="M177" s="1066"/>
      <c r="N177" s="1066">
        <v>0</v>
      </c>
      <c r="O177" s="1066"/>
      <c r="P177" s="1066"/>
      <c r="Q177" s="1067"/>
      <c r="R177" s="655"/>
      <c r="S177" s="655"/>
      <c r="T177" s="655"/>
      <c r="U177" s="655"/>
      <c r="V177" s="655"/>
      <c r="W177" s="655"/>
      <c r="X177" s="655"/>
      <c r="Y177" s="655"/>
      <c r="Z177" s="655"/>
      <c r="AA177" s="655"/>
      <c r="AB177" s="655"/>
      <c r="AC177" s="655"/>
      <c r="AD177" s="655"/>
      <c r="AE177" s="655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:43" ht="13.5" thickBot="1">
      <c r="A178" s="1478" t="s">
        <v>759</v>
      </c>
      <c r="B178" s="1479"/>
      <c r="C178" s="1479"/>
      <c r="D178" s="1479"/>
      <c r="E178" s="1479"/>
      <c r="F178" s="1479"/>
      <c r="G178" s="1479"/>
      <c r="H178" s="1480"/>
      <c r="I178" s="1064">
        <f>SUM(I176:I177)</f>
        <v>170600</v>
      </c>
      <c r="J178" s="1064">
        <f aca="true" t="shared" si="42" ref="J178:Q178">SUM(J176:J177)</f>
        <v>170600</v>
      </c>
      <c r="K178" s="1064">
        <f t="shared" si="42"/>
        <v>41797</v>
      </c>
      <c r="L178" s="1064">
        <f t="shared" si="42"/>
        <v>25590</v>
      </c>
      <c r="M178" s="1064">
        <f t="shared" si="42"/>
        <v>16207</v>
      </c>
      <c r="N178" s="1064">
        <f t="shared" si="42"/>
        <v>0</v>
      </c>
      <c r="O178" s="1064">
        <f t="shared" si="42"/>
        <v>5800.4</v>
      </c>
      <c r="P178" s="1064">
        <f t="shared" si="42"/>
        <v>170600</v>
      </c>
      <c r="Q178" s="1064">
        <f t="shared" si="42"/>
        <v>11060</v>
      </c>
      <c r="R178" s="655"/>
      <c r="S178" s="655"/>
      <c r="T178" s="655"/>
      <c r="U178" s="655"/>
      <c r="V178" s="655"/>
      <c r="W178" s="655"/>
      <c r="X178" s="655"/>
      <c r="Y178" s="655"/>
      <c r="Z178" s="655"/>
      <c r="AA178" s="655"/>
      <c r="AB178" s="655"/>
      <c r="AC178" s="655"/>
      <c r="AD178" s="655"/>
      <c r="AE178" s="655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:43" ht="12.75">
      <c r="A179" s="683"/>
      <c r="B179" s="684" t="s">
        <v>764</v>
      </c>
      <c r="C179" s="685"/>
      <c r="D179" s="685"/>
      <c r="E179" s="685"/>
      <c r="F179" s="685"/>
      <c r="G179" s="685"/>
      <c r="H179" s="1068"/>
      <c r="I179" s="686" t="s">
        <v>765</v>
      </c>
      <c r="J179" s="685"/>
      <c r="K179" s="685"/>
      <c r="L179" s="685"/>
      <c r="M179" s="685"/>
      <c r="N179" s="685"/>
      <c r="O179" s="685"/>
      <c r="P179" s="685"/>
      <c r="Q179" s="687"/>
      <c r="R179" s="655"/>
      <c r="S179" s="655"/>
      <c r="T179" s="655"/>
      <c r="U179" s="655"/>
      <c r="V179" s="655"/>
      <c r="W179" s="655"/>
      <c r="X179" s="655"/>
      <c r="Y179" s="655"/>
      <c r="Z179" s="655"/>
      <c r="AA179" s="655"/>
      <c r="AB179" s="655"/>
      <c r="AC179" s="655"/>
      <c r="AD179" s="655"/>
      <c r="AE179" s="655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:43" ht="12.75">
      <c r="A180" s="688" t="s">
        <v>1323</v>
      </c>
      <c r="B180" s="689"/>
      <c r="C180" s="689"/>
      <c r="D180" s="689"/>
      <c r="E180" s="689"/>
      <c r="F180" s="689"/>
      <c r="G180" s="689"/>
      <c r="H180" s="1069"/>
      <c r="I180" s="690" t="s">
        <v>766</v>
      </c>
      <c r="J180" s="689"/>
      <c r="K180" s="689"/>
      <c r="L180" s="689"/>
      <c r="M180" s="689"/>
      <c r="N180" s="689"/>
      <c r="O180" s="689"/>
      <c r="P180" s="689"/>
      <c r="Q180" s="691"/>
      <c r="R180" s="655"/>
      <c r="S180" s="655"/>
      <c r="T180" s="655"/>
      <c r="U180" s="655"/>
      <c r="V180" s="655"/>
      <c r="W180" s="655"/>
      <c r="X180" s="655"/>
      <c r="Y180" s="655"/>
      <c r="Z180" s="655"/>
      <c r="AA180" s="655"/>
      <c r="AB180" s="655"/>
      <c r="AC180" s="655"/>
      <c r="AD180" s="655"/>
      <c r="AE180" s="655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:43" ht="12.75">
      <c r="A181" s="688" t="s">
        <v>1324</v>
      </c>
      <c r="B181" s="689"/>
      <c r="C181" s="689"/>
      <c r="D181" s="689"/>
      <c r="E181" s="689"/>
      <c r="F181" s="689"/>
      <c r="G181" s="689"/>
      <c r="H181" s="1069"/>
      <c r="I181" s="47" t="s">
        <v>767</v>
      </c>
      <c r="J181" s="689"/>
      <c r="K181" s="689"/>
      <c r="L181" s="689"/>
      <c r="M181" s="689"/>
      <c r="N181" s="689"/>
      <c r="O181" s="689"/>
      <c r="P181" s="689"/>
      <c r="Q181" s="691"/>
      <c r="R181" s="655"/>
      <c r="S181" s="655"/>
      <c r="T181" s="655"/>
      <c r="U181" s="655"/>
      <c r="V181" s="655"/>
      <c r="W181" s="655"/>
      <c r="X181" s="655"/>
      <c r="Y181" s="655"/>
      <c r="Z181" s="655"/>
      <c r="AA181" s="655"/>
      <c r="AB181" s="655"/>
      <c r="AC181" s="655"/>
      <c r="AD181" s="655"/>
      <c r="AE181" s="655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:43" ht="12.75">
      <c r="A182" s="688" t="s">
        <v>1325</v>
      </c>
      <c r="B182" s="689"/>
      <c r="C182" s="1"/>
      <c r="D182" s="689"/>
      <c r="E182" s="689"/>
      <c r="F182" s="689"/>
      <c r="G182" s="689"/>
      <c r="H182" s="1069"/>
      <c r="I182" s="690" t="s">
        <v>768</v>
      </c>
      <c r="J182" s="689"/>
      <c r="K182" s="689"/>
      <c r="L182" s="689"/>
      <c r="M182" s="689"/>
      <c r="N182" s="689"/>
      <c r="O182" s="689"/>
      <c r="P182" s="689"/>
      <c r="Q182" s="691"/>
      <c r="R182" s="655"/>
      <c r="S182" s="655"/>
      <c r="T182" s="655"/>
      <c r="U182" s="655"/>
      <c r="V182" s="655"/>
      <c r="W182" s="655"/>
      <c r="X182" s="655"/>
      <c r="Y182" s="655"/>
      <c r="Z182" s="655"/>
      <c r="AA182" s="655"/>
      <c r="AB182" s="655"/>
      <c r="AC182" s="655"/>
      <c r="AD182" s="655"/>
      <c r="AE182" s="655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:43" ht="12.75">
      <c r="A183" s="688"/>
      <c r="B183" s="689"/>
      <c r="C183" s="689"/>
      <c r="D183" s="689"/>
      <c r="E183" s="689"/>
      <c r="F183" s="689"/>
      <c r="G183" s="689"/>
      <c r="H183" s="1069"/>
      <c r="I183" s="690" t="s">
        <v>769</v>
      </c>
      <c r="J183" s="689"/>
      <c r="K183" s="689"/>
      <c r="L183" s="689"/>
      <c r="M183" s="689"/>
      <c r="N183" s="689"/>
      <c r="O183" s="689"/>
      <c r="P183" s="689"/>
      <c r="Q183" s="691"/>
      <c r="R183" s="655"/>
      <c r="S183" s="655"/>
      <c r="T183" s="655"/>
      <c r="U183" s="655"/>
      <c r="V183" s="655"/>
      <c r="W183" s="655"/>
      <c r="X183" s="655"/>
      <c r="Y183" s="655"/>
      <c r="Z183" s="655"/>
      <c r="AA183" s="655"/>
      <c r="AB183" s="655"/>
      <c r="AC183" s="655"/>
      <c r="AD183" s="655"/>
      <c r="AE183" s="655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:43" ht="12.75">
      <c r="A184" s="688"/>
      <c r="B184" s="700" t="s">
        <v>770</v>
      </c>
      <c r="C184" s="689"/>
      <c r="D184" s="689"/>
      <c r="E184" s="689"/>
      <c r="F184" s="689"/>
      <c r="G184" s="689"/>
      <c r="H184" s="1069"/>
      <c r="I184" s="47" t="s">
        <v>771</v>
      </c>
      <c r="J184" s="689"/>
      <c r="K184" s="689"/>
      <c r="L184" s="689"/>
      <c r="M184" s="689"/>
      <c r="N184" s="689"/>
      <c r="O184" s="689"/>
      <c r="P184" s="689"/>
      <c r="Q184" s="691"/>
      <c r="R184" s="655"/>
      <c r="S184" s="655"/>
      <c r="T184" s="655"/>
      <c r="U184" s="655"/>
      <c r="V184" s="655"/>
      <c r="W184" s="655"/>
      <c r="X184" s="655"/>
      <c r="Y184" s="655"/>
      <c r="Z184" s="655"/>
      <c r="AA184" s="655"/>
      <c r="AB184" s="655"/>
      <c r="AC184" s="655"/>
      <c r="AD184" s="655"/>
      <c r="AE184" s="655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:43" ht="12.75">
      <c r="A185" s="688"/>
      <c r="B185" s="689" t="s">
        <v>1326</v>
      </c>
      <c r="C185" s="689"/>
      <c r="D185" s="689"/>
      <c r="E185" s="689"/>
      <c r="F185" s="689"/>
      <c r="G185" s="689"/>
      <c r="H185" s="1069"/>
      <c r="I185" s="47"/>
      <c r="J185" s="689"/>
      <c r="K185" s="689"/>
      <c r="L185" s="701" t="s">
        <v>772</v>
      </c>
      <c r="M185" s="689"/>
      <c r="N185" s="689"/>
      <c r="O185" s="689"/>
      <c r="P185" s="689"/>
      <c r="Q185" s="691"/>
      <c r="R185" s="655"/>
      <c r="S185" s="655"/>
      <c r="T185" s="655"/>
      <c r="U185" s="655"/>
      <c r="V185" s="655"/>
      <c r="W185" s="655"/>
      <c r="X185" s="655"/>
      <c r="Y185" s="655"/>
      <c r="Z185" s="655"/>
      <c r="AA185" s="655"/>
      <c r="AB185" s="655"/>
      <c r="AC185" s="655"/>
      <c r="AD185" s="655"/>
      <c r="AE185" s="65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:43" ht="12.75">
      <c r="A186" s="688"/>
      <c r="B186" s="689"/>
      <c r="C186" s="689"/>
      <c r="D186" s="689" t="s">
        <v>773</v>
      </c>
      <c r="E186" s="689"/>
      <c r="F186" s="689"/>
      <c r="G186" s="689"/>
      <c r="H186" s="1069"/>
      <c r="I186" s="690" t="s">
        <v>774</v>
      </c>
      <c r="J186" s="689"/>
      <c r="K186" s="689"/>
      <c r="L186" s="689"/>
      <c r="M186" s="689"/>
      <c r="N186" s="689"/>
      <c r="O186" s="689"/>
      <c r="P186" s="689"/>
      <c r="Q186" s="689"/>
      <c r="R186" s="655"/>
      <c r="S186" s="655"/>
      <c r="T186" s="655"/>
      <c r="U186" s="655"/>
      <c r="V186" s="655"/>
      <c r="W186" s="655"/>
      <c r="X186" s="655"/>
      <c r="Y186" s="655"/>
      <c r="Z186" s="655"/>
      <c r="AA186" s="655"/>
      <c r="AB186" s="655"/>
      <c r="AC186" s="655"/>
      <c r="AD186" s="655"/>
      <c r="AE186" s="655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:43" ht="12.75">
      <c r="A187" s="688"/>
      <c r="B187" s="689"/>
      <c r="C187" s="689"/>
      <c r="D187" s="689"/>
      <c r="E187" s="689"/>
      <c r="F187" s="689"/>
      <c r="G187" s="689"/>
      <c r="H187" s="1069"/>
      <c r="I187" s="690"/>
      <c r="J187" s="689" t="s">
        <v>775</v>
      </c>
      <c r="K187" s="689"/>
      <c r="L187" s="689"/>
      <c r="M187" s="689"/>
      <c r="N187" s="689"/>
      <c r="O187" s="689"/>
      <c r="P187" s="689"/>
      <c r="Q187" s="689"/>
      <c r="R187" s="655"/>
      <c r="S187" s="655"/>
      <c r="T187" s="655"/>
      <c r="U187" s="655"/>
      <c r="V187" s="655"/>
      <c r="W187" s="655"/>
      <c r="X187" s="655"/>
      <c r="Y187" s="655"/>
      <c r="Z187" s="655"/>
      <c r="AA187" s="655"/>
      <c r="AB187" s="655"/>
      <c r="AC187" s="655"/>
      <c r="AD187" s="655"/>
      <c r="AE187" s="655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:43" ht="13.5" thickBot="1">
      <c r="A188" s="702"/>
      <c r="B188" s="703"/>
      <c r="C188" s="703"/>
      <c r="D188" s="703"/>
      <c r="E188" s="703"/>
      <c r="F188" s="703"/>
      <c r="G188" s="703"/>
      <c r="H188" s="1070"/>
      <c r="I188" s="704"/>
      <c r="J188" s="705" t="s">
        <v>776</v>
      </c>
      <c r="K188" s="703"/>
      <c r="L188" s="703"/>
      <c r="M188" s="703"/>
      <c r="N188" s="703"/>
      <c r="O188" s="703"/>
      <c r="P188" s="703"/>
      <c r="Q188" s="706"/>
      <c r="R188" s="655"/>
      <c r="S188" s="655"/>
      <c r="T188" s="655"/>
      <c r="U188" s="655"/>
      <c r="V188" s="655"/>
      <c r="W188" s="655"/>
      <c r="X188" s="655"/>
      <c r="Y188" s="655"/>
      <c r="Z188" s="655"/>
      <c r="AA188" s="655"/>
      <c r="AB188" s="655"/>
      <c r="AC188" s="655"/>
      <c r="AD188" s="655"/>
      <c r="AE188" s="655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:43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 s="655"/>
      <c r="S189" s="655"/>
      <c r="T189" s="655"/>
      <c r="U189" s="655"/>
      <c r="V189" s="655"/>
      <c r="W189" s="655"/>
      <c r="X189" s="655"/>
      <c r="Y189" s="655"/>
      <c r="Z189" s="655"/>
      <c r="AA189" s="655"/>
      <c r="AB189" s="655"/>
      <c r="AC189" s="655"/>
      <c r="AD189" s="655"/>
      <c r="AE189" s="655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:43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 s="655"/>
      <c r="S190" s="655"/>
      <c r="T190" s="655"/>
      <c r="U190" s="655"/>
      <c r="V190" s="655"/>
      <c r="W190" s="655"/>
      <c r="X190" s="655"/>
      <c r="Y190" s="655"/>
      <c r="Z190" s="655"/>
      <c r="AA190" s="655"/>
      <c r="AB190" s="655"/>
      <c r="AC190" s="655"/>
      <c r="AD190" s="655"/>
      <c r="AE190" s="655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:43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 s="655"/>
      <c r="S191" s="655"/>
      <c r="T191" s="655"/>
      <c r="U191" s="655"/>
      <c r="V191" s="655"/>
      <c r="W191" s="655"/>
      <c r="X191" s="655"/>
      <c r="Y191" s="655"/>
      <c r="Z191" s="655"/>
      <c r="AA191" s="655"/>
      <c r="AB191" s="655"/>
      <c r="AC191" s="655"/>
      <c r="AD191" s="655"/>
      <c r="AE191" s="655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:43" ht="15">
      <c r="A192" s="1025" t="s">
        <v>133</v>
      </c>
      <c r="B192" s="1025"/>
      <c r="C192" s="1025"/>
      <c r="D192" s="1025"/>
      <c r="E192" s="1025"/>
      <c r="F192" s="1025"/>
      <c r="G192" s="1025"/>
      <c r="H192" s="1025"/>
      <c r="I192" s="1025"/>
      <c r="J192" s="1025"/>
      <c r="K192" s="1025"/>
      <c r="L192" s="1025"/>
      <c r="M192" s="1025"/>
      <c r="N192" s="1025"/>
      <c r="O192" s="1025"/>
      <c r="P192" s="1025"/>
      <c r="Q192"/>
      <c r="R192" s="655"/>
      <c r="S192" s="655"/>
      <c r="T192" s="655"/>
      <c r="U192" s="655"/>
      <c r="V192" s="655"/>
      <c r="W192" s="655"/>
      <c r="X192" s="655"/>
      <c r="Y192" s="655"/>
      <c r="Z192" s="655"/>
      <c r="AA192" s="655"/>
      <c r="AB192" s="655"/>
      <c r="AC192" s="655"/>
      <c r="AD192" s="655"/>
      <c r="AE192" s="655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:43" ht="15">
      <c r="A193" s="1025" t="s">
        <v>1293</v>
      </c>
      <c r="B193" s="1025"/>
      <c r="C193" s="1025"/>
      <c r="D193"/>
      <c r="E193" s="1025" t="s">
        <v>1294</v>
      </c>
      <c r="F193" s="1025"/>
      <c r="G193" s="1025"/>
      <c r="H193" s="1025"/>
      <c r="I193" s="1025"/>
      <c r="J193" s="1025" t="s">
        <v>1720</v>
      </c>
      <c r="K193" s="1025"/>
      <c r="L193" s="1025"/>
      <c r="M193" s="1025"/>
      <c r="N193" s="1025"/>
      <c r="O193" s="1025"/>
      <c r="P193" s="1025"/>
      <c r="Q193"/>
      <c r="R193" s="655"/>
      <c r="S193" s="655"/>
      <c r="T193" s="655"/>
      <c r="U193" s="655"/>
      <c r="V193" s="655"/>
      <c r="W193" s="655"/>
      <c r="X193" s="655"/>
      <c r="Y193" s="655"/>
      <c r="Z193" s="655"/>
      <c r="AA193" s="655"/>
      <c r="AB193" s="655"/>
      <c r="AC193" s="655"/>
      <c r="AD193" s="655"/>
      <c r="AE193" s="655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:43" ht="16.5" thickBot="1">
      <c r="A194" s="1026" t="s">
        <v>725</v>
      </c>
      <c r="B194" s="1026"/>
      <c r="C194" s="1026"/>
      <c r="D194" s="1026"/>
      <c r="E194" s="1026"/>
      <c r="F194" s="1026" t="s">
        <v>1296</v>
      </c>
      <c r="G194" s="1026"/>
      <c r="H194" s="1026"/>
      <c r="I194" s="1026"/>
      <c r="J194" s="1026"/>
      <c r="K194" s="1026"/>
      <c r="L194" s="1026" t="s">
        <v>727</v>
      </c>
      <c r="M194" s="1026"/>
      <c r="N194" s="1026"/>
      <c r="O194" s="1026"/>
      <c r="P194" s="1026"/>
      <c r="Q194"/>
      <c r="R194" s="655"/>
      <c r="S194" s="655"/>
      <c r="T194" s="655"/>
      <c r="U194" s="655"/>
      <c r="V194" s="655"/>
      <c r="W194" s="655"/>
      <c r="X194" s="655"/>
      <c r="Y194" s="655"/>
      <c r="Z194" s="655"/>
      <c r="AA194" s="655"/>
      <c r="AB194" s="655"/>
      <c r="AC194" s="655"/>
      <c r="AD194" s="655"/>
      <c r="AE194" s="655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:43" ht="12.75">
      <c r="A195" s="1027" t="s">
        <v>199</v>
      </c>
      <c r="B195" s="1028" t="s">
        <v>729</v>
      </c>
      <c r="C195" s="1029"/>
      <c r="D195" s="1030"/>
      <c r="E195" s="1481" t="s">
        <v>1297</v>
      </c>
      <c r="F195" s="1028" t="s">
        <v>1298</v>
      </c>
      <c r="G195" s="1028" t="s">
        <v>1299</v>
      </c>
      <c r="H195" s="1028" t="s">
        <v>1300</v>
      </c>
      <c r="I195" s="1031" t="s">
        <v>780</v>
      </c>
      <c r="J195" s="1032"/>
      <c r="K195" s="1031" t="s">
        <v>200</v>
      </c>
      <c r="L195" s="1033"/>
      <c r="M195" s="1033"/>
      <c r="N195" s="1032"/>
      <c r="O195" s="1028" t="s">
        <v>201</v>
      </c>
      <c r="P195" s="1028" t="s">
        <v>202</v>
      </c>
      <c r="Q195" s="1034" t="s">
        <v>203</v>
      </c>
      <c r="R195" s="655"/>
      <c r="S195" s="655"/>
      <c r="T195" s="655"/>
      <c r="U195" s="655"/>
      <c r="V195" s="655"/>
      <c r="W195" s="655"/>
      <c r="X195" s="655"/>
      <c r="Y195" s="655"/>
      <c r="Z195" s="655"/>
      <c r="AA195" s="655"/>
      <c r="AB195" s="655"/>
      <c r="AC195" s="655"/>
      <c r="AD195" s="655"/>
      <c r="AE195" s="65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:43" ht="12.75">
      <c r="A196" s="1035"/>
      <c r="B196" s="1036" t="s">
        <v>730</v>
      </c>
      <c r="C196" s="1037" t="s">
        <v>1301</v>
      </c>
      <c r="D196" s="1038"/>
      <c r="E196" s="1482"/>
      <c r="F196" s="1036" t="s">
        <v>1302</v>
      </c>
      <c r="G196" s="1036" t="s">
        <v>1303</v>
      </c>
      <c r="H196" s="1036" t="s">
        <v>1304</v>
      </c>
      <c r="I196" s="1039" t="s">
        <v>205</v>
      </c>
      <c r="J196" s="1039" t="s">
        <v>782</v>
      </c>
      <c r="K196" s="1039"/>
      <c r="L196" s="1040" t="s">
        <v>206</v>
      </c>
      <c r="M196" s="1041"/>
      <c r="N196" s="1039" t="s">
        <v>731</v>
      </c>
      <c r="O196" s="1036" t="s">
        <v>732</v>
      </c>
      <c r="P196" s="1036" t="s">
        <v>207</v>
      </c>
      <c r="Q196" s="1042" t="s">
        <v>208</v>
      </c>
      <c r="R196" s="655"/>
      <c r="S196" s="655"/>
      <c r="T196" s="655"/>
      <c r="U196" s="655"/>
      <c r="V196" s="655"/>
      <c r="W196" s="655"/>
      <c r="X196" s="655"/>
      <c r="Y196" s="655"/>
      <c r="Z196" s="655"/>
      <c r="AA196" s="655"/>
      <c r="AB196" s="655"/>
      <c r="AC196" s="655"/>
      <c r="AD196" s="655"/>
      <c r="AE196" s="655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:43" ht="13.5" thickBot="1">
      <c r="A197" s="1043"/>
      <c r="B197" s="1044" t="s">
        <v>735</v>
      </c>
      <c r="C197" s="1037"/>
      <c r="D197" s="1038"/>
      <c r="E197" s="1483"/>
      <c r="F197" s="1044" t="s">
        <v>1305</v>
      </c>
      <c r="G197" s="1044" t="s">
        <v>1306</v>
      </c>
      <c r="H197" s="1044" t="s">
        <v>1307</v>
      </c>
      <c r="I197" s="1044"/>
      <c r="J197" s="1044" t="s">
        <v>1308</v>
      </c>
      <c r="K197" s="1044" t="s">
        <v>1309</v>
      </c>
      <c r="L197" s="1045" t="s">
        <v>736</v>
      </c>
      <c r="M197" s="1045" t="s">
        <v>737</v>
      </c>
      <c r="N197" s="1044" t="s">
        <v>738</v>
      </c>
      <c r="O197" s="1044" t="s">
        <v>739</v>
      </c>
      <c r="P197" s="1044" t="s">
        <v>740</v>
      </c>
      <c r="Q197" s="1046" t="s">
        <v>1310</v>
      </c>
      <c r="R197" s="655"/>
      <c r="S197" s="655"/>
      <c r="T197" s="655"/>
      <c r="U197" s="655"/>
      <c r="V197" s="655"/>
      <c r="W197" s="655"/>
      <c r="X197" s="655"/>
      <c r="Y197" s="655"/>
      <c r="Z197" s="655"/>
      <c r="AA197" s="655"/>
      <c r="AB197" s="655"/>
      <c r="AC197" s="655"/>
      <c r="AD197" s="655"/>
      <c r="AE197" s="655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:43" ht="12.75">
      <c r="A198" s="1047">
        <v>1</v>
      </c>
      <c r="B198" s="1048" t="s">
        <v>1311</v>
      </c>
      <c r="C198" s="1470" t="s">
        <v>1270</v>
      </c>
      <c r="D198" s="1471"/>
      <c r="E198" s="1050" t="s">
        <v>1312</v>
      </c>
      <c r="F198" s="1051">
        <v>1</v>
      </c>
      <c r="G198" s="1052">
        <v>0</v>
      </c>
      <c r="H198" s="1052">
        <v>22</v>
      </c>
      <c r="I198" s="1052">
        <v>50000</v>
      </c>
      <c r="J198" s="1052">
        <v>50000</v>
      </c>
      <c r="K198" s="1052">
        <f aca="true" t="shared" si="43" ref="K198:K203">L198+M198</f>
        <v>12250</v>
      </c>
      <c r="L198" s="1052">
        <f aca="true" t="shared" si="44" ref="L198:L203">I198*0.15</f>
        <v>7500</v>
      </c>
      <c r="M198" s="1052">
        <f aca="true" t="shared" si="45" ref="M198:M203">I198*0.095</f>
        <v>4750</v>
      </c>
      <c r="N198" s="1052">
        <v>0</v>
      </c>
      <c r="O198" s="1052">
        <f aca="true" t="shared" si="46" ref="O198:O203">I198*0.034</f>
        <v>1700.0000000000002</v>
      </c>
      <c r="P198" s="1052">
        <f aca="true" t="shared" si="47" ref="P198:P203">I198</f>
        <v>50000</v>
      </c>
      <c r="Q198" s="1053">
        <v>5000</v>
      </c>
      <c r="R198" s="655"/>
      <c r="S198" s="655"/>
      <c r="T198" s="655"/>
      <c r="U198" s="655"/>
      <c r="V198" s="655"/>
      <c r="W198" s="655"/>
      <c r="X198" s="655"/>
      <c r="Y198" s="655"/>
      <c r="Z198" s="655"/>
      <c r="AA198" s="655"/>
      <c r="AB198" s="655"/>
      <c r="AC198" s="655"/>
      <c r="AD198" s="655"/>
      <c r="AE198" s="655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:43" ht="12.75">
      <c r="A199" s="1054">
        <v>2</v>
      </c>
      <c r="B199" s="1056"/>
      <c r="C199" s="1470" t="s">
        <v>1316</v>
      </c>
      <c r="D199" s="1471"/>
      <c r="E199" s="1049" t="s">
        <v>1317</v>
      </c>
      <c r="F199" s="1056">
        <v>1</v>
      </c>
      <c r="G199" s="1056">
        <v>0</v>
      </c>
      <c r="H199" s="1056">
        <v>22</v>
      </c>
      <c r="I199" s="1052">
        <v>20100</v>
      </c>
      <c r="J199" s="1052">
        <v>20100</v>
      </c>
      <c r="K199" s="1056">
        <f t="shared" si="43"/>
        <v>4924.5</v>
      </c>
      <c r="L199" s="1052">
        <f t="shared" si="44"/>
        <v>3015</v>
      </c>
      <c r="M199" s="1052">
        <f t="shared" si="45"/>
        <v>1909.5</v>
      </c>
      <c r="N199" s="1056">
        <v>0</v>
      </c>
      <c r="O199" s="1052">
        <f t="shared" si="46"/>
        <v>683.4000000000001</v>
      </c>
      <c r="P199" s="1056">
        <f t="shared" si="47"/>
        <v>20100</v>
      </c>
      <c r="Q199" s="1053">
        <v>1010</v>
      </c>
      <c r="R199" s="655"/>
      <c r="S199" s="655"/>
      <c r="T199" s="655"/>
      <c r="U199" s="655"/>
      <c r="V199" s="655"/>
      <c r="W199" s="655"/>
      <c r="X199" s="655"/>
      <c r="Y199" s="655"/>
      <c r="Z199" s="655"/>
      <c r="AA199" s="655"/>
      <c r="AB199" s="655"/>
      <c r="AC199" s="655"/>
      <c r="AD199" s="655"/>
      <c r="AE199" s="655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:43" ht="12.75">
      <c r="A200" s="1054">
        <v>3</v>
      </c>
      <c r="B200" s="1056"/>
      <c r="C200" s="1470" t="s">
        <v>1318</v>
      </c>
      <c r="D200" s="1471"/>
      <c r="E200" s="1049" t="s">
        <v>1317</v>
      </c>
      <c r="F200" s="1056">
        <v>1</v>
      </c>
      <c r="G200" s="1056">
        <v>0</v>
      </c>
      <c r="H200" s="1056">
        <v>22</v>
      </c>
      <c r="I200" s="1052">
        <v>20100</v>
      </c>
      <c r="J200" s="1052">
        <v>20100</v>
      </c>
      <c r="K200" s="1056">
        <f t="shared" si="43"/>
        <v>4924.5</v>
      </c>
      <c r="L200" s="1052">
        <f t="shared" si="44"/>
        <v>3015</v>
      </c>
      <c r="M200" s="1052">
        <f t="shared" si="45"/>
        <v>1909.5</v>
      </c>
      <c r="N200" s="1052">
        <v>0</v>
      </c>
      <c r="O200" s="1052">
        <f t="shared" si="46"/>
        <v>683.4000000000001</v>
      </c>
      <c r="P200" s="1056">
        <f t="shared" si="47"/>
        <v>20100</v>
      </c>
      <c r="Q200" s="1053">
        <v>1010</v>
      </c>
      <c r="R200" s="655"/>
      <c r="S200" s="655"/>
      <c r="T200" s="655"/>
      <c r="U200" s="655"/>
      <c r="V200" s="655"/>
      <c r="W200" s="655"/>
      <c r="X200" s="655"/>
      <c r="Y200" s="655"/>
      <c r="Z200" s="655"/>
      <c r="AA200" s="655"/>
      <c r="AB200" s="655"/>
      <c r="AC200" s="655"/>
      <c r="AD200" s="655"/>
      <c r="AE200" s="655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:43" ht="12.75">
      <c r="A201" s="1054">
        <v>4</v>
      </c>
      <c r="B201" s="1056"/>
      <c r="C201" s="1470" t="s">
        <v>1319</v>
      </c>
      <c r="D201" s="1471"/>
      <c r="E201" s="1049" t="s">
        <v>1317</v>
      </c>
      <c r="F201" s="1056">
        <v>1</v>
      </c>
      <c r="G201" s="1056">
        <v>0</v>
      </c>
      <c r="H201" s="1056">
        <v>22</v>
      </c>
      <c r="I201" s="1052">
        <v>20100</v>
      </c>
      <c r="J201" s="1052">
        <v>20100</v>
      </c>
      <c r="K201" s="1056">
        <f t="shared" si="43"/>
        <v>4924.5</v>
      </c>
      <c r="L201" s="1052">
        <f t="shared" si="44"/>
        <v>3015</v>
      </c>
      <c r="M201" s="1052">
        <f t="shared" si="45"/>
        <v>1909.5</v>
      </c>
      <c r="N201" s="1056">
        <v>0</v>
      </c>
      <c r="O201" s="1052">
        <f t="shared" si="46"/>
        <v>683.4000000000001</v>
      </c>
      <c r="P201" s="1056">
        <f t="shared" si="47"/>
        <v>20100</v>
      </c>
      <c r="Q201" s="1053">
        <v>1010</v>
      </c>
      <c r="R201" s="655"/>
      <c r="S201" s="655"/>
      <c r="T201" s="655"/>
      <c r="U201" s="655"/>
      <c r="V201" s="655"/>
      <c r="W201" s="655"/>
      <c r="X201" s="655"/>
      <c r="Y201" s="655"/>
      <c r="Z201" s="655"/>
      <c r="AA201" s="655"/>
      <c r="AB201" s="655"/>
      <c r="AC201" s="655"/>
      <c r="AD201" s="655"/>
      <c r="AE201" s="655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:43" ht="12.75">
      <c r="A202" s="1054">
        <v>5</v>
      </c>
      <c r="B202" s="1056"/>
      <c r="C202" s="1470" t="s">
        <v>1320</v>
      </c>
      <c r="D202" s="1471"/>
      <c r="E202" s="1049" t="s">
        <v>1317</v>
      </c>
      <c r="F202" s="1056">
        <v>1</v>
      </c>
      <c r="G202" s="1056">
        <v>0</v>
      </c>
      <c r="H202" s="1056">
        <v>22</v>
      </c>
      <c r="I202" s="1052">
        <v>20100</v>
      </c>
      <c r="J202" s="1052">
        <v>20100</v>
      </c>
      <c r="K202" s="1056">
        <f t="shared" si="43"/>
        <v>4924.5</v>
      </c>
      <c r="L202" s="1052">
        <f t="shared" si="44"/>
        <v>3015</v>
      </c>
      <c r="M202" s="1052">
        <f t="shared" si="45"/>
        <v>1909.5</v>
      </c>
      <c r="N202" s="1052">
        <v>0</v>
      </c>
      <c r="O202" s="1052">
        <f t="shared" si="46"/>
        <v>683.4000000000001</v>
      </c>
      <c r="P202" s="1056">
        <f t="shared" si="47"/>
        <v>20100</v>
      </c>
      <c r="Q202" s="1053">
        <v>1010</v>
      </c>
      <c r="R202" s="655"/>
      <c r="S202" s="655"/>
      <c r="T202" s="655"/>
      <c r="U202" s="655"/>
      <c r="V202" s="655"/>
      <c r="W202" s="655"/>
      <c r="X202" s="655"/>
      <c r="Y202" s="655"/>
      <c r="Z202" s="655"/>
      <c r="AA202" s="655"/>
      <c r="AB202" s="655"/>
      <c r="AC202" s="655"/>
      <c r="AD202" s="655"/>
      <c r="AE202" s="655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:43" ht="12.75">
      <c r="A203" s="1054">
        <v>6</v>
      </c>
      <c r="B203" s="1056"/>
      <c r="C203" s="1470" t="s">
        <v>1321</v>
      </c>
      <c r="D203" s="1471"/>
      <c r="E203" s="1049"/>
      <c r="F203" s="1056">
        <v>1</v>
      </c>
      <c r="G203" s="1056">
        <v>0</v>
      </c>
      <c r="H203" s="1056">
        <v>22</v>
      </c>
      <c r="I203" s="1052">
        <v>20100</v>
      </c>
      <c r="J203" s="1052">
        <v>20100</v>
      </c>
      <c r="K203" s="1056">
        <f t="shared" si="43"/>
        <v>4924.5</v>
      </c>
      <c r="L203" s="1052">
        <f t="shared" si="44"/>
        <v>3015</v>
      </c>
      <c r="M203" s="1052">
        <f t="shared" si="45"/>
        <v>1909.5</v>
      </c>
      <c r="N203" s="1056">
        <v>0</v>
      </c>
      <c r="O203" s="1052">
        <f t="shared" si="46"/>
        <v>683.4000000000001</v>
      </c>
      <c r="P203" s="1056">
        <f t="shared" si="47"/>
        <v>20100</v>
      </c>
      <c r="Q203" s="1053">
        <v>1010</v>
      </c>
      <c r="R203" s="655"/>
      <c r="S203" s="655"/>
      <c r="T203" s="655"/>
      <c r="U203" s="655"/>
      <c r="V203" s="655"/>
      <c r="W203" s="655"/>
      <c r="X203" s="655"/>
      <c r="Y203" s="655"/>
      <c r="Z203" s="655"/>
      <c r="AA203" s="655"/>
      <c r="AB203" s="655"/>
      <c r="AC203" s="655"/>
      <c r="AD203" s="655"/>
      <c r="AE203" s="655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:43" ht="12.75">
      <c r="A204" s="1054">
        <v>7</v>
      </c>
      <c r="B204" s="1056"/>
      <c r="C204" s="1470"/>
      <c r="D204" s="1471"/>
      <c r="E204" s="1058"/>
      <c r="F204" s="1056"/>
      <c r="G204" s="1056"/>
      <c r="H204" s="1056"/>
      <c r="I204" s="1052"/>
      <c r="J204" s="1052"/>
      <c r="K204" s="1056"/>
      <c r="L204" s="1052"/>
      <c r="M204" s="1052"/>
      <c r="N204" s="1052"/>
      <c r="O204" s="1052"/>
      <c r="P204" s="1056"/>
      <c r="Q204" s="1053"/>
      <c r="R204" s="655"/>
      <c r="S204" s="655"/>
      <c r="T204" s="655"/>
      <c r="U204" s="655"/>
      <c r="V204" s="655"/>
      <c r="W204" s="655"/>
      <c r="X204" s="655"/>
      <c r="Y204" s="655"/>
      <c r="Z204" s="655"/>
      <c r="AA204" s="655"/>
      <c r="AB204" s="655"/>
      <c r="AC204" s="655"/>
      <c r="AD204" s="655"/>
      <c r="AE204" s="655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:43" ht="12.75">
      <c r="A205" s="1054">
        <v>8</v>
      </c>
      <c r="B205" s="1056"/>
      <c r="C205" s="1057"/>
      <c r="D205" s="1058"/>
      <c r="E205" s="1058"/>
      <c r="F205" s="1056"/>
      <c r="G205" s="1056"/>
      <c r="H205" s="1056"/>
      <c r="I205" s="1056"/>
      <c r="J205" s="1056"/>
      <c r="K205" s="1056"/>
      <c r="L205" s="1052"/>
      <c r="M205" s="1052"/>
      <c r="N205" s="1052"/>
      <c r="O205" s="1052"/>
      <c r="P205" s="1056"/>
      <c r="Q205" s="1053"/>
      <c r="R205" s="655"/>
      <c r="S205" s="655"/>
      <c r="T205" s="655"/>
      <c r="U205" s="655"/>
      <c r="V205" s="655"/>
      <c r="W205" s="655"/>
      <c r="X205" s="655"/>
      <c r="Y205" s="655"/>
      <c r="Z205" s="655"/>
      <c r="AA205" s="655"/>
      <c r="AB205" s="655"/>
      <c r="AC205" s="655"/>
      <c r="AD205" s="655"/>
      <c r="AE205" s="65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:43" ht="12.75">
      <c r="A206" s="1054">
        <v>9</v>
      </c>
      <c r="B206" s="1056"/>
      <c r="C206" s="1057"/>
      <c r="D206" s="1058"/>
      <c r="E206" s="1058"/>
      <c r="F206" s="1056"/>
      <c r="G206" s="1056"/>
      <c r="H206" s="1056"/>
      <c r="I206" s="1056"/>
      <c r="J206" s="1056"/>
      <c r="K206" s="1056"/>
      <c r="L206" s="1056"/>
      <c r="M206" s="1056"/>
      <c r="N206" s="1056"/>
      <c r="O206" s="1056"/>
      <c r="P206" s="1056"/>
      <c r="Q206" s="1059"/>
      <c r="R206" s="655"/>
      <c r="S206" s="655"/>
      <c r="T206" s="655"/>
      <c r="U206" s="655"/>
      <c r="V206" s="655"/>
      <c r="W206" s="655"/>
      <c r="X206" s="655"/>
      <c r="Y206" s="655"/>
      <c r="Z206" s="655"/>
      <c r="AA206" s="655"/>
      <c r="AB206" s="655"/>
      <c r="AC206" s="655"/>
      <c r="AD206" s="655"/>
      <c r="AE206" s="655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:43" ht="12.75">
      <c r="A207" s="1054">
        <v>10</v>
      </c>
      <c r="B207" s="1056"/>
      <c r="C207" s="1057"/>
      <c r="D207" s="1058"/>
      <c r="E207" s="1058"/>
      <c r="F207" s="1056"/>
      <c r="G207" s="1056"/>
      <c r="H207" s="1056"/>
      <c r="I207" s="1056"/>
      <c r="J207" s="1056"/>
      <c r="K207" s="1056"/>
      <c r="L207" s="1056"/>
      <c r="M207" s="1056"/>
      <c r="N207" s="1056"/>
      <c r="O207" s="1056"/>
      <c r="P207" s="1056"/>
      <c r="Q207" s="1059"/>
      <c r="R207" s="655"/>
      <c r="S207" s="655"/>
      <c r="T207" s="655"/>
      <c r="U207" s="655"/>
      <c r="V207" s="655"/>
      <c r="W207" s="655"/>
      <c r="X207" s="655"/>
      <c r="Y207" s="655"/>
      <c r="Z207" s="655"/>
      <c r="AA207" s="655"/>
      <c r="AB207" s="655"/>
      <c r="AC207" s="655"/>
      <c r="AD207" s="655"/>
      <c r="AE207" s="655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:43" ht="12.75">
      <c r="A208" s="1054">
        <v>11</v>
      </c>
      <c r="B208" s="1056"/>
      <c r="C208" s="1057"/>
      <c r="D208" s="1058"/>
      <c r="E208" s="1058"/>
      <c r="F208" s="1056"/>
      <c r="G208" s="1056"/>
      <c r="H208" s="1056"/>
      <c r="I208" s="1056"/>
      <c r="J208" s="1056"/>
      <c r="K208" s="1056"/>
      <c r="L208" s="1056"/>
      <c r="M208" s="1056"/>
      <c r="N208" s="1056"/>
      <c r="O208" s="1056"/>
      <c r="P208" s="1056"/>
      <c r="Q208" s="1059"/>
      <c r="R208" s="655"/>
      <c r="S208" s="655"/>
      <c r="T208" s="655"/>
      <c r="U208" s="655"/>
      <c r="V208" s="655"/>
      <c r="W208" s="655"/>
      <c r="X208" s="655"/>
      <c r="Y208" s="655"/>
      <c r="Z208" s="655"/>
      <c r="AA208" s="655"/>
      <c r="AB208" s="655"/>
      <c r="AC208" s="655"/>
      <c r="AD208" s="655"/>
      <c r="AE208" s="655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:43" ht="12.75">
      <c r="A209" s="1054">
        <v>12</v>
      </c>
      <c r="B209" s="1056"/>
      <c r="C209" s="1057"/>
      <c r="D209" s="1058"/>
      <c r="E209" s="1058"/>
      <c r="F209" s="1056"/>
      <c r="G209" s="1056"/>
      <c r="H209" s="1056"/>
      <c r="I209" s="1056"/>
      <c r="J209" s="1056"/>
      <c r="K209" s="1056"/>
      <c r="L209" s="1056"/>
      <c r="M209" s="1056"/>
      <c r="N209" s="1056"/>
      <c r="O209" s="1056"/>
      <c r="P209" s="1056"/>
      <c r="Q209" s="1059"/>
      <c r="R209" s="655"/>
      <c r="S209" s="655"/>
      <c r="T209" s="655"/>
      <c r="U209" s="655"/>
      <c r="V209" s="655"/>
      <c r="W209" s="655"/>
      <c r="X209" s="655"/>
      <c r="Y209" s="655"/>
      <c r="Z209" s="655"/>
      <c r="AA209" s="655"/>
      <c r="AB209" s="655"/>
      <c r="AC209" s="655"/>
      <c r="AD209" s="655"/>
      <c r="AE209" s="655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:43" ht="12.75">
      <c r="A210" s="1054">
        <v>13</v>
      </c>
      <c r="B210" s="1056"/>
      <c r="C210" s="1057"/>
      <c r="D210" s="1058"/>
      <c r="E210" s="1058"/>
      <c r="F210" s="1056"/>
      <c r="G210" s="1056"/>
      <c r="H210" s="1056"/>
      <c r="I210" s="1056"/>
      <c r="J210" s="1056"/>
      <c r="K210" s="1056"/>
      <c r="L210" s="1056"/>
      <c r="M210" s="1056"/>
      <c r="N210" s="1056"/>
      <c r="O210" s="1056"/>
      <c r="P210" s="1056"/>
      <c r="Q210" s="1059"/>
      <c r="R210" s="655"/>
      <c r="S210" s="655"/>
      <c r="T210" s="655"/>
      <c r="U210" s="655"/>
      <c r="V210" s="655"/>
      <c r="W210" s="655"/>
      <c r="X210" s="655"/>
      <c r="Y210" s="655"/>
      <c r="Z210" s="655"/>
      <c r="AA210" s="655"/>
      <c r="AB210" s="655"/>
      <c r="AC210" s="655"/>
      <c r="AD210" s="655"/>
      <c r="AE210" s="655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:43" ht="12.75">
      <c r="A211" s="1054">
        <v>14</v>
      </c>
      <c r="B211" s="1056"/>
      <c r="C211" s="1057"/>
      <c r="D211" s="1058"/>
      <c r="E211" s="1058"/>
      <c r="F211" s="1056"/>
      <c r="G211" s="1056"/>
      <c r="H211" s="1056"/>
      <c r="I211" s="1056"/>
      <c r="J211" s="1056"/>
      <c r="K211" s="1056"/>
      <c r="L211" s="1056"/>
      <c r="M211" s="1056"/>
      <c r="N211" s="1056"/>
      <c r="O211" s="1056"/>
      <c r="P211" s="1056"/>
      <c r="Q211" s="1059"/>
      <c r="R211" s="655"/>
      <c r="S211" s="655"/>
      <c r="T211" s="655"/>
      <c r="U211" s="655"/>
      <c r="V211" s="655"/>
      <c r="W211" s="655"/>
      <c r="X211" s="655"/>
      <c r="Y211" s="655"/>
      <c r="Z211" s="655"/>
      <c r="AA211" s="655"/>
      <c r="AB211" s="655"/>
      <c r="AC211" s="655"/>
      <c r="AD211" s="655"/>
      <c r="AE211" s="655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:43" ht="12.75">
      <c r="A212" s="1054">
        <v>15</v>
      </c>
      <c r="B212" s="1056"/>
      <c r="C212" s="1057"/>
      <c r="D212" s="1058"/>
      <c r="E212" s="1058"/>
      <c r="F212" s="1056"/>
      <c r="G212" s="1056"/>
      <c r="H212" s="1056"/>
      <c r="I212" s="1056"/>
      <c r="J212" s="1056"/>
      <c r="K212" s="1056"/>
      <c r="L212" s="1056"/>
      <c r="M212" s="1056"/>
      <c r="N212" s="1056"/>
      <c r="O212" s="1056"/>
      <c r="P212" s="1056"/>
      <c r="Q212" s="1059"/>
      <c r="R212" s="655"/>
      <c r="S212" s="655"/>
      <c r="T212" s="655"/>
      <c r="U212" s="655"/>
      <c r="V212" s="655"/>
      <c r="W212" s="655"/>
      <c r="X212" s="655"/>
      <c r="Y212" s="655"/>
      <c r="Z212" s="655"/>
      <c r="AA212" s="655"/>
      <c r="AB212" s="655"/>
      <c r="AC212" s="655"/>
      <c r="AD212" s="655"/>
      <c r="AE212" s="655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:43" ht="12.75">
      <c r="A213" s="1054">
        <v>16</v>
      </c>
      <c r="B213" s="1056"/>
      <c r="C213" s="1057"/>
      <c r="D213" s="1058"/>
      <c r="E213" s="1058"/>
      <c r="F213" s="1056"/>
      <c r="G213" s="1056"/>
      <c r="H213" s="1056"/>
      <c r="I213" s="1056"/>
      <c r="J213" s="1056"/>
      <c r="K213" s="1056"/>
      <c r="L213" s="1056"/>
      <c r="M213" s="1056"/>
      <c r="N213" s="1056"/>
      <c r="O213" s="1056"/>
      <c r="P213" s="1056"/>
      <c r="Q213" s="1059"/>
      <c r="R213" s="655"/>
      <c r="S213" s="655"/>
      <c r="T213" s="655"/>
      <c r="U213" s="655"/>
      <c r="V213" s="655"/>
      <c r="W213" s="655"/>
      <c r="X213" s="655"/>
      <c r="Y213" s="655"/>
      <c r="Z213" s="655"/>
      <c r="AA213" s="655"/>
      <c r="AB213" s="655"/>
      <c r="AC213" s="655"/>
      <c r="AD213" s="655"/>
      <c r="AE213" s="655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:43" ht="12.75">
      <c r="A214" s="1054">
        <v>17</v>
      </c>
      <c r="B214" s="1056"/>
      <c r="C214" s="1057"/>
      <c r="D214" s="1058"/>
      <c r="E214" s="1058"/>
      <c r="F214" s="1056"/>
      <c r="G214" s="1056"/>
      <c r="H214" s="1056"/>
      <c r="I214" s="1056"/>
      <c r="J214" s="1056"/>
      <c r="K214" s="1056"/>
      <c r="L214" s="1056"/>
      <c r="M214" s="1056"/>
      <c r="N214" s="1056"/>
      <c r="O214" s="1056"/>
      <c r="P214" s="1056"/>
      <c r="Q214" s="1059"/>
      <c r="R214" s="655"/>
      <c r="S214" s="655"/>
      <c r="T214" s="655"/>
      <c r="U214" s="655"/>
      <c r="V214" s="655"/>
      <c r="W214" s="655"/>
      <c r="X214" s="655"/>
      <c r="Y214" s="655"/>
      <c r="Z214" s="655"/>
      <c r="AA214" s="655"/>
      <c r="AB214" s="655"/>
      <c r="AC214" s="655"/>
      <c r="AD214" s="655"/>
      <c r="AE214" s="655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:43" ht="12.75">
      <c r="A215" s="1054">
        <v>18</v>
      </c>
      <c r="B215" s="1056"/>
      <c r="C215" s="1057"/>
      <c r="D215" s="1058"/>
      <c r="E215" s="1058"/>
      <c r="F215" s="1056"/>
      <c r="G215" s="1056"/>
      <c r="H215" s="1056"/>
      <c r="I215" s="1056"/>
      <c r="J215" s="1056"/>
      <c r="K215" s="1056"/>
      <c r="L215" s="1056"/>
      <c r="M215" s="1056"/>
      <c r="N215" s="1056"/>
      <c r="O215" s="1056"/>
      <c r="P215" s="1056"/>
      <c r="Q215" s="1059"/>
      <c r="R215" s="655"/>
      <c r="S215" s="655"/>
      <c r="T215" s="655"/>
      <c r="U215" s="655"/>
      <c r="V215" s="655"/>
      <c r="W215" s="655"/>
      <c r="X215" s="655"/>
      <c r="Y215" s="655"/>
      <c r="Z215" s="655"/>
      <c r="AA215" s="655"/>
      <c r="AB215" s="655"/>
      <c r="AC215" s="655"/>
      <c r="AD215" s="655"/>
      <c r="AE215" s="65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:43" ht="12.75">
      <c r="A216" s="1054">
        <v>19</v>
      </c>
      <c r="B216" s="1056"/>
      <c r="C216" s="1057"/>
      <c r="D216" s="1058"/>
      <c r="E216" s="1058"/>
      <c r="F216" s="1056"/>
      <c r="G216" s="1056"/>
      <c r="H216" s="1056"/>
      <c r="I216" s="1056"/>
      <c r="J216" s="1056"/>
      <c r="K216" s="1056"/>
      <c r="L216" s="1056"/>
      <c r="M216" s="1056"/>
      <c r="N216" s="1056"/>
      <c r="O216" s="1056"/>
      <c r="P216" s="1056"/>
      <c r="Q216" s="1059"/>
      <c r="R216" s="655"/>
      <c r="S216" s="655"/>
      <c r="T216" s="655"/>
      <c r="U216" s="655"/>
      <c r="V216" s="655"/>
      <c r="W216" s="655"/>
      <c r="X216" s="655"/>
      <c r="Y216" s="655"/>
      <c r="Z216" s="655"/>
      <c r="AA216" s="655"/>
      <c r="AB216" s="655"/>
      <c r="AC216" s="655"/>
      <c r="AD216" s="655"/>
      <c r="AE216" s="655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:43" ht="12.75">
      <c r="A217" s="1054">
        <v>20</v>
      </c>
      <c r="B217" s="1056"/>
      <c r="C217" s="1057"/>
      <c r="D217" s="1058"/>
      <c r="E217" s="1058"/>
      <c r="F217" s="1056"/>
      <c r="G217" s="1056"/>
      <c r="H217" s="1056"/>
      <c r="I217" s="1056"/>
      <c r="J217" s="1056"/>
      <c r="K217" s="1056"/>
      <c r="L217" s="1056"/>
      <c r="M217" s="1056"/>
      <c r="N217" s="1056"/>
      <c r="O217" s="1056"/>
      <c r="P217" s="1056"/>
      <c r="Q217" s="1059"/>
      <c r="R217" s="655"/>
      <c r="S217" s="655"/>
      <c r="T217" s="655"/>
      <c r="U217" s="655"/>
      <c r="V217" s="655"/>
      <c r="W217" s="655"/>
      <c r="X217" s="655"/>
      <c r="Y217" s="655"/>
      <c r="Z217" s="655"/>
      <c r="AA217" s="655"/>
      <c r="AB217" s="655"/>
      <c r="AC217" s="655"/>
      <c r="AD217" s="655"/>
      <c r="AE217" s="655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:43" ht="12.75">
      <c r="A218" s="1054">
        <v>21</v>
      </c>
      <c r="B218" s="1056"/>
      <c r="C218" s="1057"/>
      <c r="D218" s="1058"/>
      <c r="E218" s="1058"/>
      <c r="F218" s="1056"/>
      <c r="G218" s="1056"/>
      <c r="H218" s="1056"/>
      <c r="I218" s="1056"/>
      <c r="J218" s="1056"/>
      <c r="K218" s="1056"/>
      <c r="L218" s="1056"/>
      <c r="M218" s="1056"/>
      <c r="N218" s="1056"/>
      <c r="O218" s="1056"/>
      <c r="P218" s="1056"/>
      <c r="Q218" s="1059"/>
      <c r="R218" s="655"/>
      <c r="S218" s="655"/>
      <c r="T218" s="655"/>
      <c r="U218" s="655"/>
      <c r="V218" s="655"/>
      <c r="W218" s="655"/>
      <c r="X218" s="655"/>
      <c r="Y218" s="655"/>
      <c r="Z218" s="655"/>
      <c r="AA218" s="655"/>
      <c r="AB218" s="655"/>
      <c r="AC218" s="655"/>
      <c r="AD218" s="655"/>
      <c r="AE218" s="655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:43" ht="12.75">
      <c r="A219" s="1054">
        <v>22</v>
      </c>
      <c r="B219" s="1056"/>
      <c r="C219" s="1057"/>
      <c r="D219" s="1058"/>
      <c r="E219" s="1058"/>
      <c r="F219" s="1056"/>
      <c r="G219" s="1056"/>
      <c r="H219" s="1056"/>
      <c r="I219" s="1056"/>
      <c r="J219" s="1056"/>
      <c r="K219" s="1056"/>
      <c r="L219" s="1056"/>
      <c r="M219" s="1056"/>
      <c r="N219" s="1056"/>
      <c r="O219" s="1056"/>
      <c r="P219" s="1056"/>
      <c r="Q219" s="1059"/>
      <c r="R219" s="655"/>
      <c r="S219" s="655"/>
      <c r="T219" s="655"/>
      <c r="U219" s="655"/>
      <c r="V219" s="655"/>
      <c r="W219" s="655"/>
      <c r="X219" s="655"/>
      <c r="Y219" s="655"/>
      <c r="Z219" s="655"/>
      <c r="AA219" s="655"/>
      <c r="AB219" s="655"/>
      <c r="AC219" s="655"/>
      <c r="AD219" s="655"/>
      <c r="AE219" s="655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:43" ht="12.75">
      <c r="A220" s="1054">
        <v>23</v>
      </c>
      <c r="B220" s="1056"/>
      <c r="C220" s="1057"/>
      <c r="D220" s="1058"/>
      <c r="E220" s="1058"/>
      <c r="F220" s="1056"/>
      <c r="G220" s="1056"/>
      <c r="H220" s="1056"/>
      <c r="I220" s="1056"/>
      <c r="J220" s="1056"/>
      <c r="K220" s="1056"/>
      <c r="L220" s="1056"/>
      <c r="M220" s="1056"/>
      <c r="N220" s="1056"/>
      <c r="O220" s="1056"/>
      <c r="P220" s="1056"/>
      <c r="Q220" s="1059"/>
      <c r="R220" s="655"/>
      <c r="S220" s="655"/>
      <c r="T220" s="655"/>
      <c r="U220" s="655"/>
      <c r="V220" s="655"/>
      <c r="W220" s="655"/>
      <c r="X220" s="655"/>
      <c r="Y220" s="655"/>
      <c r="Z220" s="655"/>
      <c r="AA220" s="655"/>
      <c r="AB220" s="655"/>
      <c r="AC220" s="655"/>
      <c r="AD220" s="655"/>
      <c r="AE220" s="655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:43" ht="12.75">
      <c r="A221" s="1054">
        <v>24</v>
      </c>
      <c r="B221" s="1056"/>
      <c r="C221" s="1057"/>
      <c r="D221" s="1058"/>
      <c r="E221" s="1058"/>
      <c r="F221" s="1056"/>
      <c r="G221" s="1056"/>
      <c r="H221" s="1056"/>
      <c r="I221" s="1056"/>
      <c r="J221" s="1056"/>
      <c r="K221" s="1056"/>
      <c r="L221" s="1056"/>
      <c r="M221" s="1056"/>
      <c r="N221" s="1056"/>
      <c r="O221" s="1056"/>
      <c r="P221" s="1056"/>
      <c r="Q221" s="1059"/>
      <c r="R221" s="655"/>
      <c r="S221" s="655"/>
      <c r="T221" s="655"/>
      <c r="U221" s="655"/>
      <c r="V221" s="655"/>
      <c r="W221" s="655"/>
      <c r="X221" s="655"/>
      <c r="Y221" s="655"/>
      <c r="Z221" s="655"/>
      <c r="AA221" s="655"/>
      <c r="AB221" s="655"/>
      <c r="AC221" s="655"/>
      <c r="AD221" s="655"/>
      <c r="AE221" s="655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:43" ht="13.5" thickBot="1">
      <c r="A222" s="1054">
        <v>25</v>
      </c>
      <c r="B222" s="1060"/>
      <c r="C222" s="1061"/>
      <c r="D222" s="1062"/>
      <c r="E222" s="1062"/>
      <c r="F222" s="1060"/>
      <c r="G222" s="1060"/>
      <c r="H222" s="1060"/>
      <c r="I222" s="1060"/>
      <c r="J222" s="1060"/>
      <c r="K222" s="1060"/>
      <c r="L222" s="1060"/>
      <c r="M222" s="1060"/>
      <c r="N222" s="1060"/>
      <c r="O222" s="1060"/>
      <c r="P222" s="1060"/>
      <c r="Q222" s="1063"/>
      <c r="R222" s="655"/>
      <c r="S222" s="655"/>
      <c r="T222" s="655"/>
      <c r="U222" s="655"/>
      <c r="V222" s="655"/>
      <c r="W222" s="655"/>
      <c r="X222" s="655"/>
      <c r="Y222" s="655"/>
      <c r="Z222" s="655"/>
      <c r="AA222" s="655"/>
      <c r="AB222" s="655"/>
      <c r="AC222" s="655"/>
      <c r="AD222" s="655"/>
      <c r="AE222" s="655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:43" ht="13.5" thickBot="1">
      <c r="A223" s="1472" t="s">
        <v>753</v>
      </c>
      <c r="B223" s="1473"/>
      <c r="C223" s="1473"/>
      <c r="D223" s="1473"/>
      <c r="E223" s="1473"/>
      <c r="F223" s="1473"/>
      <c r="G223" s="1473"/>
      <c r="H223" s="1474"/>
      <c r="I223" s="1064">
        <f>SUM(I198:I222)</f>
        <v>150500</v>
      </c>
      <c r="J223" s="1064">
        <f aca="true" t="shared" si="48" ref="J223:Q223">SUM(J198:J222)</f>
        <v>150500</v>
      </c>
      <c r="K223" s="1064">
        <f t="shared" si="48"/>
        <v>36872.5</v>
      </c>
      <c r="L223" s="1064">
        <f t="shared" si="48"/>
        <v>22575</v>
      </c>
      <c r="M223" s="1064">
        <f t="shared" si="48"/>
        <v>14297.5</v>
      </c>
      <c r="N223" s="1064">
        <f t="shared" si="48"/>
        <v>0</v>
      </c>
      <c r="O223" s="1064">
        <f t="shared" si="48"/>
        <v>5117</v>
      </c>
      <c r="P223" s="1064">
        <f t="shared" si="48"/>
        <v>150500</v>
      </c>
      <c r="Q223" s="1064">
        <f t="shared" si="48"/>
        <v>10050</v>
      </c>
      <c r="R223" s="655"/>
      <c r="S223" s="655"/>
      <c r="T223" s="655"/>
      <c r="U223" s="655"/>
      <c r="V223" s="655"/>
      <c r="W223" s="655"/>
      <c r="X223" s="655"/>
      <c r="Y223" s="655"/>
      <c r="Z223" s="655"/>
      <c r="AA223" s="655"/>
      <c r="AB223" s="655"/>
      <c r="AC223" s="655"/>
      <c r="AD223" s="655"/>
      <c r="AE223" s="655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:43" ht="13.5" thickBot="1">
      <c r="A224" s="1475" t="s">
        <v>756</v>
      </c>
      <c r="B224" s="1476"/>
      <c r="C224" s="1476"/>
      <c r="D224" s="1476"/>
      <c r="E224" s="1476"/>
      <c r="F224" s="1476"/>
      <c r="G224" s="1476"/>
      <c r="H224" s="1477"/>
      <c r="I224" s="1065"/>
      <c r="J224" s="1066"/>
      <c r="K224" s="1066"/>
      <c r="L224" s="1066"/>
      <c r="M224" s="1066"/>
      <c r="N224" s="1066">
        <v>0</v>
      </c>
      <c r="O224" s="1066"/>
      <c r="P224" s="1066"/>
      <c r="Q224" s="1067"/>
      <c r="R224" s="655"/>
      <c r="S224" s="655"/>
      <c r="T224" s="655"/>
      <c r="U224" s="655"/>
      <c r="V224" s="655"/>
      <c r="W224" s="655"/>
      <c r="X224" s="655"/>
      <c r="Y224" s="655"/>
      <c r="Z224" s="655"/>
      <c r="AA224" s="655"/>
      <c r="AB224" s="655"/>
      <c r="AC224" s="655"/>
      <c r="AD224" s="655"/>
      <c r="AE224" s="655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:43" ht="13.5" thickBot="1">
      <c r="A225" s="1478" t="s">
        <v>759</v>
      </c>
      <c r="B225" s="1479"/>
      <c r="C225" s="1479"/>
      <c r="D225" s="1479"/>
      <c r="E225" s="1479"/>
      <c r="F225" s="1479"/>
      <c r="G225" s="1479"/>
      <c r="H225" s="1480"/>
      <c r="I225" s="1064">
        <f>SUM(I223:I224)</f>
        <v>150500</v>
      </c>
      <c r="J225" s="1064">
        <f aca="true" t="shared" si="49" ref="J225:Q225">SUM(J223:J224)</f>
        <v>150500</v>
      </c>
      <c r="K225" s="1064">
        <f t="shared" si="49"/>
        <v>36872.5</v>
      </c>
      <c r="L225" s="1064">
        <f t="shared" si="49"/>
        <v>22575</v>
      </c>
      <c r="M225" s="1064">
        <f t="shared" si="49"/>
        <v>14297.5</v>
      </c>
      <c r="N225" s="1064">
        <f t="shared" si="49"/>
        <v>0</v>
      </c>
      <c r="O225" s="1064">
        <f t="shared" si="49"/>
        <v>5117</v>
      </c>
      <c r="P225" s="1064">
        <f t="shared" si="49"/>
        <v>150500</v>
      </c>
      <c r="Q225" s="1064">
        <f t="shared" si="49"/>
        <v>10050</v>
      </c>
      <c r="R225" s="655"/>
      <c r="S225" s="655"/>
      <c r="T225" s="655"/>
      <c r="U225" s="655"/>
      <c r="V225" s="655"/>
      <c r="W225" s="655"/>
      <c r="X225" s="655"/>
      <c r="Y225" s="655"/>
      <c r="Z225" s="655"/>
      <c r="AA225" s="655"/>
      <c r="AB225" s="655"/>
      <c r="AC225" s="655"/>
      <c r="AD225" s="655"/>
      <c r="AE225" s="65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:43" ht="12.75">
      <c r="A226" s="683"/>
      <c r="B226" s="684" t="s">
        <v>764</v>
      </c>
      <c r="C226" s="685"/>
      <c r="D226" s="685"/>
      <c r="E226" s="685"/>
      <c r="F226" s="685"/>
      <c r="G226" s="685"/>
      <c r="H226" s="1068"/>
      <c r="I226" s="686" t="s">
        <v>765</v>
      </c>
      <c r="J226" s="685"/>
      <c r="K226" s="685"/>
      <c r="L226" s="685"/>
      <c r="M226" s="685"/>
      <c r="N226" s="685"/>
      <c r="O226" s="685"/>
      <c r="P226" s="685"/>
      <c r="Q226" s="687"/>
      <c r="R226" s="655"/>
      <c r="S226" s="655"/>
      <c r="T226" s="655"/>
      <c r="U226" s="655"/>
      <c r="V226" s="655"/>
      <c r="W226" s="655"/>
      <c r="X226" s="655"/>
      <c r="Y226" s="655"/>
      <c r="Z226" s="655"/>
      <c r="AA226" s="655"/>
      <c r="AB226" s="655"/>
      <c r="AC226" s="655"/>
      <c r="AD226" s="655"/>
      <c r="AE226" s="655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:43" ht="12.75">
      <c r="A227" s="688" t="s">
        <v>1323</v>
      </c>
      <c r="B227" s="689"/>
      <c r="C227" s="689"/>
      <c r="D227" s="689"/>
      <c r="E227" s="689"/>
      <c r="F227" s="689"/>
      <c r="G227" s="689"/>
      <c r="H227" s="1069"/>
      <c r="I227" s="690" t="s">
        <v>766</v>
      </c>
      <c r="J227" s="689"/>
      <c r="K227" s="689"/>
      <c r="L227" s="689"/>
      <c r="M227" s="689"/>
      <c r="N227" s="689"/>
      <c r="O227" s="689"/>
      <c r="P227" s="689"/>
      <c r="Q227" s="691"/>
      <c r="R227" s="655"/>
      <c r="S227" s="655"/>
      <c r="T227" s="655"/>
      <c r="U227" s="655"/>
      <c r="V227" s="655"/>
      <c r="W227" s="655"/>
      <c r="X227" s="655"/>
      <c r="Y227" s="655"/>
      <c r="Z227" s="655"/>
      <c r="AA227" s="655"/>
      <c r="AB227" s="655"/>
      <c r="AC227" s="655"/>
      <c r="AD227" s="655"/>
      <c r="AE227" s="655"/>
      <c r="AF227" s="655"/>
      <c r="AG227" s="655"/>
      <c r="AH227" s="655"/>
      <c r="AI227" s="655"/>
      <c r="AJ227" s="655"/>
      <c r="AK227" s="655"/>
      <c r="AL227" s="655"/>
      <c r="AM227" s="655"/>
      <c r="AN227" s="655"/>
      <c r="AO227" s="655"/>
      <c r="AP227" s="655"/>
      <c r="AQ227" s="655"/>
    </row>
    <row r="228" spans="1:43" ht="12.75">
      <c r="A228" s="688" t="s">
        <v>1324</v>
      </c>
      <c r="B228" s="689"/>
      <c r="C228" s="689"/>
      <c r="D228" s="689"/>
      <c r="E228" s="689"/>
      <c r="F228" s="689"/>
      <c r="G228" s="689"/>
      <c r="H228" s="1069"/>
      <c r="I228" s="47" t="s">
        <v>767</v>
      </c>
      <c r="J228" s="689"/>
      <c r="K228" s="689"/>
      <c r="L228" s="689"/>
      <c r="M228" s="689"/>
      <c r="N228" s="689"/>
      <c r="O228" s="689"/>
      <c r="P228" s="689"/>
      <c r="Q228" s="691"/>
      <c r="R228" s="655"/>
      <c r="S228" s="655"/>
      <c r="T228" s="655"/>
      <c r="U228" s="655"/>
      <c r="V228" s="655"/>
      <c r="W228" s="655"/>
      <c r="X228" s="655"/>
      <c r="Y228" s="655"/>
      <c r="Z228" s="655"/>
      <c r="AA228" s="655"/>
      <c r="AB228" s="655"/>
      <c r="AC228" s="655"/>
      <c r="AD228" s="655"/>
      <c r="AE228" s="655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:43" ht="12.75">
      <c r="A229" s="688" t="s">
        <v>1325</v>
      </c>
      <c r="B229" s="689"/>
      <c r="C229" s="1"/>
      <c r="D229" s="689"/>
      <c r="E229" s="689"/>
      <c r="F229" s="689"/>
      <c r="G229" s="689"/>
      <c r="H229" s="1069"/>
      <c r="I229" s="690" t="s">
        <v>768</v>
      </c>
      <c r="J229" s="689"/>
      <c r="K229" s="689"/>
      <c r="L229" s="689"/>
      <c r="M229" s="689"/>
      <c r="N229" s="689"/>
      <c r="O229" s="689"/>
      <c r="P229" s="689"/>
      <c r="Q229" s="691"/>
      <c r="R229" s="655"/>
      <c r="S229" s="655"/>
      <c r="T229" s="655"/>
      <c r="U229" s="655"/>
      <c r="V229" s="655"/>
      <c r="W229" s="655"/>
      <c r="X229" s="655"/>
      <c r="Y229" s="655"/>
      <c r="Z229" s="655"/>
      <c r="AA229" s="655"/>
      <c r="AB229" s="655"/>
      <c r="AC229" s="655"/>
      <c r="AD229" s="655"/>
      <c r="AE229" s="655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:43" ht="12.75">
      <c r="A230" s="688"/>
      <c r="B230" s="689"/>
      <c r="C230" s="689"/>
      <c r="D230" s="689"/>
      <c r="E230" s="689"/>
      <c r="F230" s="689"/>
      <c r="G230" s="689"/>
      <c r="H230" s="1069"/>
      <c r="I230" s="690" t="s">
        <v>769</v>
      </c>
      <c r="J230" s="689"/>
      <c r="K230" s="689"/>
      <c r="L230" s="689"/>
      <c r="M230" s="689"/>
      <c r="N230" s="689"/>
      <c r="O230" s="689"/>
      <c r="P230" s="689"/>
      <c r="Q230" s="691"/>
      <c r="R230" s="655"/>
      <c r="S230" s="655"/>
      <c r="T230" s="655"/>
      <c r="U230" s="655"/>
      <c r="V230" s="655"/>
      <c r="W230" s="655"/>
      <c r="X230" s="655"/>
      <c r="Y230" s="655"/>
      <c r="Z230" s="655"/>
      <c r="AA230" s="655"/>
      <c r="AB230" s="655"/>
      <c r="AC230" s="655"/>
      <c r="AD230" s="655"/>
      <c r="AE230" s="655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:43" ht="12.75">
      <c r="A231" s="688"/>
      <c r="B231" s="700" t="s">
        <v>770</v>
      </c>
      <c r="C231" s="689"/>
      <c r="D231" s="689"/>
      <c r="E231" s="689"/>
      <c r="F231" s="689"/>
      <c r="G231" s="689"/>
      <c r="H231" s="1069"/>
      <c r="I231" s="47" t="s">
        <v>771</v>
      </c>
      <c r="J231" s="689"/>
      <c r="K231" s="689"/>
      <c r="L231" s="689"/>
      <c r="M231" s="689"/>
      <c r="N231" s="689"/>
      <c r="O231" s="689"/>
      <c r="P231" s="689"/>
      <c r="Q231" s="691"/>
      <c r="R231" s="655"/>
      <c r="S231" s="655"/>
      <c r="T231" s="655"/>
      <c r="U231" s="655"/>
      <c r="V231" s="655"/>
      <c r="W231" s="655"/>
      <c r="X231" s="655"/>
      <c r="Y231" s="655"/>
      <c r="Z231" s="655"/>
      <c r="AA231" s="655"/>
      <c r="AB231" s="655"/>
      <c r="AC231" s="655"/>
      <c r="AD231" s="655"/>
      <c r="AE231" s="655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:43" ht="12.75">
      <c r="A232" s="688"/>
      <c r="B232" s="689" t="s">
        <v>1326</v>
      </c>
      <c r="C232" s="689"/>
      <c r="D232" s="689"/>
      <c r="E232" s="689"/>
      <c r="F232" s="689"/>
      <c r="G232" s="689"/>
      <c r="H232" s="1069"/>
      <c r="I232" s="47"/>
      <c r="J232" s="689"/>
      <c r="K232" s="689"/>
      <c r="L232" s="701" t="s">
        <v>772</v>
      </c>
      <c r="M232" s="689"/>
      <c r="N232" s="689"/>
      <c r="O232" s="689"/>
      <c r="P232" s="689"/>
      <c r="Q232" s="691"/>
      <c r="R232" s="655"/>
      <c r="S232" s="655"/>
      <c r="T232" s="655"/>
      <c r="U232" s="655"/>
      <c r="V232" s="655"/>
      <c r="W232" s="655"/>
      <c r="X232" s="655"/>
      <c r="Y232" s="655"/>
      <c r="Z232" s="655"/>
      <c r="AA232" s="655"/>
      <c r="AB232" s="655"/>
      <c r="AC232" s="655"/>
      <c r="AD232" s="655"/>
      <c r="AE232" s="655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:43" ht="12.75">
      <c r="A233" s="688"/>
      <c r="B233" s="689"/>
      <c r="C233" s="689"/>
      <c r="D233" s="689" t="s">
        <v>773</v>
      </c>
      <c r="E233" s="689"/>
      <c r="F233" s="689"/>
      <c r="G233" s="689"/>
      <c r="H233" s="1069"/>
      <c r="I233" s="690" t="s">
        <v>774</v>
      </c>
      <c r="J233" s="689"/>
      <c r="K233" s="689"/>
      <c r="L233" s="689"/>
      <c r="M233" s="689"/>
      <c r="N233" s="689"/>
      <c r="O233" s="689"/>
      <c r="P233" s="689"/>
      <c r="Q233" s="689"/>
      <c r="R233" s="655"/>
      <c r="S233" s="655"/>
      <c r="T233" s="655"/>
      <c r="U233" s="655"/>
      <c r="V233" s="655"/>
      <c r="W233" s="655"/>
      <c r="X233" s="655"/>
      <c r="Y233" s="655"/>
      <c r="Z233" s="655"/>
      <c r="AA233" s="655"/>
      <c r="AB233" s="655"/>
      <c r="AC233" s="655"/>
      <c r="AD233" s="655"/>
      <c r="AE233" s="655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:43" ht="12.75">
      <c r="A234" s="688"/>
      <c r="B234" s="689"/>
      <c r="C234" s="689"/>
      <c r="D234" s="689"/>
      <c r="E234" s="689"/>
      <c r="F234" s="689"/>
      <c r="G234" s="689"/>
      <c r="H234" s="1069"/>
      <c r="I234" s="690"/>
      <c r="J234" s="689" t="s">
        <v>775</v>
      </c>
      <c r="K234" s="689"/>
      <c r="L234" s="689"/>
      <c r="M234" s="689"/>
      <c r="N234" s="689"/>
      <c r="O234" s="689"/>
      <c r="P234" s="689"/>
      <c r="Q234" s="689"/>
      <c r="R234" s="655"/>
      <c r="S234" s="655"/>
      <c r="T234" s="655"/>
      <c r="U234" s="655"/>
      <c r="V234" s="655"/>
      <c r="W234" s="655"/>
      <c r="X234" s="655"/>
      <c r="Y234" s="655"/>
      <c r="Z234" s="655"/>
      <c r="AA234" s="655"/>
      <c r="AB234" s="655"/>
      <c r="AC234" s="655"/>
      <c r="AD234" s="655"/>
      <c r="AE234" s="655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:43" ht="13.5" thickBot="1">
      <c r="A235" s="702"/>
      <c r="B235" s="703"/>
      <c r="C235" s="703"/>
      <c r="D235" s="703"/>
      <c r="E235" s="703"/>
      <c r="F235" s="703"/>
      <c r="G235" s="703"/>
      <c r="H235" s="1070"/>
      <c r="I235" s="704"/>
      <c r="J235" s="705" t="s">
        <v>776</v>
      </c>
      <c r="K235" s="703"/>
      <c r="L235" s="703"/>
      <c r="M235" s="703"/>
      <c r="N235" s="703"/>
      <c r="O235" s="703"/>
      <c r="P235" s="703"/>
      <c r="Q235" s="706"/>
      <c r="R235" s="655"/>
      <c r="S235" s="655"/>
      <c r="T235" s="655"/>
      <c r="U235" s="655"/>
      <c r="V235" s="655"/>
      <c r="W235" s="655"/>
      <c r="X235" s="655"/>
      <c r="Y235" s="655"/>
      <c r="Z235" s="655"/>
      <c r="AA235" s="655"/>
      <c r="AB235" s="655"/>
      <c r="AC235" s="655"/>
      <c r="AD235" s="655"/>
      <c r="AE235" s="65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:43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 s="655"/>
      <c r="S236" s="655"/>
      <c r="T236" s="655"/>
      <c r="U236" s="655"/>
      <c r="V236" s="655"/>
      <c r="W236" s="655"/>
      <c r="X236" s="655"/>
      <c r="Y236" s="655"/>
      <c r="Z236" s="655"/>
      <c r="AA236" s="655"/>
      <c r="AB236" s="655"/>
      <c r="AC236" s="655"/>
      <c r="AD236" s="655"/>
      <c r="AE236" s="655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:43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 s="655"/>
      <c r="S237" s="655"/>
      <c r="T237" s="655"/>
      <c r="U237" s="655"/>
      <c r="V237" s="655"/>
      <c r="W237" s="655"/>
      <c r="X237" s="655"/>
      <c r="Y237" s="655"/>
      <c r="Z237" s="655"/>
      <c r="AA237" s="655"/>
      <c r="AB237" s="655"/>
      <c r="AC237" s="655"/>
      <c r="AD237" s="655"/>
      <c r="AE237" s="655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:43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 s="655"/>
      <c r="S238" s="655"/>
      <c r="T238" s="655"/>
      <c r="U238" s="655"/>
      <c r="V238" s="655"/>
      <c r="W238" s="655"/>
      <c r="X238" s="655"/>
      <c r="Y238" s="655"/>
      <c r="Z238" s="655"/>
      <c r="AA238" s="655"/>
      <c r="AB238" s="655"/>
      <c r="AC238" s="655"/>
      <c r="AD238" s="655"/>
      <c r="AE238" s="655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:43" ht="15">
      <c r="A239" s="1025" t="s">
        <v>133</v>
      </c>
      <c r="B239" s="1025"/>
      <c r="C239" s="1025"/>
      <c r="D239" s="1025"/>
      <c r="E239" s="1025"/>
      <c r="F239" s="1025"/>
      <c r="G239" s="1025"/>
      <c r="H239" s="1025"/>
      <c r="I239" s="1025"/>
      <c r="J239" s="1025"/>
      <c r="K239" s="1025"/>
      <c r="L239" s="1025"/>
      <c r="M239" s="1025"/>
      <c r="N239" s="1025"/>
      <c r="O239" s="1025"/>
      <c r="P239" s="1025"/>
      <c r="Q239"/>
      <c r="R239" s="655"/>
      <c r="S239" s="655"/>
      <c r="T239" s="655"/>
      <c r="U239" s="655"/>
      <c r="V239" s="655"/>
      <c r="W239" s="655"/>
      <c r="X239" s="655"/>
      <c r="Y239" s="655"/>
      <c r="Z239" s="655"/>
      <c r="AA239" s="655"/>
      <c r="AB239" s="655"/>
      <c r="AC239" s="655"/>
      <c r="AD239" s="655"/>
      <c r="AE239" s="655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:43" ht="15">
      <c r="A240" s="1025" t="s">
        <v>1293</v>
      </c>
      <c r="B240" s="1025"/>
      <c r="C240" s="1025"/>
      <c r="D240"/>
      <c r="E240" s="1025" t="s">
        <v>1294</v>
      </c>
      <c r="F240" s="1025"/>
      <c r="G240" s="1025"/>
      <c r="H240" s="1025"/>
      <c r="I240" s="1025"/>
      <c r="J240" s="1025" t="s">
        <v>1721</v>
      </c>
      <c r="K240" s="1025"/>
      <c r="L240" s="1025"/>
      <c r="M240" s="1025"/>
      <c r="N240" s="1025"/>
      <c r="O240" s="1025"/>
      <c r="P240" s="1025"/>
      <c r="Q240"/>
      <c r="R240" s="655"/>
      <c r="S240" s="655"/>
      <c r="T240" s="655"/>
      <c r="U240" s="655"/>
      <c r="V240" s="655"/>
      <c r="W240" s="655"/>
      <c r="X240" s="655"/>
      <c r="Y240" s="655"/>
      <c r="Z240" s="655"/>
      <c r="AA240" s="655"/>
      <c r="AB240" s="655"/>
      <c r="AC240" s="655"/>
      <c r="AD240" s="655"/>
      <c r="AE240" s="655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:43" ht="16.5" thickBot="1">
      <c r="A241" s="1026" t="s">
        <v>725</v>
      </c>
      <c r="B241" s="1026"/>
      <c r="C241" s="1026"/>
      <c r="D241" s="1026"/>
      <c r="E241" s="1026"/>
      <c r="F241" s="1026" t="s">
        <v>1296</v>
      </c>
      <c r="G241" s="1026"/>
      <c r="H241" s="1026"/>
      <c r="I241" s="1026"/>
      <c r="J241" s="1026"/>
      <c r="K241" s="1026"/>
      <c r="L241" s="1026" t="s">
        <v>727</v>
      </c>
      <c r="M241" s="1026"/>
      <c r="N241" s="1026"/>
      <c r="O241" s="1026"/>
      <c r="P241" s="1026"/>
      <c r="Q241"/>
      <c r="R241" s="655"/>
      <c r="S241" s="655"/>
      <c r="T241" s="655"/>
      <c r="U241" s="655"/>
      <c r="V241" s="655"/>
      <c r="W241" s="655"/>
      <c r="X241" s="655"/>
      <c r="Y241" s="655"/>
      <c r="Z241" s="655"/>
      <c r="AA241" s="655"/>
      <c r="AB241" s="655"/>
      <c r="AC241" s="655"/>
      <c r="AD241" s="655"/>
      <c r="AE241" s="655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:43" ht="12.75">
      <c r="A242" s="1027" t="s">
        <v>199</v>
      </c>
      <c r="B242" s="1028" t="s">
        <v>729</v>
      </c>
      <c r="C242" s="1029"/>
      <c r="D242" s="1030"/>
      <c r="E242" s="1481" t="s">
        <v>1297</v>
      </c>
      <c r="F242" s="1028" t="s">
        <v>1298</v>
      </c>
      <c r="G242" s="1028" t="s">
        <v>1299</v>
      </c>
      <c r="H242" s="1028" t="s">
        <v>1300</v>
      </c>
      <c r="I242" s="1031" t="s">
        <v>780</v>
      </c>
      <c r="J242" s="1032"/>
      <c r="K242" s="1031" t="s">
        <v>200</v>
      </c>
      <c r="L242" s="1033"/>
      <c r="M242" s="1033"/>
      <c r="N242" s="1032"/>
      <c r="O242" s="1028" t="s">
        <v>201</v>
      </c>
      <c r="P242" s="1028" t="s">
        <v>202</v>
      </c>
      <c r="Q242" s="1034" t="s">
        <v>203</v>
      </c>
      <c r="R242" s="655"/>
      <c r="S242" s="655"/>
      <c r="T242" s="655"/>
      <c r="U242" s="655"/>
      <c r="V242" s="655"/>
      <c r="W242" s="655"/>
      <c r="X242" s="655"/>
      <c r="Y242" s="655"/>
      <c r="Z242" s="655"/>
      <c r="AA242" s="655"/>
      <c r="AB242" s="655"/>
      <c r="AC242" s="655"/>
      <c r="AD242" s="655"/>
      <c r="AE242" s="655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:43" ht="12.75">
      <c r="A243" s="1035"/>
      <c r="B243" s="1036" t="s">
        <v>730</v>
      </c>
      <c r="C243" s="1037" t="s">
        <v>1301</v>
      </c>
      <c r="D243" s="1038"/>
      <c r="E243" s="1482"/>
      <c r="F243" s="1036" t="s">
        <v>1302</v>
      </c>
      <c r="G243" s="1036" t="s">
        <v>1303</v>
      </c>
      <c r="H243" s="1036" t="s">
        <v>1304</v>
      </c>
      <c r="I243" s="1039" t="s">
        <v>205</v>
      </c>
      <c r="J243" s="1039" t="s">
        <v>782</v>
      </c>
      <c r="K243" s="1039"/>
      <c r="L243" s="1040" t="s">
        <v>206</v>
      </c>
      <c r="M243" s="1041"/>
      <c r="N243" s="1039" t="s">
        <v>731</v>
      </c>
      <c r="O243" s="1036" t="s">
        <v>732</v>
      </c>
      <c r="P243" s="1036" t="s">
        <v>207</v>
      </c>
      <c r="Q243" s="1042" t="s">
        <v>208</v>
      </c>
      <c r="R243" s="655"/>
      <c r="S243" s="655"/>
      <c r="T243" s="655"/>
      <c r="U243" s="655"/>
      <c r="V243" s="655"/>
      <c r="W243" s="655"/>
      <c r="X243" s="655"/>
      <c r="Y243" s="655"/>
      <c r="Z243" s="655"/>
      <c r="AA243" s="655"/>
      <c r="AB243" s="655"/>
      <c r="AC243" s="655"/>
      <c r="AD243" s="655"/>
      <c r="AE243" s="655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:43" ht="13.5" thickBot="1">
      <c r="A244" s="1043"/>
      <c r="B244" s="1044" t="s">
        <v>735</v>
      </c>
      <c r="C244" s="1037"/>
      <c r="D244" s="1038"/>
      <c r="E244" s="1483"/>
      <c r="F244" s="1044" t="s">
        <v>1305</v>
      </c>
      <c r="G244" s="1044" t="s">
        <v>1306</v>
      </c>
      <c r="H244" s="1044" t="s">
        <v>1307</v>
      </c>
      <c r="I244" s="1044"/>
      <c r="J244" s="1044" t="s">
        <v>1308</v>
      </c>
      <c r="K244" s="1044" t="s">
        <v>1309</v>
      </c>
      <c r="L244" s="1045" t="s">
        <v>736</v>
      </c>
      <c r="M244" s="1045" t="s">
        <v>737</v>
      </c>
      <c r="N244" s="1044" t="s">
        <v>738</v>
      </c>
      <c r="O244" s="1044" t="s">
        <v>739</v>
      </c>
      <c r="P244" s="1044" t="s">
        <v>740</v>
      </c>
      <c r="Q244" s="1046" t="s">
        <v>1310</v>
      </c>
      <c r="R244" s="655"/>
      <c r="S244" s="655"/>
      <c r="T244" s="655"/>
      <c r="U244" s="655"/>
      <c r="V244" s="655"/>
      <c r="W244" s="655"/>
      <c r="X244" s="655"/>
      <c r="Y244" s="655"/>
      <c r="Z244" s="655"/>
      <c r="AA244" s="655"/>
      <c r="AB244" s="655"/>
      <c r="AC244" s="655"/>
      <c r="AD244" s="655"/>
      <c r="AE244" s="655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:43" ht="12.75">
      <c r="A245" s="1047">
        <v>1</v>
      </c>
      <c r="B245" s="1048" t="s">
        <v>1311</v>
      </c>
      <c r="C245" s="1470" t="s">
        <v>1270</v>
      </c>
      <c r="D245" s="1471"/>
      <c r="E245" s="1050" t="s">
        <v>1312</v>
      </c>
      <c r="F245" s="1051">
        <v>1</v>
      </c>
      <c r="G245" s="1052">
        <v>0</v>
      </c>
      <c r="H245" s="1052">
        <v>22</v>
      </c>
      <c r="I245" s="1052">
        <v>50000</v>
      </c>
      <c r="J245" s="1052">
        <v>50000</v>
      </c>
      <c r="K245" s="1052">
        <f aca="true" t="shared" si="50" ref="K245:K250">L245+M245</f>
        <v>12250</v>
      </c>
      <c r="L245" s="1052">
        <f aca="true" t="shared" si="51" ref="L245:L250">I245*0.15</f>
        <v>7500</v>
      </c>
      <c r="M245" s="1052">
        <f aca="true" t="shared" si="52" ref="M245:M250">I245*0.095</f>
        <v>4750</v>
      </c>
      <c r="N245" s="1052">
        <v>0</v>
      </c>
      <c r="O245" s="1052">
        <f aca="true" t="shared" si="53" ref="O245:O250">I245*0.034</f>
        <v>1700.0000000000002</v>
      </c>
      <c r="P245" s="1052">
        <f aca="true" t="shared" si="54" ref="P245:P250">I245</f>
        <v>50000</v>
      </c>
      <c r="Q245" s="1053">
        <v>5000</v>
      </c>
      <c r="R245" s="655"/>
      <c r="S245" s="655"/>
      <c r="T245" s="655"/>
      <c r="U245" s="655"/>
      <c r="V245" s="655"/>
      <c r="W245" s="655"/>
      <c r="X245" s="655"/>
      <c r="Y245" s="655"/>
      <c r="Z245" s="655"/>
      <c r="AA245" s="655"/>
      <c r="AB245" s="655"/>
      <c r="AC245" s="655"/>
      <c r="AD245" s="655"/>
      <c r="AE245" s="65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:43" ht="12.75">
      <c r="A246" s="1054">
        <v>2</v>
      </c>
      <c r="B246" s="1056"/>
      <c r="C246" s="1470" t="s">
        <v>1316</v>
      </c>
      <c r="D246" s="1471"/>
      <c r="E246" s="1049" t="s">
        <v>1317</v>
      </c>
      <c r="F246" s="1056">
        <v>1</v>
      </c>
      <c r="G246" s="1056">
        <v>0</v>
      </c>
      <c r="H246" s="1056">
        <v>22</v>
      </c>
      <c r="I246" s="1052">
        <v>20100</v>
      </c>
      <c r="J246" s="1052">
        <v>20100</v>
      </c>
      <c r="K246" s="1056">
        <f t="shared" si="50"/>
        <v>4924.5</v>
      </c>
      <c r="L246" s="1052">
        <f t="shared" si="51"/>
        <v>3015</v>
      </c>
      <c r="M246" s="1052">
        <f t="shared" si="52"/>
        <v>1909.5</v>
      </c>
      <c r="N246" s="1056">
        <v>0</v>
      </c>
      <c r="O246" s="1052">
        <f t="shared" si="53"/>
        <v>683.4000000000001</v>
      </c>
      <c r="P246" s="1056">
        <f t="shared" si="54"/>
        <v>20100</v>
      </c>
      <c r="Q246" s="1053">
        <v>1010</v>
      </c>
      <c r="R246" s="655"/>
      <c r="S246" s="655"/>
      <c r="T246" s="655"/>
      <c r="U246" s="655"/>
      <c r="V246" s="655"/>
      <c r="W246" s="655"/>
      <c r="X246" s="655"/>
      <c r="Y246" s="655"/>
      <c r="Z246" s="655"/>
      <c r="AA246" s="655"/>
      <c r="AB246" s="655"/>
      <c r="AC246" s="655"/>
      <c r="AD246" s="655"/>
      <c r="AE246" s="655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:43" ht="12.75">
      <c r="A247" s="1054">
        <v>3</v>
      </c>
      <c r="B247" s="1056"/>
      <c r="C247" s="1470" t="s">
        <v>1318</v>
      </c>
      <c r="D247" s="1471"/>
      <c r="E247" s="1049" t="s">
        <v>1317</v>
      </c>
      <c r="F247" s="1056">
        <v>1</v>
      </c>
      <c r="G247" s="1056">
        <v>0</v>
      </c>
      <c r="H247" s="1056">
        <v>22</v>
      </c>
      <c r="I247" s="1052">
        <v>20100</v>
      </c>
      <c r="J247" s="1052">
        <v>20100</v>
      </c>
      <c r="K247" s="1056">
        <f t="shared" si="50"/>
        <v>4924.5</v>
      </c>
      <c r="L247" s="1052">
        <f t="shared" si="51"/>
        <v>3015</v>
      </c>
      <c r="M247" s="1052">
        <f t="shared" si="52"/>
        <v>1909.5</v>
      </c>
      <c r="N247" s="1052">
        <v>0</v>
      </c>
      <c r="O247" s="1052">
        <f t="shared" si="53"/>
        <v>683.4000000000001</v>
      </c>
      <c r="P247" s="1056">
        <f t="shared" si="54"/>
        <v>20100</v>
      </c>
      <c r="Q247" s="1053">
        <v>1010</v>
      </c>
      <c r="R247" s="655"/>
      <c r="S247" s="655"/>
      <c r="T247" s="655"/>
      <c r="U247" s="655"/>
      <c r="V247" s="655"/>
      <c r="W247" s="655"/>
      <c r="X247" s="655"/>
      <c r="Y247" s="655"/>
      <c r="Z247" s="655"/>
      <c r="AA247" s="655"/>
      <c r="AB247" s="655"/>
      <c r="AC247" s="655"/>
      <c r="AD247" s="655"/>
      <c r="AE247" s="655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:43" ht="12.75">
      <c r="A248" s="1054">
        <v>4</v>
      </c>
      <c r="B248" s="1056"/>
      <c r="C248" s="1470" t="s">
        <v>1319</v>
      </c>
      <c r="D248" s="1471"/>
      <c r="E248" s="1049" t="s">
        <v>1317</v>
      </c>
      <c r="F248" s="1056">
        <v>1</v>
      </c>
      <c r="G248" s="1056">
        <v>0</v>
      </c>
      <c r="H248" s="1056">
        <v>22</v>
      </c>
      <c r="I248" s="1052">
        <v>20100</v>
      </c>
      <c r="J248" s="1052">
        <v>20100</v>
      </c>
      <c r="K248" s="1056">
        <f t="shared" si="50"/>
        <v>4924.5</v>
      </c>
      <c r="L248" s="1052">
        <f t="shared" si="51"/>
        <v>3015</v>
      </c>
      <c r="M248" s="1052">
        <f t="shared" si="52"/>
        <v>1909.5</v>
      </c>
      <c r="N248" s="1056">
        <v>0</v>
      </c>
      <c r="O248" s="1052">
        <f t="shared" si="53"/>
        <v>683.4000000000001</v>
      </c>
      <c r="P248" s="1056">
        <f t="shared" si="54"/>
        <v>20100</v>
      </c>
      <c r="Q248" s="1053">
        <v>1010</v>
      </c>
      <c r="R248" s="655"/>
      <c r="S248" s="655"/>
      <c r="T248" s="655"/>
      <c r="U248" s="655"/>
      <c r="V248" s="655"/>
      <c r="W248" s="655"/>
      <c r="X248" s="655"/>
      <c r="Y248" s="655"/>
      <c r="Z248" s="655"/>
      <c r="AA248" s="655"/>
      <c r="AB248" s="655"/>
      <c r="AC248" s="655"/>
      <c r="AD248" s="655"/>
      <c r="AE248" s="655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:43" ht="12.75">
      <c r="A249" s="1054">
        <v>5</v>
      </c>
      <c r="B249" s="1056"/>
      <c r="C249" s="1470" t="s">
        <v>1320</v>
      </c>
      <c r="D249" s="1471"/>
      <c r="E249" s="1049" t="s">
        <v>1317</v>
      </c>
      <c r="F249" s="1056">
        <v>1</v>
      </c>
      <c r="G249" s="1056">
        <v>0</v>
      </c>
      <c r="H249" s="1056">
        <v>22</v>
      </c>
      <c r="I249" s="1052">
        <v>20100</v>
      </c>
      <c r="J249" s="1052">
        <v>20100</v>
      </c>
      <c r="K249" s="1056">
        <f t="shared" si="50"/>
        <v>4924.5</v>
      </c>
      <c r="L249" s="1052">
        <f t="shared" si="51"/>
        <v>3015</v>
      </c>
      <c r="M249" s="1052">
        <f t="shared" si="52"/>
        <v>1909.5</v>
      </c>
      <c r="N249" s="1052">
        <v>0</v>
      </c>
      <c r="O249" s="1052">
        <f t="shared" si="53"/>
        <v>683.4000000000001</v>
      </c>
      <c r="P249" s="1056">
        <f t="shared" si="54"/>
        <v>20100</v>
      </c>
      <c r="Q249" s="1053">
        <v>1010</v>
      </c>
      <c r="R249" s="655"/>
      <c r="S249" s="655"/>
      <c r="T249" s="655"/>
      <c r="U249" s="655"/>
      <c r="V249" s="655"/>
      <c r="W249" s="655"/>
      <c r="X249" s="655"/>
      <c r="Y249" s="655"/>
      <c r="Z249" s="655"/>
      <c r="AA249" s="655"/>
      <c r="AB249" s="655"/>
      <c r="AC249" s="655"/>
      <c r="AD249" s="655"/>
      <c r="AE249" s="655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:43" ht="12.75">
      <c r="A250" s="1054">
        <v>6</v>
      </c>
      <c r="B250" s="1056"/>
      <c r="C250" s="1470" t="s">
        <v>1321</v>
      </c>
      <c r="D250" s="1471"/>
      <c r="E250" s="1049"/>
      <c r="F250" s="1056">
        <v>1</v>
      </c>
      <c r="G250" s="1056">
        <v>0</v>
      </c>
      <c r="H250" s="1056">
        <v>22</v>
      </c>
      <c r="I250" s="1052">
        <v>20100</v>
      </c>
      <c r="J250" s="1052">
        <v>20100</v>
      </c>
      <c r="K250" s="1056">
        <f t="shared" si="50"/>
        <v>4924.5</v>
      </c>
      <c r="L250" s="1052">
        <f t="shared" si="51"/>
        <v>3015</v>
      </c>
      <c r="M250" s="1052">
        <f t="shared" si="52"/>
        <v>1909.5</v>
      </c>
      <c r="N250" s="1056">
        <v>0</v>
      </c>
      <c r="O250" s="1052">
        <f t="shared" si="53"/>
        <v>683.4000000000001</v>
      </c>
      <c r="P250" s="1056">
        <f t="shared" si="54"/>
        <v>20100</v>
      </c>
      <c r="Q250" s="1053">
        <v>1010</v>
      </c>
      <c r="R250" s="655"/>
      <c r="S250" s="655"/>
      <c r="T250" s="655"/>
      <c r="U250" s="655"/>
      <c r="V250" s="655"/>
      <c r="W250" s="655"/>
      <c r="X250" s="655"/>
      <c r="Y250" s="655"/>
      <c r="Z250" s="655"/>
      <c r="AA250" s="655"/>
      <c r="AB250" s="655"/>
      <c r="AC250" s="655"/>
      <c r="AD250" s="655"/>
      <c r="AE250" s="655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:43" ht="12.75">
      <c r="A251" s="1054">
        <v>7</v>
      </c>
      <c r="B251" s="1056"/>
      <c r="C251" s="1470"/>
      <c r="D251" s="1471"/>
      <c r="E251" s="1058"/>
      <c r="F251" s="1056"/>
      <c r="G251" s="1056"/>
      <c r="H251" s="1056"/>
      <c r="I251" s="1052"/>
      <c r="J251" s="1052"/>
      <c r="K251" s="1056"/>
      <c r="L251" s="1052"/>
      <c r="M251" s="1052"/>
      <c r="N251" s="1052"/>
      <c r="O251" s="1052"/>
      <c r="P251" s="1056"/>
      <c r="Q251" s="1053"/>
      <c r="R251" s="655"/>
      <c r="S251" s="655"/>
      <c r="T251" s="655"/>
      <c r="U251" s="655"/>
      <c r="V251" s="655"/>
      <c r="W251" s="655"/>
      <c r="X251" s="655"/>
      <c r="Y251" s="655"/>
      <c r="Z251" s="655"/>
      <c r="AA251" s="655"/>
      <c r="AB251" s="655"/>
      <c r="AC251" s="655"/>
      <c r="AD251" s="655"/>
      <c r="AE251" s="655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:43" ht="12.75">
      <c r="A252" s="1054">
        <v>8</v>
      </c>
      <c r="B252" s="1056"/>
      <c r="C252" s="1057"/>
      <c r="D252" s="1058"/>
      <c r="E252" s="1058"/>
      <c r="F252" s="1056"/>
      <c r="G252" s="1056"/>
      <c r="H252" s="1056"/>
      <c r="I252" s="1056"/>
      <c r="J252" s="1056"/>
      <c r="K252" s="1056"/>
      <c r="L252" s="1052"/>
      <c r="M252" s="1052"/>
      <c r="N252" s="1052"/>
      <c r="O252" s="1052"/>
      <c r="P252" s="1056"/>
      <c r="Q252" s="1053"/>
      <c r="R252" s="655"/>
      <c r="S252" s="655"/>
      <c r="T252" s="655"/>
      <c r="U252" s="655"/>
      <c r="V252" s="655"/>
      <c r="W252" s="655"/>
      <c r="X252" s="655"/>
      <c r="Y252" s="655"/>
      <c r="Z252" s="655"/>
      <c r="AA252" s="655"/>
      <c r="AB252" s="655"/>
      <c r="AC252" s="655"/>
      <c r="AD252" s="655"/>
      <c r="AE252" s="655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:43" ht="12.75">
      <c r="A253" s="1054">
        <v>9</v>
      </c>
      <c r="B253" s="1056"/>
      <c r="C253" s="1057"/>
      <c r="D253" s="1058"/>
      <c r="E253" s="1058"/>
      <c r="F253" s="1056"/>
      <c r="G253" s="1056"/>
      <c r="H253" s="1056"/>
      <c r="I253" s="1056"/>
      <c r="J253" s="1056"/>
      <c r="K253" s="1056"/>
      <c r="L253" s="1056"/>
      <c r="M253" s="1056"/>
      <c r="N253" s="1056"/>
      <c r="O253" s="1056"/>
      <c r="P253" s="1056"/>
      <c r="Q253" s="1059"/>
      <c r="R253" s="655"/>
      <c r="S253" s="655"/>
      <c r="T253" s="655"/>
      <c r="U253" s="655"/>
      <c r="V253" s="655"/>
      <c r="W253" s="655"/>
      <c r="X253" s="655"/>
      <c r="Y253" s="655"/>
      <c r="Z253" s="655"/>
      <c r="AA253" s="655"/>
      <c r="AB253" s="655"/>
      <c r="AC253" s="655"/>
      <c r="AD253" s="655"/>
      <c r="AE253" s="655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:43" ht="12.75">
      <c r="A254" s="1054">
        <v>10</v>
      </c>
      <c r="B254" s="1056"/>
      <c r="C254" s="1057"/>
      <c r="D254" s="1058"/>
      <c r="E254" s="1058"/>
      <c r="F254" s="1056"/>
      <c r="G254" s="1056"/>
      <c r="H254" s="1056"/>
      <c r="I254" s="1056"/>
      <c r="J254" s="1056"/>
      <c r="K254" s="1056"/>
      <c r="L254" s="1056"/>
      <c r="M254" s="1056"/>
      <c r="N254" s="1056"/>
      <c r="O254" s="1056"/>
      <c r="P254" s="1056"/>
      <c r="Q254" s="1059"/>
      <c r="R254" s="655"/>
      <c r="S254" s="655"/>
      <c r="T254" s="655"/>
      <c r="U254" s="655"/>
      <c r="V254" s="655"/>
      <c r="W254" s="655"/>
      <c r="X254" s="655"/>
      <c r="Y254" s="655"/>
      <c r="Z254" s="655"/>
      <c r="AA254" s="655"/>
      <c r="AB254" s="655"/>
      <c r="AC254" s="655"/>
      <c r="AD254" s="655"/>
      <c r="AE254" s="655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:43" ht="12.75">
      <c r="A255" s="1054">
        <v>11</v>
      </c>
      <c r="B255" s="1056"/>
      <c r="C255" s="1057"/>
      <c r="D255" s="1058"/>
      <c r="E255" s="1058"/>
      <c r="F255" s="1056"/>
      <c r="G255" s="1056"/>
      <c r="H255" s="1056"/>
      <c r="I255" s="1056"/>
      <c r="J255" s="1056"/>
      <c r="K255" s="1056"/>
      <c r="L255" s="1056"/>
      <c r="M255" s="1056"/>
      <c r="N255" s="1056"/>
      <c r="O255" s="1056"/>
      <c r="P255" s="1056"/>
      <c r="Q255" s="1059"/>
      <c r="R255" s="655"/>
      <c r="S255" s="655"/>
      <c r="T255" s="655"/>
      <c r="U255" s="655"/>
      <c r="V255" s="655"/>
      <c r="W255" s="655"/>
      <c r="X255" s="655"/>
      <c r="Y255" s="655"/>
      <c r="Z255" s="655"/>
      <c r="AA255" s="655"/>
      <c r="AB255" s="655"/>
      <c r="AC255" s="655"/>
      <c r="AD255" s="655"/>
      <c r="AE255" s="6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:43" ht="12.75">
      <c r="A256" s="1054">
        <v>12</v>
      </c>
      <c r="B256" s="1056"/>
      <c r="C256" s="1057"/>
      <c r="D256" s="1058"/>
      <c r="E256" s="1058"/>
      <c r="F256" s="1056"/>
      <c r="G256" s="1056"/>
      <c r="H256" s="1056"/>
      <c r="I256" s="1056"/>
      <c r="J256" s="1056"/>
      <c r="K256" s="1056"/>
      <c r="L256" s="1056"/>
      <c r="M256" s="1056"/>
      <c r="N256" s="1056"/>
      <c r="O256" s="1056"/>
      <c r="P256" s="1056"/>
      <c r="Q256" s="1059"/>
      <c r="R256" s="655"/>
      <c r="S256" s="655"/>
      <c r="T256" s="655"/>
      <c r="U256" s="655"/>
      <c r="V256" s="655"/>
      <c r="W256" s="655"/>
      <c r="X256" s="655"/>
      <c r="Y256" s="655"/>
      <c r="Z256" s="655"/>
      <c r="AA256" s="655"/>
      <c r="AB256" s="655"/>
      <c r="AC256" s="655"/>
      <c r="AD256" s="655"/>
      <c r="AE256" s="655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:43" ht="12.75">
      <c r="A257" s="1054">
        <v>13</v>
      </c>
      <c r="B257" s="1056"/>
      <c r="C257" s="1057"/>
      <c r="D257" s="1058"/>
      <c r="E257" s="1058"/>
      <c r="F257" s="1056"/>
      <c r="G257" s="1056"/>
      <c r="H257" s="1056"/>
      <c r="I257" s="1056"/>
      <c r="J257" s="1056"/>
      <c r="K257" s="1056"/>
      <c r="L257" s="1056"/>
      <c r="M257" s="1056"/>
      <c r="N257" s="1056"/>
      <c r="O257" s="1056"/>
      <c r="P257" s="1056"/>
      <c r="Q257" s="1059"/>
      <c r="R257" s="655"/>
      <c r="S257" s="655"/>
      <c r="T257" s="655"/>
      <c r="U257" s="655"/>
      <c r="V257" s="655"/>
      <c r="W257" s="655"/>
      <c r="X257" s="655"/>
      <c r="Y257" s="655"/>
      <c r="Z257" s="655"/>
      <c r="AA257" s="655"/>
      <c r="AB257" s="655"/>
      <c r="AC257" s="655"/>
      <c r="AD257" s="655"/>
      <c r="AE257" s="655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:43" ht="12.75">
      <c r="A258" s="1054">
        <v>14</v>
      </c>
      <c r="B258" s="1056"/>
      <c r="C258" s="1057"/>
      <c r="D258" s="1058"/>
      <c r="E258" s="1058"/>
      <c r="F258" s="1056"/>
      <c r="G258" s="1056"/>
      <c r="H258" s="1056"/>
      <c r="I258" s="1056"/>
      <c r="J258" s="1056"/>
      <c r="K258" s="1056"/>
      <c r="L258" s="1056"/>
      <c r="M258" s="1056"/>
      <c r="N258" s="1056"/>
      <c r="O258" s="1056"/>
      <c r="P258" s="1056"/>
      <c r="Q258" s="1059"/>
      <c r="R258" s="655"/>
      <c r="S258" s="655"/>
      <c r="T258" s="655"/>
      <c r="U258" s="655"/>
      <c r="V258" s="655"/>
      <c r="W258" s="655"/>
      <c r="X258" s="655"/>
      <c r="Y258" s="655"/>
      <c r="Z258" s="655"/>
      <c r="AA258" s="655"/>
      <c r="AB258" s="655"/>
      <c r="AC258" s="655"/>
      <c r="AD258" s="655"/>
      <c r="AE258" s="655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:43" ht="12.75">
      <c r="A259" s="1054">
        <v>15</v>
      </c>
      <c r="B259" s="1056"/>
      <c r="C259" s="1057"/>
      <c r="D259" s="1058"/>
      <c r="E259" s="1058"/>
      <c r="F259" s="1056"/>
      <c r="G259" s="1056"/>
      <c r="H259" s="1056"/>
      <c r="I259" s="1056"/>
      <c r="J259" s="1056"/>
      <c r="K259" s="1056"/>
      <c r="L259" s="1056"/>
      <c r="M259" s="1056"/>
      <c r="N259" s="1056"/>
      <c r="O259" s="1056"/>
      <c r="P259" s="1056"/>
      <c r="Q259" s="1059"/>
      <c r="R259" s="655"/>
      <c r="S259" s="655"/>
      <c r="T259" s="655"/>
      <c r="U259" s="655"/>
      <c r="V259" s="655"/>
      <c r="W259" s="655"/>
      <c r="X259" s="655"/>
      <c r="Y259" s="655"/>
      <c r="Z259" s="655"/>
      <c r="AA259" s="655"/>
      <c r="AB259" s="655"/>
      <c r="AC259" s="655"/>
      <c r="AD259" s="655"/>
      <c r="AE259" s="655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:43" ht="12.75">
      <c r="A260" s="1054">
        <v>16</v>
      </c>
      <c r="B260" s="1056"/>
      <c r="C260" s="1057"/>
      <c r="D260" s="1058"/>
      <c r="E260" s="1058"/>
      <c r="F260" s="1056"/>
      <c r="G260" s="1056"/>
      <c r="H260" s="1056"/>
      <c r="I260" s="1056"/>
      <c r="J260" s="1056"/>
      <c r="K260" s="1056"/>
      <c r="L260" s="1056"/>
      <c r="M260" s="1056"/>
      <c r="N260" s="1056"/>
      <c r="O260" s="1056"/>
      <c r="P260" s="1056"/>
      <c r="Q260" s="1059"/>
      <c r="R260" s="655"/>
      <c r="S260" s="655"/>
      <c r="T260" s="655"/>
      <c r="U260" s="655"/>
      <c r="V260" s="655"/>
      <c r="W260" s="655"/>
      <c r="X260" s="655"/>
      <c r="Y260" s="655"/>
      <c r="Z260" s="655"/>
      <c r="AA260" s="655"/>
      <c r="AB260" s="655"/>
      <c r="AC260" s="655"/>
      <c r="AD260" s="655"/>
      <c r="AE260" s="655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:43" ht="12.75">
      <c r="A261" s="1054">
        <v>17</v>
      </c>
      <c r="B261" s="1056"/>
      <c r="C261" s="1057"/>
      <c r="D261" s="1058"/>
      <c r="E261" s="1058"/>
      <c r="F261" s="1056"/>
      <c r="G261" s="1056"/>
      <c r="H261" s="1056"/>
      <c r="I261" s="1056"/>
      <c r="J261" s="1056"/>
      <c r="K261" s="1056"/>
      <c r="L261" s="1056"/>
      <c r="M261" s="1056"/>
      <c r="N261" s="1056"/>
      <c r="O261" s="1056"/>
      <c r="P261" s="1056"/>
      <c r="Q261" s="1059"/>
      <c r="R261" s="655"/>
      <c r="S261" s="655"/>
      <c r="T261" s="655"/>
      <c r="U261" s="655"/>
      <c r="V261" s="655"/>
      <c r="W261" s="655"/>
      <c r="X261" s="655"/>
      <c r="Y261" s="655"/>
      <c r="Z261" s="655"/>
      <c r="AA261" s="655"/>
      <c r="AB261" s="655"/>
      <c r="AC261" s="655"/>
      <c r="AD261" s="655"/>
      <c r="AE261" s="655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:43" ht="12.75">
      <c r="A262" s="1054">
        <v>18</v>
      </c>
      <c r="B262" s="1056"/>
      <c r="C262" s="1057"/>
      <c r="D262" s="1058"/>
      <c r="E262" s="1058"/>
      <c r="F262" s="1056"/>
      <c r="G262" s="1056"/>
      <c r="H262" s="1056"/>
      <c r="I262" s="1056"/>
      <c r="J262" s="1056"/>
      <c r="K262" s="1056"/>
      <c r="L262" s="1056"/>
      <c r="M262" s="1056"/>
      <c r="N262" s="1056"/>
      <c r="O262" s="1056"/>
      <c r="P262" s="1056"/>
      <c r="Q262" s="1059"/>
      <c r="R262" s="655"/>
      <c r="S262" s="655"/>
      <c r="T262" s="655"/>
      <c r="U262" s="655"/>
      <c r="V262" s="655"/>
      <c r="W262" s="655"/>
      <c r="X262" s="655"/>
      <c r="Y262" s="655"/>
      <c r="Z262" s="655"/>
      <c r="AA262" s="655"/>
      <c r="AB262" s="655"/>
      <c r="AC262" s="655"/>
      <c r="AD262" s="655"/>
      <c r="AE262" s="655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:43" ht="12.75">
      <c r="A263" s="1054">
        <v>19</v>
      </c>
      <c r="B263" s="1056"/>
      <c r="C263" s="1057"/>
      <c r="D263" s="1058"/>
      <c r="E263" s="1058"/>
      <c r="F263" s="1056"/>
      <c r="G263" s="1056"/>
      <c r="H263" s="1056"/>
      <c r="I263" s="1056"/>
      <c r="J263" s="1056"/>
      <c r="K263" s="1056"/>
      <c r="L263" s="1056"/>
      <c r="M263" s="1056"/>
      <c r="N263" s="1056"/>
      <c r="O263" s="1056"/>
      <c r="P263" s="1056"/>
      <c r="Q263" s="1059"/>
      <c r="R263" s="655"/>
      <c r="S263" s="655"/>
      <c r="T263" s="655"/>
      <c r="U263" s="655"/>
      <c r="V263" s="655"/>
      <c r="W263" s="655"/>
      <c r="X263" s="655"/>
      <c r="Y263" s="655"/>
      <c r="Z263" s="655"/>
      <c r="AA263" s="655"/>
      <c r="AB263" s="655"/>
      <c r="AC263" s="655"/>
      <c r="AD263" s="655"/>
      <c r="AE263" s="655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:43" ht="12.75">
      <c r="A264" s="1054">
        <v>20</v>
      </c>
      <c r="B264" s="1056"/>
      <c r="C264" s="1057"/>
      <c r="D264" s="1058"/>
      <c r="E264" s="1058"/>
      <c r="F264" s="1056"/>
      <c r="G264" s="1056"/>
      <c r="H264" s="1056"/>
      <c r="I264" s="1056"/>
      <c r="J264" s="1056"/>
      <c r="K264" s="1056"/>
      <c r="L264" s="1056"/>
      <c r="M264" s="1056"/>
      <c r="N264" s="1056"/>
      <c r="O264" s="1056"/>
      <c r="P264" s="1056"/>
      <c r="Q264" s="1059"/>
      <c r="R264" s="655"/>
      <c r="S264" s="655"/>
      <c r="T264" s="655"/>
      <c r="U264" s="655"/>
      <c r="V264" s="655"/>
      <c r="W264" s="655"/>
      <c r="X264" s="655"/>
      <c r="Y264" s="655"/>
      <c r="Z264" s="655"/>
      <c r="AA264" s="655"/>
      <c r="AB264" s="655"/>
      <c r="AC264" s="655"/>
      <c r="AD264" s="655"/>
      <c r="AE264" s="655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:43" ht="12.75">
      <c r="A265" s="1054">
        <v>21</v>
      </c>
      <c r="B265" s="1056"/>
      <c r="C265" s="1057"/>
      <c r="D265" s="1058"/>
      <c r="E265" s="1058"/>
      <c r="F265" s="1056"/>
      <c r="G265" s="1056"/>
      <c r="H265" s="1056"/>
      <c r="I265" s="1056"/>
      <c r="J265" s="1056"/>
      <c r="K265" s="1056"/>
      <c r="L265" s="1056"/>
      <c r="M265" s="1056"/>
      <c r="N265" s="1056"/>
      <c r="O265" s="1056"/>
      <c r="P265" s="1056"/>
      <c r="Q265" s="1059"/>
      <c r="R265" s="655"/>
      <c r="S265" s="655"/>
      <c r="T265" s="655"/>
      <c r="U265" s="655"/>
      <c r="V265" s="655"/>
      <c r="W265" s="655"/>
      <c r="X265" s="655"/>
      <c r="Y265" s="655"/>
      <c r="Z265" s="655"/>
      <c r="AA265" s="655"/>
      <c r="AB265" s="655"/>
      <c r="AC265" s="655"/>
      <c r="AD265" s="655"/>
      <c r="AE265" s="65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:43" ht="12.75">
      <c r="A266" s="1054">
        <v>22</v>
      </c>
      <c r="B266" s="1056"/>
      <c r="C266" s="1057"/>
      <c r="D266" s="1058"/>
      <c r="E266" s="1058"/>
      <c r="F266" s="1056"/>
      <c r="G266" s="1056"/>
      <c r="H266" s="1056"/>
      <c r="I266" s="1056"/>
      <c r="J266" s="1056"/>
      <c r="K266" s="1056"/>
      <c r="L266" s="1056"/>
      <c r="M266" s="1056"/>
      <c r="N266" s="1056"/>
      <c r="O266" s="1056"/>
      <c r="P266" s="1056"/>
      <c r="Q266" s="1059"/>
      <c r="R266" s="655"/>
      <c r="S266" s="655"/>
      <c r="T266" s="655"/>
      <c r="U266" s="655"/>
      <c r="V266" s="655"/>
      <c r="W266" s="655"/>
      <c r="X266" s="655"/>
      <c r="Y266" s="655"/>
      <c r="Z266" s="655"/>
      <c r="AA266" s="655"/>
      <c r="AB266" s="655"/>
      <c r="AC266" s="655"/>
      <c r="AD266" s="655"/>
      <c r="AE266" s="655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:43" ht="12.75">
      <c r="A267" s="1054">
        <v>23</v>
      </c>
      <c r="B267" s="1056"/>
      <c r="C267" s="1057"/>
      <c r="D267" s="1058"/>
      <c r="E267" s="1058"/>
      <c r="F267" s="1056"/>
      <c r="G267" s="1056"/>
      <c r="H267" s="1056"/>
      <c r="I267" s="1056"/>
      <c r="J267" s="1056"/>
      <c r="K267" s="1056"/>
      <c r="L267" s="1056"/>
      <c r="M267" s="1056"/>
      <c r="N267" s="1056"/>
      <c r="O267" s="1056"/>
      <c r="P267" s="1056"/>
      <c r="Q267" s="1059"/>
      <c r="R267" s="655"/>
      <c r="S267" s="655"/>
      <c r="T267" s="655"/>
      <c r="U267" s="655"/>
      <c r="V267" s="655"/>
      <c r="W267" s="655"/>
      <c r="X267" s="655"/>
      <c r="Y267" s="655"/>
      <c r="Z267" s="655"/>
      <c r="AA267" s="655"/>
      <c r="AB267" s="655"/>
      <c r="AC267" s="655"/>
      <c r="AD267" s="655"/>
      <c r="AE267" s="655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:43" ht="12.75">
      <c r="A268" s="1054">
        <v>24</v>
      </c>
      <c r="B268" s="1056"/>
      <c r="C268" s="1057"/>
      <c r="D268" s="1058"/>
      <c r="E268" s="1058"/>
      <c r="F268" s="1056"/>
      <c r="G268" s="1056"/>
      <c r="H268" s="1056"/>
      <c r="I268" s="1056"/>
      <c r="J268" s="1056"/>
      <c r="K268" s="1056"/>
      <c r="L268" s="1056"/>
      <c r="M268" s="1056"/>
      <c r="N268" s="1056"/>
      <c r="O268" s="1056"/>
      <c r="P268" s="1056"/>
      <c r="Q268" s="1059"/>
      <c r="R268" s="655"/>
      <c r="S268" s="655"/>
      <c r="T268" s="655"/>
      <c r="U268" s="655"/>
      <c r="V268" s="655"/>
      <c r="W268" s="655"/>
      <c r="X268" s="655"/>
      <c r="Y268" s="655"/>
      <c r="Z268" s="655"/>
      <c r="AA268" s="655"/>
      <c r="AB268" s="655"/>
      <c r="AC268" s="655"/>
      <c r="AD268" s="655"/>
      <c r="AE268" s="655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:43" ht="13.5" thickBot="1">
      <c r="A269" s="1054">
        <v>25</v>
      </c>
      <c r="B269" s="1060"/>
      <c r="C269" s="1061"/>
      <c r="D269" s="1062"/>
      <c r="E269" s="1062"/>
      <c r="F269" s="1060"/>
      <c r="G269" s="1060"/>
      <c r="H269" s="1060"/>
      <c r="I269" s="1060"/>
      <c r="J269" s="1060"/>
      <c r="K269" s="1060"/>
      <c r="L269" s="1060"/>
      <c r="M269" s="1060"/>
      <c r="N269" s="1060"/>
      <c r="O269" s="1060"/>
      <c r="P269" s="1060"/>
      <c r="Q269" s="1063"/>
      <c r="R269" s="655"/>
      <c r="S269" s="655"/>
      <c r="T269" s="655"/>
      <c r="U269" s="655"/>
      <c r="V269" s="655"/>
      <c r="W269" s="655"/>
      <c r="X269" s="655"/>
      <c r="Y269" s="655"/>
      <c r="Z269" s="655"/>
      <c r="AA269" s="655"/>
      <c r="AB269" s="655"/>
      <c r="AC269" s="655"/>
      <c r="AD269" s="655"/>
      <c r="AE269" s="655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:43" ht="13.5" thickBot="1">
      <c r="A270" s="1472" t="s">
        <v>753</v>
      </c>
      <c r="B270" s="1473"/>
      <c r="C270" s="1473"/>
      <c r="D270" s="1473"/>
      <c r="E270" s="1473"/>
      <c r="F270" s="1473"/>
      <c r="G270" s="1473"/>
      <c r="H270" s="1474"/>
      <c r="I270" s="1064">
        <f>SUM(I245:I269)</f>
        <v>150500</v>
      </c>
      <c r="J270" s="1064">
        <f aca="true" t="shared" si="55" ref="J270:Q270">SUM(J245:J269)</f>
        <v>150500</v>
      </c>
      <c r="K270" s="1064">
        <f t="shared" si="55"/>
        <v>36872.5</v>
      </c>
      <c r="L270" s="1064">
        <f t="shared" si="55"/>
        <v>22575</v>
      </c>
      <c r="M270" s="1064">
        <f t="shared" si="55"/>
        <v>14297.5</v>
      </c>
      <c r="N270" s="1064">
        <f t="shared" si="55"/>
        <v>0</v>
      </c>
      <c r="O270" s="1064">
        <f t="shared" si="55"/>
        <v>5117</v>
      </c>
      <c r="P270" s="1064">
        <f t="shared" si="55"/>
        <v>150500</v>
      </c>
      <c r="Q270" s="1064">
        <f t="shared" si="55"/>
        <v>10050</v>
      </c>
      <c r="R270" s="655"/>
      <c r="S270" s="655"/>
      <c r="T270" s="655"/>
      <c r="U270" s="655"/>
      <c r="V270" s="655"/>
      <c r="W270" s="655"/>
      <c r="X270" s="655"/>
      <c r="Y270" s="655"/>
      <c r="Z270" s="655"/>
      <c r="AA270" s="655"/>
      <c r="AB270" s="655"/>
      <c r="AC270" s="655"/>
      <c r="AD270" s="655"/>
      <c r="AE270" s="655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:43" ht="13.5" thickBot="1">
      <c r="A271" s="1475" t="s">
        <v>756</v>
      </c>
      <c r="B271" s="1476"/>
      <c r="C271" s="1476"/>
      <c r="D271" s="1476"/>
      <c r="E271" s="1476"/>
      <c r="F271" s="1476"/>
      <c r="G271" s="1476"/>
      <c r="H271" s="1477"/>
      <c r="I271" s="1065"/>
      <c r="J271" s="1066"/>
      <c r="K271" s="1066"/>
      <c r="L271" s="1066"/>
      <c r="M271" s="1066"/>
      <c r="N271" s="1066">
        <v>0</v>
      </c>
      <c r="O271" s="1066"/>
      <c r="P271" s="1066"/>
      <c r="Q271" s="1067"/>
      <c r="R271" s="655"/>
      <c r="S271" s="655"/>
      <c r="T271" s="655"/>
      <c r="U271" s="655"/>
      <c r="V271" s="655"/>
      <c r="W271" s="655"/>
      <c r="X271" s="655"/>
      <c r="Y271" s="655"/>
      <c r="Z271" s="655"/>
      <c r="AA271" s="655"/>
      <c r="AB271" s="655"/>
      <c r="AC271" s="655"/>
      <c r="AD271" s="655"/>
      <c r="AE271" s="655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:43" ht="13.5" thickBot="1">
      <c r="A272" s="1478" t="s">
        <v>759</v>
      </c>
      <c r="B272" s="1479"/>
      <c r="C272" s="1479"/>
      <c r="D272" s="1479"/>
      <c r="E272" s="1479"/>
      <c r="F272" s="1479"/>
      <c r="G272" s="1479"/>
      <c r="H272" s="1480"/>
      <c r="I272" s="1064">
        <f>SUM(I270:I271)</f>
        <v>150500</v>
      </c>
      <c r="J272" s="1064">
        <f aca="true" t="shared" si="56" ref="J272:Q272">SUM(J270:J271)</f>
        <v>150500</v>
      </c>
      <c r="K272" s="1064">
        <f t="shared" si="56"/>
        <v>36872.5</v>
      </c>
      <c r="L272" s="1064">
        <f t="shared" si="56"/>
        <v>22575</v>
      </c>
      <c r="M272" s="1064">
        <f t="shared" si="56"/>
        <v>14297.5</v>
      </c>
      <c r="N272" s="1064">
        <f t="shared" si="56"/>
        <v>0</v>
      </c>
      <c r="O272" s="1064">
        <f t="shared" si="56"/>
        <v>5117</v>
      </c>
      <c r="P272" s="1064">
        <f t="shared" si="56"/>
        <v>150500</v>
      </c>
      <c r="Q272" s="1064">
        <f t="shared" si="56"/>
        <v>10050</v>
      </c>
      <c r="R272" s="655"/>
      <c r="S272" s="655"/>
      <c r="T272" s="655"/>
      <c r="U272" s="655"/>
      <c r="V272" s="655"/>
      <c r="W272" s="655"/>
      <c r="X272" s="655"/>
      <c r="Y272" s="655"/>
      <c r="Z272" s="655"/>
      <c r="AA272" s="655"/>
      <c r="AB272" s="655"/>
      <c r="AC272" s="655"/>
      <c r="AD272" s="655"/>
      <c r="AE272" s="655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:43" ht="12.75">
      <c r="A273" s="683"/>
      <c r="B273" s="684" t="s">
        <v>764</v>
      </c>
      <c r="C273" s="685"/>
      <c r="D273" s="685"/>
      <c r="E273" s="685"/>
      <c r="F273" s="685"/>
      <c r="G273" s="685"/>
      <c r="H273" s="1068"/>
      <c r="I273" s="686" t="s">
        <v>765</v>
      </c>
      <c r="J273" s="685"/>
      <c r="K273" s="685"/>
      <c r="L273" s="685"/>
      <c r="M273" s="685"/>
      <c r="N273" s="685"/>
      <c r="O273" s="685"/>
      <c r="P273" s="685"/>
      <c r="Q273" s="687"/>
      <c r="R273" s="655"/>
      <c r="S273" s="655"/>
      <c r="T273" s="655"/>
      <c r="U273" s="655"/>
      <c r="V273" s="655"/>
      <c r="W273" s="655"/>
      <c r="X273" s="655"/>
      <c r="Y273" s="655"/>
      <c r="Z273" s="655"/>
      <c r="AA273" s="655"/>
      <c r="AB273" s="655"/>
      <c r="AC273" s="655"/>
      <c r="AD273" s="655"/>
      <c r="AE273" s="655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:43" ht="12.75">
      <c r="A274" s="688" t="s">
        <v>1323</v>
      </c>
      <c r="B274" s="689"/>
      <c r="C274" s="689"/>
      <c r="D274" s="689"/>
      <c r="E274" s="689"/>
      <c r="F274" s="689"/>
      <c r="G274" s="689"/>
      <c r="H274" s="1069"/>
      <c r="I274" s="690" t="s">
        <v>766</v>
      </c>
      <c r="J274" s="689"/>
      <c r="K274" s="689"/>
      <c r="L274" s="689"/>
      <c r="M274" s="689"/>
      <c r="N274" s="689"/>
      <c r="O274" s="689"/>
      <c r="P274" s="689"/>
      <c r="Q274" s="691"/>
      <c r="R274" s="655"/>
      <c r="S274" s="655"/>
      <c r="T274" s="655"/>
      <c r="U274" s="655"/>
      <c r="V274" s="655"/>
      <c r="W274" s="655"/>
      <c r="X274" s="655"/>
      <c r="Y274" s="655"/>
      <c r="Z274" s="655"/>
      <c r="AA274" s="655"/>
      <c r="AB274" s="655"/>
      <c r="AC274" s="655"/>
      <c r="AD274" s="655"/>
      <c r="AE274" s="655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:43" ht="12.75">
      <c r="A275" s="688" t="s">
        <v>1324</v>
      </c>
      <c r="B275" s="689"/>
      <c r="C275" s="689"/>
      <c r="D275" s="689"/>
      <c r="E275" s="689"/>
      <c r="F275" s="689"/>
      <c r="G275" s="689"/>
      <c r="H275" s="1069"/>
      <c r="I275" s="47" t="s">
        <v>767</v>
      </c>
      <c r="J275" s="689"/>
      <c r="K275" s="689"/>
      <c r="L275" s="689"/>
      <c r="M275" s="689"/>
      <c r="N275" s="689"/>
      <c r="O275" s="689"/>
      <c r="P275" s="689"/>
      <c r="Q275" s="691"/>
      <c r="R275" s="655"/>
      <c r="S275" s="655"/>
      <c r="T275" s="655"/>
      <c r="U275" s="655"/>
      <c r="V275" s="655"/>
      <c r="W275" s="655"/>
      <c r="X275" s="655"/>
      <c r="Y275" s="655"/>
      <c r="Z275" s="655"/>
      <c r="AA275" s="655"/>
      <c r="AB275" s="655"/>
      <c r="AC275" s="655"/>
      <c r="AD275" s="655"/>
      <c r="AE275" s="65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:43" ht="12.75">
      <c r="A276" s="688" t="s">
        <v>1325</v>
      </c>
      <c r="B276" s="689"/>
      <c r="C276" s="1"/>
      <c r="D276" s="689"/>
      <c r="E276" s="689"/>
      <c r="F276" s="689"/>
      <c r="G276" s="689"/>
      <c r="H276" s="1069"/>
      <c r="I276" s="690" t="s">
        <v>768</v>
      </c>
      <c r="J276" s="689"/>
      <c r="K276" s="689"/>
      <c r="L276" s="689"/>
      <c r="M276" s="689"/>
      <c r="N276" s="689"/>
      <c r="O276" s="689"/>
      <c r="P276" s="689"/>
      <c r="Q276" s="691"/>
      <c r="R276" s="655"/>
      <c r="S276" s="655"/>
      <c r="T276" s="655"/>
      <c r="U276" s="655"/>
      <c r="V276" s="655"/>
      <c r="W276" s="655"/>
      <c r="X276" s="655"/>
      <c r="Y276" s="655"/>
      <c r="Z276" s="655"/>
      <c r="AA276" s="655"/>
      <c r="AB276" s="655"/>
      <c r="AC276" s="655"/>
      <c r="AD276" s="655"/>
      <c r="AE276" s="655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:43" ht="12.75">
      <c r="A277" s="688"/>
      <c r="B277" s="689"/>
      <c r="C277" s="689"/>
      <c r="D277" s="689"/>
      <c r="E277" s="689"/>
      <c r="F277" s="689"/>
      <c r="G277" s="689"/>
      <c r="H277" s="1069"/>
      <c r="I277" s="690" t="s">
        <v>769</v>
      </c>
      <c r="J277" s="689"/>
      <c r="K277" s="689"/>
      <c r="L277" s="689"/>
      <c r="M277" s="689"/>
      <c r="N277" s="689"/>
      <c r="O277" s="689"/>
      <c r="P277" s="689"/>
      <c r="Q277" s="691"/>
      <c r="R277" s="655"/>
      <c r="S277" s="655"/>
      <c r="T277" s="655"/>
      <c r="U277" s="655"/>
      <c r="V277" s="655"/>
      <c r="W277" s="655"/>
      <c r="X277" s="655"/>
      <c r="Y277" s="655"/>
      <c r="Z277" s="655"/>
      <c r="AA277" s="655"/>
      <c r="AB277" s="655"/>
      <c r="AC277" s="655"/>
      <c r="AD277" s="655"/>
      <c r="AE277" s="655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:43" ht="12.75">
      <c r="A278" s="688"/>
      <c r="B278" s="700" t="s">
        <v>770</v>
      </c>
      <c r="C278" s="689"/>
      <c r="D278" s="689"/>
      <c r="E278" s="689"/>
      <c r="F278" s="689"/>
      <c r="G278" s="689"/>
      <c r="H278" s="1069"/>
      <c r="I278" s="47" t="s">
        <v>771</v>
      </c>
      <c r="J278" s="689"/>
      <c r="K278" s="689"/>
      <c r="L278" s="689"/>
      <c r="M278" s="689"/>
      <c r="N278" s="689"/>
      <c r="O278" s="689"/>
      <c r="P278" s="689"/>
      <c r="Q278" s="691"/>
      <c r="R278" s="655"/>
      <c r="S278" s="655"/>
      <c r="T278" s="655"/>
      <c r="U278" s="655"/>
      <c r="V278" s="655"/>
      <c r="W278" s="655"/>
      <c r="X278" s="655"/>
      <c r="Y278" s="655"/>
      <c r="Z278" s="655"/>
      <c r="AA278" s="655"/>
      <c r="AB278" s="655"/>
      <c r="AC278" s="655"/>
      <c r="AD278" s="655"/>
      <c r="AE278" s="655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:43" ht="12.75">
      <c r="A279" s="688"/>
      <c r="B279" s="689" t="s">
        <v>1326</v>
      </c>
      <c r="C279" s="689"/>
      <c r="D279" s="689"/>
      <c r="E279" s="689"/>
      <c r="F279" s="689"/>
      <c r="G279" s="689"/>
      <c r="H279" s="1069"/>
      <c r="I279" s="47"/>
      <c r="J279" s="689"/>
      <c r="K279" s="689"/>
      <c r="L279" s="701" t="s">
        <v>772</v>
      </c>
      <c r="M279" s="689"/>
      <c r="N279" s="689"/>
      <c r="O279" s="689"/>
      <c r="P279" s="689"/>
      <c r="Q279" s="691"/>
      <c r="R279" s="655"/>
      <c r="S279" s="655"/>
      <c r="T279" s="655"/>
      <c r="U279" s="655"/>
      <c r="V279" s="655"/>
      <c r="W279" s="655"/>
      <c r="X279" s="655"/>
      <c r="Y279" s="655"/>
      <c r="Z279" s="655"/>
      <c r="AA279" s="655"/>
      <c r="AB279" s="655"/>
      <c r="AC279" s="655"/>
      <c r="AD279" s="655"/>
      <c r="AE279" s="655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:43" ht="12.75">
      <c r="A280" s="688"/>
      <c r="B280" s="689"/>
      <c r="C280" s="689"/>
      <c r="D280" s="689" t="s">
        <v>773</v>
      </c>
      <c r="E280" s="689"/>
      <c r="F280" s="689"/>
      <c r="G280" s="689"/>
      <c r="H280" s="1069"/>
      <c r="I280" s="690" t="s">
        <v>774</v>
      </c>
      <c r="J280" s="689"/>
      <c r="K280" s="689"/>
      <c r="L280" s="689"/>
      <c r="M280" s="689"/>
      <c r="N280" s="689"/>
      <c r="O280" s="689"/>
      <c r="P280" s="689"/>
      <c r="Q280" s="689"/>
      <c r="R280" s="655"/>
      <c r="S280" s="655"/>
      <c r="T280" s="655"/>
      <c r="U280" s="655"/>
      <c r="V280" s="655"/>
      <c r="W280" s="655"/>
      <c r="X280" s="655"/>
      <c r="Y280" s="655"/>
      <c r="Z280" s="655"/>
      <c r="AA280" s="655"/>
      <c r="AB280" s="655"/>
      <c r="AC280" s="655"/>
      <c r="AD280" s="655"/>
      <c r="AE280" s="655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:43" ht="12.75">
      <c r="A281" s="688"/>
      <c r="B281" s="689"/>
      <c r="C281" s="689"/>
      <c r="D281" s="689"/>
      <c r="E281" s="689"/>
      <c r="F281" s="689"/>
      <c r="G281" s="689"/>
      <c r="H281" s="1069"/>
      <c r="I281" s="690"/>
      <c r="J281" s="689" t="s">
        <v>775</v>
      </c>
      <c r="K281" s="689"/>
      <c r="L281" s="689"/>
      <c r="M281" s="689"/>
      <c r="N281" s="689"/>
      <c r="O281" s="689"/>
      <c r="P281" s="689"/>
      <c r="Q281" s="689"/>
      <c r="R281" s="655"/>
      <c r="S281" s="655"/>
      <c r="T281" s="655"/>
      <c r="U281" s="655"/>
      <c r="V281" s="655"/>
      <c r="W281" s="655"/>
      <c r="X281" s="655"/>
      <c r="Y281" s="655"/>
      <c r="Z281" s="655"/>
      <c r="AA281" s="655"/>
      <c r="AB281" s="655"/>
      <c r="AC281" s="655"/>
      <c r="AD281" s="655"/>
      <c r="AE281" s="655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:43" ht="13.5" thickBot="1">
      <c r="A282" s="702"/>
      <c r="B282" s="703"/>
      <c r="C282" s="703"/>
      <c r="D282" s="703"/>
      <c r="E282" s="703"/>
      <c r="F282" s="703"/>
      <c r="G282" s="703"/>
      <c r="H282" s="1070"/>
      <c r="I282" s="704"/>
      <c r="J282" s="705" t="s">
        <v>776</v>
      </c>
      <c r="K282" s="703"/>
      <c r="L282" s="703"/>
      <c r="M282" s="703"/>
      <c r="N282" s="703"/>
      <c r="O282" s="703"/>
      <c r="P282" s="703"/>
      <c r="Q282" s="706"/>
      <c r="R282" s="655"/>
      <c r="S282" s="655"/>
      <c r="T282" s="655"/>
      <c r="U282" s="655"/>
      <c r="V282" s="655"/>
      <c r="W282" s="655"/>
      <c r="X282" s="655"/>
      <c r="Y282" s="655"/>
      <c r="Z282" s="655"/>
      <c r="AA282" s="655"/>
      <c r="AB282" s="655"/>
      <c r="AC282" s="655"/>
      <c r="AD282" s="655"/>
      <c r="AE282" s="655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:43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 s="655"/>
      <c r="S283" s="655"/>
      <c r="T283" s="655"/>
      <c r="U283" s="655"/>
      <c r="V283" s="655"/>
      <c r="W283" s="655"/>
      <c r="X283" s="655"/>
      <c r="Y283" s="655"/>
      <c r="Z283" s="655"/>
      <c r="AA283" s="655"/>
      <c r="AB283" s="655"/>
      <c r="AC283" s="655"/>
      <c r="AD283" s="655"/>
      <c r="AE283" s="655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:43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 s="655"/>
      <c r="S284" s="655"/>
      <c r="T284" s="655"/>
      <c r="U284" s="655"/>
      <c r="V284" s="655"/>
      <c r="W284" s="655"/>
      <c r="X284" s="655"/>
      <c r="Y284" s="655"/>
      <c r="Z284" s="655"/>
      <c r="AA284" s="655"/>
      <c r="AB284" s="655"/>
      <c r="AC284" s="655"/>
      <c r="AD284" s="655"/>
      <c r="AE284" s="655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:43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 s="655"/>
      <c r="S285" s="655"/>
      <c r="T285" s="655"/>
      <c r="U285" s="655"/>
      <c r="V285" s="655"/>
      <c r="W285" s="655"/>
      <c r="X285" s="655"/>
      <c r="Y285" s="655"/>
      <c r="Z285" s="655"/>
      <c r="AA285" s="655"/>
      <c r="AB285" s="655"/>
      <c r="AC285" s="655"/>
      <c r="AD285" s="655"/>
      <c r="AE285" s="65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:43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 s="655"/>
      <c r="S286" s="655"/>
      <c r="T286" s="655"/>
      <c r="U286" s="655"/>
      <c r="V286" s="655"/>
      <c r="W286" s="655"/>
      <c r="X286" s="655"/>
      <c r="Y286" s="655"/>
      <c r="Z286" s="655"/>
      <c r="AA286" s="655"/>
      <c r="AB286" s="655"/>
      <c r="AC286" s="655"/>
      <c r="AD286" s="655"/>
      <c r="AE286" s="655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:43" ht="15">
      <c r="A287" s="1025" t="s">
        <v>133</v>
      </c>
      <c r="B287" s="1025"/>
      <c r="C287" s="1025"/>
      <c r="D287" s="1025"/>
      <c r="E287" s="1025"/>
      <c r="F287" s="1025"/>
      <c r="G287" s="1025"/>
      <c r="H287" s="1025"/>
      <c r="I287" s="1025"/>
      <c r="J287" s="1025"/>
      <c r="K287" s="1025"/>
      <c r="L287" s="1025"/>
      <c r="M287" s="1025"/>
      <c r="N287" s="1025"/>
      <c r="O287" s="1025"/>
      <c r="P287" s="1025"/>
      <c r="Q287"/>
      <c r="R287" s="655"/>
      <c r="S287" s="655"/>
      <c r="T287" s="655"/>
      <c r="U287" s="655"/>
      <c r="V287" s="655"/>
      <c r="W287" s="655"/>
      <c r="X287" s="655"/>
      <c r="Y287" s="655"/>
      <c r="Z287" s="655"/>
      <c r="AA287" s="655"/>
      <c r="AB287" s="655"/>
      <c r="AC287" s="655"/>
      <c r="AD287" s="655"/>
      <c r="AE287" s="655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:43" ht="15">
      <c r="A288" s="1025" t="s">
        <v>1293</v>
      </c>
      <c r="B288" s="1025"/>
      <c r="C288" s="1025"/>
      <c r="D288"/>
      <c r="E288" s="1025" t="s">
        <v>1294</v>
      </c>
      <c r="F288" s="1025"/>
      <c r="G288" s="1025"/>
      <c r="H288" s="1025"/>
      <c r="I288" s="1025"/>
      <c r="J288" s="1025" t="s">
        <v>1722</v>
      </c>
      <c r="K288" s="1025"/>
      <c r="L288" s="1025"/>
      <c r="M288" s="1025"/>
      <c r="N288" s="1025"/>
      <c r="O288" s="1025"/>
      <c r="P288" s="1025"/>
      <c r="Q288"/>
      <c r="R288" s="655"/>
      <c r="S288" s="655"/>
      <c r="T288" s="655"/>
      <c r="U288" s="655"/>
      <c r="V288" s="655"/>
      <c r="W288" s="655"/>
      <c r="X288" s="655"/>
      <c r="Y288" s="655"/>
      <c r="Z288" s="655"/>
      <c r="AA288" s="655"/>
      <c r="AB288" s="655"/>
      <c r="AC288" s="655"/>
      <c r="AD288" s="655"/>
      <c r="AE288" s="655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:43" ht="16.5" thickBot="1">
      <c r="A289" s="1026" t="s">
        <v>725</v>
      </c>
      <c r="B289" s="1026"/>
      <c r="C289" s="1026"/>
      <c r="D289" s="1026"/>
      <c r="E289" s="1026"/>
      <c r="F289" s="1026" t="s">
        <v>1296</v>
      </c>
      <c r="G289" s="1026"/>
      <c r="H289" s="1026"/>
      <c r="I289" s="1026"/>
      <c r="J289" s="1026"/>
      <c r="K289" s="1026"/>
      <c r="L289" s="1026" t="s">
        <v>727</v>
      </c>
      <c r="M289" s="1026"/>
      <c r="N289" s="1026"/>
      <c r="O289" s="1026"/>
      <c r="P289" s="1026"/>
      <c r="Q289"/>
      <c r="R289" s="655"/>
      <c r="S289" s="655"/>
      <c r="T289" s="655"/>
      <c r="U289" s="655"/>
      <c r="V289" s="655"/>
      <c r="W289" s="655"/>
      <c r="X289" s="655"/>
      <c r="Y289" s="655"/>
      <c r="Z289" s="655"/>
      <c r="AA289" s="655"/>
      <c r="AB289" s="655"/>
      <c r="AC289" s="655"/>
      <c r="AD289" s="655"/>
      <c r="AE289" s="655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:43" ht="12.75">
      <c r="A290" s="1027" t="s">
        <v>199</v>
      </c>
      <c r="B290" s="1028" t="s">
        <v>729</v>
      </c>
      <c r="C290" s="1029"/>
      <c r="D290" s="1030"/>
      <c r="E290" s="1481" t="s">
        <v>1297</v>
      </c>
      <c r="F290" s="1028" t="s">
        <v>1298</v>
      </c>
      <c r="G290" s="1028" t="s">
        <v>1299</v>
      </c>
      <c r="H290" s="1028" t="s">
        <v>1300</v>
      </c>
      <c r="I290" s="1031" t="s">
        <v>780</v>
      </c>
      <c r="J290" s="1032"/>
      <c r="K290" s="1031" t="s">
        <v>200</v>
      </c>
      <c r="L290" s="1033"/>
      <c r="M290" s="1033"/>
      <c r="N290" s="1032"/>
      <c r="O290" s="1028" t="s">
        <v>201</v>
      </c>
      <c r="P290" s="1028" t="s">
        <v>202</v>
      </c>
      <c r="Q290" s="1034" t="s">
        <v>203</v>
      </c>
      <c r="R290" s="655"/>
      <c r="S290" s="655"/>
      <c r="T290" s="655"/>
      <c r="U290" s="655"/>
      <c r="V290" s="655"/>
      <c r="W290" s="655"/>
      <c r="X290" s="655"/>
      <c r="Y290" s="655"/>
      <c r="Z290" s="655"/>
      <c r="AA290" s="655"/>
      <c r="AB290" s="655"/>
      <c r="AC290" s="655"/>
      <c r="AD290" s="655"/>
      <c r="AE290" s="655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:43" ht="12.75">
      <c r="A291" s="1035"/>
      <c r="B291" s="1036" t="s">
        <v>730</v>
      </c>
      <c r="C291" s="1037" t="s">
        <v>1301</v>
      </c>
      <c r="D291" s="1038"/>
      <c r="E291" s="1482"/>
      <c r="F291" s="1036" t="s">
        <v>1302</v>
      </c>
      <c r="G291" s="1036" t="s">
        <v>1303</v>
      </c>
      <c r="H291" s="1036" t="s">
        <v>1304</v>
      </c>
      <c r="I291" s="1039" t="s">
        <v>205</v>
      </c>
      <c r="J291" s="1039" t="s">
        <v>782</v>
      </c>
      <c r="K291" s="1039"/>
      <c r="L291" s="1040" t="s">
        <v>206</v>
      </c>
      <c r="M291" s="1041"/>
      <c r="N291" s="1039" t="s">
        <v>731</v>
      </c>
      <c r="O291" s="1036" t="s">
        <v>732</v>
      </c>
      <c r="P291" s="1036" t="s">
        <v>207</v>
      </c>
      <c r="Q291" s="1042" t="s">
        <v>208</v>
      </c>
      <c r="R291" s="655"/>
      <c r="S291" s="655"/>
      <c r="T291" s="655"/>
      <c r="U291" s="655"/>
      <c r="V291" s="655"/>
      <c r="W291" s="655"/>
      <c r="X291" s="655"/>
      <c r="Y291" s="655"/>
      <c r="Z291" s="655"/>
      <c r="AA291" s="655"/>
      <c r="AB291" s="655"/>
      <c r="AC291" s="655"/>
      <c r="AD291" s="655"/>
      <c r="AE291" s="655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:43" ht="13.5" thickBot="1">
      <c r="A292" s="1043"/>
      <c r="B292" s="1044" t="s">
        <v>735</v>
      </c>
      <c r="C292" s="1037"/>
      <c r="D292" s="1038"/>
      <c r="E292" s="1483"/>
      <c r="F292" s="1044" t="s">
        <v>1305</v>
      </c>
      <c r="G292" s="1044" t="s">
        <v>1306</v>
      </c>
      <c r="H292" s="1044" t="s">
        <v>1307</v>
      </c>
      <c r="I292" s="1044"/>
      <c r="J292" s="1044" t="s">
        <v>1308</v>
      </c>
      <c r="K292" s="1044" t="s">
        <v>1309</v>
      </c>
      <c r="L292" s="1045" t="s">
        <v>736</v>
      </c>
      <c r="M292" s="1045" t="s">
        <v>737</v>
      </c>
      <c r="N292" s="1044" t="s">
        <v>738</v>
      </c>
      <c r="O292" s="1044" t="s">
        <v>739</v>
      </c>
      <c r="P292" s="1044" t="s">
        <v>740</v>
      </c>
      <c r="Q292" s="1046" t="s">
        <v>1310</v>
      </c>
      <c r="R292" s="655"/>
      <c r="S292" s="655"/>
      <c r="T292" s="655"/>
      <c r="U292" s="655"/>
      <c r="V292" s="655"/>
      <c r="W292" s="655"/>
      <c r="X292" s="655"/>
      <c r="Y292" s="655"/>
      <c r="Z292" s="655"/>
      <c r="AA292" s="655"/>
      <c r="AB292" s="655"/>
      <c r="AC292" s="655"/>
      <c r="AD292" s="655"/>
      <c r="AE292" s="655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:43" ht="12.75">
      <c r="A293" s="1047">
        <v>1</v>
      </c>
      <c r="B293" s="1048" t="s">
        <v>1311</v>
      </c>
      <c r="C293" s="1470" t="s">
        <v>1270</v>
      </c>
      <c r="D293" s="1471"/>
      <c r="E293" s="1050" t="s">
        <v>1312</v>
      </c>
      <c r="F293" s="1051">
        <v>1</v>
      </c>
      <c r="G293" s="1052">
        <v>0</v>
      </c>
      <c r="H293" s="1052">
        <v>22</v>
      </c>
      <c r="I293" s="1052">
        <v>50000</v>
      </c>
      <c r="J293" s="1052">
        <v>50000</v>
      </c>
      <c r="K293" s="1052">
        <f aca="true" t="shared" si="57" ref="K293:K298">L293+M293</f>
        <v>12250</v>
      </c>
      <c r="L293" s="1052">
        <f aca="true" t="shared" si="58" ref="L293:L298">I293*0.15</f>
        <v>7500</v>
      </c>
      <c r="M293" s="1052">
        <f aca="true" t="shared" si="59" ref="M293:M298">I293*0.095</f>
        <v>4750</v>
      </c>
      <c r="N293" s="1052">
        <v>0</v>
      </c>
      <c r="O293" s="1052">
        <f aca="true" t="shared" si="60" ref="O293:O298">I293*0.034</f>
        <v>1700.0000000000002</v>
      </c>
      <c r="P293" s="1052">
        <f aca="true" t="shared" si="61" ref="P293:P298">I293</f>
        <v>50000</v>
      </c>
      <c r="Q293" s="1053">
        <v>5000</v>
      </c>
      <c r="R293" s="655"/>
      <c r="S293" s="655"/>
      <c r="T293" s="655"/>
      <c r="U293" s="655"/>
      <c r="V293" s="655"/>
      <c r="W293" s="655"/>
      <c r="X293" s="655"/>
      <c r="Y293" s="655"/>
      <c r="Z293" s="655"/>
      <c r="AA293" s="655"/>
      <c r="AB293" s="655"/>
      <c r="AC293" s="655"/>
      <c r="AD293" s="655"/>
      <c r="AE293" s="655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:43" ht="12.75">
      <c r="A294" s="1054">
        <v>2</v>
      </c>
      <c r="B294" s="1056"/>
      <c r="C294" s="1470" t="s">
        <v>1316</v>
      </c>
      <c r="D294" s="1471"/>
      <c r="E294" s="1049" t="s">
        <v>1317</v>
      </c>
      <c r="F294" s="1056">
        <v>1</v>
      </c>
      <c r="G294" s="1056">
        <v>0</v>
      </c>
      <c r="H294" s="1056">
        <v>22</v>
      </c>
      <c r="I294" s="1052">
        <v>21100</v>
      </c>
      <c r="J294" s="1052">
        <v>21100</v>
      </c>
      <c r="K294" s="1056">
        <f t="shared" si="57"/>
        <v>5169.5</v>
      </c>
      <c r="L294" s="1052">
        <f t="shared" si="58"/>
        <v>3165</v>
      </c>
      <c r="M294" s="1052">
        <f t="shared" si="59"/>
        <v>2004.5</v>
      </c>
      <c r="N294" s="1056">
        <v>0</v>
      </c>
      <c r="O294" s="1052">
        <f t="shared" si="60"/>
        <v>717.4000000000001</v>
      </c>
      <c r="P294" s="1056">
        <f t="shared" si="61"/>
        <v>21100</v>
      </c>
      <c r="Q294" s="1053">
        <v>1110</v>
      </c>
      <c r="R294" s="655"/>
      <c r="S294" s="655"/>
      <c r="T294" s="655"/>
      <c r="U294" s="655"/>
      <c r="V294" s="655"/>
      <c r="W294" s="655"/>
      <c r="X294" s="655"/>
      <c r="Y294" s="655"/>
      <c r="Z294" s="655"/>
      <c r="AA294" s="655"/>
      <c r="AB294" s="655"/>
      <c r="AC294" s="655"/>
      <c r="AD294" s="655"/>
      <c r="AE294" s="655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:43" ht="12.75">
      <c r="A295" s="1054">
        <v>3</v>
      </c>
      <c r="B295" s="1056"/>
      <c r="C295" s="1470" t="s">
        <v>1318</v>
      </c>
      <c r="D295" s="1471"/>
      <c r="E295" s="1049" t="s">
        <v>1317</v>
      </c>
      <c r="F295" s="1056">
        <v>1</v>
      </c>
      <c r="G295" s="1056">
        <v>0</v>
      </c>
      <c r="H295" s="1056">
        <v>22</v>
      </c>
      <c r="I295" s="1052">
        <v>21100</v>
      </c>
      <c r="J295" s="1052">
        <v>21100</v>
      </c>
      <c r="K295" s="1056">
        <f t="shared" si="57"/>
        <v>5169.5</v>
      </c>
      <c r="L295" s="1052">
        <f t="shared" si="58"/>
        <v>3165</v>
      </c>
      <c r="M295" s="1052">
        <f t="shared" si="59"/>
        <v>2004.5</v>
      </c>
      <c r="N295" s="1052">
        <v>0</v>
      </c>
      <c r="O295" s="1052">
        <f t="shared" si="60"/>
        <v>717.4000000000001</v>
      </c>
      <c r="P295" s="1056">
        <f t="shared" si="61"/>
        <v>21100</v>
      </c>
      <c r="Q295" s="1053">
        <v>1110</v>
      </c>
      <c r="R295" s="655"/>
      <c r="S295" s="655"/>
      <c r="T295" s="655"/>
      <c r="U295" s="655"/>
      <c r="V295" s="655"/>
      <c r="W295" s="655"/>
      <c r="X295" s="655"/>
      <c r="Y295" s="655"/>
      <c r="Z295" s="655"/>
      <c r="AA295" s="655"/>
      <c r="AB295" s="655"/>
      <c r="AC295" s="655"/>
      <c r="AD295" s="655"/>
      <c r="AE295" s="65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:43" ht="12.75">
      <c r="A296" s="1054">
        <v>4</v>
      </c>
      <c r="B296" s="1056"/>
      <c r="C296" s="1470" t="s">
        <v>1319</v>
      </c>
      <c r="D296" s="1471"/>
      <c r="E296" s="1049" t="s">
        <v>1317</v>
      </c>
      <c r="F296" s="1056">
        <v>1</v>
      </c>
      <c r="G296" s="1056">
        <v>0</v>
      </c>
      <c r="H296" s="1056">
        <v>22</v>
      </c>
      <c r="I296" s="1052">
        <v>21100</v>
      </c>
      <c r="J296" s="1052">
        <v>21100</v>
      </c>
      <c r="K296" s="1056">
        <f t="shared" si="57"/>
        <v>5169.5</v>
      </c>
      <c r="L296" s="1052">
        <f t="shared" si="58"/>
        <v>3165</v>
      </c>
      <c r="M296" s="1052">
        <f t="shared" si="59"/>
        <v>2004.5</v>
      </c>
      <c r="N296" s="1056">
        <v>0</v>
      </c>
      <c r="O296" s="1052">
        <f t="shared" si="60"/>
        <v>717.4000000000001</v>
      </c>
      <c r="P296" s="1056">
        <f t="shared" si="61"/>
        <v>21100</v>
      </c>
      <c r="Q296" s="1053">
        <v>1110</v>
      </c>
      <c r="R296" s="655"/>
      <c r="S296" s="655"/>
      <c r="T296" s="655"/>
      <c r="U296" s="655"/>
      <c r="V296" s="655"/>
      <c r="W296" s="655"/>
      <c r="X296" s="655"/>
      <c r="Y296" s="655"/>
      <c r="Z296" s="655"/>
      <c r="AA296" s="655"/>
      <c r="AB296" s="655"/>
      <c r="AC296" s="655"/>
      <c r="AD296" s="655"/>
      <c r="AE296" s="655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:43" ht="12.75">
      <c r="A297" s="1054">
        <v>5</v>
      </c>
      <c r="B297" s="1056"/>
      <c r="C297" s="1470" t="s">
        <v>1320</v>
      </c>
      <c r="D297" s="1471"/>
      <c r="E297" s="1049" t="s">
        <v>1317</v>
      </c>
      <c r="F297" s="1056">
        <v>1</v>
      </c>
      <c r="G297" s="1056">
        <v>0</v>
      </c>
      <c r="H297" s="1056">
        <v>22</v>
      </c>
      <c r="I297" s="1052">
        <v>21100</v>
      </c>
      <c r="J297" s="1052">
        <v>21100</v>
      </c>
      <c r="K297" s="1056">
        <f t="shared" si="57"/>
        <v>5169.5</v>
      </c>
      <c r="L297" s="1052">
        <f t="shared" si="58"/>
        <v>3165</v>
      </c>
      <c r="M297" s="1052">
        <f t="shared" si="59"/>
        <v>2004.5</v>
      </c>
      <c r="N297" s="1052">
        <v>0</v>
      </c>
      <c r="O297" s="1052">
        <f t="shared" si="60"/>
        <v>717.4000000000001</v>
      </c>
      <c r="P297" s="1056">
        <f t="shared" si="61"/>
        <v>21100</v>
      </c>
      <c r="Q297" s="1053">
        <v>1110</v>
      </c>
      <c r="R297" s="655"/>
      <c r="S297" s="655"/>
      <c r="T297" s="655"/>
      <c r="U297" s="655"/>
      <c r="V297" s="655"/>
      <c r="W297" s="655"/>
      <c r="X297" s="655"/>
      <c r="Y297" s="655"/>
      <c r="Z297" s="655"/>
      <c r="AA297" s="655"/>
      <c r="AB297" s="655"/>
      <c r="AC297" s="655"/>
      <c r="AD297" s="655"/>
      <c r="AE297" s="655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:43" ht="12.75">
      <c r="A298" s="1054">
        <v>6</v>
      </c>
      <c r="B298" s="1056"/>
      <c r="C298" s="1470" t="s">
        <v>1321</v>
      </c>
      <c r="D298" s="1471"/>
      <c r="E298" s="1049"/>
      <c r="F298" s="1056">
        <v>1</v>
      </c>
      <c r="G298" s="1056">
        <v>0</v>
      </c>
      <c r="H298" s="1056">
        <v>22</v>
      </c>
      <c r="I298" s="1052">
        <v>21100</v>
      </c>
      <c r="J298" s="1052">
        <v>21100</v>
      </c>
      <c r="K298" s="1056">
        <f t="shared" si="57"/>
        <v>5169.5</v>
      </c>
      <c r="L298" s="1052">
        <f t="shared" si="58"/>
        <v>3165</v>
      </c>
      <c r="M298" s="1052">
        <f t="shared" si="59"/>
        <v>2004.5</v>
      </c>
      <c r="N298" s="1056">
        <v>0</v>
      </c>
      <c r="O298" s="1052">
        <f t="shared" si="60"/>
        <v>717.4000000000001</v>
      </c>
      <c r="P298" s="1056">
        <f t="shared" si="61"/>
        <v>21100</v>
      </c>
      <c r="Q298" s="1053">
        <v>1110</v>
      </c>
      <c r="R298" s="655"/>
      <c r="S298" s="655"/>
      <c r="T298" s="655"/>
      <c r="U298" s="655"/>
      <c r="V298" s="655"/>
      <c r="W298" s="655"/>
      <c r="X298" s="655"/>
      <c r="Y298" s="655"/>
      <c r="Z298" s="655"/>
      <c r="AA298" s="655"/>
      <c r="AB298" s="655"/>
      <c r="AC298" s="655"/>
      <c r="AD298" s="655"/>
      <c r="AE298" s="655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:43" ht="12.75">
      <c r="A299" s="1054">
        <v>7</v>
      </c>
      <c r="B299" s="1056"/>
      <c r="C299" s="1470"/>
      <c r="D299" s="1471"/>
      <c r="E299" s="1058"/>
      <c r="F299" s="1056"/>
      <c r="G299" s="1056"/>
      <c r="H299" s="1056"/>
      <c r="I299" s="1052"/>
      <c r="J299" s="1052"/>
      <c r="K299" s="1056"/>
      <c r="L299" s="1052"/>
      <c r="M299" s="1052"/>
      <c r="N299" s="1052"/>
      <c r="O299" s="1052"/>
      <c r="P299" s="1056"/>
      <c r="Q299" s="1053"/>
      <c r="R299" s="655"/>
      <c r="S299" s="655"/>
      <c r="T299" s="655"/>
      <c r="U299" s="655"/>
      <c r="V299" s="655"/>
      <c r="W299" s="655"/>
      <c r="X299" s="655"/>
      <c r="Y299" s="655"/>
      <c r="Z299" s="655"/>
      <c r="AA299" s="655"/>
      <c r="AB299" s="655"/>
      <c r="AC299" s="655"/>
      <c r="AD299" s="655"/>
      <c r="AE299" s="655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:43" ht="12.75">
      <c r="A300" s="1054">
        <v>8</v>
      </c>
      <c r="B300" s="1056"/>
      <c r="C300" s="1057"/>
      <c r="D300" s="1058"/>
      <c r="E300" s="1058"/>
      <c r="F300" s="1056"/>
      <c r="G300" s="1056"/>
      <c r="H300" s="1056"/>
      <c r="I300" s="1056"/>
      <c r="J300" s="1056"/>
      <c r="K300" s="1056"/>
      <c r="L300" s="1052"/>
      <c r="M300" s="1052"/>
      <c r="N300" s="1052"/>
      <c r="O300" s="1052"/>
      <c r="P300" s="1056"/>
      <c r="Q300" s="1053"/>
      <c r="R300" s="655"/>
      <c r="S300" s="655"/>
      <c r="T300" s="655"/>
      <c r="U300" s="655"/>
      <c r="V300" s="655"/>
      <c r="W300" s="655"/>
      <c r="X300" s="655"/>
      <c r="Y300" s="655"/>
      <c r="Z300" s="655"/>
      <c r="AA300" s="655"/>
      <c r="AB300" s="655"/>
      <c r="AC300" s="655"/>
      <c r="AD300" s="655"/>
      <c r="AE300" s="655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:43" ht="12.75">
      <c r="A301" s="1054">
        <v>9</v>
      </c>
      <c r="B301" s="1056"/>
      <c r="C301" s="1057"/>
      <c r="D301" s="1058"/>
      <c r="E301" s="1058"/>
      <c r="F301" s="1056"/>
      <c r="G301" s="1056"/>
      <c r="H301" s="1056"/>
      <c r="I301" s="1056"/>
      <c r="J301" s="1056"/>
      <c r="K301" s="1056"/>
      <c r="L301" s="1056"/>
      <c r="M301" s="1056"/>
      <c r="N301" s="1056"/>
      <c r="O301" s="1056"/>
      <c r="P301" s="1056"/>
      <c r="Q301" s="1059"/>
      <c r="R301" s="655"/>
      <c r="S301" s="655"/>
      <c r="T301" s="655"/>
      <c r="U301" s="655"/>
      <c r="V301" s="655"/>
      <c r="W301" s="655"/>
      <c r="X301" s="655"/>
      <c r="Y301" s="655"/>
      <c r="Z301" s="655"/>
      <c r="AA301" s="655"/>
      <c r="AB301" s="655"/>
      <c r="AC301" s="655"/>
      <c r="AD301" s="655"/>
      <c r="AE301" s="655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:43" ht="12.75">
      <c r="A302" s="1054">
        <v>10</v>
      </c>
      <c r="B302" s="1056"/>
      <c r="C302" s="1057"/>
      <c r="D302" s="1058"/>
      <c r="E302" s="1058"/>
      <c r="F302" s="1056"/>
      <c r="G302" s="1056"/>
      <c r="H302" s="1056"/>
      <c r="I302" s="1056"/>
      <c r="J302" s="1056"/>
      <c r="K302" s="1056"/>
      <c r="L302" s="1056"/>
      <c r="M302" s="1056"/>
      <c r="N302" s="1056"/>
      <c r="O302" s="1056"/>
      <c r="P302" s="1056"/>
      <c r="Q302" s="1059"/>
      <c r="R302" s="655"/>
      <c r="S302" s="655"/>
      <c r="T302" s="655"/>
      <c r="U302" s="655"/>
      <c r="V302" s="655"/>
      <c r="W302" s="655"/>
      <c r="X302" s="655"/>
      <c r="Y302" s="655"/>
      <c r="Z302" s="655"/>
      <c r="AA302" s="655"/>
      <c r="AB302" s="655"/>
      <c r="AC302" s="655"/>
      <c r="AD302" s="655"/>
      <c r="AE302" s="655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:43" ht="12.75">
      <c r="A303" s="1054">
        <v>11</v>
      </c>
      <c r="B303" s="1056"/>
      <c r="C303" s="1057"/>
      <c r="D303" s="1058"/>
      <c r="E303" s="1058"/>
      <c r="F303" s="1056"/>
      <c r="G303" s="1056"/>
      <c r="H303" s="1056"/>
      <c r="I303" s="1056"/>
      <c r="J303" s="1056"/>
      <c r="K303" s="1056"/>
      <c r="L303" s="1056"/>
      <c r="M303" s="1056"/>
      <c r="N303" s="1056"/>
      <c r="O303" s="1056"/>
      <c r="P303" s="1056"/>
      <c r="Q303" s="1059"/>
      <c r="R303" s="655"/>
      <c r="S303" s="655"/>
      <c r="T303" s="655"/>
      <c r="U303" s="655"/>
      <c r="V303" s="655"/>
      <c r="W303" s="655"/>
      <c r="X303" s="655"/>
      <c r="Y303" s="655"/>
      <c r="Z303" s="655"/>
      <c r="AA303" s="655"/>
      <c r="AB303" s="655"/>
      <c r="AC303" s="655"/>
      <c r="AD303" s="655"/>
      <c r="AE303" s="655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:43" ht="12.75">
      <c r="A304" s="1054">
        <v>12</v>
      </c>
      <c r="B304" s="1056"/>
      <c r="C304" s="1057"/>
      <c r="D304" s="1058"/>
      <c r="E304" s="1058"/>
      <c r="F304" s="1056"/>
      <c r="G304" s="1056"/>
      <c r="H304" s="1056"/>
      <c r="I304" s="1056"/>
      <c r="J304" s="1056"/>
      <c r="K304" s="1056"/>
      <c r="L304" s="1056"/>
      <c r="M304" s="1056"/>
      <c r="N304" s="1056"/>
      <c r="O304" s="1056"/>
      <c r="P304" s="1056"/>
      <c r="Q304" s="1059"/>
      <c r="R304" s="655"/>
      <c r="S304" s="655"/>
      <c r="T304" s="655"/>
      <c r="U304" s="655"/>
      <c r="V304" s="655"/>
      <c r="W304" s="655"/>
      <c r="X304" s="655"/>
      <c r="Y304" s="655"/>
      <c r="Z304" s="655"/>
      <c r="AA304" s="655"/>
      <c r="AB304" s="655"/>
      <c r="AC304" s="655"/>
      <c r="AD304" s="655"/>
      <c r="AE304" s="655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:43" ht="12.75">
      <c r="A305" s="1054">
        <v>13</v>
      </c>
      <c r="B305" s="1056"/>
      <c r="C305" s="1057"/>
      <c r="D305" s="1058"/>
      <c r="E305" s="1058"/>
      <c r="F305" s="1056"/>
      <c r="G305" s="1056"/>
      <c r="H305" s="1056"/>
      <c r="I305" s="1056"/>
      <c r="J305" s="1056"/>
      <c r="K305" s="1056"/>
      <c r="L305" s="1056"/>
      <c r="M305" s="1056"/>
      <c r="N305" s="1056"/>
      <c r="O305" s="1056"/>
      <c r="P305" s="1056"/>
      <c r="Q305" s="1059"/>
      <c r="R305" s="655"/>
      <c r="S305" s="655"/>
      <c r="T305" s="655"/>
      <c r="U305" s="655"/>
      <c r="V305" s="655"/>
      <c r="W305" s="655"/>
      <c r="X305" s="655"/>
      <c r="Y305" s="655"/>
      <c r="Z305" s="655"/>
      <c r="AA305" s="655"/>
      <c r="AB305" s="655"/>
      <c r="AC305" s="655"/>
      <c r="AD305" s="655"/>
      <c r="AE305" s="65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:43" ht="12.75">
      <c r="A306" s="1054">
        <v>14</v>
      </c>
      <c r="B306" s="1056"/>
      <c r="C306" s="1057"/>
      <c r="D306" s="1058"/>
      <c r="E306" s="1058"/>
      <c r="F306" s="1056"/>
      <c r="G306" s="1056"/>
      <c r="H306" s="1056"/>
      <c r="I306" s="1056"/>
      <c r="J306" s="1056"/>
      <c r="K306" s="1056"/>
      <c r="L306" s="1056"/>
      <c r="M306" s="1056"/>
      <c r="N306" s="1056"/>
      <c r="O306" s="1056"/>
      <c r="P306" s="1056"/>
      <c r="Q306" s="1059"/>
      <c r="R306" s="655"/>
      <c r="S306" s="655"/>
      <c r="T306" s="655"/>
      <c r="U306" s="655"/>
      <c r="V306" s="655"/>
      <c r="W306" s="655"/>
      <c r="X306" s="655"/>
      <c r="Y306" s="655"/>
      <c r="Z306" s="655"/>
      <c r="AA306" s="655"/>
      <c r="AB306" s="655"/>
      <c r="AC306" s="655"/>
      <c r="AD306" s="655"/>
      <c r="AE306" s="655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:43" ht="12.75">
      <c r="A307" s="1054">
        <v>15</v>
      </c>
      <c r="B307" s="1056"/>
      <c r="C307" s="1057"/>
      <c r="D307" s="1058"/>
      <c r="E307" s="1058"/>
      <c r="F307" s="1056"/>
      <c r="G307" s="1056"/>
      <c r="H307" s="1056"/>
      <c r="I307" s="1056"/>
      <c r="J307" s="1056"/>
      <c r="K307" s="1056"/>
      <c r="L307" s="1056"/>
      <c r="M307" s="1056"/>
      <c r="N307" s="1056"/>
      <c r="O307" s="1056"/>
      <c r="P307" s="1056"/>
      <c r="Q307" s="1059"/>
      <c r="R307" s="655"/>
      <c r="S307" s="655"/>
      <c r="T307" s="655"/>
      <c r="U307" s="655"/>
      <c r="V307" s="655"/>
      <c r="W307" s="655"/>
      <c r="X307" s="655"/>
      <c r="Y307" s="655"/>
      <c r="Z307" s="655"/>
      <c r="AA307" s="655"/>
      <c r="AB307" s="655"/>
      <c r="AC307" s="655"/>
      <c r="AD307" s="655"/>
      <c r="AE307" s="655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:43" ht="12.75">
      <c r="A308" s="1054">
        <v>16</v>
      </c>
      <c r="B308" s="1056"/>
      <c r="C308" s="1057"/>
      <c r="D308" s="1058"/>
      <c r="E308" s="1058"/>
      <c r="F308" s="1056"/>
      <c r="G308" s="1056"/>
      <c r="H308" s="1056"/>
      <c r="I308" s="1056"/>
      <c r="J308" s="1056"/>
      <c r="K308" s="1056"/>
      <c r="L308" s="1056"/>
      <c r="M308" s="1056"/>
      <c r="N308" s="1056"/>
      <c r="O308" s="1056"/>
      <c r="P308" s="1056"/>
      <c r="Q308" s="1059"/>
      <c r="R308" s="655"/>
      <c r="S308" s="655"/>
      <c r="T308" s="655"/>
      <c r="U308" s="655"/>
      <c r="V308" s="655"/>
      <c r="W308" s="655"/>
      <c r="X308" s="655"/>
      <c r="Y308" s="655"/>
      <c r="Z308" s="655"/>
      <c r="AA308" s="655"/>
      <c r="AB308" s="655"/>
      <c r="AC308" s="655"/>
      <c r="AD308" s="655"/>
      <c r="AE308" s="655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:43" ht="12.75">
      <c r="A309" s="1054">
        <v>17</v>
      </c>
      <c r="B309" s="1056"/>
      <c r="C309" s="1057"/>
      <c r="D309" s="1058"/>
      <c r="E309" s="1058"/>
      <c r="F309" s="1056"/>
      <c r="G309" s="1056"/>
      <c r="H309" s="1056"/>
      <c r="I309" s="1056"/>
      <c r="J309" s="1056"/>
      <c r="K309" s="1056"/>
      <c r="L309" s="1056"/>
      <c r="M309" s="1056"/>
      <c r="N309" s="1056"/>
      <c r="O309" s="1056"/>
      <c r="P309" s="1056"/>
      <c r="Q309" s="1059"/>
      <c r="R309" s="655"/>
      <c r="S309" s="655"/>
      <c r="T309" s="655"/>
      <c r="U309" s="655"/>
      <c r="V309" s="655"/>
      <c r="W309" s="655"/>
      <c r="X309" s="655"/>
      <c r="Y309" s="655"/>
      <c r="Z309" s="655"/>
      <c r="AA309" s="655"/>
      <c r="AB309" s="655"/>
      <c r="AC309" s="655"/>
      <c r="AD309" s="655"/>
      <c r="AE309" s="655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:43" ht="12.75">
      <c r="A310" s="1054">
        <v>18</v>
      </c>
      <c r="B310" s="1056"/>
      <c r="C310" s="1057"/>
      <c r="D310" s="1058"/>
      <c r="E310" s="1058"/>
      <c r="F310" s="1056"/>
      <c r="G310" s="1056"/>
      <c r="H310" s="1056"/>
      <c r="I310" s="1056"/>
      <c r="J310" s="1056"/>
      <c r="K310" s="1056"/>
      <c r="L310" s="1056"/>
      <c r="M310" s="1056"/>
      <c r="N310" s="1056"/>
      <c r="O310" s="1056"/>
      <c r="P310" s="1056"/>
      <c r="Q310" s="1059"/>
      <c r="R310" s="655"/>
      <c r="S310" s="655"/>
      <c r="T310" s="655"/>
      <c r="U310" s="655"/>
      <c r="V310" s="655"/>
      <c r="W310" s="655"/>
      <c r="X310" s="655"/>
      <c r="Y310" s="655"/>
      <c r="Z310" s="655"/>
      <c r="AA310" s="655"/>
      <c r="AB310" s="655"/>
      <c r="AC310" s="655"/>
      <c r="AD310" s="655"/>
      <c r="AE310" s="655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:43" ht="12.75">
      <c r="A311" s="1054">
        <v>19</v>
      </c>
      <c r="B311" s="1056"/>
      <c r="C311" s="1057"/>
      <c r="D311" s="1058"/>
      <c r="E311" s="1058"/>
      <c r="F311" s="1056"/>
      <c r="G311" s="1056"/>
      <c r="H311" s="1056"/>
      <c r="I311" s="1056"/>
      <c r="J311" s="1056"/>
      <c r="K311" s="1056"/>
      <c r="L311" s="1056"/>
      <c r="M311" s="1056"/>
      <c r="N311" s="1056"/>
      <c r="O311" s="1056"/>
      <c r="P311" s="1056"/>
      <c r="Q311" s="1059"/>
      <c r="R311" s="655"/>
      <c r="S311" s="655"/>
      <c r="T311" s="655"/>
      <c r="U311" s="655"/>
      <c r="V311" s="655"/>
      <c r="W311" s="655"/>
      <c r="X311" s="655"/>
      <c r="Y311" s="655"/>
      <c r="Z311" s="655"/>
      <c r="AA311" s="655"/>
      <c r="AB311" s="655"/>
      <c r="AC311" s="655"/>
      <c r="AD311" s="655"/>
      <c r="AE311" s="655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:43" ht="12.75">
      <c r="A312" s="1054">
        <v>20</v>
      </c>
      <c r="B312" s="1056"/>
      <c r="C312" s="1057"/>
      <c r="D312" s="1058"/>
      <c r="E312" s="1058"/>
      <c r="F312" s="1056"/>
      <c r="G312" s="1056"/>
      <c r="H312" s="1056"/>
      <c r="I312" s="1056"/>
      <c r="J312" s="1056"/>
      <c r="K312" s="1056"/>
      <c r="L312" s="1056"/>
      <c r="M312" s="1056"/>
      <c r="N312" s="1056"/>
      <c r="O312" s="1056"/>
      <c r="P312" s="1056"/>
      <c r="Q312" s="1059"/>
      <c r="R312" s="655"/>
      <c r="S312" s="655"/>
      <c r="T312" s="655"/>
      <c r="U312" s="655"/>
      <c r="V312" s="655"/>
      <c r="W312" s="655"/>
      <c r="X312" s="655"/>
      <c r="Y312" s="655"/>
      <c r="Z312" s="655"/>
      <c r="AA312" s="655"/>
      <c r="AB312" s="655"/>
      <c r="AC312" s="655"/>
      <c r="AD312" s="655"/>
      <c r="AE312" s="655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:43" ht="12.75">
      <c r="A313" s="1054">
        <v>21</v>
      </c>
      <c r="B313" s="1056"/>
      <c r="C313" s="1057"/>
      <c r="D313" s="1058"/>
      <c r="E313" s="1058"/>
      <c r="F313" s="1056"/>
      <c r="G313" s="1056"/>
      <c r="H313" s="1056"/>
      <c r="I313" s="1056"/>
      <c r="J313" s="1056"/>
      <c r="K313" s="1056"/>
      <c r="L313" s="1056"/>
      <c r="M313" s="1056"/>
      <c r="N313" s="1056"/>
      <c r="O313" s="1056"/>
      <c r="P313" s="1056"/>
      <c r="Q313" s="1059"/>
      <c r="R313" s="655"/>
      <c r="S313" s="655"/>
      <c r="T313" s="655"/>
      <c r="U313" s="655"/>
      <c r="V313" s="655"/>
      <c r="W313" s="655"/>
      <c r="X313" s="655"/>
      <c r="Y313" s="655"/>
      <c r="Z313" s="655"/>
      <c r="AA313" s="655"/>
      <c r="AB313" s="655"/>
      <c r="AC313" s="655"/>
      <c r="AD313" s="655"/>
      <c r="AE313" s="655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:43" ht="12.75">
      <c r="A314" s="1054">
        <v>22</v>
      </c>
      <c r="B314" s="1056"/>
      <c r="C314" s="1057"/>
      <c r="D314" s="1058"/>
      <c r="E314" s="1058"/>
      <c r="F314" s="1056"/>
      <c r="G314" s="1056"/>
      <c r="H314" s="1056"/>
      <c r="I314" s="1056"/>
      <c r="J314" s="1056"/>
      <c r="K314" s="1056"/>
      <c r="L314" s="1056"/>
      <c r="M314" s="1056"/>
      <c r="N314" s="1056"/>
      <c r="O314" s="1056"/>
      <c r="P314" s="1056"/>
      <c r="Q314" s="1059"/>
      <c r="R314" s="655"/>
      <c r="S314" s="655"/>
      <c r="T314" s="655"/>
      <c r="U314" s="655"/>
      <c r="V314" s="655"/>
      <c r="W314" s="655"/>
      <c r="X314" s="655"/>
      <c r="Y314" s="655"/>
      <c r="Z314" s="655"/>
      <c r="AA314" s="655"/>
      <c r="AB314" s="655"/>
      <c r="AC314" s="655"/>
      <c r="AD314" s="655"/>
      <c r="AE314" s="655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:43" ht="12.75">
      <c r="A315" s="1054">
        <v>23</v>
      </c>
      <c r="B315" s="1056"/>
      <c r="C315" s="1057"/>
      <c r="D315" s="1058"/>
      <c r="E315" s="1058"/>
      <c r="F315" s="1056"/>
      <c r="G315" s="1056"/>
      <c r="H315" s="1056"/>
      <c r="I315" s="1056"/>
      <c r="J315" s="1056"/>
      <c r="K315" s="1056"/>
      <c r="L315" s="1056"/>
      <c r="M315" s="1056"/>
      <c r="N315" s="1056"/>
      <c r="O315" s="1056"/>
      <c r="P315" s="1056"/>
      <c r="Q315" s="1059"/>
      <c r="R315" s="655"/>
      <c r="S315" s="655"/>
      <c r="T315" s="655"/>
      <c r="U315" s="655"/>
      <c r="V315" s="655"/>
      <c r="W315" s="655"/>
      <c r="X315" s="655"/>
      <c r="Y315" s="655"/>
      <c r="Z315" s="655"/>
      <c r="AA315" s="655"/>
      <c r="AB315" s="655"/>
      <c r="AC315" s="655"/>
      <c r="AD315" s="655"/>
      <c r="AE315" s="65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:43" ht="12.75">
      <c r="A316" s="1054">
        <v>24</v>
      </c>
      <c r="B316" s="1056"/>
      <c r="C316" s="1057"/>
      <c r="D316" s="1058"/>
      <c r="E316" s="1058"/>
      <c r="F316" s="1056"/>
      <c r="G316" s="1056"/>
      <c r="H316" s="1056"/>
      <c r="I316" s="1056"/>
      <c r="J316" s="1056"/>
      <c r="K316" s="1056"/>
      <c r="L316" s="1056"/>
      <c r="M316" s="1056"/>
      <c r="N316" s="1056"/>
      <c r="O316" s="1056"/>
      <c r="P316" s="1056"/>
      <c r="Q316" s="1059"/>
      <c r="R316" s="655"/>
      <c r="S316" s="655"/>
      <c r="T316" s="655"/>
      <c r="U316" s="655"/>
      <c r="V316" s="655"/>
      <c r="W316" s="655"/>
      <c r="X316" s="655"/>
      <c r="Y316" s="655"/>
      <c r="Z316" s="655"/>
      <c r="AA316" s="655"/>
      <c r="AB316" s="655"/>
      <c r="AC316" s="655"/>
      <c r="AD316" s="655"/>
      <c r="AE316" s="655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:43" ht="13.5" thickBot="1">
      <c r="A317" s="1054">
        <v>25</v>
      </c>
      <c r="B317" s="1060"/>
      <c r="C317" s="1061"/>
      <c r="D317" s="1062"/>
      <c r="E317" s="1062"/>
      <c r="F317" s="1060"/>
      <c r="G317" s="1060"/>
      <c r="H317" s="1060"/>
      <c r="I317" s="1060"/>
      <c r="J317" s="1060"/>
      <c r="K317" s="1060"/>
      <c r="L317" s="1060"/>
      <c r="M317" s="1060"/>
      <c r="N317" s="1060"/>
      <c r="O317" s="1060"/>
      <c r="P317" s="1060"/>
      <c r="Q317" s="1063"/>
      <c r="R317" s="655"/>
      <c r="S317" s="655"/>
      <c r="T317" s="655"/>
      <c r="U317" s="655"/>
      <c r="V317" s="655"/>
      <c r="W317" s="655"/>
      <c r="X317" s="655"/>
      <c r="Y317" s="655"/>
      <c r="Z317" s="655"/>
      <c r="AA317" s="655"/>
      <c r="AB317" s="655"/>
      <c r="AC317" s="655"/>
      <c r="AD317" s="655"/>
      <c r="AE317" s="655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:43" ht="13.5" thickBot="1">
      <c r="A318" s="1472" t="s">
        <v>753</v>
      </c>
      <c r="B318" s="1473"/>
      <c r="C318" s="1473"/>
      <c r="D318" s="1473"/>
      <c r="E318" s="1473"/>
      <c r="F318" s="1473"/>
      <c r="G318" s="1473"/>
      <c r="H318" s="1474"/>
      <c r="I318" s="1064">
        <f>SUM(I293:I317)</f>
        <v>155500</v>
      </c>
      <c r="J318" s="1064">
        <f aca="true" t="shared" si="62" ref="J318:Q318">SUM(J293:J317)</f>
        <v>155500</v>
      </c>
      <c r="K318" s="1064">
        <f t="shared" si="62"/>
        <v>38097.5</v>
      </c>
      <c r="L318" s="1064">
        <f t="shared" si="62"/>
        <v>23325</v>
      </c>
      <c r="M318" s="1064">
        <f t="shared" si="62"/>
        <v>14772.5</v>
      </c>
      <c r="N318" s="1064">
        <f t="shared" si="62"/>
        <v>0</v>
      </c>
      <c r="O318" s="1064">
        <f t="shared" si="62"/>
        <v>5287</v>
      </c>
      <c r="P318" s="1064">
        <f t="shared" si="62"/>
        <v>155500</v>
      </c>
      <c r="Q318" s="1064">
        <f t="shared" si="62"/>
        <v>10550</v>
      </c>
      <c r="R318" s="655"/>
      <c r="S318" s="655"/>
      <c r="T318" s="655"/>
      <c r="U318" s="655"/>
      <c r="V318" s="655"/>
      <c r="W318" s="655"/>
      <c r="X318" s="655"/>
      <c r="Y318" s="655"/>
      <c r="Z318" s="655"/>
      <c r="AA318" s="655"/>
      <c r="AB318" s="655"/>
      <c r="AC318" s="655"/>
      <c r="AD318" s="655"/>
      <c r="AE318" s="655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:43" ht="13.5" thickBot="1">
      <c r="A319" s="1475" t="s">
        <v>756</v>
      </c>
      <c r="B319" s="1476"/>
      <c r="C319" s="1476"/>
      <c r="D319" s="1476"/>
      <c r="E319" s="1476"/>
      <c r="F319" s="1476"/>
      <c r="G319" s="1476"/>
      <c r="H319" s="1477"/>
      <c r="I319" s="1065"/>
      <c r="J319" s="1066"/>
      <c r="K319" s="1066"/>
      <c r="L319" s="1066"/>
      <c r="M319" s="1066"/>
      <c r="N319" s="1066">
        <v>0</v>
      </c>
      <c r="O319" s="1066"/>
      <c r="P319" s="1066"/>
      <c r="Q319" s="1067"/>
      <c r="R319" s="655"/>
      <c r="S319" s="655"/>
      <c r="T319" s="655"/>
      <c r="U319" s="655"/>
      <c r="V319" s="655"/>
      <c r="W319" s="655"/>
      <c r="X319" s="655"/>
      <c r="Y319" s="655"/>
      <c r="Z319" s="655"/>
      <c r="AA319" s="655"/>
      <c r="AB319" s="655"/>
      <c r="AC319" s="655"/>
      <c r="AD319" s="655"/>
      <c r="AE319" s="655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:43" ht="13.5" thickBot="1">
      <c r="A320" s="1478" t="s">
        <v>759</v>
      </c>
      <c r="B320" s="1479"/>
      <c r="C320" s="1479"/>
      <c r="D320" s="1479"/>
      <c r="E320" s="1479"/>
      <c r="F320" s="1479"/>
      <c r="G320" s="1479"/>
      <c r="H320" s="1480"/>
      <c r="I320" s="1064">
        <f>SUM(I318:I319)</f>
        <v>155500</v>
      </c>
      <c r="J320" s="1064">
        <f aca="true" t="shared" si="63" ref="J320:Q320">SUM(J318:J319)</f>
        <v>155500</v>
      </c>
      <c r="K320" s="1064">
        <f t="shared" si="63"/>
        <v>38097.5</v>
      </c>
      <c r="L320" s="1064">
        <f t="shared" si="63"/>
        <v>23325</v>
      </c>
      <c r="M320" s="1064">
        <f t="shared" si="63"/>
        <v>14772.5</v>
      </c>
      <c r="N320" s="1064">
        <f t="shared" si="63"/>
        <v>0</v>
      </c>
      <c r="O320" s="1064">
        <f t="shared" si="63"/>
        <v>5287</v>
      </c>
      <c r="P320" s="1064">
        <f t="shared" si="63"/>
        <v>155500</v>
      </c>
      <c r="Q320" s="1064">
        <f t="shared" si="63"/>
        <v>10550</v>
      </c>
      <c r="R320" s="655"/>
      <c r="S320" s="655"/>
      <c r="T320" s="655"/>
      <c r="U320" s="655"/>
      <c r="V320" s="655"/>
      <c r="W320" s="655"/>
      <c r="X320" s="655"/>
      <c r="Y320" s="655"/>
      <c r="Z320" s="655"/>
      <c r="AA320" s="655"/>
      <c r="AB320" s="655"/>
      <c r="AC320" s="655"/>
      <c r="AD320" s="655"/>
      <c r="AE320" s="655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:43" ht="12.75">
      <c r="A321" s="683"/>
      <c r="B321" s="684" t="s">
        <v>764</v>
      </c>
      <c r="C321" s="685"/>
      <c r="D321" s="685"/>
      <c r="E321" s="685"/>
      <c r="F321" s="685"/>
      <c r="G321" s="685"/>
      <c r="H321" s="1068"/>
      <c r="I321" s="686" t="s">
        <v>765</v>
      </c>
      <c r="J321" s="685"/>
      <c r="K321" s="685"/>
      <c r="L321" s="685"/>
      <c r="M321" s="685"/>
      <c r="N321" s="685"/>
      <c r="O321" s="685"/>
      <c r="P321" s="685"/>
      <c r="Q321" s="687"/>
      <c r="R321" s="655"/>
      <c r="S321" s="655"/>
      <c r="T321" s="655"/>
      <c r="U321" s="655"/>
      <c r="V321" s="655"/>
      <c r="W321" s="655"/>
      <c r="X321" s="655"/>
      <c r="Y321" s="655"/>
      <c r="Z321" s="655"/>
      <c r="AA321" s="655"/>
      <c r="AB321" s="655"/>
      <c r="AC321" s="655"/>
      <c r="AD321" s="655"/>
      <c r="AE321" s="655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:43" ht="12.75">
      <c r="A322" s="688" t="s">
        <v>1323</v>
      </c>
      <c r="B322" s="689"/>
      <c r="C322" s="689"/>
      <c r="D322" s="689"/>
      <c r="E322" s="689"/>
      <c r="F322" s="689"/>
      <c r="G322" s="689"/>
      <c r="H322" s="1069"/>
      <c r="I322" s="690" t="s">
        <v>766</v>
      </c>
      <c r="J322" s="689"/>
      <c r="K322" s="689"/>
      <c r="L322" s="689"/>
      <c r="M322" s="689"/>
      <c r="N322" s="689"/>
      <c r="O322" s="689"/>
      <c r="P322" s="689"/>
      <c r="Q322" s="691"/>
      <c r="R322" s="655"/>
      <c r="S322" s="655"/>
      <c r="T322" s="655"/>
      <c r="U322" s="655"/>
      <c r="V322" s="655"/>
      <c r="W322" s="655"/>
      <c r="X322" s="655"/>
      <c r="Y322" s="655"/>
      <c r="Z322" s="655"/>
      <c r="AA322" s="655"/>
      <c r="AB322" s="655"/>
      <c r="AC322" s="655"/>
      <c r="AD322" s="655"/>
      <c r="AE322" s="655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:43" ht="12.75">
      <c r="A323" s="688" t="s">
        <v>1324</v>
      </c>
      <c r="B323" s="689"/>
      <c r="C323" s="689"/>
      <c r="D323" s="689"/>
      <c r="E323" s="689"/>
      <c r="F323" s="689"/>
      <c r="G323" s="689"/>
      <c r="H323" s="1069"/>
      <c r="I323" s="47" t="s">
        <v>767</v>
      </c>
      <c r="J323" s="689"/>
      <c r="K323" s="689"/>
      <c r="L323" s="689"/>
      <c r="M323" s="689"/>
      <c r="N323" s="689"/>
      <c r="O323" s="689"/>
      <c r="P323" s="689"/>
      <c r="Q323" s="691"/>
      <c r="R323" s="655"/>
      <c r="S323" s="655"/>
      <c r="T323" s="655"/>
      <c r="U323" s="655"/>
      <c r="V323" s="655"/>
      <c r="W323" s="655"/>
      <c r="X323" s="655"/>
      <c r="Y323" s="655"/>
      <c r="Z323" s="655"/>
      <c r="AA323" s="655"/>
      <c r="AB323" s="655"/>
      <c r="AC323" s="655"/>
      <c r="AD323" s="655"/>
      <c r="AE323" s="655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:43" ht="12.75">
      <c r="A324" s="688" t="s">
        <v>1325</v>
      </c>
      <c r="B324" s="689"/>
      <c r="C324" s="1"/>
      <c r="D324" s="689"/>
      <c r="E324" s="689"/>
      <c r="F324" s="689"/>
      <c r="G324" s="689"/>
      <c r="H324" s="1069"/>
      <c r="I324" s="690" t="s">
        <v>768</v>
      </c>
      <c r="J324" s="689"/>
      <c r="K324" s="689"/>
      <c r="L324" s="689"/>
      <c r="M324" s="689"/>
      <c r="N324" s="689"/>
      <c r="O324" s="689"/>
      <c r="P324" s="689"/>
      <c r="Q324" s="691"/>
      <c r="R324" s="655"/>
      <c r="S324" s="655"/>
      <c r="T324" s="655"/>
      <c r="U324" s="655"/>
      <c r="V324" s="655"/>
      <c r="W324" s="655"/>
      <c r="X324" s="655"/>
      <c r="Y324" s="655"/>
      <c r="Z324" s="655"/>
      <c r="AA324" s="655"/>
      <c r="AB324" s="655"/>
      <c r="AC324" s="655"/>
      <c r="AD324" s="655"/>
      <c r="AE324" s="655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:43" ht="12.75">
      <c r="A325" s="688"/>
      <c r="B325" s="689"/>
      <c r="C325" s="689"/>
      <c r="D325" s="689"/>
      <c r="E325" s="689"/>
      <c r="F325" s="689"/>
      <c r="G325" s="689"/>
      <c r="H325" s="1069"/>
      <c r="I325" s="690" t="s">
        <v>769</v>
      </c>
      <c r="J325" s="689"/>
      <c r="K325" s="689"/>
      <c r="L325" s="689"/>
      <c r="M325" s="689"/>
      <c r="N325" s="689"/>
      <c r="O325" s="689"/>
      <c r="P325" s="689"/>
      <c r="Q325" s="691"/>
      <c r="R325" s="655"/>
      <c r="S325" s="655"/>
      <c r="T325" s="655"/>
      <c r="U325" s="655"/>
      <c r="V325" s="655"/>
      <c r="W325" s="655"/>
      <c r="X325" s="655"/>
      <c r="Y325" s="655"/>
      <c r="Z325" s="655"/>
      <c r="AA325" s="655"/>
      <c r="AB325" s="655"/>
      <c r="AC325" s="655"/>
      <c r="AD325" s="655"/>
      <c r="AE325" s="65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:43" ht="12.75">
      <c r="A326" s="688"/>
      <c r="B326" s="700" t="s">
        <v>770</v>
      </c>
      <c r="C326" s="689"/>
      <c r="D326" s="689"/>
      <c r="E326" s="689"/>
      <c r="F326" s="689"/>
      <c r="G326" s="689"/>
      <c r="H326" s="1069"/>
      <c r="I326" s="47" t="s">
        <v>771</v>
      </c>
      <c r="J326" s="689"/>
      <c r="K326" s="689"/>
      <c r="L326" s="689"/>
      <c r="M326" s="689"/>
      <c r="N326" s="689"/>
      <c r="O326" s="689"/>
      <c r="P326" s="689"/>
      <c r="Q326" s="691"/>
      <c r="R326" s="655"/>
      <c r="S326" s="655"/>
      <c r="T326" s="655"/>
      <c r="U326" s="655"/>
      <c r="V326" s="655"/>
      <c r="W326" s="655"/>
      <c r="X326" s="655"/>
      <c r="Y326" s="655"/>
      <c r="Z326" s="655"/>
      <c r="AA326" s="655"/>
      <c r="AB326" s="655"/>
      <c r="AC326" s="655"/>
      <c r="AD326" s="655"/>
      <c r="AE326" s="655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:43" ht="12.75">
      <c r="A327" s="688"/>
      <c r="B327" s="689" t="s">
        <v>1326</v>
      </c>
      <c r="C327" s="689"/>
      <c r="D327" s="689"/>
      <c r="E327" s="689"/>
      <c r="F327" s="689"/>
      <c r="G327" s="689"/>
      <c r="H327" s="1069"/>
      <c r="I327" s="47"/>
      <c r="J327" s="689"/>
      <c r="K327" s="689"/>
      <c r="L327" s="701" t="s">
        <v>772</v>
      </c>
      <c r="M327" s="689"/>
      <c r="N327" s="689"/>
      <c r="O327" s="689"/>
      <c r="P327" s="689"/>
      <c r="Q327" s="691"/>
      <c r="R327" s="655"/>
      <c r="S327" s="655"/>
      <c r="T327" s="655"/>
      <c r="U327" s="655"/>
      <c r="V327" s="655"/>
      <c r="W327" s="655"/>
      <c r="X327" s="655"/>
      <c r="Y327" s="655"/>
      <c r="Z327" s="655"/>
      <c r="AA327" s="655"/>
      <c r="AB327" s="655"/>
      <c r="AC327" s="655"/>
      <c r="AD327" s="655"/>
      <c r="AE327" s="655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:43" ht="12.75">
      <c r="A328" s="688"/>
      <c r="B328" s="689"/>
      <c r="C328" s="689"/>
      <c r="D328" s="689" t="s">
        <v>773</v>
      </c>
      <c r="E328" s="689"/>
      <c r="F328" s="689"/>
      <c r="G328" s="689"/>
      <c r="H328" s="1069"/>
      <c r="I328" s="690" t="s">
        <v>774</v>
      </c>
      <c r="J328" s="689"/>
      <c r="K328" s="689"/>
      <c r="L328" s="689"/>
      <c r="M328" s="689"/>
      <c r="N328" s="689"/>
      <c r="O328" s="689"/>
      <c r="P328" s="689"/>
      <c r="Q328" s="689"/>
      <c r="R328" s="655"/>
      <c r="S328" s="655"/>
      <c r="T328" s="655"/>
      <c r="U328" s="655"/>
      <c r="V328" s="655"/>
      <c r="W328" s="655"/>
      <c r="X328" s="655"/>
      <c r="Y328" s="655"/>
      <c r="Z328" s="655"/>
      <c r="AA328" s="655"/>
      <c r="AB328" s="655"/>
      <c r="AC328" s="655"/>
      <c r="AD328" s="655"/>
      <c r="AE328" s="655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:43" ht="12.75">
      <c r="A329" s="688"/>
      <c r="B329" s="689"/>
      <c r="C329" s="689"/>
      <c r="D329" s="689"/>
      <c r="E329" s="689"/>
      <c r="F329" s="689"/>
      <c r="G329" s="689"/>
      <c r="H329" s="1069"/>
      <c r="I329" s="690"/>
      <c r="J329" s="689" t="s">
        <v>775</v>
      </c>
      <c r="K329" s="689"/>
      <c r="L329" s="689"/>
      <c r="M329" s="689"/>
      <c r="N329" s="689"/>
      <c r="O329" s="689"/>
      <c r="P329" s="689"/>
      <c r="Q329" s="689"/>
      <c r="R329" s="655"/>
      <c r="S329" s="655"/>
      <c r="T329" s="655"/>
      <c r="U329" s="655"/>
      <c r="V329" s="655"/>
      <c r="W329" s="655"/>
      <c r="X329" s="655"/>
      <c r="Y329" s="655"/>
      <c r="Z329" s="655"/>
      <c r="AA329" s="655"/>
      <c r="AB329" s="655"/>
      <c r="AC329" s="655"/>
      <c r="AD329" s="655"/>
      <c r="AE329" s="655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:43" ht="13.5" thickBot="1">
      <c r="A330" s="702"/>
      <c r="B330" s="703"/>
      <c r="C330" s="703"/>
      <c r="D330" s="703"/>
      <c r="E330" s="703"/>
      <c r="F330" s="703"/>
      <c r="G330" s="703"/>
      <c r="H330" s="1070"/>
      <c r="I330" s="704"/>
      <c r="J330" s="705" t="s">
        <v>776</v>
      </c>
      <c r="K330" s="703"/>
      <c r="L330" s="703"/>
      <c r="M330" s="703"/>
      <c r="N330" s="703"/>
      <c r="O330" s="703"/>
      <c r="P330" s="703"/>
      <c r="Q330" s="706"/>
      <c r="R330" s="655"/>
      <c r="S330" s="655"/>
      <c r="T330" s="655"/>
      <c r="U330" s="655"/>
      <c r="V330" s="655"/>
      <c r="W330" s="655"/>
      <c r="X330" s="655"/>
      <c r="Y330" s="655"/>
      <c r="Z330" s="655"/>
      <c r="AA330" s="655"/>
      <c r="AB330" s="655"/>
      <c r="AC330" s="655"/>
      <c r="AD330" s="655"/>
      <c r="AE330" s="655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:43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 s="655"/>
      <c r="S331" s="655"/>
      <c r="T331" s="655"/>
      <c r="U331" s="655"/>
      <c r="V331" s="655"/>
      <c r="W331" s="655"/>
      <c r="X331" s="655"/>
      <c r="Y331" s="655"/>
      <c r="Z331" s="655"/>
      <c r="AA331" s="655"/>
      <c r="AB331" s="655"/>
      <c r="AC331" s="655"/>
      <c r="AD331" s="655"/>
      <c r="AE331" s="655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:43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 s="655"/>
      <c r="S332" s="655"/>
      <c r="T332" s="655"/>
      <c r="U332" s="655"/>
      <c r="V332" s="655"/>
      <c r="W332" s="655"/>
      <c r="X332" s="655"/>
      <c r="Y332" s="655"/>
      <c r="Z332" s="655"/>
      <c r="AA332" s="655"/>
      <c r="AB332" s="655"/>
      <c r="AC332" s="655"/>
      <c r="AD332" s="655"/>
      <c r="AE332" s="655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:43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 s="655"/>
      <c r="S333" s="655"/>
      <c r="T333" s="655"/>
      <c r="U333" s="655"/>
      <c r="V333" s="655"/>
      <c r="W333" s="655"/>
      <c r="X333" s="655"/>
      <c r="Y333" s="655"/>
      <c r="Z333" s="655"/>
      <c r="AA333" s="655"/>
      <c r="AB333" s="655"/>
      <c r="AC333" s="655"/>
      <c r="AD333" s="655"/>
      <c r="AE333" s="655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:43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 s="655"/>
      <c r="S334" s="655"/>
      <c r="T334" s="655"/>
      <c r="U334" s="655"/>
      <c r="V334" s="655"/>
      <c r="W334" s="655"/>
      <c r="X334" s="655"/>
      <c r="Y334" s="655"/>
      <c r="Z334" s="655"/>
      <c r="AA334" s="655"/>
      <c r="AB334" s="655"/>
      <c r="AC334" s="655"/>
      <c r="AD334" s="655"/>
      <c r="AE334" s="655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:43" ht="15">
      <c r="A335" s="1025" t="s">
        <v>133</v>
      </c>
      <c r="B335" s="1025"/>
      <c r="C335" s="1025"/>
      <c r="D335" s="1025"/>
      <c r="E335" s="1025"/>
      <c r="F335" s="1025"/>
      <c r="G335" s="1025"/>
      <c r="H335" s="1025"/>
      <c r="I335" s="1025"/>
      <c r="J335" s="1025"/>
      <c r="K335" s="1025"/>
      <c r="L335" s="1025"/>
      <c r="M335" s="1025"/>
      <c r="N335" s="1025"/>
      <c r="O335" s="1025"/>
      <c r="P335" s="1025"/>
      <c r="Q335"/>
      <c r="R335" s="655"/>
      <c r="S335" s="655"/>
      <c r="T335" s="655"/>
      <c r="U335" s="655"/>
      <c r="V335" s="655"/>
      <c r="W335" s="655"/>
      <c r="X335" s="655"/>
      <c r="Y335" s="655"/>
      <c r="Z335" s="655"/>
      <c r="AA335" s="655"/>
      <c r="AB335" s="655"/>
      <c r="AC335" s="655"/>
      <c r="AD335" s="655"/>
      <c r="AE335" s="65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:43" ht="15">
      <c r="A336" s="1025" t="s">
        <v>1293</v>
      </c>
      <c r="B336" s="1025"/>
      <c r="C336" s="1025"/>
      <c r="D336"/>
      <c r="E336" s="1025" t="s">
        <v>1294</v>
      </c>
      <c r="F336" s="1025"/>
      <c r="G336" s="1025"/>
      <c r="H336" s="1025"/>
      <c r="I336" s="1025"/>
      <c r="J336" s="1025" t="s">
        <v>1723</v>
      </c>
      <c r="K336" s="1025"/>
      <c r="L336" s="1025"/>
      <c r="M336" s="1025"/>
      <c r="N336" s="1025"/>
      <c r="O336" s="1025"/>
      <c r="P336" s="1025"/>
      <c r="Q336"/>
      <c r="R336" s="655"/>
      <c r="S336" s="655"/>
      <c r="T336" s="655"/>
      <c r="U336" s="655"/>
      <c r="V336" s="655"/>
      <c r="W336" s="655"/>
      <c r="X336" s="655"/>
      <c r="Y336" s="655"/>
      <c r="Z336" s="655"/>
      <c r="AA336" s="655"/>
      <c r="AB336" s="655"/>
      <c r="AC336" s="655"/>
      <c r="AD336" s="655"/>
      <c r="AE336" s="655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:43" ht="16.5" thickBot="1">
      <c r="A337" s="1026" t="s">
        <v>725</v>
      </c>
      <c r="B337" s="1026"/>
      <c r="C337" s="1026"/>
      <c r="D337" s="1026"/>
      <c r="E337" s="1026"/>
      <c r="F337" s="1026" t="s">
        <v>1296</v>
      </c>
      <c r="G337" s="1026"/>
      <c r="H337" s="1026"/>
      <c r="I337" s="1026"/>
      <c r="J337" s="1026"/>
      <c r="K337" s="1026"/>
      <c r="L337" s="1026" t="s">
        <v>727</v>
      </c>
      <c r="M337" s="1026"/>
      <c r="N337" s="1026"/>
      <c r="O337" s="1026"/>
      <c r="P337" s="1026"/>
      <c r="Q337"/>
      <c r="R337" s="655"/>
      <c r="S337" s="655"/>
      <c r="T337" s="655"/>
      <c r="U337" s="655"/>
      <c r="V337" s="655"/>
      <c r="W337" s="655"/>
      <c r="X337" s="655"/>
      <c r="Y337" s="655"/>
      <c r="Z337" s="655"/>
      <c r="AA337" s="655"/>
      <c r="AB337" s="655"/>
      <c r="AC337" s="655"/>
      <c r="AD337" s="655"/>
      <c r="AE337" s="655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:43" ht="12.75">
      <c r="A338" s="1027" t="s">
        <v>199</v>
      </c>
      <c r="B338" s="1028" t="s">
        <v>729</v>
      </c>
      <c r="C338" s="1029"/>
      <c r="D338" s="1030"/>
      <c r="E338" s="1481" t="s">
        <v>1297</v>
      </c>
      <c r="F338" s="1028" t="s">
        <v>1298</v>
      </c>
      <c r="G338" s="1028" t="s">
        <v>1299</v>
      </c>
      <c r="H338" s="1028" t="s">
        <v>1300</v>
      </c>
      <c r="I338" s="1031" t="s">
        <v>780</v>
      </c>
      <c r="J338" s="1032"/>
      <c r="K338" s="1031" t="s">
        <v>200</v>
      </c>
      <c r="L338" s="1033"/>
      <c r="M338" s="1033"/>
      <c r="N338" s="1032"/>
      <c r="O338" s="1028" t="s">
        <v>201</v>
      </c>
      <c r="P338" s="1028" t="s">
        <v>202</v>
      </c>
      <c r="Q338" s="1034" t="s">
        <v>203</v>
      </c>
      <c r="R338" s="655"/>
      <c r="S338" s="655"/>
      <c r="T338" s="655"/>
      <c r="U338" s="655"/>
      <c r="V338" s="655"/>
      <c r="W338" s="655"/>
      <c r="X338" s="655"/>
      <c r="Y338" s="655"/>
      <c r="Z338" s="655"/>
      <c r="AA338" s="655"/>
      <c r="AB338" s="655"/>
      <c r="AC338" s="655"/>
      <c r="AD338" s="655"/>
      <c r="AE338" s="655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:43" ht="12.75">
      <c r="A339" s="1035"/>
      <c r="B339" s="1036" t="s">
        <v>730</v>
      </c>
      <c r="C339" s="1037" t="s">
        <v>1301</v>
      </c>
      <c r="D339" s="1038"/>
      <c r="E339" s="1482"/>
      <c r="F339" s="1036" t="s">
        <v>1302</v>
      </c>
      <c r="G339" s="1036" t="s">
        <v>1303</v>
      </c>
      <c r="H339" s="1036" t="s">
        <v>1304</v>
      </c>
      <c r="I339" s="1039" t="s">
        <v>205</v>
      </c>
      <c r="J339" s="1039" t="s">
        <v>782</v>
      </c>
      <c r="K339" s="1039"/>
      <c r="L339" s="1040" t="s">
        <v>206</v>
      </c>
      <c r="M339" s="1041"/>
      <c r="N339" s="1039" t="s">
        <v>731</v>
      </c>
      <c r="O339" s="1036" t="s">
        <v>732</v>
      </c>
      <c r="P339" s="1036" t="s">
        <v>207</v>
      </c>
      <c r="Q339" s="1042" t="s">
        <v>208</v>
      </c>
      <c r="R339" s="655"/>
      <c r="S339" s="655"/>
      <c r="T339" s="655"/>
      <c r="U339" s="655"/>
      <c r="V339" s="655"/>
      <c r="W339" s="655"/>
      <c r="X339" s="655"/>
      <c r="Y339" s="655"/>
      <c r="Z339" s="655"/>
      <c r="AA339" s="655"/>
      <c r="AB339" s="655"/>
      <c r="AC339" s="655"/>
      <c r="AD339" s="655"/>
      <c r="AE339" s="655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:43" ht="13.5" thickBot="1">
      <c r="A340" s="1043"/>
      <c r="B340" s="1044" t="s">
        <v>735</v>
      </c>
      <c r="C340" s="1037"/>
      <c r="D340" s="1038"/>
      <c r="E340" s="1483"/>
      <c r="F340" s="1044" t="s">
        <v>1305</v>
      </c>
      <c r="G340" s="1044" t="s">
        <v>1306</v>
      </c>
      <c r="H340" s="1044" t="s">
        <v>1307</v>
      </c>
      <c r="I340" s="1044"/>
      <c r="J340" s="1044" t="s">
        <v>1308</v>
      </c>
      <c r="K340" s="1044" t="s">
        <v>1309</v>
      </c>
      <c r="L340" s="1045" t="s">
        <v>736</v>
      </c>
      <c r="M340" s="1045" t="s">
        <v>737</v>
      </c>
      <c r="N340" s="1044" t="s">
        <v>738</v>
      </c>
      <c r="O340" s="1044" t="s">
        <v>739</v>
      </c>
      <c r="P340" s="1044" t="s">
        <v>740</v>
      </c>
      <c r="Q340" s="1046" t="s">
        <v>1310</v>
      </c>
      <c r="R340" s="655"/>
      <c r="S340" s="655"/>
      <c r="T340" s="655"/>
      <c r="U340" s="655"/>
      <c r="V340" s="655"/>
      <c r="W340" s="655"/>
      <c r="X340" s="655"/>
      <c r="Y340" s="655"/>
      <c r="Z340" s="655"/>
      <c r="AA340" s="655"/>
      <c r="AB340" s="655"/>
      <c r="AC340" s="655"/>
      <c r="AD340" s="655"/>
      <c r="AE340" s="655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:43" ht="12.75">
      <c r="A341" s="1047">
        <v>1</v>
      </c>
      <c r="B341" s="1048" t="s">
        <v>1311</v>
      </c>
      <c r="C341" s="1470" t="s">
        <v>1270</v>
      </c>
      <c r="D341" s="1471"/>
      <c r="E341" s="1050" t="s">
        <v>1312</v>
      </c>
      <c r="F341" s="1051">
        <v>1</v>
      </c>
      <c r="G341" s="1052">
        <v>0</v>
      </c>
      <c r="H341" s="1052">
        <v>22</v>
      </c>
      <c r="I341" s="1052">
        <v>50000</v>
      </c>
      <c r="J341" s="1052">
        <v>50000</v>
      </c>
      <c r="K341" s="1052">
        <f aca="true" t="shared" si="64" ref="K341:K346">L341+M341</f>
        <v>12250</v>
      </c>
      <c r="L341" s="1052">
        <f aca="true" t="shared" si="65" ref="L341:L346">I341*0.15</f>
        <v>7500</v>
      </c>
      <c r="M341" s="1052">
        <f aca="true" t="shared" si="66" ref="M341:M346">I341*0.095</f>
        <v>4750</v>
      </c>
      <c r="N341" s="1052">
        <v>0</v>
      </c>
      <c r="O341" s="1052">
        <f aca="true" t="shared" si="67" ref="O341:O346">I341*0.034</f>
        <v>1700.0000000000002</v>
      </c>
      <c r="P341" s="1052">
        <f aca="true" t="shared" si="68" ref="P341:P346">I341</f>
        <v>50000</v>
      </c>
      <c r="Q341" s="1053">
        <v>5000</v>
      </c>
      <c r="R341" s="655"/>
      <c r="S341" s="655"/>
      <c r="T341" s="655"/>
      <c r="U341" s="655"/>
      <c r="V341" s="655"/>
      <c r="W341" s="655"/>
      <c r="X341" s="655"/>
      <c r="Y341" s="655"/>
      <c r="Z341" s="655"/>
      <c r="AA341" s="655"/>
      <c r="AB341" s="655"/>
      <c r="AC341" s="655"/>
      <c r="AD341" s="655"/>
      <c r="AE341" s="655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:43" ht="12.75">
      <c r="A342" s="1054">
        <v>2</v>
      </c>
      <c r="B342" s="1056"/>
      <c r="C342" s="1470" t="s">
        <v>1316</v>
      </c>
      <c r="D342" s="1471"/>
      <c r="E342" s="1049" t="s">
        <v>1317</v>
      </c>
      <c r="F342" s="1056">
        <v>1</v>
      </c>
      <c r="G342" s="1056">
        <v>0</v>
      </c>
      <c r="H342" s="1056">
        <v>22</v>
      </c>
      <c r="I342" s="1052">
        <v>21100</v>
      </c>
      <c r="J342" s="1052">
        <v>21100</v>
      </c>
      <c r="K342" s="1056">
        <f t="shared" si="64"/>
        <v>5169.5</v>
      </c>
      <c r="L342" s="1052">
        <f t="shared" si="65"/>
        <v>3165</v>
      </c>
      <c r="M342" s="1052">
        <f t="shared" si="66"/>
        <v>2004.5</v>
      </c>
      <c r="N342" s="1056">
        <v>0</v>
      </c>
      <c r="O342" s="1052">
        <f t="shared" si="67"/>
        <v>717.4000000000001</v>
      </c>
      <c r="P342" s="1056">
        <f t="shared" si="68"/>
        <v>21100</v>
      </c>
      <c r="Q342" s="1053">
        <v>1110</v>
      </c>
      <c r="R342" s="655"/>
      <c r="S342" s="655"/>
      <c r="T342" s="655"/>
      <c r="U342" s="655"/>
      <c r="V342" s="655"/>
      <c r="W342" s="655"/>
      <c r="X342" s="655"/>
      <c r="Y342" s="655"/>
      <c r="Z342" s="655"/>
      <c r="AA342" s="655"/>
      <c r="AB342" s="655"/>
      <c r="AC342" s="655"/>
      <c r="AD342" s="655"/>
      <c r="AE342" s="655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:43" ht="12.75">
      <c r="A343" s="1054">
        <v>3</v>
      </c>
      <c r="B343" s="1056"/>
      <c r="C343" s="1470" t="s">
        <v>1318</v>
      </c>
      <c r="D343" s="1471"/>
      <c r="E343" s="1049" t="s">
        <v>1317</v>
      </c>
      <c r="F343" s="1056">
        <v>1</v>
      </c>
      <c r="G343" s="1056">
        <v>0</v>
      </c>
      <c r="H343" s="1056">
        <v>22</v>
      </c>
      <c r="I343" s="1052">
        <v>21100</v>
      </c>
      <c r="J343" s="1052">
        <v>21100</v>
      </c>
      <c r="K343" s="1056">
        <f t="shared" si="64"/>
        <v>5169.5</v>
      </c>
      <c r="L343" s="1052">
        <f t="shared" si="65"/>
        <v>3165</v>
      </c>
      <c r="M343" s="1052">
        <f t="shared" si="66"/>
        <v>2004.5</v>
      </c>
      <c r="N343" s="1052">
        <v>0</v>
      </c>
      <c r="O343" s="1052">
        <f t="shared" si="67"/>
        <v>717.4000000000001</v>
      </c>
      <c r="P343" s="1056">
        <f t="shared" si="68"/>
        <v>21100</v>
      </c>
      <c r="Q343" s="1053">
        <v>1110</v>
      </c>
      <c r="R343" s="655"/>
      <c r="S343" s="655"/>
      <c r="T343" s="655"/>
      <c r="U343" s="655"/>
      <c r="V343" s="655"/>
      <c r="W343" s="655"/>
      <c r="X343" s="655"/>
      <c r="Y343" s="655"/>
      <c r="Z343" s="655"/>
      <c r="AA343" s="655"/>
      <c r="AB343" s="655"/>
      <c r="AC343" s="655"/>
      <c r="AD343" s="655"/>
      <c r="AE343" s="655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:43" ht="12.75">
      <c r="A344" s="1054">
        <v>4</v>
      </c>
      <c r="B344" s="1056"/>
      <c r="C344" s="1470" t="s">
        <v>1319</v>
      </c>
      <c r="D344" s="1471"/>
      <c r="E344" s="1049" t="s">
        <v>1317</v>
      </c>
      <c r="F344" s="1056">
        <v>1</v>
      </c>
      <c r="G344" s="1056">
        <v>0</v>
      </c>
      <c r="H344" s="1056">
        <v>22</v>
      </c>
      <c r="I344" s="1052">
        <v>21100</v>
      </c>
      <c r="J344" s="1052">
        <v>21100</v>
      </c>
      <c r="K344" s="1056">
        <f t="shared" si="64"/>
        <v>5169.5</v>
      </c>
      <c r="L344" s="1052">
        <f t="shared" si="65"/>
        <v>3165</v>
      </c>
      <c r="M344" s="1052">
        <f t="shared" si="66"/>
        <v>2004.5</v>
      </c>
      <c r="N344" s="1056">
        <v>0</v>
      </c>
      <c r="O344" s="1052">
        <f t="shared" si="67"/>
        <v>717.4000000000001</v>
      </c>
      <c r="P344" s="1056">
        <f t="shared" si="68"/>
        <v>21100</v>
      </c>
      <c r="Q344" s="1053">
        <v>1110</v>
      </c>
      <c r="R344" s="655"/>
      <c r="S344" s="655"/>
      <c r="T344" s="655"/>
      <c r="U344" s="655"/>
      <c r="V344" s="655"/>
      <c r="W344" s="655"/>
      <c r="X344" s="655"/>
      <c r="Y344" s="655"/>
      <c r="Z344" s="655"/>
      <c r="AA344" s="655"/>
      <c r="AB344" s="655"/>
      <c r="AC344" s="655"/>
      <c r="AD344" s="655"/>
      <c r="AE344" s="655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:43" ht="12.75">
      <c r="A345" s="1054">
        <v>5</v>
      </c>
      <c r="B345" s="1056"/>
      <c r="C345" s="1470" t="s">
        <v>1320</v>
      </c>
      <c r="D345" s="1471"/>
      <c r="E345" s="1049" t="s">
        <v>1317</v>
      </c>
      <c r="F345" s="1056">
        <v>1</v>
      </c>
      <c r="G345" s="1056">
        <v>0</v>
      </c>
      <c r="H345" s="1056">
        <v>22</v>
      </c>
      <c r="I345" s="1052">
        <v>21100</v>
      </c>
      <c r="J345" s="1052">
        <v>21100</v>
      </c>
      <c r="K345" s="1056">
        <f t="shared" si="64"/>
        <v>5169.5</v>
      </c>
      <c r="L345" s="1052">
        <f t="shared" si="65"/>
        <v>3165</v>
      </c>
      <c r="M345" s="1052">
        <f t="shared" si="66"/>
        <v>2004.5</v>
      </c>
      <c r="N345" s="1052">
        <v>0</v>
      </c>
      <c r="O345" s="1052">
        <f t="shared" si="67"/>
        <v>717.4000000000001</v>
      </c>
      <c r="P345" s="1056">
        <f t="shared" si="68"/>
        <v>21100</v>
      </c>
      <c r="Q345" s="1053">
        <v>1110</v>
      </c>
      <c r="R345" s="655"/>
      <c r="S345" s="655"/>
      <c r="T345" s="655"/>
      <c r="U345" s="655"/>
      <c r="V345" s="655"/>
      <c r="W345" s="655"/>
      <c r="X345" s="655"/>
      <c r="Y345" s="655"/>
      <c r="Z345" s="655"/>
      <c r="AA345" s="655"/>
      <c r="AB345" s="655"/>
      <c r="AC345" s="655"/>
      <c r="AD345" s="655"/>
      <c r="AE345" s="65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:43" ht="12.75">
      <c r="A346" s="1054">
        <v>6</v>
      </c>
      <c r="B346" s="1056"/>
      <c r="C346" s="1470" t="s">
        <v>1321</v>
      </c>
      <c r="D346" s="1471"/>
      <c r="E346" s="1049"/>
      <c r="F346" s="1056">
        <v>1</v>
      </c>
      <c r="G346" s="1056">
        <v>0</v>
      </c>
      <c r="H346" s="1056">
        <v>22</v>
      </c>
      <c r="I346" s="1052">
        <v>21100</v>
      </c>
      <c r="J346" s="1052">
        <v>21100</v>
      </c>
      <c r="K346" s="1056">
        <f t="shared" si="64"/>
        <v>5169.5</v>
      </c>
      <c r="L346" s="1052">
        <f t="shared" si="65"/>
        <v>3165</v>
      </c>
      <c r="M346" s="1052">
        <f t="shared" si="66"/>
        <v>2004.5</v>
      </c>
      <c r="N346" s="1056">
        <v>0</v>
      </c>
      <c r="O346" s="1052">
        <f t="shared" si="67"/>
        <v>717.4000000000001</v>
      </c>
      <c r="P346" s="1056">
        <f t="shared" si="68"/>
        <v>21100</v>
      </c>
      <c r="Q346" s="1053">
        <v>1110</v>
      </c>
      <c r="R346" s="655"/>
      <c r="S346" s="655"/>
      <c r="T346" s="655"/>
      <c r="U346" s="655"/>
      <c r="V346" s="655"/>
      <c r="W346" s="655"/>
      <c r="X346" s="655"/>
      <c r="Y346" s="655"/>
      <c r="Z346" s="655"/>
      <c r="AA346" s="655"/>
      <c r="AB346" s="655"/>
      <c r="AC346" s="655"/>
      <c r="AD346" s="655"/>
      <c r="AE346" s="655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:43" ht="12.75">
      <c r="A347" s="1054">
        <v>7</v>
      </c>
      <c r="B347" s="1056"/>
      <c r="C347" s="1470"/>
      <c r="D347" s="1471"/>
      <c r="E347" s="1058"/>
      <c r="F347" s="1056"/>
      <c r="G347" s="1056"/>
      <c r="H347" s="1056"/>
      <c r="I347" s="1052"/>
      <c r="J347" s="1052"/>
      <c r="K347" s="1056"/>
      <c r="L347" s="1052"/>
      <c r="M347" s="1052"/>
      <c r="N347" s="1052"/>
      <c r="O347" s="1052"/>
      <c r="P347" s="1056"/>
      <c r="Q347" s="1053"/>
      <c r="R347" s="655"/>
      <c r="S347" s="655"/>
      <c r="T347" s="655"/>
      <c r="U347" s="655"/>
      <c r="V347" s="655"/>
      <c r="W347" s="655"/>
      <c r="X347" s="655"/>
      <c r="Y347" s="655"/>
      <c r="Z347" s="655"/>
      <c r="AA347" s="655"/>
      <c r="AB347" s="655"/>
      <c r="AC347" s="655"/>
      <c r="AD347" s="655"/>
      <c r="AE347" s="655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:43" ht="12.75">
      <c r="A348" s="1054">
        <v>8</v>
      </c>
      <c r="B348" s="1056"/>
      <c r="C348" s="1057"/>
      <c r="D348" s="1058"/>
      <c r="E348" s="1058"/>
      <c r="F348" s="1056"/>
      <c r="G348" s="1056"/>
      <c r="H348" s="1056"/>
      <c r="I348" s="1056"/>
      <c r="J348" s="1056"/>
      <c r="K348" s="1056"/>
      <c r="L348" s="1052"/>
      <c r="M348" s="1052"/>
      <c r="N348" s="1052"/>
      <c r="O348" s="1052"/>
      <c r="P348" s="1056"/>
      <c r="Q348" s="1053"/>
      <c r="R348" s="655"/>
      <c r="S348" s="655"/>
      <c r="T348" s="655"/>
      <c r="U348" s="655"/>
      <c r="V348" s="655"/>
      <c r="W348" s="655"/>
      <c r="X348" s="655"/>
      <c r="Y348" s="655"/>
      <c r="Z348" s="655"/>
      <c r="AA348" s="655"/>
      <c r="AB348" s="655"/>
      <c r="AC348" s="655"/>
      <c r="AD348" s="655"/>
      <c r="AE348" s="655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:43" ht="12.75">
      <c r="A349" s="1054">
        <v>9</v>
      </c>
      <c r="B349" s="1056"/>
      <c r="C349" s="1057"/>
      <c r="D349" s="1058"/>
      <c r="E349" s="1058"/>
      <c r="F349" s="1056"/>
      <c r="G349" s="1056"/>
      <c r="H349" s="1056"/>
      <c r="I349" s="1056"/>
      <c r="J349" s="1056"/>
      <c r="K349" s="1056"/>
      <c r="L349" s="1056"/>
      <c r="M349" s="1056"/>
      <c r="N349" s="1056"/>
      <c r="O349" s="1056"/>
      <c r="P349" s="1056"/>
      <c r="Q349" s="1059"/>
      <c r="R349" s="655"/>
      <c r="S349" s="655"/>
      <c r="T349" s="655"/>
      <c r="U349" s="655"/>
      <c r="V349" s="655"/>
      <c r="W349" s="655"/>
      <c r="X349" s="655"/>
      <c r="Y349" s="655"/>
      <c r="Z349" s="655"/>
      <c r="AA349" s="655"/>
      <c r="AB349" s="655"/>
      <c r="AC349" s="655"/>
      <c r="AD349" s="655"/>
      <c r="AE349" s="655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:43" ht="12.75">
      <c r="A350" s="1054">
        <v>10</v>
      </c>
      <c r="B350" s="1056"/>
      <c r="C350" s="1057"/>
      <c r="D350" s="1058"/>
      <c r="E350" s="1058"/>
      <c r="F350" s="1056"/>
      <c r="G350" s="1056"/>
      <c r="H350" s="1056"/>
      <c r="I350" s="1056"/>
      <c r="J350" s="1056"/>
      <c r="K350" s="1056"/>
      <c r="L350" s="1056"/>
      <c r="M350" s="1056"/>
      <c r="N350" s="1056"/>
      <c r="O350" s="1056"/>
      <c r="P350" s="1056"/>
      <c r="Q350" s="1059"/>
      <c r="R350" s="655"/>
      <c r="S350" s="655"/>
      <c r="T350" s="655"/>
      <c r="U350" s="655"/>
      <c r="V350" s="655"/>
      <c r="W350" s="655"/>
      <c r="X350" s="655"/>
      <c r="Y350" s="655"/>
      <c r="Z350" s="655"/>
      <c r="AA350" s="655"/>
      <c r="AB350" s="655"/>
      <c r="AC350" s="655"/>
      <c r="AD350" s="655"/>
      <c r="AE350" s="655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:43" ht="12.75">
      <c r="A351" s="1054">
        <v>11</v>
      </c>
      <c r="B351" s="1056"/>
      <c r="C351" s="1057"/>
      <c r="D351" s="1058"/>
      <c r="E351" s="1058"/>
      <c r="F351" s="1056"/>
      <c r="G351" s="1056"/>
      <c r="H351" s="1056"/>
      <c r="I351" s="1056"/>
      <c r="J351" s="1056"/>
      <c r="K351" s="1056"/>
      <c r="L351" s="1056"/>
      <c r="M351" s="1056"/>
      <c r="N351" s="1056"/>
      <c r="O351" s="1056"/>
      <c r="P351" s="1056"/>
      <c r="Q351" s="1059"/>
      <c r="R351" s="655"/>
      <c r="S351" s="655"/>
      <c r="T351" s="655"/>
      <c r="U351" s="655"/>
      <c r="V351" s="655"/>
      <c r="W351" s="655"/>
      <c r="X351" s="655"/>
      <c r="Y351" s="655"/>
      <c r="Z351" s="655"/>
      <c r="AA351" s="655"/>
      <c r="AB351" s="655"/>
      <c r="AC351" s="655"/>
      <c r="AD351" s="655"/>
      <c r="AE351" s="655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:43" ht="12.75">
      <c r="A352" s="1054">
        <v>12</v>
      </c>
      <c r="B352" s="1056"/>
      <c r="C352" s="1057"/>
      <c r="D352" s="1058"/>
      <c r="E352" s="1058"/>
      <c r="F352" s="1056"/>
      <c r="G352" s="1056"/>
      <c r="H352" s="1056"/>
      <c r="I352" s="1056"/>
      <c r="J352" s="1056"/>
      <c r="K352" s="1056"/>
      <c r="L352" s="1056"/>
      <c r="M352" s="1056"/>
      <c r="N352" s="1056"/>
      <c r="O352" s="1056"/>
      <c r="P352" s="1056"/>
      <c r="Q352" s="1059"/>
      <c r="R352" s="655"/>
      <c r="S352" s="655"/>
      <c r="T352" s="655"/>
      <c r="U352" s="655"/>
      <c r="V352" s="655"/>
      <c r="W352" s="655"/>
      <c r="X352" s="655"/>
      <c r="Y352" s="655"/>
      <c r="Z352" s="655"/>
      <c r="AA352" s="655"/>
      <c r="AB352" s="655"/>
      <c r="AC352" s="655"/>
      <c r="AD352" s="655"/>
      <c r="AE352" s="655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:43" ht="12.75">
      <c r="A353" s="1054">
        <v>13</v>
      </c>
      <c r="B353" s="1056"/>
      <c r="C353" s="1057"/>
      <c r="D353" s="1058"/>
      <c r="E353" s="1058"/>
      <c r="F353" s="1056"/>
      <c r="G353" s="1056"/>
      <c r="H353" s="1056"/>
      <c r="I353" s="1056"/>
      <c r="J353" s="1056"/>
      <c r="K353" s="1056"/>
      <c r="L353" s="1056"/>
      <c r="M353" s="1056"/>
      <c r="N353" s="1056"/>
      <c r="O353" s="1056"/>
      <c r="P353" s="1056"/>
      <c r="Q353" s="1059"/>
      <c r="R353" s="655"/>
      <c r="S353" s="655"/>
      <c r="T353" s="655"/>
      <c r="U353" s="655"/>
      <c r="V353" s="655"/>
      <c r="W353" s="655"/>
      <c r="X353" s="655"/>
      <c r="Y353" s="655"/>
      <c r="Z353" s="655"/>
      <c r="AA353" s="655"/>
      <c r="AB353" s="655"/>
      <c r="AC353" s="655"/>
      <c r="AD353" s="655"/>
      <c r="AE353" s="655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:43" ht="12.75">
      <c r="A354" s="1054">
        <v>14</v>
      </c>
      <c r="B354" s="1056"/>
      <c r="C354" s="1057"/>
      <c r="D354" s="1058"/>
      <c r="E354" s="1058"/>
      <c r="F354" s="1056"/>
      <c r="G354" s="1056"/>
      <c r="H354" s="1056"/>
      <c r="I354" s="1056"/>
      <c r="J354" s="1056"/>
      <c r="K354" s="1056"/>
      <c r="L354" s="1056"/>
      <c r="M354" s="1056"/>
      <c r="N354" s="1056"/>
      <c r="O354" s="1056"/>
      <c r="P354" s="1056"/>
      <c r="Q354" s="1059"/>
      <c r="R354" s="655"/>
      <c r="S354" s="655"/>
      <c r="T354" s="655"/>
      <c r="U354" s="655"/>
      <c r="V354" s="655"/>
      <c r="W354" s="655"/>
      <c r="X354" s="655"/>
      <c r="Y354" s="655"/>
      <c r="Z354" s="655"/>
      <c r="AA354" s="655"/>
      <c r="AB354" s="655"/>
      <c r="AC354" s="655"/>
      <c r="AD354" s="655"/>
      <c r="AE354" s="655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:43" ht="12.75">
      <c r="A355" s="1054">
        <v>15</v>
      </c>
      <c r="B355" s="1056"/>
      <c r="C355" s="1057"/>
      <c r="D355" s="1058"/>
      <c r="E355" s="1058"/>
      <c r="F355" s="1056"/>
      <c r="G355" s="1056"/>
      <c r="H355" s="1056"/>
      <c r="I355" s="1056"/>
      <c r="J355" s="1056"/>
      <c r="K355" s="1056"/>
      <c r="L355" s="1056"/>
      <c r="M355" s="1056"/>
      <c r="N355" s="1056"/>
      <c r="O355" s="1056"/>
      <c r="P355" s="1056"/>
      <c r="Q355" s="1059"/>
      <c r="R355" s="655"/>
      <c r="S355" s="655"/>
      <c r="T355" s="655"/>
      <c r="U355" s="655"/>
      <c r="V355" s="655"/>
      <c r="W355" s="655"/>
      <c r="X355" s="655"/>
      <c r="Y355" s="655"/>
      <c r="Z355" s="655"/>
      <c r="AA355" s="655"/>
      <c r="AB355" s="655"/>
      <c r="AC355" s="655"/>
      <c r="AD355" s="655"/>
      <c r="AE355" s="6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:43" ht="12.75">
      <c r="A356" s="1054">
        <v>16</v>
      </c>
      <c r="B356" s="1056"/>
      <c r="C356" s="1057"/>
      <c r="D356" s="1058"/>
      <c r="E356" s="1058"/>
      <c r="F356" s="1056"/>
      <c r="G356" s="1056"/>
      <c r="H356" s="1056"/>
      <c r="I356" s="1056"/>
      <c r="J356" s="1056"/>
      <c r="K356" s="1056"/>
      <c r="L356" s="1056"/>
      <c r="M356" s="1056"/>
      <c r="N356" s="1056"/>
      <c r="O356" s="1056"/>
      <c r="P356" s="1056"/>
      <c r="Q356" s="1059"/>
      <c r="R356" s="655"/>
      <c r="S356" s="655"/>
      <c r="T356" s="655"/>
      <c r="U356" s="655"/>
      <c r="V356" s="655"/>
      <c r="W356" s="655"/>
      <c r="X356" s="655"/>
      <c r="Y356" s="655"/>
      <c r="Z356" s="655"/>
      <c r="AA356" s="655"/>
      <c r="AB356" s="655"/>
      <c r="AC356" s="655"/>
      <c r="AD356" s="655"/>
      <c r="AE356" s="655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:43" ht="12.75">
      <c r="A357" s="1054">
        <v>17</v>
      </c>
      <c r="B357" s="1056"/>
      <c r="C357" s="1057"/>
      <c r="D357" s="1058"/>
      <c r="E357" s="1058"/>
      <c r="F357" s="1056"/>
      <c r="G357" s="1056"/>
      <c r="H357" s="1056"/>
      <c r="I357" s="1056"/>
      <c r="J357" s="1056"/>
      <c r="K357" s="1056"/>
      <c r="L357" s="1056"/>
      <c r="M357" s="1056"/>
      <c r="N357" s="1056"/>
      <c r="O357" s="1056"/>
      <c r="P357" s="1056"/>
      <c r="Q357" s="1059"/>
      <c r="R357" s="655"/>
      <c r="S357" s="655"/>
      <c r="T357" s="655"/>
      <c r="U357" s="655"/>
      <c r="V357" s="655"/>
      <c r="W357" s="655"/>
      <c r="X357" s="655"/>
      <c r="Y357" s="655"/>
      <c r="Z357" s="655"/>
      <c r="AA357" s="655"/>
      <c r="AB357" s="655"/>
      <c r="AC357" s="655"/>
      <c r="AD357" s="655"/>
      <c r="AE357" s="655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:43" ht="12.75">
      <c r="A358" s="1054">
        <v>18</v>
      </c>
      <c r="B358" s="1056"/>
      <c r="C358" s="1057"/>
      <c r="D358" s="1058"/>
      <c r="E358" s="1058"/>
      <c r="F358" s="1056"/>
      <c r="G358" s="1056"/>
      <c r="H358" s="1056"/>
      <c r="I358" s="1056"/>
      <c r="J358" s="1056"/>
      <c r="K358" s="1056"/>
      <c r="L358" s="1056"/>
      <c r="M358" s="1056"/>
      <c r="N358" s="1056"/>
      <c r="O358" s="1056"/>
      <c r="P358" s="1056"/>
      <c r="Q358" s="1059"/>
      <c r="R358" s="655"/>
      <c r="S358" s="655"/>
      <c r="T358" s="655"/>
      <c r="U358" s="655"/>
      <c r="V358" s="655"/>
      <c r="W358" s="655"/>
      <c r="X358" s="655"/>
      <c r="Y358" s="655"/>
      <c r="Z358" s="655"/>
      <c r="AA358" s="655"/>
      <c r="AB358" s="655"/>
      <c r="AC358" s="655"/>
      <c r="AD358" s="655"/>
      <c r="AE358" s="655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:43" ht="12.75">
      <c r="A359" s="1054">
        <v>19</v>
      </c>
      <c r="B359" s="1056"/>
      <c r="C359" s="1057"/>
      <c r="D359" s="1058"/>
      <c r="E359" s="1058"/>
      <c r="F359" s="1056"/>
      <c r="G359" s="1056"/>
      <c r="H359" s="1056"/>
      <c r="I359" s="1056"/>
      <c r="J359" s="1056"/>
      <c r="K359" s="1056"/>
      <c r="L359" s="1056"/>
      <c r="M359" s="1056"/>
      <c r="N359" s="1056"/>
      <c r="O359" s="1056"/>
      <c r="P359" s="1056"/>
      <c r="Q359" s="1059"/>
      <c r="R359" s="655"/>
      <c r="S359" s="655"/>
      <c r="T359" s="655"/>
      <c r="U359" s="655"/>
      <c r="V359" s="655"/>
      <c r="W359" s="655"/>
      <c r="X359" s="655"/>
      <c r="Y359" s="655"/>
      <c r="Z359" s="655"/>
      <c r="AA359" s="655"/>
      <c r="AB359" s="655"/>
      <c r="AC359" s="655"/>
      <c r="AD359" s="655"/>
      <c r="AE359" s="655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:43" ht="12.75">
      <c r="A360" s="1054">
        <v>20</v>
      </c>
      <c r="B360" s="1056"/>
      <c r="C360" s="1057"/>
      <c r="D360" s="1058"/>
      <c r="E360" s="1058"/>
      <c r="F360" s="1056"/>
      <c r="G360" s="1056"/>
      <c r="H360" s="1056"/>
      <c r="I360" s="1056"/>
      <c r="J360" s="1056"/>
      <c r="K360" s="1056"/>
      <c r="L360" s="1056"/>
      <c r="M360" s="1056"/>
      <c r="N360" s="1056"/>
      <c r="O360" s="1056"/>
      <c r="P360" s="1056"/>
      <c r="Q360" s="1059"/>
      <c r="R360" s="655"/>
      <c r="S360" s="655"/>
      <c r="T360" s="655"/>
      <c r="U360" s="655"/>
      <c r="V360" s="655"/>
      <c r="W360" s="655"/>
      <c r="X360" s="655"/>
      <c r="Y360" s="655"/>
      <c r="Z360" s="655"/>
      <c r="AA360" s="655"/>
      <c r="AB360" s="655"/>
      <c r="AC360" s="655"/>
      <c r="AD360" s="655"/>
      <c r="AE360" s="655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:43" ht="12.75">
      <c r="A361" s="1054">
        <v>21</v>
      </c>
      <c r="B361" s="1056"/>
      <c r="C361" s="1057"/>
      <c r="D361" s="1058"/>
      <c r="E361" s="1058"/>
      <c r="F361" s="1056"/>
      <c r="G361" s="1056"/>
      <c r="H361" s="1056"/>
      <c r="I361" s="1056"/>
      <c r="J361" s="1056"/>
      <c r="K361" s="1056"/>
      <c r="L361" s="1056"/>
      <c r="M361" s="1056"/>
      <c r="N361" s="1056"/>
      <c r="O361" s="1056"/>
      <c r="P361" s="1056"/>
      <c r="Q361" s="1059"/>
      <c r="R361" s="655"/>
      <c r="S361" s="655"/>
      <c r="T361" s="655"/>
      <c r="U361" s="655"/>
      <c r="V361" s="655"/>
      <c r="W361" s="655"/>
      <c r="X361" s="655"/>
      <c r="Y361" s="655"/>
      <c r="Z361" s="655"/>
      <c r="AA361" s="655"/>
      <c r="AB361" s="655"/>
      <c r="AC361" s="655"/>
      <c r="AD361" s="655"/>
      <c r="AE361" s="655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:43" ht="12.75">
      <c r="A362" s="1054">
        <v>22</v>
      </c>
      <c r="B362" s="1056"/>
      <c r="C362" s="1057"/>
      <c r="D362" s="1058"/>
      <c r="E362" s="1058"/>
      <c r="F362" s="1056"/>
      <c r="G362" s="1056"/>
      <c r="H362" s="1056"/>
      <c r="I362" s="1056"/>
      <c r="J362" s="1056"/>
      <c r="K362" s="1056"/>
      <c r="L362" s="1056"/>
      <c r="M362" s="1056"/>
      <c r="N362" s="1056"/>
      <c r="O362" s="1056"/>
      <c r="P362" s="1056"/>
      <c r="Q362" s="1059"/>
      <c r="R362" s="655"/>
      <c r="S362" s="655"/>
      <c r="T362" s="655"/>
      <c r="U362" s="655"/>
      <c r="V362" s="655"/>
      <c r="W362" s="655"/>
      <c r="X362" s="655"/>
      <c r="Y362" s="655"/>
      <c r="Z362" s="655"/>
      <c r="AA362" s="655"/>
      <c r="AB362" s="655"/>
      <c r="AC362" s="655"/>
      <c r="AD362" s="655"/>
      <c r="AE362" s="655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:43" ht="12.75">
      <c r="A363" s="1054">
        <v>23</v>
      </c>
      <c r="B363" s="1056"/>
      <c r="C363" s="1057"/>
      <c r="D363" s="1058"/>
      <c r="E363" s="1058"/>
      <c r="F363" s="1056"/>
      <c r="G363" s="1056"/>
      <c r="H363" s="1056"/>
      <c r="I363" s="1056"/>
      <c r="J363" s="1056"/>
      <c r="K363" s="1056"/>
      <c r="L363" s="1056"/>
      <c r="M363" s="1056"/>
      <c r="N363" s="1056"/>
      <c r="O363" s="1056"/>
      <c r="P363" s="1056"/>
      <c r="Q363" s="1059"/>
      <c r="R363" s="655"/>
      <c r="S363" s="655"/>
      <c r="T363" s="655"/>
      <c r="U363" s="655"/>
      <c r="V363" s="655"/>
      <c r="W363" s="655"/>
      <c r="X363" s="655"/>
      <c r="Y363" s="655"/>
      <c r="Z363" s="655"/>
      <c r="AA363" s="655"/>
      <c r="AB363" s="655"/>
      <c r="AC363" s="655"/>
      <c r="AD363" s="655"/>
      <c r="AE363" s="655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:43" ht="12.75">
      <c r="A364" s="1054">
        <v>24</v>
      </c>
      <c r="B364" s="1056"/>
      <c r="C364" s="1057"/>
      <c r="D364" s="1058"/>
      <c r="E364" s="1058"/>
      <c r="F364" s="1056"/>
      <c r="G364" s="1056"/>
      <c r="H364" s="1056"/>
      <c r="I364" s="1056"/>
      <c r="J364" s="1056"/>
      <c r="K364" s="1056"/>
      <c r="L364" s="1056"/>
      <c r="M364" s="1056"/>
      <c r="N364" s="1056"/>
      <c r="O364" s="1056"/>
      <c r="P364" s="1056"/>
      <c r="Q364" s="1059"/>
      <c r="R364" s="655"/>
      <c r="S364" s="655"/>
      <c r="T364" s="655"/>
      <c r="U364" s="655"/>
      <c r="V364" s="655"/>
      <c r="W364" s="655"/>
      <c r="X364" s="655"/>
      <c r="Y364" s="655"/>
      <c r="Z364" s="655"/>
      <c r="AA364" s="655"/>
      <c r="AB364" s="655"/>
      <c r="AC364" s="655"/>
      <c r="AD364" s="655"/>
      <c r="AE364" s="655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:43" ht="13.5" thickBot="1">
      <c r="A365" s="1054">
        <v>25</v>
      </c>
      <c r="B365" s="1060"/>
      <c r="C365" s="1061"/>
      <c r="D365" s="1062"/>
      <c r="E365" s="1062"/>
      <c r="F365" s="1060"/>
      <c r="G365" s="1060"/>
      <c r="H365" s="1060"/>
      <c r="I365" s="1060"/>
      <c r="J365" s="1060"/>
      <c r="K365" s="1060"/>
      <c r="L365" s="1060"/>
      <c r="M365" s="1060"/>
      <c r="N365" s="1060"/>
      <c r="O365" s="1060"/>
      <c r="P365" s="1060"/>
      <c r="Q365" s="1063"/>
      <c r="R365" s="655"/>
      <c r="S365" s="655"/>
      <c r="T365" s="655"/>
      <c r="U365" s="655"/>
      <c r="V365" s="655"/>
      <c r="W365" s="655"/>
      <c r="X365" s="655"/>
      <c r="Y365" s="655"/>
      <c r="Z365" s="655"/>
      <c r="AA365" s="655"/>
      <c r="AB365" s="655"/>
      <c r="AC365" s="655"/>
      <c r="AD365" s="655"/>
      <c r="AE365" s="65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:43" ht="13.5" thickBot="1">
      <c r="A366" s="1472" t="s">
        <v>753</v>
      </c>
      <c r="B366" s="1473"/>
      <c r="C366" s="1473"/>
      <c r="D366" s="1473"/>
      <c r="E366" s="1473"/>
      <c r="F366" s="1473"/>
      <c r="G366" s="1473"/>
      <c r="H366" s="1474"/>
      <c r="I366" s="1064">
        <f>SUM(I341:I365)</f>
        <v>155500</v>
      </c>
      <c r="J366" s="1064">
        <f aca="true" t="shared" si="69" ref="J366:Q366">SUM(J341:J365)</f>
        <v>155500</v>
      </c>
      <c r="K366" s="1064">
        <f t="shared" si="69"/>
        <v>38097.5</v>
      </c>
      <c r="L366" s="1064">
        <f t="shared" si="69"/>
        <v>23325</v>
      </c>
      <c r="M366" s="1064">
        <f t="shared" si="69"/>
        <v>14772.5</v>
      </c>
      <c r="N366" s="1064">
        <f t="shared" si="69"/>
        <v>0</v>
      </c>
      <c r="O366" s="1064">
        <f t="shared" si="69"/>
        <v>5287</v>
      </c>
      <c r="P366" s="1064">
        <f t="shared" si="69"/>
        <v>155500</v>
      </c>
      <c r="Q366" s="1064">
        <f t="shared" si="69"/>
        <v>10550</v>
      </c>
      <c r="R366" s="655"/>
      <c r="S366" s="655"/>
      <c r="T366" s="655"/>
      <c r="U366" s="655"/>
      <c r="V366" s="655"/>
      <c r="W366" s="655"/>
      <c r="X366" s="655"/>
      <c r="Y366" s="655"/>
      <c r="Z366" s="655"/>
      <c r="AA366" s="655"/>
      <c r="AB366" s="655"/>
      <c r="AC366" s="655"/>
      <c r="AD366" s="655"/>
      <c r="AE366" s="655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:43" ht="13.5" thickBot="1">
      <c r="A367" s="1475" t="s">
        <v>756</v>
      </c>
      <c r="B367" s="1476"/>
      <c r="C367" s="1476"/>
      <c r="D367" s="1476"/>
      <c r="E367" s="1476"/>
      <c r="F367" s="1476"/>
      <c r="G367" s="1476"/>
      <c r="H367" s="1477"/>
      <c r="I367" s="1065"/>
      <c r="J367" s="1066"/>
      <c r="K367" s="1066"/>
      <c r="L367" s="1066"/>
      <c r="M367" s="1066"/>
      <c r="N367" s="1066">
        <v>0</v>
      </c>
      <c r="O367" s="1066"/>
      <c r="P367" s="1066"/>
      <c r="Q367" s="1067"/>
      <c r="R367" s="655"/>
      <c r="S367" s="655"/>
      <c r="T367" s="655"/>
      <c r="U367" s="655"/>
      <c r="V367" s="655"/>
      <c r="W367" s="655"/>
      <c r="X367" s="655"/>
      <c r="Y367" s="655"/>
      <c r="Z367" s="655"/>
      <c r="AA367" s="655"/>
      <c r="AB367" s="655"/>
      <c r="AC367" s="655"/>
      <c r="AD367" s="655"/>
      <c r="AE367" s="655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:43" ht="13.5" thickBot="1">
      <c r="A368" s="1478" t="s">
        <v>759</v>
      </c>
      <c r="B368" s="1479"/>
      <c r="C368" s="1479"/>
      <c r="D368" s="1479"/>
      <c r="E368" s="1479"/>
      <c r="F368" s="1479"/>
      <c r="G368" s="1479"/>
      <c r="H368" s="1480"/>
      <c r="I368" s="1064">
        <f>SUM(I366:I367)</f>
        <v>155500</v>
      </c>
      <c r="J368" s="1064">
        <f aca="true" t="shared" si="70" ref="J368:Q368">SUM(J366:J367)</f>
        <v>155500</v>
      </c>
      <c r="K368" s="1064">
        <f t="shared" si="70"/>
        <v>38097.5</v>
      </c>
      <c r="L368" s="1064">
        <f t="shared" si="70"/>
        <v>23325</v>
      </c>
      <c r="M368" s="1064">
        <f t="shared" si="70"/>
        <v>14772.5</v>
      </c>
      <c r="N368" s="1064">
        <f t="shared" si="70"/>
        <v>0</v>
      </c>
      <c r="O368" s="1064">
        <f t="shared" si="70"/>
        <v>5287</v>
      </c>
      <c r="P368" s="1064">
        <f t="shared" si="70"/>
        <v>155500</v>
      </c>
      <c r="Q368" s="1064">
        <f t="shared" si="70"/>
        <v>10550</v>
      </c>
      <c r="R368" s="655"/>
      <c r="S368" s="655"/>
      <c r="T368" s="655"/>
      <c r="U368" s="655"/>
      <c r="V368" s="655"/>
      <c r="W368" s="655"/>
      <c r="X368" s="655"/>
      <c r="Y368" s="655"/>
      <c r="Z368" s="655"/>
      <c r="AA368" s="655"/>
      <c r="AB368" s="655"/>
      <c r="AC368" s="655"/>
      <c r="AD368" s="655"/>
      <c r="AE368" s="655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:43" ht="12.75">
      <c r="A369" s="683"/>
      <c r="B369" s="684" t="s">
        <v>764</v>
      </c>
      <c r="C369" s="685"/>
      <c r="D369" s="685"/>
      <c r="E369" s="685"/>
      <c r="F369" s="685"/>
      <c r="G369" s="685"/>
      <c r="H369" s="1068"/>
      <c r="I369" s="686" t="s">
        <v>765</v>
      </c>
      <c r="J369" s="685"/>
      <c r="K369" s="685"/>
      <c r="L369" s="685"/>
      <c r="M369" s="685"/>
      <c r="N369" s="685"/>
      <c r="O369" s="685"/>
      <c r="P369" s="685"/>
      <c r="Q369" s="687"/>
      <c r="R369" s="655"/>
      <c r="S369" s="655"/>
      <c r="T369" s="655"/>
      <c r="U369" s="655"/>
      <c r="V369" s="655"/>
      <c r="W369" s="655"/>
      <c r="X369" s="655"/>
      <c r="Y369" s="655"/>
      <c r="Z369" s="655"/>
      <c r="AA369" s="655"/>
      <c r="AB369" s="655"/>
      <c r="AC369" s="655"/>
      <c r="AD369" s="655"/>
      <c r="AE369" s="655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:43" ht="12.75">
      <c r="A370" s="688" t="s">
        <v>1323</v>
      </c>
      <c r="B370" s="689"/>
      <c r="C370" s="689"/>
      <c r="D370" s="689"/>
      <c r="E370" s="689"/>
      <c r="F370" s="689"/>
      <c r="G370" s="689"/>
      <c r="H370" s="1069"/>
      <c r="I370" s="690" t="s">
        <v>766</v>
      </c>
      <c r="J370" s="689"/>
      <c r="K370" s="689"/>
      <c r="L370" s="689"/>
      <c r="M370" s="689"/>
      <c r="N370" s="689"/>
      <c r="O370" s="689"/>
      <c r="P370" s="689"/>
      <c r="Q370" s="691"/>
      <c r="R370" s="655"/>
      <c r="S370" s="655"/>
      <c r="T370" s="655"/>
      <c r="U370" s="655"/>
      <c r="V370" s="655"/>
      <c r="W370" s="655"/>
      <c r="X370" s="655"/>
      <c r="Y370" s="655"/>
      <c r="Z370" s="655"/>
      <c r="AA370" s="655"/>
      <c r="AB370" s="655"/>
      <c r="AC370" s="655"/>
      <c r="AD370" s="655"/>
      <c r="AE370" s="655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:43" ht="12.75">
      <c r="A371" s="688" t="s">
        <v>1324</v>
      </c>
      <c r="B371" s="689"/>
      <c r="C371" s="689"/>
      <c r="D371" s="689"/>
      <c r="E371" s="689"/>
      <c r="F371" s="689"/>
      <c r="G371" s="689"/>
      <c r="H371" s="1069"/>
      <c r="I371" s="47" t="s">
        <v>767</v>
      </c>
      <c r="J371" s="689"/>
      <c r="K371" s="689"/>
      <c r="L371" s="689"/>
      <c r="M371" s="689"/>
      <c r="N371" s="689"/>
      <c r="O371" s="689"/>
      <c r="P371" s="689"/>
      <c r="Q371" s="691"/>
      <c r="R371" s="655"/>
      <c r="S371" s="655"/>
      <c r="T371" s="655"/>
      <c r="U371" s="655"/>
      <c r="V371" s="655"/>
      <c r="W371" s="655"/>
      <c r="X371" s="655"/>
      <c r="Y371" s="655"/>
      <c r="Z371" s="655"/>
      <c r="AA371" s="655"/>
      <c r="AB371" s="655"/>
      <c r="AC371" s="655"/>
      <c r="AD371" s="655"/>
      <c r="AE371" s="655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:43" ht="12.75">
      <c r="A372" s="688" t="s">
        <v>1325</v>
      </c>
      <c r="B372" s="689"/>
      <c r="C372" s="1"/>
      <c r="D372" s="689"/>
      <c r="E372" s="689"/>
      <c r="F372" s="689"/>
      <c r="G372" s="689"/>
      <c r="H372" s="1069"/>
      <c r="I372" s="690" t="s">
        <v>768</v>
      </c>
      <c r="J372" s="689"/>
      <c r="K372" s="689"/>
      <c r="L372" s="689"/>
      <c r="M372" s="689"/>
      <c r="N372" s="689"/>
      <c r="O372" s="689"/>
      <c r="P372" s="689"/>
      <c r="Q372" s="691"/>
      <c r="R372" s="655"/>
      <c r="S372" s="655"/>
      <c r="T372" s="655"/>
      <c r="U372" s="655"/>
      <c r="V372" s="655"/>
      <c r="W372" s="655"/>
      <c r="X372" s="655"/>
      <c r="Y372" s="655"/>
      <c r="Z372" s="655"/>
      <c r="AA372" s="655"/>
      <c r="AB372" s="655"/>
      <c r="AC372" s="655"/>
      <c r="AD372" s="655"/>
      <c r="AE372" s="655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:43" ht="12.75">
      <c r="A373" s="688"/>
      <c r="B373" s="689"/>
      <c r="C373" s="689"/>
      <c r="D373" s="689"/>
      <c r="E373" s="689"/>
      <c r="F373" s="689"/>
      <c r="G373" s="689"/>
      <c r="H373" s="1069"/>
      <c r="I373" s="690" t="s">
        <v>769</v>
      </c>
      <c r="J373" s="689"/>
      <c r="K373" s="689"/>
      <c r="L373" s="689"/>
      <c r="M373" s="689"/>
      <c r="N373" s="689"/>
      <c r="O373" s="689"/>
      <c r="P373" s="689"/>
      <c r="Q373" s="691"/>
      <c r="R373" s="655"/>
      <c r="S373" s="655"/>
      <c r="T373" s="655"/>
      <c r="U373" s="655"/>
      <c r="V373" s="655"/>
      <c r="W373" s="655"/>
      <c r="X373" s="655"/>
      <c r="Y373" s="655"/>
      <c r="Z373" s="655"/>
      <c r="AA373" s="655"/>
      <c r="AB373" s="655"/>
      <c r="AC373" s="655"/>
      <c r="AD373" s="655"/>
      <c r="AE373" s="655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:43" ht="12.75">
      <c r="A374" s="688"/>
      <c r="B374" s="700" t="s">
        <v>770</v>
      </c>
      <c r="C374" s="689"/>
      <c r="D374" s="689"/>
      <c r="E374" s="689"/>
      <c r="F374" s="689"/>
      <c r="G374" s="689"/>
      <c r="H374" s="1069"/>
      <c r="I374" s="47" t="s">
        <v>771</v>
      </c>
      <c r="J374" s="689"/>
      <c r="K374" s="689"/>
      <c r="L374" s="689"/>
      <c r="M374" s="689"/>
      <c r="N374" s="689"/>
      <c r="O374" s="689"/>
      <c r="P374" s="689"/>
      <c r="Q374" s="691"/>
      <c r="R374" s="655"/>
      <c r="S374" s="655"/>
      <c r="T374" s="655"/>
      <c r="U374" s="655"/>
      <c r="V374" s="655"/>
      <c r="W374" s="655"/>
      <c r="X374" s="655"/>
      <c r="Y374" s="655"/>
      <c r="Z374" s="655"/>
      <c r="AA374" s="655"/>
      <c r="AB374" s="655"/>
      <c r="AC374" s="655"/>
      <c r="AD374" s="655"/>
      <c r="AE374" s="655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:43" ht="12.75">
      <c r="A375" s="688"/>
      <c r="B375" s="689" t="s">
        <v>1326</v>
      </c>
      <c r="C375" s="689"/>
      <c r="D375" s="689"/>
      <c r="E375" s="689"/>
      <c r="F375" s="689"/>
      <c r="G375" s="689"/>
      <c r="H375" s="1069"/>
      <c r="I375" s="47"/>
      <c r="J375" s="689"/>
      <c r="K375" s="689"/>
      <c r="L375" s="701" t="s">
        <v>772</v>
      </c>
      <c r="M375" s="689"/>
      <c r="N375" s="689"/>
      <c r="O375" s="689"/>
      <c r="P375" s="689"/>
      <c r="Q375" s="691"/>
      <c r="R375" s="655"/>
      <c r="S375" s="655"/>
      <c r="T375" s="655"/>
      <c r="U375" s="655"/>
      <c r="V375" s="655"/>
      <c r="W375" s="655"/>
      <c r="X375" s="655"/>
      <c r="Y375" s="655"/>
      <c r="Z375" s="655"/>
      <c r="AA375" s="655"/>
      <c r="AB375" s="655"/>
      <c r="AC375" s="655"/>
      <c r="AD375" s="655"/>
      <c r="AE375" s="65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:43" ht="12.75">
      <c r="A376" s="688"/>
      <c r="B376" s="689"/>
      <c r="C376" s="689"/>
      <c r="D376" s="689" t="s">
        <v>773</v>
      </c>
      <c r="E376" s="689"/>
      <c r="F376" s="689"/>
      <c r="G376" s="689"/>
      <c r="H376" s="1069"/>
      <c r="I376" s="690" t="s">
        <v>774</v>
      </c>
      <c r="J376" s="689"/>
      <c r="K376" s="689"/>
      <c r="L376" s="689"/>
      <c r="M376" s="689"/>
      <c r="N376" s="689"/>
      <c r="O376" s="689"/>
      <c r="P376" s="689"/>
      <c r="Q376" s="689"/>
      <c r="R376" s="655"/>
      <c r="S376" s="655"/>
      <c r="T376" s="655"/>
      <c r="U376" s="655"/>
      <c r="V376" s="655"/>
      <c r="W376" s="655"/>
      <c r="X376" s="655"/>
      <c r="Y376" s="655"/>
      <c r="Z376" s="655"/>
      <c r="AA376" s="655"/>
      <c r="AB376" s="655"/>
      <c r="AC376" s="655"/>
      <c r="AD376" s="655"/>
      <c r="AE376" s="655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:43" ht="12.75">
      <c r="A377" s="688"/>
      <c r="B377" s="689"/>
      <c r="C377" s="689"/>
      <c r="D377" s="689"/>
      <c r="E377" s="689"/>
      <c r="F377" s="689"/>
      <c r="G377" s="689"/>
      <c r="H377" s="1069"/>
      <c r="I377" s="690"/>
      <c r="J377" s="689" t="s">
        <v>775</v>
      </c>
      <c r="K377" s="689"/>
      <c r="L377" s="689"/>
      <c r="M377" s="689"/>
      <c r="N377" s="689"/>
      <c r="O377" s="689"/>
      <c r="P377" s="689"/>
      <c r="Q377" s="689"/>
      <c r="R377" s="655"/>
      <c r="S377" s="655"/>
      <c r="T377" s="655"/>
      <c r="U377" s="655"/>
      <c r="V377" s="655"/>
      <c r="W377" s="655"/>
      <c r="X377" s="655"/>
      <c r="Y377" s="655"/>
      <c r="Z377" s="655"/>
      <c r="AA377" s="655"/>
      <c r="AB377" s="655"/>
      <c r="AC377" s="655"/>
      <c r="AD377" s="655"/>
      <c r="AE377" s="655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:43" ht="13.5" thickBot="1">
      <c r="A378" s="702"/>
      <c r="B378" s="703"/>
      <c r="C378" s="703"/>
      <c r="D378" s="703"/>
      <c r="E378" s="703"/>
      <c r="F378" s="703"/>
      <c r="G378" s="703"/>
      <c r="H378" s="1070"/>
      <c r="I378" s="704"/>
      <c r="J378" s="705" t="s">
        <v>776</v>
      </c>
      <c r="K378" s="703"/>
      <c r="L378" s="703"/>
      <c r="M378" s="703"/>
      <c r="N378" s="703"/>
      <c r="O378" s="703"/>
      <c r="P378" s="703"/>
      <c r="Q378" s="706"/>
      <c r="R378" s="655"/>
      <c r="S378" s="655"/>
      <c r="T378" s="655"/>
      <c r="U378" s="655"/>
      <c r="V378" s="655"/>
      <c r="W378" s="655"/>
      <c r="X378" s="655"/>
      <c r="Y378" s="655"/>
      <c r="Z378" s="655"/>
      <c r="AA378" s="655"/>
      <c r="AB378" s="655"/>
      <c r="AC378" s="655"/>
      <c r="AD378" s="655"/>
      <c r="AE378" s="655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:43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 s="655"/>
      <c r="S379" s="655"/>
      <c r="T379" s="655"/>
      <c r="U379" s="655"/>
      <c r="V379" s="655"/>
      <c r="W379" s="655"/>
      <c r="X379" s="655"/>
      <c r="Y379" s="655"/>
      <c r="Z379" s="655"/>
      <c r="AA379" s="655"/>
      <c r="AB379" s="655"/>
      <c r="AC379" s="655"/>
      <c r="AD379" s="655"/>
      <c r="AE379" s="655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:43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 s="655"/>
      <c r="S380" s="655"/>
      <c r="T380" s="655"/>
      <c r="U380" s="655"/>
      <c r="V380" s="655"/>
      <c r="W380" s="655"/>
      <c r="X380" s="655"/>
      <c r="Y380" s="655"/>
      <c r="Z380" s="655"/>
      <c r="AA380" s="655"/>
      <c r="AB380" s="655"/>
      <c r="AC380" s="655"/>
      <c r="AD380" s="655"/>
      <c r="AE380" s="655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:43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 s="655"/>
      <c r="S381" s="655"/>
      <c r="T381" s="655"/>
      <c r="U381" s="655"/>
      <c r="V381" s="655"/>
      <c r="W381" s="655"/>
      <c r="X381" s="655"/>
      <c r="Y381" s="655"/>
      <c r="Z381" s="655"/>
      <c r="AA381" s="655"/>
      <c r="AB381" s="655"/>
      <c r="AC381" s="655"/>
      <c r="AD381" s="655"/>
      <c r="AE381" s="655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:43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 s="655"/>
      <c r="S382" s="655"/>
      <c r="T382" s="655"/>
      <c r="U382" s="655"/>
      <c r="V382" s="655"/>
      <c r="W382" s="655"/>
      <c r="X382" s="655"/>
      <c r="Y382" s="655"/>
      <c r="Z382" s="655"/>
      <c r="AA382" s="655"/>
      <c r="AB382" s="655"/>
      <c r="AC382" s="655"/>
      <c r="AD382" s="655"/>
      <c r="AE382" s="655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:43" ht="15">
      <c r="A383" s="1025" t="s">
        <v>133</v>
      </c>
      <c r="B383" s="1025"/>
      <c r="C383" s="1025"/>
      <c r="D383" s="1025"/>
      <c r="E383" s="1025"/>
      <c r="F383" s="1025"/>
      <c r="G383" s="1025"/>
      <c r="H383" s="1025"/>
      <c r="I383" s="1025"/>
      <c r="J383" s="1025"/>
      <c r="K383" s="1025"/>
      <c r="L383" s="1025"/>
      <c r="M383" s="1025"/>
      <c r="N383" s="1025"/>
      <c r="O383" s="1025"/>
      <c r="P383" s="1025"/>
      <c r="Q383"/>
      <c r="R383" s="655"/>
      <c r="S383" s="655"/>
      <c r="T383" s="655"/>
      <c r="U383" s="655"/>
      <c r="V383" s="655"/>
      <c r="W383" s="655"/>
      <c r="X383" s="655"/>
      <c r="Y383" s="655"/>
      <c r="Z383" s="655"/>
      <c r="AA383" s="655"/>
      <c r="AB383" s="655"/>
      <c r="AC383" s="655"/>
      <c r="AD383" s="655"/>
      <c r="AE383" s="655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:43" ht="15">
      <c r="A384" s="1025" t="s">
        <v>1293</v>
      </c>
      <c r="B384" s="1025"/>
      <c r="C384" s="1025"/>
      <c r="D384"/>
      <c r="E384" s="1025" t="s">
        <v>1294</v>
      </c>
      <c r="F384" s="1025"/>
      <c r="G384" s="1025"/>
      <c r="H384" s="1025"/>
      <c r="I384" s="1025"/>
      <c r="J384" s="1025" t="s">
        <v>1724</v>
      </c>
      <c r="K384" s="1025"/>
      <c r="L384" s="1025"/>
      <c r="M384" s="1025"/>
      <c r="N384" s="1025"/>
      <c r="O384" s="1025"/>
      <c r="P384" s="1025"/>
      <c r="Q384"/>
      <c r="R384" s="655"/>
      <c r="S384" s="655"/>
      <c r="T384" s="655"/>
      <c r="U384" s="655"/>
      <c r="V384" s="655"/>
      <c r="W384" s="655"/>
      <c r="X384" s="655"/>
      <c r="Y384" s="655"/>
      <c r="Z384" s="655"/>
      <c r="AA384" s="655"/>
      <c r="AB384" s="655"/>
      <c r="AC384" s="655"/>
      <c r="AD384" s="655"/>
      <c r="AE384" s="655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:43" ht="16.5" thickBot="1">
      <c r="A385" s="1026" t="s">
        <v>725</v>
      </c>
      <c r="B385" s="1026"/>
      <c r="C385" s="1026"/>
      <c r="D385" s="1026"/>
      <c r="E385" s="1026"/>
      <c r="F385" s="1026" t="s">
        <v>1296</v>
      </c>
      <c r="G385" s="1026"/>
      <c r="H385" s="1026"/>
      <c r="I385" s="1026"/>
      <c r="J385" s="1026"/>
      <c r="K385" s="1026"/>
      <c r="L385" s="1026" t="s">
        <v>727</v>
      </c>
      <c r="M385" s="1026"/>
      <c r="N385" s="1026"/>
      <c r="O385" s="1026"/>
      <c r="P385" s="1026"/>
      <c r="Q385"/>
      <c r="R385" s="655"/>
      <c r="S385" s="655"/>
      <c r="T385" s="655"/>
      <c r="U385" s="655"/>
      <c r="V385" s="655"/>
      <c r="W385" s="655"/>
      <c r="X385" s="655"/>
      <c r="Y385" s="655"/>
      <c r="Z385" s="655"/>
      <c r="AA385" s="655"/>
      <c r="AB385" s="655"/>
      <c r="AC385" s="655"/>
      <c r="AD385" s="655"/>
      <c r="AE385" s="65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:43" ht="12.75">
      <c r="A386" s="1027" t="s">
        <v>199</v>
      </c>
      <c r="B386" s="1028" t="s">
        <v>729</v>
      </c>
      <c r="C386" s="1029"/>
      <c r="D386" s="1030"/>
      <c r="E386" s="1481" t="s">
        <v>1297</v>
      </c>
      <c r="F386" s="1028" t="s">
        <v>1298</v>
      </c>
      <c r="G386" s="1028" t="s">
        <v>1299</v>
      </c>
      <c r="H386" s="1028" t="s">
        <v>1300</v>
      </c>
      <c r="I386" s="1031" t="s">
        <v>780</v>
      </c>
      <c r="J386" s="1032"/>
      <c r="K386" s="1031" t="s">
        <v>200</v>
      </c>
      <c r="L386" s="1033"/>
      <c r="M386" s="1033"/>
      <c r="N386" s="1032"/>
      <c r="O386" s="1028" t="s">
        <v>201</v>
      </c>
      <c r="P386" s="1028" t="s">
        <v>202</v>
      </c>
      <c r="Q386" s="1034" t="s">
        <v>203</v>
      </c>
      <c r="R386" s="655"/>
      <c r="S386" s="655"/>
      <c r="T386" s="655"/>
      <c r="U386" s="655"/>
      <c r="V386" s="655"/>
      <c r="W386" s="655"/>
      <c r="X386" s="655"/>
      <c r="Y386" s="655"/>
      <c r="Z386" s="655"/>
      <c r="AA386" s="655"/>
      <c r="AB386" s="655"/>
      <c r="AC386" s="655"/>
      <c r="AD386" s="655"/>
      <c r="AE386" s="655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:43" ht="12.75">
      <c r="A387" s="1035"/>
      <c r="B387" s="1036" t="s">
        <v>730</v>
      </c>
      <c r="C387" s="1037" t="s">
        <v>1301</v>
      </c>
      <c r="D387" s="1038"/>
      <c r="E387" s="1482"/>
      <c r="F387" s="1036" t="s">
        <v>1302</v>
      </c>
      <c r="G387" s="1036" t="s">
        <v>1303</v>
      </c>
      <c r="H387" s="1036" t="s">
        <v>1304</v>
      </c>
      <c r="I387" s="1039" t="s">
        <v>205</v>
      </c>
      <c r="J387" s="1039" t="s">
        <v>782</v>
      </c>
      <c r="K387" s="1039"/>
      <c r="L387" s="1040" t="s">
        <v>206</v>
      </c>
      <c r="M387" s="1041"/>
      <c r="N387" s="1039" t="s">
        <v>731</v>
      </c>
      <c r="O387" s="1036" t="s">
        <v>732</v>
      </c>
      <c r="P387" s="1036" t="s">
        <v>207</v>
      </c>
      <c r="Q387" s="1042" t="s">
        <v>208</v>
      </c>
      <c r="R387" s="655"/>
      <c r="S387" s="655"/>
      <c r="T387" s="655"/>
      <c r="U387" s="655"/>
      <c r="V387" s="655"/>
      <c r="W387" s="655"/>
      <c r="X387" s="655"/>
      <c r="Y387" s="655"/>
      <c r="Z387" s="655"/>
      <c r="AA387" s="655"/>
      <c r="AB387" s="655"/>
      <c r="AC387" s="655"/>
      <c r="AD387" s="655"/>
      <c r="AE387" s="655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:43" ht="13.5" thickBot="1">
      <c r="A388" s="1043"/>
      <c r="B388" s="1044" t="s">
        <v>735</v>
      </c>
      <c r="C388" s="1037"/>
      <c r="D388" s="1038"/>
      <c r="E388" s="1483"/>
      <c r="F388" s="1044" t="s">
        <v>1305</v>
      </c>
      <c r="G388" s="1044" t="s">
        <v>1306</v>
      </c>
      <c r="H388" s="1044" t="s">
        <v>1307</v>
      </c>
      <c r="I388" s="1044"/>
      <c r="J388" s="1044" t="s">
        <v>1308</v>
      </c>
      <c r="K388" s="1044" t="s">
        <v>1309</v>
      </c>
      <c r="L388" s="1045" t="s">
        <v>736</v>
      </c>
      <c r="M388" s="1045" t="s">
        <v>737</v>
      </c>
      <c r="N388" s="1044" t="s">
        <v>738</v>
      </c>
      <c r="O388" s="1044" t="s">
        <v>739</v>
      </c>
      <c r="P388" s="1044" t="s">
        <v>740</v>
      </c>
      <c r="Q388" s="1046" t="s">
        <v>1310</v>
      </c>
      <c r="R388" s="655"/>
      <c r="S388" s="655"/>
      <c r="T388" s="655"/>
      <c r="U388" s="655"/>
      <c r="V388" s="655"/>
      <c r="W388" s="655"/>
      <c r="X388" s="655"/>
      <c r="Y388" s="655"/>
      <c r="Z388" s="655"/>
      <c r="AA388" s="655"/>
      <c r="AB388" s="655"/>
      <c r="AC388" s="655"/>
      <c r="AD388" s="655"/>
      <c r="AE388" s="655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:43" ht="12.75">
      <c r="A389" s="1047">
        <v>1</v>
      </c>
      <c r="B389" s="1048" t="s">
        <v>1311</v>
      </c>
      <c r="C389" s="1470" t="s">
        <v>1270</v>
      </c>
      <c r="D389" s="1471"/>
      <c r="E389" s="1050" t="s">
        <v>1312</v>
      </c>
      <c r="F389" s="1051">
        <v>1</v>
      </c>
      <c r="G389" s="1052">
        <v>0</v>
      </c>
      <c r="H389" s="1052">
        <v>22</v>
      </c>
      <c r="I389" s="1052">
        <v>50000</v>
      </c>
      <c r="J389" s="1052">
        <v>50000</v>
      </c>
      <c r="K389" s="1052">
        <f aca="true" t="shared" si="71" ref="K389:K394">L389+M389</f>
        <v>12250</v>
      </c>
      <c r="L389" s="1052">
        <f aca="true" t="shared" si="72" ref="L389:L394">I389*0.15</f>
        <v>7500</v>
      </c>
      <c r="M389" s="1052">
        <f aca="true" t="shared" si="73" ref="M389:M394">I389*0.095</f>
        <v>4750</v>
      </c>
      <c r="N389" s="1052">
        <v>0</v>
      </c>
      <c r="O389" s="1052">
        <f aca="true" t="shared" si="74" ref="O389:O394">I389*0.034</f>
        <v>1700.0000000000002</v>
      </c>
      <c r="P389" s="1052">
        <f aca="true" t="shared" si="75" ref="P389:P394">I389</f>
        <v>50000</v>
      </c>
      <c r="Q389" s="1053">
        <v>5000</v>
      </c>
      <c r="R389" s="655"/>
      <c r="S389" s="655"/>
      <c r="T389" s="655"/>
      <c r="U389" s="655"/>
      <c r="V389" s="655"/>
      <c r="W389" s="655"/>
      <c r="X389" s="655"/>
      <c r="Y389" s="655"/>
      <c r="Z389" s="655"/>
      <c r="AA389" s="655"/>
      <c r="AB389" s="655"/>
      <c r="AC389" s="655"/>
      <c r="AD389" s="655"/>
      <c r="AE389" s="655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:43" ht="12.75">
      <c r="A390" s="1054">
        <v>2</v>
      </c>
      <c r="B390" s="1056"/>
      <c r="C390" s="1470" t="s">
        <v>1316</v>
      </c>
      <c r="D390" s="1471"/>
      <c r="E390" s="1049" t="s">
        <v>1317</v>
      </c>
      <c r="F390" s="1056">
        <v>1</v>
      </c>
      <c r="G390" s="1056">
        <v>0</v>
      </c>
      <c r="H390" s="1056">
        <v>22</v>
      </c>
      <c r="I390" s="1052">
        <v>21100</v>
      </c>
      <c r="J390" s="1052">
        <v>21100</v>
      </c>
      <c r="K390" s="1056">
        <f t="shared" si="71"/>
        <v>5169.5</v>
      </c>
      <c r="L390" s="1052">
        <f t="shared" si="72"/>
        <v>3165</v>
      </c>
      <c r="M390" s="1052">
        <f t="shared" si="73"/>
        <v>2004.5</v>
      </c>
      <c r="N390" s="1056">
        <v>0</v>
      </c>
      <c r="O390" s="1052">
        <f t="shared" si="74"/>
        <v>717.4000000000001</v>
      </c>
      <c r="P390" s="1056">
        <f t="shared" si="75"/>
        <v>21100</v>
      </c>
      <c r="Q390" s="1053">
        <v>1110</v>
      </c>
      <c r="R390" s="655"/>
      <c r="S390" s="655"/>
      <c r="T390" s="655"/>
      <c r="U390" s="655"/>
      <c r="V390" s="655"/>
      <c r="W390" s="655"/>
      <c r="X390" s="655"/>
      <c r="Y390" s="655"/>
      <c r="Z390" s="655"/>
      <c r="AA390" s="655"/>
      <c r="AB390" s="655"/>
      <c r="AC390" s="655"/>
      <c r="AD390" s="655"/>
      <c r="AE390" s="655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:43" ht="12.75">
      <c r="A391" s="1054">
        <v>3</v>
      </c>
      <c r="B391" s="1056"/>
      <c r="C391" s="1470" t="s">
        <v>1318</v>
      </c>
      <c r="D391" s="1471"/>
      <c r="E391" s="1049" t="s">
        <v>1317</v>
      </c>
      <c r="F391" s="1056">
        <v>1</v>
      </c>
      <c r="G391" s="1056">
        <v>0</v>
      </c>
      <c r="H391" s="1056">
        <v>22</v>
      </c>
      <c r="I391" s="1052">
        <v>21100</v>
      </c>
      <c r="J391" s="1052">
        <v>21100</v>
      </c>
      <c r="K391" s="1056">
        <f t="shared" si="71"/>
        <v>5169.5</v>
      </c>
      <c r="L391" s="1052">
        <f t="shared" si="72"/>
        <v>3165</v>
      </c>
      <c r="M391" s="1052">
        <f t="shared" si="73"/>
        <v>2004.5</v>
      </c>
      <c r="N391" s="1052">
        <v>0</v>
      </c>
      <c r="O391" s="1052">
        <f t="shared" si="74"/>
        <v>717.4000000000001</v>
      </c>
      <c r="P391" s="1056">
        <f t="shared" si="75"/>
        <v>21100</v>
      </c>
      <c r="Q391" s="1053">
        <v>1110</v>
      </c>
      <c r="R391" s="655"/>
      <c r="S391" s="655"/>
      <c r="T391" s="655"/>
      <c r="U391" s="655"/>
      <c r="V391" s="655"/>
      <c r="W391" s="655"/>
      <c r="X391" s="655"/>
      <c r="Y391" s="655"/>
      <c r="Z391" s="655"/>
      <c r="AA391" s="655"/>
      <c r="AB391" s="655"/>
      <c r="AC391" s="655"/>
      <c r="AD391" s="655"/>
      <c r="AE391" s="655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:43" ht="12.75">
      <c r="A392" s="1054">
        <v>4</v>
      </c>
      <c r="B392" s="1056"/>
      <c r="C392" s="1470" t="s">
        <v>1319</v>
      </c>
      <c r="D392" s="1471"/>
      <c r="E392" s="1049" t="s">
        <v>1317</v>
      </c>
      <c r="F392" s="1056">
        <v>1</v>
      </c>
      <c r="G392" s="1056">
        <v>0</v>
      </c>
      <c r="H392" s="1056">
        <v>22</v>
      </c>
      <c r="I392" s="1052">
        <v>21100</v>
      </c>
      <c r="J392" s="1052">
        <v>21100</v>
      </c>
      <c r="K392" s="1056">
        <f t="shared" si="71"/>
        <v>5169.5</v>
      </c>
      <c r="L392" s="1052">
        <f t="shared" si="72"/>
        <v>3165</v>
      </c>
      <c r="M392" s="1052">
        <f t="shared" si="73"/>
        <v>2004.5</v>
      </c>
      <c r="N392" s="1056">
        <v>0</v>
      </c>
      <c r="O392" s="1052">
        <f t="shared" si="74"/>
        <v>717.4000000000001</v>
      </c>
      <c r="P392" s="1056">
        <f t="shared" si="75"/>
        <v>21100</v>
      </c>
      <c r="Q392" s="1053">
        <v>1110</v>
      </c>
      <c r="R392" s="655"/>
      <c r="S392" s="655"/>
      <c r="T392" s="655"/>
      <c r="U392" s="655"/>
      <c r="V392" s="655"/>
      <c r="W392" s="655"/>
      <c r="X392" s="655"/>
      <c r="Y392" s="655"/>
      <c r="Z392" s="655"/>
      <c r="AA392" s="655"/>
      <c r="AB392" s="655"/>
      <c r="AC392" s="655"/>
      <c r="AD392" s="655"/>
      <c r="AE392" s="655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:43" ht="12.75">
      <c r="A393" s="1054">
        <v>5</v>
      </c>
      <c r="B393" s="1056"/>
      <c r="C393" s="1470" t="s">
        <v>1320</v>
      </c>
      <c r="D393" s="1471"/>
      <c r="E393" s="1049" t="s">
        <v>1317</v>
      </c>
      <c r="F393" s="1056">
        <v>1</v>
      </c>
      <c r="G393" s="1056">
        <v>0</v>
      </c>
      <c r="H393" s="1056">
        <v>22</v>
      </c>
      <c r="I393" s="1052">
        <v>21100</v>
      </c>
      <c r="J393" s="1052">
        <v>21100</v>
      </c>
      <c r="K393" s="1056">
        <f t="shared" si="71"/>
        <v>5169.5</v>
      </c>
      <c r="L393" s="1052">
        <f t="shared" si="72"/>
        <v>3165</v>
      </c>
      <c r="M393" s="1052">
        <f t="shared" si="73"/>
        <v>2004.5</v>
      </c>
      <c r="N393" s="1052">
        <v>0</v>
      </c>
      <c r="O393" s="1052">
        <f t="shared" si="74"/>
        <v>717.4000000000001</v>
      </c>
      <c r="P393" s="1056">
        <f t="shared" si="75"/>
        <v>21100</v>
      </c>
      <c r="Q393" s="1053">
        <v>1110</v>
      </c>
      <c r="R393" s="655"/>
      <c r="S393" s="655"/>
      <c r="T393" s="655"/>
      <c r="U393" s="655"/>
      <c r="V393" s="655"/>
      <c r="W393" s="655"/>
      <c r="X393" s="655"/>
      <c r="Y393" s="655"/>
      <c r="Z393" s="655"/>
      <c r="AA393" s="655"/>
      <c r="AB393" s="655"/>
      <c r="AC393" s="655"/>
      <c r="AD393" s="655"/>
      <c r="AE393" s="655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:43" ht="12.75">
      <c r="A394" s="1054">
        <v>6</v>
      </c>
      <c r="B394" s="1056"/>
      <c r="C394" s="1470" t="s">
        <v>1321</v>
      </c>
      <c r="D394" s="1471"/>
      <c r="E394" s="1049"/>
      <c r="F394" s="1056">
        <v>1</v>
      </c>
      <c r="G394" s="1056">
        <v>0</v>
      </c>
      <c r="H394" s="1056">
        <v>22</v>
      </c>
      <c r="I394" s="1052">
        <v>21100</v>
      </c>
      <c r="J394" s="1052">
        <v>21100</v>
      </c>
      <c r="K394" s="1056">
        <f t="shared" si="71"/>
        <v>5169.5</v>
      </c>
      <c r="L394" s="1052">
        <f t="shared" si="72"/>
        <v>3165</v>
      </c>
      <c r="M394" s="1052">
        <f t="shared" si="73"/>
        <v>2004.5</v>
      </c>
      <c r="N394" s="1056">
        <v>0</v>
      </c>
      <c r="O394" s="1052">
        <f t="shared" si="74"/>
        <v>717.4000000000001</v>
      </c>
      <c r="P394" s="1056">
        <f t="shared" si="75"/>
        <v>21100</v>
      </c>
      <c r="Q394" s="1053">
        <v>1110</v>
      </c>
      <c r="R394" s="655"/>
      <c r="S394" s="655"/>
      <c r="T394" s="655"/>
      <c r="U394" s="655"/>
      <c r="V394" s="655"/>
      <c r="W394" s="655"/>
      <c r="X394" s="655"/>
      <c r="Y394" s="655"/>
      <c r="Z394" s="655"/>
      <c r="AA394" s="655"/>
      <c r="AB394" s="655"/>
      <c r="AC394" s="655"/>
      <c r="AD394" s="655"/>
      <c r="AE394" s="655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:43" ht="12.75">
      <c r="A395" s="1054">
        <v>7</v>
      </c>
      <c r="B395" s="1056"/>
      <c r="C395" s="1470"/>
      <c r="D395" s="1471"/>
      <c r="E395" s="1058"/>
      <c r="F395" s="1056"/>
      <c r="G395" s="1056"/>
      <c r="H395" s="1056"/>
      <c r="I395" s="1052"/>
      <c r="J395" s="1052"/>
      <c r="K395" s="1056"/>
      <c r="L395" s="1052"/>
      <c r="M395" s="1052"/>
      <c r="N395" s="1052"/>
      <c r="O395" s="1052"/>
      <c r="P395" s="1056"/>
      <c r="Q395" s="1053"/>
      <c r="R395" s="655"/>
      <c r="S395" s="655"/>
      <c r="T395" s="655"/>
      <c r="U395" s="655"/>
      <c r="V395" s="655"/>
      <c r="W395" s="655"/>
      <c r="X395" s="655"/>
      <c r="Y395" s="655"/>
      <c r="Z395" s="655"/>
      <c r="AA395" s="655"/>
      <c r="AB395" s="655"/>
      <c r="AC395" s="655"/>
      <c r="AD395" s="655"/>
      <c r="AE395" s="65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:43" ht="12.75">
      <c r="A396" s="1054">
        <v>8</v>
      </c>
      <c r="B396" s="1056"/>
      <c r="C396" s="1057"/>
      <c r="D396" s="1058"/>
      <c r="E396" s="1058"/>
      <c r="F396" s="1056"/>
      <c r="G396" s="1056"/>
      <c r="H396" s="1056"/>
      <c r="I396" s="1056"/>
      <c r="J396" s="1056"/>
      <c r="K396" s="1056"/>
      <c r="L396" s="1052"/>
      <c r="M396" s="1052"/>
      <c r="N396" s="1052"/>
      <c r="O396" s="1052"/>
      <c r="P396" s="1056"/>
      <c r="Q396" s="1053"/>
      <c r="R396" s="655"/>
      <c r="S396" s="655"/>
      <c r="T396" s="655"/>
      <c r="U396" s="655"/>
      <c r="V396" s="655"/>
      <c r="W396" s="655"/>
      <c r="X396" s="655"/>
      <c r="Y396" s="655"/>
      <c r="Z396" s="655"/>
      <c r="AA396" s="655"/>
      <c r="AB396" s="655"/>
      <c r="AC396" s="655"/>
      <c r="AD396" s="655"/>
      <c r="AE396" s="655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:43" ht="12.75">
      <c r="A397" s="1054">
        <v>9</v>
      </c>
      <c r="B397" s="1056"/>
      <c r="C397" s="1057"/>
      <c r="D397" s="1058"/>
      <c r="E397" s="1058"/>
      <c r="F397" s="1056"/>
      <c r="G397" s="1056"/>
      <c r="H397" s="1056"/>
      <c r="I397" s="1056"/>
      <c r="J397" s="1056"/>
      <c r="K397" s="1056"/>
      <c r="L397" s="1056"/>
      <c r="M397" s="1056"/>
      <c r="N397" s="1056"/>
      <c r="O397" s="1056"/>
      <c r="P397" s="1056"/>
      <c r="Q397" s="1059"/>
      <c r="R397" s="655"/>
      <c r="S397" s="655"/>
      <c r="T397" s="655"/>
      <c r="U397" s="655"/>
      <c r="V397" s="655"/>
      <c r="W397" s="655"/>
      <c r="X397" s="655"/>
      <c r="Y397" s="655"/>
      <c r="Z397" s="655"/>
      <c r="AA397" s="655"/>
      <c r="AB397" s="655"/>
      <c r="AC397" s="655"/>
      <c r="AD397" s="655"/>
      <c r="AE397" s="655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:43" ht="12.75">
      <c r="A398" s="1054">
        <v>10</v>
      </c>
      <c r="B398" s="1056"/>
      <c r="C398" s="1057"/>
      <c r="D398" s="1058"/>
      <c r="E398" s="1058"/>
      <c r="F398" s="1056"/>
      <c r="G398" s="1056"/>
      <c r="H398" s="1056"/>
      <c r="I398" s="1056"/>
      <c r="J398" s="1056"/>
      <c r="K398" s="1056"/>
      <c r="L398" s="1056"/>
      <c r="M398" s="1056"/>
      <c r="N398" s="1056"/>
      <c r="O398" s="1056"/>
      <c r="P398" s="1056"/>
      <c r="Q398" s="1059"/>
      <c r="R398" s="655"/>
      <c r="S398" s="655"/>
      <c r="T398" s="655"/>
      <c r="U398" s="655"/>
      <c r="V398" s="655"/>
      <c r="W398" s="655"/>
      <c r="X398" s="655"/>
      <c r="Y398" s="655"/>
      <c r="Z398" s="655"/>
      <c r="AA398" s="655"/>
      <c r="AB398" s="655"/>
      <c r="AC398" s="655"/>
      <c r="AD398" s="655"/>
      <c r="AE398" s="655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:43" ht="12.75">
      <c r="A399" s="1054">
        <v>11</v>
      </c>
      <c r="B399" s="1056"/>
      <c r="C399" s="1057"/>
      <c r="D399" s="1058"/>
      <c r="E399" s="1058"/>
      <c r="F399" s="1056"/>
      <c r="G399" s="1056"/>
      <c r="H399" s="1056"/>
      <c r="I399" s="1056"/>
      <c r="J399" s="1056"/>
      <c r="K399" s="1056"/>
      <c r="L399" s="1056"/>
      <c r="M399" s="1056"/>
      <c r="N399" s="1056"/>
      <c r="O399" s="1056"/>
      <c r="P399" s="1056"/>
      <c r="Q399" s="1059"/>
      <c r="R399" s="655"/>
      <c r="S399" s="655"/>
      <c r="T399" s="655"/>
      <c r="U399" s="655"/>
      <c r="V399" s="655"/>
      <c r="W399" s="655"/>
      <c r="X399" s="655"/>
      <c r="Y399" s="655"/>
      <c r="Z399" s="655"/>
      <c r="AA399" s="655"/>
      <c r="AB399" s="655"/>
      <c r="AC399" s="655"/>
      <c r="AD399" s="655"/>
      <c r="AE399" s="655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:43" ht="12.75">
      <c r="A400" s="1054">
        <v>12</v>
      </c>
      <c r="B400" s="1056"/>
      <c r="C400" s="1057"/>
      <c r="D400" s="1058"/>
      <c r="E400" s="1058"/>
      <c r="F400" s="1056"/>
      <c r="G400" s="1056"/>
      <c r="H400" s="1056"/>
      <c r="I400" s="1056"/>
      <c r="J400" s="1056"/>
      <c r="K400" s="1056"/>
      <c r="L400" s="1056"/>
      <c r="M400" s="1056"/>
      <c r="N400" s="1056"/>
      <c r="O400" s="1056"/>
      <c r="P400" s="1056"/>
      <c r="Q400" s="1059"/>
      <c r="R400" s="655"/>
      <c r="S400" s="655"/>
      <c r="T400" s="655"/>
      <c r="U400" s="655"/>
      <c r="V400" s="655"/>
      <c r="W400" s="655"/>
      <c r="X400" s="655"/>
      <c r="Y400" s="655"/>
      <c r="Z400" s="655"/>
      <c r="AA400" s="655"/>
      <c r="AB400" s="655"/>
      <c r="AC400" s="655"/>
      <c r="AD400" s="655"/>
      <c r="AE400" s="655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:43" ht="12.75">
      <c r="A401" s="1054">
        <v>13</v>
      </c>
      <c r="B401" s="1056"/>
      <c r="C401" s="1057"/>
      <c r="D401" s="1058"/>
      <c r="E401" s="1058"/>
      <c r="F401" s="1056"/>
      <c r="G401" s="1056"/>
      <c r="H401" s="1056"/>
      <c r="I401" s="1056"/>
      <c r="J401" s="1056"/>
      <c r="K401" s="1056"/>
      <c r="L401" s="1056"/>
      <c r="M401" s="1056"/>
      <c r="N401" s="1056"/>
      <c r="O401" s="1056"/>
      <c r="P401" s="1056"/>
      <c r="Q401" s="1059"/>
      <c r="R401" s="655"/>
      <c r="S401" s="655"/>
      <c r="T401" s="655"/>
      <c r="U401" s="655"/>
      <c r="V401" s="655"/>
      <c r="W401" s="655"/>
      <c r="X401" s="655"/>
      <c r="Y401" s="655"/>
      <c r="Z401" s="655"/>
      <c r="AA401" s="655"/>
      <c r="AB401" s="655"/>
      <c r="AC401" s="655"/>
      <c r="AD401" s="655"/>
      <c r="AE401" s="655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:43" ht="12.75">
      <c r="A402" s="1054">
        <v>14</v>
      </c>
      <c r="B402" s="1056"/>
      <c r="C402" s="1057"/>
      <c r="D402" s="1058"/>
      <c r="E402" s="1058"/>
      <c r="F402" s="1056"/>
      <c r="G402" s="1056"/>
      <c r="H402" s="1056"/>
      <c r="I402" s="1056"/>
      <c r="J402" s="1056"/>
      <c r="K402" s="1056"/>
      <c r="L402" s="1056"/>
      <c r="M402" s="1056"/>
      <c r="N402" s="1056"/>
      <c r="O402" s="1056"/>
      <c r="P402" s="1056"/>
      <c r="Q402" s="1059"/>
      <c r="R402" s="655"/>
      <c r="S402" s="655"/>
      <c r="T402" s="655"/>
      <c r="U402" s="655"/>
      <c r="V402" s="655"/>
      <c r="W402" s="655"/>
      <c r="X402" s="655"/>
      <c r="Y402" s="655"/>
      <c r="Z402" s="655"/>
      <c r="AA402" s="655"/>
      <c r="AB402" s="655"/>
      <c r="AC402" s="655"/>
      <c r="AD402" s="655"/>
      <c r="AE402" s="655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:43" ht="12.75">
      <c r="A403" s="1054">
        <v>15</v>
      </c>
      <c r="B403" s="1056"/>
      <c r="C403" s="1057"/>
      <c r="D403" s="1058"/>
      <c r="E403" s="1058"/>
      <c r="F403" s="1056"/>
      <c r="G403" s="1056"/>
      <c r="H403" s="1056"/>
      <c r="I403" s="1056"/>
      <c r="J403" s="1056"/>
      <c r="K403" s="1056"/>
      <c r="L403" s="1056"/>
      <c r="M403" s="1056"/>
      <c r="N403" s="1056"/>
      <c r="O403" s="1056"/>
      <c r="P403" s="1056"/>
      <c r="Q403" s="1059"/>
      <c r="R403" s="655"/>
      <c r="S403" s="655"/>
      <c r="T403" s="655"/>
      <c r="U403" s="655"/>
      <c r="V403" s="655"/>
      <c r="W403" s="655"/>
      <c r="X403" s="655"/>
      <c r="Y403" s="655"/>
      <c r="Z403" s="655"/>
      <c r="AA403" s="655"/>
      <c r="AB403" s="655"/>
      <c r="AC403" s="655"/>
      <c r="AD403" s="655"/>
      <c r="AE403" s="655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:43" ht="12.75">
      <c r="A404" s="1054">
        <v>16</v>
      </c>
      <c r="B404" s="1056"/>
      <c r="C404" s="1057"/>
      <c r="D404" s="1058"/>
      <c r="E404" s="1058"/>
      <c r="F404" s="1056"/>
      <c r="G404" s="1056"/>
      <c r="H404" s="1056"/>
      <c r="I404" s="1056"/>
      <c r="J404" s="1056"/>
      <c r="K404" s="1056"/>
      <c r="L404" s="1056"/>
      <c r="M404" s="1056"/>
      <c r="N404" s="1056"/>
      <c r="O404" s="1056"/>
      <c r="P404" s="1056"/>
      <c r="Q404" s="1059"/>
      <c r="R404" s="655"/>
      <c r="S404" s="655"/>
      <c r="T404" s="655"/>
      <c r="U404" s="655"/>
      <c r="V404" s="655"/>
      <c r="W404" s="655"/>
      <c r="X404" s="655"/>
      <c r="Y404" s="655"/>
      <c r="Z404" s="655"/>
      <c r="AA404" s="655"/>
      <c r="AB404" s="655"/>
      <c r="AC404" s="655"/>
      <c r="AD404" s="655"/>
      <c r="AE404" s="655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:43" ht="12.75">
      <c r="A405" s="1054">
        <v>17</v>
      </c>
      <c r="B405" s="1056"/>
      <c r="C405" s="1057"/>
      <c r="D405" s="1058"/>
      <c r="E405" s="1058"/>
      <c r="F405" s="1056"/>
      <c r="G405" s="1056"/>
      <c r="H405" s="1056"/>
      <c r="I405" s="1056"/>
      <c r="J405" s="1056"/>
      <c r="K405" s="1056"/>
      <c r="L405" s="1056"/>
      <c r="M405" s="1056"/>
      <c r="N405" s="1056"/>
      <c r="O405" s="1056"/>
      <c r="P405" s="1056"/>
      <c r="Q405" s="1059"/>
      <c r="R405" s="655"/>
      <c r="S405" s="655"/>
      <c r="T405" s="655"/>
      <c r="U405" s="655"/>
      <c r="V405" s="655"/>
      <c r="W405" s="655"/>
      <c r="X405" s="655"/>
      <c r="Y405" s="655"/>
      <c r="Z405" s="655"/>
      <c r="AA405" s="655"/>
      <c r="AB405" s="655"/>
      <c r="AC405" s="655"/>
      <c r="AD405" s="655"/>
      <c r="AE405" s="65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:43" ht="12.75">
      <c r="A406" s="1054">
        <v>18</v>
      </c>
      <c r="B406" s="1056"/>
      <c r="C406" s="1057"/>
      <c r="D406" s="1058"/>
      <c r="E406" s="1058"/>
      <c r="F406" s="1056"/>
      <c r="G406" s="1056"/>
      <c r="H406" s="1056"/>
      <c r="I406" s="1056"/>
      <c r="J406" s="1056"/>
      <c r="K406" s="1056"/>
      <c r="L406" s="1056"/>
      <c r="M406" s="1056"/>
      <c r="N406" s="1056"/>
      <c r="O406" s="1056"/>
      <c r="P406" s="1056"/>
      <c r="Q406" s="1059"/>
      <c r="R406" s="655"/>
      <c r="S406" s="655"/>
      <c r="T406" s="655"/>
      <c r="U406" s="655"/>
      <c r="V406" s="655"/>
      <c r="W406" s="655"/>
      <c r="X406" s="655"/>
      <c r="Y406" s="655"/>
      <c r="Z406" s="655"/>
      <c r="AA406" s="655"/>
      <c r="AB406" s="655"/>
      <c r="AC406" s="655"/>
      <c r="AD406" s="655"/>
      <c r="AE406" s="655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:43" ht="12.75">
      <c r="A407" s="1054">
        <v>19</v>
      </c>
      <c r="B407" s="1056"/>
      <c r="C407" s="1057"/>
      <c r="D407" s="1058"/>
      <c r="E407" s="1058"/>
      <c r="F407" s="1056"/>
      <c r="G407" s="1056"/>
      <c r="H407" s="1056"/>
      <c r="I407" s="1056"/>
      <c r="J407" s="1056"/>
      <c r="K407" s="1056"/>
      <c r="L407" s="1056"/>
      <c r="M407" s="1056"/>
      <c r="N407" s="1056"/>
      <c r="O407" s="1056"/>
      <c r="P407" s="1056"/>
      <c r="Q407" s="1059"/>
      <c r="R407" s="655"/>
      <c r="S407" s="655"/>
      <c r="T407" s="655"/>
      <c r="U407" s="655"/>
      <c r="V407" s="655"/>
      <c r="W407" s="655"/>
      <c r="X407" s="655"/>
      <c r="Y407" s="655"/>
      <c r="Z407" s="655"/>
      <c r="AA407" s="655"/>
      <c r="AB407" s="655"/>
      <c r="AC407" s="655"/>
      <c r="AD407" s="655"/>
      <c r="AE407" s="655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:43" ht="12.75">
      <c r="A408" s="1054">
        <v>20</v>
      </c>
      <c r="B408" s="1056"/>
      <c r="C408" s="1057"/>
      <c r="D408" s="1058"/>
      <c r="E408" s="1058"/>
      <c r="F408" s="1056"/>
      <c r="G408" s="1056"/>
      <c r="H408" s="1056"/>
      <c r="I408" s="1056"/>
      <c r="J408" s="1056"/>
      <c r="K408" s="1056"/>
      <c r="L408" s="1056"/>
      <c r="M408" s="1056"/>
      <c r="N408" s="1056"/>
      <c r="O408" s="1056"/>
      <c r="P408" s="1056"/>
      <c r="Q408" s="1059"/>
      <c r="R408" s="655"/>
      <c r="S408" s="655"/>
      <c r="T408" s="655"/>
      <c r="U408" s="655"/>
      <c r="V408" s="655"/>
      <c r="W408" s="655"/>
      <c r="X408" s="655"/>
      <c r="Y408" s="655"/>
      <c r="Z408" s="655"/>
      <c r="AA408" s="655"/>
      <c r="AB408" s="655"/>
      <c r="AC408" s="655"/>
      <c r="AD408" s="655"/>
      <c r="AE408" s="655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:43" ht="12.75">
      <c r="A409" s="1054">
        <v>21</v>
      </c>
      <c r="B409" s="1056"/>
      <c r="C409" s="1057"/>
      <c r="D409" s="1058"/>
      <c r="E409" s="1058"/>
      <c r="F409" s="1056"/>
      <c r="G409" s="1056"/>
      <c r="H409" s="1056"/>
      <c r="I409" s="1056"/>
      <c r="J409" s="1056"/>
      <c r="K409" s="1056"/>
      <c r="L409" s="1056"/>
      <c r="M409" s="1056"/>
      <c r="N409" s="1056"/>
      <c r="O409" s="1056"/>
      <c r="P409" s="1056"/>
      <c r="Q409" s="1059"/>
      <c r="R409" s="655"/>
      <c r="S409" s="655"/>
      <c r="T409" s="655"/>
      <c r="U409" s="655"/>
      <c r="V409" s="655"/>
      <c r="W409" s="655"/>
      <c r="X409" s="655"/>
      <c r="Y409" s="655"/>
      <c r="Z409" s="655"/>
      <c r="AA409" s="655"/>
      <c r="AB409" s="655"/>
      <c r="AC409" s="655"/>
      <c r="AD409" s="655"/>
      <c r="AE409" s="655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:43" ht="12.75">
      <c r="A410" s="1054">
        <v>22</v>
      </c>
      <c r="B410" s="1056"/>
      <c r="C410" s="1057"/>
      <c r="D410" s="1058"/>
      <c r="E410" s="1058"/>
      <c r="F410" s="1056"/>
      <c r="G410" s="1056"/>
      <c r="H410" s="1056"/>
      <c r="I410" s="1056"/>
      <c r="J410" s="1056"/>
      <c r="K410" s="1056"/>
      <c r="L410" s="1056"/>
      <c r="M410" s="1056"/>
      <c r="N410" s="1056"/>
      <c r="O410" s="1056"/>
      <c r="P410" s="1056"/>
      <c r="Q410" s="1059"/>
      <c r="R410" s="655"/>
      <c r="S410" s="655"/>
      <c r="T410" s="655"/>
      <c r="U410" s="655"/>
      <c r="V410" s="655"/>
      <c r="W410" s="655"/>
      <c r="X410" s="655"/>
      <c r="Y410" s="655"/>
      <c r="Z410" s="655"/>
      <c r="AA410" s="655"/>
      <c r="AB410" s="655"/>
      <c r="AC410" s="655"/>
      <c r="AD410" s="655"/>
      <c r="AE410" s="655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:43" ht="12.75">
      <c r="A411" s="1054">
        <v>23</v>
      </c>
      <c r="B411" s="1056"/>
      <c r="C411" s="1057"/>
      <c r="D411" s="1058"/>
      <c r="E411" s="1058"/>
      <c r="F411" s="1056"/>
      <c r="G411" s="1056"/>
      <c r="H411" s="1056"/>
      <c r="I411" s="1056"/>
      <c r="J411" s="1056"/>
      <c r="K411" s="1056"/>
      <c r="L411" s="1056"/>
      <c r="M411" s="1056"/>
      <c r="N411" s="1056"/>
      <c r="O411" s="1056"/>
      <c r="P411" s="1056"/>
      <c r="Q411" s="1059"/>
      <c r="R411" s="655"/>
      <c r="S411" s="655"/>
      <c r="T411" s="655"/>
      <c r="U411" s="655"/>
      <c r="V411" s="655"/>
      <c r="W411" s="655"/>
      <c r="X411" s="655"/>
      <c r="Y411" s="655"/>
      <c r="Z411" s="655"/>
      <c r="AA411" s="655"/>
      <c r="AB411" s="655"/>
      <c r="AC411" s="655"/>
      <c r="AD411" s="655"/>
      <c r="AE411" s="655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:43" ht="12.75">
      <c r="A412" s="1054">
        <v>24</v>
      </c>
      <c r="B412" s="1056"/>
      <c r="C412" s="1057"/>
      <c r="D412" s="1058"/>
      <c r="E412" s="1058"/>
      <c r="F412" s="1056"/>
      <c r="G412" s="1056"/>
      <c r="H412" s="1056"/>
      <c r="I412" s="1056"/>
      <c r="J412" s="1056"/>
      <c r="K412" s="1056"/>
      <c r="L412" s="1056"/>
      <c r="M412" s="1056"/>
      <c r="N412" s="1056"/>
      <c r="O412" s="1056"/>
      <c r="P412" s="1056"/>
      <c r="Q412" s="1059"/>
      <c r="R412" s="655"/>
      <c r="S412" s="655"/>
      <c r="T412" s="655"/>
      <c r="U412" s="655"/>
      <c r="V412" s="655"/>
      <c r="W412" s="655"/>
      <c r="X412" s="655"/>
      <c r="Y412" s="655"/>
      <c r="Z412" s="655"/>
      <c r="AA412" s="655"/>
      <c r="AB412" s="655"/>
      <c r="AC412" s="655"/>
      <c r="AD412" s="655"/>
      <c r="AE412" s="655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:43" ht="13.5" thickBot="1">
      <c r="A413" s="1054">
        <v>25</v>
      </c>
      <c r="B413" s="1060"/>
      <c r="C413" s="1061"/>
      <c r="D413" s="1062"/>
      <c r="E413" s="1062"/>
      <c r="F413" s="1060"/>
      <c r="G413" s="1060"/>
      <c r="H413" s="1060"/>
      <c r="I413" s="1060"/>
      <c r="J413" s="1060"/>
      <c r="K413" s="1060"/>
      <c r="L413" s="1060"/>
      <c r="M413" s="1060"/>
      <c r="N413" s="1060"/>
      <c r="O413" s="1060"/>
      <c r="P413" s="1060"/>
      <c r="Q413" s="1063"/>
      <c r="R413" s="655"/>
      <c r="S413" s="655"/>
      <c r="T413" s="655"/>
      <c r="U413" s="655"/>
      <c r="V413" s="655"/>
      <c r="W413" s="655"/>
      <c r="X413" s="655"/>
      <c r="Y413" s="655"/>
      <c r="Z413" s="655"/>
      <c r="AA413" s="655"/>
      <c r="AB413" s="655"/>
      <c r="AC413" s="655"/>
      <c r="AD413" s="655"/>
      <c r="AE413" s="655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:43" ht="13.5" thickBot="1">
      <c r="A414" s="1472" t="s">
        <v>753</v>
      </c>
      <c r="B414" s="1473"/>
      <c r="C414" s="1473"/>
      <c r="D414" s="1473"/>
      <c r="E414" s="1473"/>
      <c r="F414" s="1473"/>
      <c r="G414" s="1473"/>
      <c r="H414" s="1474"/>
      <c r="I414" s="1064">
        <f>SUM(I389:I413)</f>
        <v>155500</v>
      </c>
      <c r="J414" s="1064">
        <f aca="true" t="shared" si="76" ref="J414:Q414">SUM(J389:J413)</f>
        <v>155500</v>
      </c>
      <c r="K414" s="1064">
        <f t="shared" si="76"/>
        <v>38097.5</v>
      </c>
      <c r="L414" s="1064">
        <f t="shared" si="76"/>
        <v>23325</v>
      </c>
      <c r="M414" s="1064">
        <f t="shared" si="76"/>
        <v>14772.5</v>
      </c>
      <c r="N414" s="1064">
        <f t="shared" si="76"/>
        <v>0</v>
      </c>
      <c r="O414" s="1064">
        <f t="shared" si="76"/>
        <v>5287</v>
      </c>
      <c r="P414" s="1064">
        <f t="shared" si="76"/>
        <v>155500</v>
      </c>
      <c r="Q414" s="1064">
        <f t="shared" si="76"/>
        <v>10550</v>
      </c>
      <c r="R414" s="655"/>
      <c r="S414" s="655"/>
      <c r="T414" s="655"/>
      <c r="U414" s="655"/>
      <c r="V414" s="655"/>
      <c r="W414" s="655"/>
      <c r="X414" s="655"/>
      <c r="Y414" s="655"/>
      <c r="Z414" s="655"/>
      <c r="AA414" s="655"/>
      <c r="AB414" s="655"/>
      <c r="AC414" s="655"/>
      <c r="AD414" s="655"/>
      <c r="AE414" s="655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:43" ht="13.5" thickBot="1">
      <c r="A415" s="1475" t="s">
        <v>756</v>
      </c>
      <c r="B415" s="1476"/>
      <c r="C415" s="1476"/>
      <c r="D415" s="1476"/>
      <c r="E415" s="1476"/>
      <c r="F415" s="1476"/>
      <c r="G415" s="1476"/>
      <c r="H415" s="1477"/>
      <c r="I415" s="1065"/>
      <c r="J415" s="1066"/>
      <c r="K415" s="1066"/>
      <c r="L415" s="1066"/>
      <c r="M415" s="1066"/>
      <c r="N415" s="1066">
        <v>0</v>
      </c>
      <c r="O415" s="1066"/>
      <c r="P415" s="1066"/>
      <c r="Q415" s="1067"/>
      <c r="R415" s="655"/>
      <c r="S415" s="655"/>
      <c r="T415" s="655"/>
      <c r="U415" s="655"/>
      <c r="V415" s="655"/>
      <c r="W415" s="655"/>
      <c r="X415" s="655"/>
      <c r="Y415" s="655"/>
      <c r="Z415" s="655"/>
      <c r="AA415" s="655"/>
      <c r="AB415" s="655"/>
      <c r="AC415" s="655"/>
      <c r="AD415" s="655"/>
      <c r="AE415" s="65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:43" ht="13.5" thickBot="1">
      <c r="A416" s="1478" t="s">
        <v>759</v>
      </c>
      <c r="B416" s="1479"/>
      <c r="C416" s="1479"/>
      <c r="D416" s="1479"/>
      <c r="E416" s="1479"/>
      <c r="F416" s="1479"/>
      <c r="G416" s="1479"/>
      <c r="H416" s="1480"/>
      <c r="I416" s="1064">
        <f>SUM(I414:I415)</f>
        <v>155500</v>
      </c>
      <c r="J416" s="1064">
        <f aca="true" t="shared" si="77" ref="J416:Q416">SUM(J414:J415)</f>
        <v>155500</v>
      </c>
      <c r="K416" s="1064">
        <f t="shared" si="77"/>
        <v>38097.5</v>
      </c>
      <c r="L416" s="1064">
        <f t="shared" si="77"/>
        <v>23325</v>
      </c>
      <c r="M416" s="1064">
        <f t="shared" si="77"/>
        <v>14772.5</v>
      </c>
      <c r="N416" s="1064">
        <f t="shared" si="77"/>
        <v>0</v>
      </c>
      <c r="O416" s="1064">
        <f t="shared" si="77"/>
        <v>5287</v>
      </c>
      <c r="P416" s="1064">
        <f t="shared" si="77"/>
        <v>155500</v>
      </c>
      <c r="Q416" s="1064">
        <f t="shared" si="77"/>
        <v>10550</v>
      </c>
      <c r="R416" s="655"/>
      <c r="S416" s="655"/>
      <c r="T416" s="655"/>
      <c r="U416" s="655"/>
      <c r="V416" s="655"/>
      <c r="W416" s="655"/>
      <c r="X416" s="655"/>
      <c r="Y416" s="655"/>
      <c r="Z416" s="655"/>
      <c r="AA416" s="655"/>
      <c r="AB416" s="655"/>
      <c r="AC416" s="655"/>
      <c r="AD416" s="655"/>
      <c r="AE416" s="655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:43" ht="12.75">
      <c r="A417" s="683"/>
      <c r="B417" s="684" t="s">
        <v>764</v>
      </c>
      <c r="C417" s="685"/>
      <c r="D417" s="685"/>
      <c r="E417" s="685"/>
      <c r="F417" s="685"/>
      <c r="G417" s="685"/>
      <c r="H417" s="1068"/>
      <c r="I417" s="686" t="s">
        <v>765</v>
      </c>
      <c r="J417" s="685"/>
      <c r="K417" s="685"/>
      <c r="L417" s="685"/>
      <c r="M417" s="685"/>
      <c r="N417" s="685"/>
      <c r="O417" s="685"/>
      <c r="P417" s="685"/>
      <c r="Q417" s="687"/>
      <c r="R417" s="655"/>
      <c r="S417" s="655"/>
      <c r="T417" s="655"/>
      <c r="U417" s="655"/>
      <c r="V417" s="655"/>
      <c r="W417" s="655"/>
      <c r="X417" s="655"/>
      <c r="Y417" s="655"/>
      <c r="Z417" s="655"/>
      <c r="AA417" s="655"/>
      <c r="AB417" s="655"/>
      <c r="AC417" s="655"/>
      <c r="AD417" s="655"/>
      <c r="AE417" s="655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:43" ht="12.75">
      <c r="A418" s="688" t="s">
        <v>1323</v>
      </c>
      <c r="B418" s="689"/>
      <c r="C418" s="689"/>
      <c r="D418" s="689"/>
      <c r="E418" s="689"/>
      <c r="F418" s="689"/>
      <c r="G418" s="689"/>
      <c r="H418" s="1069"/>
      <c r="I418" s="690" t="s">
        <v>766</v>
      </c>
      <c r="J418" s="689"/>
      <c r="K418" s="689"/>
      <c r="L418" s="689"/>
      <c r="M418" s="689"/>
      <c r="N418" s="689"/>
      <c r="O418" s="689"/>
      <c r="P418" s="689"/>
      <c r="Q418" s="691"/>
      <c r="R418" s="655"/>
      <c r="S418" s="655"/>
      <c r="T418" s="655"/>
      <c r="U418" s="655"/>
      <c r="V418" s="655"/>
      <c r="W418" s="655"/>
      <c r="X418" s="655"/>
      <c r="Y418" s="655"/>
      <c r="Z418" s="655"/>
      <c r="AA418" s="655"/>
      <c r="AB418" s="655"/>
      <c r="AC418" s="655"/>
      <c r="AD418" s="655"/>
      <c r="AE418" s="655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:43" ht="12.75">
      <c r="A419" s="688" t="s">
        <v>1324</v>
      </c>
      <c r="B419" s="689"/>
      <c r="C419" s="689"/>
      <c r="D419" s="689"/>
      <c r="E419" s="689"/>
      <c r="F419" s="689"/>
      <c r="G419" s="689"/>
      <c r="H419" s="1069"/>
      <c r="I419" s="47" t="s">
        <v>767</v>
      </c>
      <c r="J419" s="689"/>
      <c r="K419" s="689"/>
      <c r="L419" s="689"/>
      <c r="M419" s="689"/>
      <c r="N419" s="689"/>
      <c r="O419" s="689"/>
      <c r="P419" s="689"/>
      <c r="Q419" s="691"/>
      <c r="R419" s="655"/>
      <c r="S419" s="655"/>
      <c r="T419" s="655"/>
      <c r="U419" s="655"/>
      <c r="V419" s="655"/>
      <c r="W419" s="655"/>
      <c r="X419" s="655"/>
      <c r="Y419" s="655"/>
      <c r="Z419" s="655"/>
      <c r="AA419" s="655"/>
      <c r="AB419" s="655"/>
      <c r="AC419" s="655"/>
      <c r="AD419" s="655"/>
      <c r="AE419" s="655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:43" ht="12.75">
      <c r="A420" s="688" t="s">
        <v>1325</v>
      </c>
      <c r="B420" s="689"/>
      <c r="C420" s="1"/>
      <c r="D420" s="689"/>
      <c r="E420" s="689"/>
      <c r="F420" s="689"/>
      <c r="G420" s="689"/>
      <c r="H420" s="1069"/>
      <c r="I420" s="690" t="s">
        <v>768</v>
      </c>
      <c r="J420" s="689"/>
      <c r="K420" s="689"/>
      <c r="L420" s="689"/>
      <c r="M420" s="689"/>
      <c r="N420" s="689"/>
      <c r="O420" s="689"/>
      <c r="P420" s="689"/>
      <c r="Q420" s="691"/>
      <c r="R420" s="655"/>
      <c r="S420" s="655"/>
      <c r="T420" s="655"/>
      <c r="U420" s="655"/>
      <c r="V420" s="655"/>
      <c r="W420" s="655"/>
      <c r="X420" s="655"/>
      <c r="Y420" s="655"/>
      <c r="Z420" s="655"/>
      <c r="AA420" s="655"/>
      <c r="AB420" s="655"/>
      <c r="AC420" s="655"/>
      <c r="AD420" s="655"/>
      <c r="AE420" s="655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:43" ht="12.75">
      <c r="A421" s="688"/>
      <c r="B421" s="689"/>
      <c r="C421" s="689"/>
      <c r="D421" s="689"/>
      <c r="E421" s="689"/>
      <c r="F421" s="689"/>
      <c r="G421" s="689"/>
      <c r="H421" s="1069"/>
      <c r="I421" s="690" t="s">
        <v>769</v>
      </c>
      <c r="J421" s="689"/>
      <c r="K421" s="689"/>
      <c r="L421" s="689"/>
      <c r="M421" s="689"/>
      <c r="N421" s="689"/>
      <c r="O421" s="689"/>
      <c r="P421" s="689"/>
      <c r="Q421" s="691"/>
      <c r="R421" s="655"/>
      <c r="S421" s="655"/>
      <c r="T421" s="655"/>
      <c r="U421" s="655"/>
      <c r="V421" s="655"/>
      <c r="W421" s="655"/>
      <c r="X421" s="655"/>
      <c r="Y421" s="655"/>
      <c r="Z421" s="655"/>
      <c r="AA421" s="655"/>
      <c r="AB421" s="655"/>
      <c r="AC421" s="655"/>
      <c r="AD421" s="655"/>
      <c r="AE421" s="655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:43" ht="12.75">
      <c r="A422" s="688"/>
      <c r="B422" s="700" t="s">
        <v>770</v>
      </c>
      <c r="C422" s="689"/>
      <c r="D422" s="689"/>
      <c r="E422" s="689"/>
      <c r="F422" s="689"/>
      <c r="G422" s="689"/>
      <c r="H422" s="1069"/>
      <c r="I422" s="47" t="s">
        <v>771</v>
      </c>
      <c r="J422" s="689"/>
      <c r="K422" s="689"/>
      <c r="L422" s="689"/>
      <c r="M422" s="689"/>
      <c r="N422" s="689"/>
      <c r="O422" s="689"/>
      <c r="P422" s="689"/>
      <c r="Q422" s="691"/>
      <c r="R422" s="655"/>
      <c r="S422" s="655"/>
      <c r="T422" s="655"/>
      <c r="U422" s="655"/>
      <c r="V422" s="655"/>
      <c r="W422" s="655"/>
      <c r="X422" s="655"/>
      <c r="Y422" s="655"/>
      <c r="Z422" s="655"/>
      <c r="AA422" s="655"/>
      <c r="AB422" s="655"/>
      <c r="AC422" s="655"/>
      <c r="AD422" s="655"/>
      <c r="AE422" s="655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:43" ht="12.75">
      <c r="A423" s="688"/>
      <c r="B423" s="689" t="s">
        <v>1326</v>
      </c>
      <c r="C423" s="689"/>
      <c r="D423" s="689"/>
      <c r="E423" s="689"/>
      <c r="F423" s="689"/>
      <c r="G423" s="689"/>
      <c r="H423" s="1069"/>
      <c r="I423" s="47"/>
      <c r="J423" s="689"/>
      <c r="K423" s="689"/>
      <c r="L423" s="701" t="s">
        <v>772</v>
      </c>
      <c r="M423" s="689"/>
      <c r="N423" s="689"/>
      <c r="O423" s="689"/>
      <c r="P423" s="689"/>
      <c r="Q423" s="691"/>
      <c r="R423" s="655"/>
      <c r="S423" s="655"/>
      <c r="T423" s="655"/>
      <c r="U423" s="655"/>
      <c r="V423" s="655"/>
      <c r="W423" s="655"/>
      <c r="X423" s="655"/>
      <c r="Y423" s="655"/>
      <c r="Z423" s="655"/>
      <c r="AA423" s="655"/>
      <c r="AB423" s="655"/>
      <c r="AC423" s="655"/>
      <c r="AD423" s="655"/>
      <c r="AE423" s="655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:43" ht="12.75">
      <c r="A424" s="688"/>
      <c r="B424" s="689"/>
      <c r="C424" s="689"/>
      <c r="D424" s="689" t="s">
        <v>773</v>
      </c>
      <c r="E424" s="689"/>
      <c r="F424" s="689"/>
      <c r="G424" s="689"/>
      <c r="H424" s="1069"/>
      <c r="I424" s="690" t="s">
        <v>774</v>
      </c>
      <c r="J424" s="689"/>
      <c r="K424" s="689"/>
      <c r="L424" s="689"/>
      <c r="M424" s="689"/>
      <c r="N424" s="689"/>
      <c r="O424" s="689"/>
      <c r="P424" s="689"/>
      <c r="Q424" s="689"/>
      <c r="R424" s="655"/>
      <c r="S424" s="655"/>
      <c r="T424" s="655"/>
      <c r="U424" s="655"/>
      <c r="V424" s="655"/>
      <c r="W424" s="655"/>
      <c r="X424" s="655"/>
      <c r="Y424" s="655"/>
      <c r="Z424" s="655"/>
      <c r="AA424" s="655"/>
      <c r="AB424" s="655"/>
      <c r="AC424" s="655"/>
      <c r="AD424" s="655"/>
      <c r="AE424" s="655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:43" ht="12.75">
      <c r="A425" s="688"/>
      <c r="B425" s="689"/>
      <c r="C425" s="689"/>
      <c r="D425" s="689"/>
      <c r="E425" s="689"/>
      <c r="F425" s="689"/>
      <c r="G425" s="689"/>
      <c r="H425" s="1069"/>
      <c r="I425" s="690"/>
      <c r="J425" s="689" t="s">
        <v>775</v>
      </c>
      <c r="K425" s="689"/>
      <c r="L425" s="689"/>
      <c r="M425" s="689"/>
      <c r="N425" s="689"/>
      <c r="O425" s="689"/>
      <c r="P425" s="689"/>
      <c r="Q425" s="689"/>
      <c r="R425" s="655"/>
      <c r="S425" s="655"/>
      <c r="T425" s="655"/>
      <c r="U425" s="655"/>
      <c r="V425" s="655"/>
      <c r="W425" s="655"/>
      <c r="X425" s="655"/>
      <c r="Y425" s="655"/>
      <c r="Z425" s="655"/>
      <c r="AA425" s="655"/>
      <c r="AB425" s="655"/>
      <c r="AC425" s="655"/>
      <c r="AD425" s="655"/>
      <c r="AE425" s="65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:43" ht="13.5" thickBot="1">
      <c r="A426" s="702"/>
      <c r="B426" s="703"/>
      <c r="C426" s="703"/>
      <c r="D426" s="703"/>
      <c r="E426" s="703"/>
      <c r="F426" s="703"/>
      <c r="G426" s="703"/>
      <c r="H426" s="1070"/>
      <c r="I426" s="704"/>
      <c r="J426" s="705" t="s">
        <v>776</v>
      </c>
      <c r="K426" s="703"/>
      <c r="L426" s="703"/>
      <c r="M426" s="703"/>
      <c r="N426" s="703"/>
      <c r="O426" s="703"/>
      <c r="P426" s="703"/>
      <c r="Q426" s="706"/>
      <c r="R426" s="655"/>
      <c r="S426" s="655"/>
      <c r="T426" s="655"/>
      <c r="U426" s="655"/>
      <c r="V426" s="655"/>
      <c r="W426" s="655"/>
      <c r="X426" s="655"/>
      <c r="Y426" s="655"/>
      <c r="Z426" s="655"/>
      <c r="AA426" s="655"/>
      <c r="AB426" s="655"/>
      <c r="AC426" s="655"/>
      <c r="AD426" s="655"/>
      <c r="AE426" s="655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:43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 s="655"/>
      <c r="S427" s="655"/>
      <c r="T427" s="655"/>
      <c r="U427" s="655"/>
      <c r="V427" s="655"/>
      <c r="W427" s="655"/>
      <c r="X427" s="655"/>
      <c r="Y427" s="655"/>
      <c r="Z427" s="655"/>
      <c r="AA427" s="655"/>
      <c r="AB427" s="655"/>
      <c r="AC427" s="655"/>
      <c r="AD427" s="655"/>
      <c r="AE427" s="655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:43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 s="655"/>
      <c r="S428" s="655"/>
      <c r="T428" s="655"/>
      <c r="U428" s="655"/>
      <c r="V428" s="655"/>
      <c r="W428" s="655"/>
      <c r="X428" s="655"/>
      <c r="Y428" s="655"/>
      <c r="Z428" s="655"/>
      <c r="AA428" s="655"/>
      <c r="AB428" s="655"/>
      <c r="AC428" s="655"/>
      <c r="AD428" s="655"/>
      <c r="AE428" s="655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:43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 s="655"/>
      <c r="S429" s="655"/>
      <c r="T429" s="655"/>
      <c r="U429" s="655"/>
      <c r="V429" s="655"/>
      <c r="W429" s="655"/>
      <c r="X429" s="655"/>
      <c r="Y429" s="655"/>
      <c r="Z429" s="655"/>
      <c r="AA429" s="655"/>
      <c r="AB429" s="655"/>
      <c r="AC429" s="655"/>
      <c r="AD429" s="655"/>
      <c r="AE429" s="655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:43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 s="655"/>
      <c r="S430" s="655"/>
      <c r="T430" s="655"/>
      <c r="U430" s="655"/>
      <c r="V430" s="655"/>
      <c r="W430" s="655"/>
      <c r="X430" s="655"/>
      <c r="Y430" s="655"/>
      <c r="Z430" s="655"/>
      <c r="AA430" s="655"/>
      <c r="AB430" s="655"/>
      <c r="AC430" s="655"/>
      <c r="AD430" s="655"/>
      <c r="AE430" s="655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:43" ht="15">
      <c r="A431" s="1025" t="s">
        <v>133</v>
      </c>
      <c r="B431" s="1025"/>
      <c r="C431" s="1025"/>
      <c r="D431" s="1025"/>
      <c r="E431" s="1025"/>
      <c r="F431" s="1025"/>
      <c r="G431" s="1025"/>
      <c r="H431" s="1025"/>
      <c r="I431" s="1025"/>
      <c r="J431" s="1025"/>
      <c r="K431" s="1025"/>
      <c r="L431" s="1025"/>
      <c r="M431" s="1025"/>
      <c r="N431" s="1025"/>
      <c r="O431" s="1025"/>
      <c r="P431" s="1025"/>
      <c r="Q431"/>
      <c r="R431" s="655"/>
      <c r="S431" s="655"/>
      <c r="T431" s="655"/>
      <c r="U431" s="655"/>
      <c r="V431" s="655"/>
      <c r="W431" s="655"/>
      <c r="X431" s="655"/>
      <c r="Y431" s="655"/>
      <c r="Z431" s="655"/>
      <c r="AA431" s="655"/>
      <c r="AB431" s="655"/>
      <c r="AC431" s="655"/>
      <c r="AD431" s="655"/>
      <c r="AE431" s="655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:43" ht="15">
      <c r="A432" s="1025" t="s">
        <v>1293</v>
      </c>
      <c r="B432" s="1025"/>
      <c r="C432" s="1025"/>
      <c r="D432"/>
      <c r="E432" s="1025" t="s">
        <v>1294</v>
      </c>
      <c r="F432" s="1025"/>
      <c r="G432" s="1025"/>
      <c r="H432" s="1025"/>
      <c r="I432" s="1025"/>
      <c r="J432" s="1025" t="s">
        <v>1725</v>
      </c>
      <c r="K432" s="1025"/>
      <c r="L432" s="1025"/>
      <c r="M432" s="1025"/>
      <c r="N432" s="1025"/>
      <c r="O432" s="1025"/>
      <c r="P432" s="1025"/>
      <c r="Q432"/>
      <c r="R432" s="655"/>
      <c r="S432" s="655"/>
      <c r="T432" s="655"/>
      <c r="U432" s="655"/>
      <c r="V432" s="655"/>
      <c r="W432" s="655"/>
      <c r="X432" s="655"/>
      <c r="Y432" s="655"/>
      <c r="Z432" s="655"/>
      <c r="AA432" s="655"/>
      <c r="AB432" s="655"/>
      <c r="AC432" s="655"/>
      <c r="AD432" s="655"/>
      <c r="AE432" s="655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:43" ht="16.5" thickBot="1">
      <c r="A433" s="1026" t="s">
        <v>725</v>
      </c>
      <c r="B433" s="1026"/>
      <c r="C433" s="1026"/>
      <c r="D433" s="1026"/>
      <c r="E433" s="1026"/>
      <c r="F433" s="1026" t="s">
        <v>1296</v>
      </c>
      <c r="G433" s="1026"/>
      <c r="H433" s="1026"/>
      <c r="I433" s="1026"/>
      <c r="J433" s="1026"/>
      <c r="K433" s="1026"/>
      <c r="L433" s="1026" t="s">
        <v>727</v>
      </c>
      <c r="M433" s="1026"/>
      <c r="N433" s="1026"/>
      <c r="O433" s="1026"/>
      <c r="P433" s="1026"/>
      <c r="Q433"/>
      <c r="R433" s="655"/>
      <c r="S433" s="655"/>
      <c r="T433" s="655"/>
      <c r="U433" s="655"/>
      <c r="V433" s="655"/>
      <c r="W433" s="655"/>
      <c r="X433" s="655"/>
      <c r="Y433" s="655"/>
      <c r="Z433" s="655"/>
      <c r="AA433" s="655"/>
      <c r="AB433" s="655"/>
      <c r="AC433" s="655"/>
      <c r="AD433" s="655"/>
      <c r="AE433" s="655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:43" ht="12.75">
      <c r="A434" s="1027" t="s">
        <v>199</v>
      </c>
      <c r="B434" s="1028" t="s">
        <v>729</v>
      </c>
      <c r="C434" s="1029"/>
      <c r="D434" s="1030"/>
      <c r="E434" s="1481" t="s">
        <v>1297</v>
      </c>
      <c r="F434" s="1028" t="s">
        <v>1298</v>
      </c>
      <c r="G434" s="1028" t="s">
        <v>1299</v>
      </c>
      <c r="H434" s="1028" t="s">
        <v>1300</v>
      </c>
      <c r="I434" s="1031" t="s">
        <v>780</v>
      </c>
      <c r="J434" s="1032"/>
      <c r="K434" s="1031" t="s">
        <v>200</v>
      </c>
      <c r="L434" s="1033"/>
      <c r="M434" s="1033"/>
      <c r="N434" s="1032"/>
      <c r="O434" s="1028" t="s">
        <v>201</v>
      </c>
      <c r="P434" s="1028" t="s">
        <v>202</v>
      </c>
      <c r="Q434" s="1034" t="s">
        <v>203</v>
      </c>
      <c r="R434" s="655"/>
      <c r="S434" s="655"/>
      <c r="T434" s="655"/>
      <c r="U434" s="655"/>
      <c r="V434" s="655"/>
      <c r="W434" s="655"/>
      <c r="X434" s="655"/>
      <c r="Y434" s="655"/>
      <c r="Z434" s="655"/>
      <c r="AA434" s="655"/>
      <c r="AB434" s="655"/>
      <c r="AC434" s="655"/>
      <c r="AD434" s="655"/>
      <c r="AE434" s="655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:43" ht="12.75">
      <c r="A435" s="1035"/>
      <c r="B435" s="1036" t="s">
        <v>730</v>
      </c>
      <c r="C435" s="1037" t="s">
        <v>1301</v>
      </c>
      <c r="D435" s="1038"/>
      <c r="E435" s="1482"/>
      <c r="F435" s="1036" t="s">
        <v>1302</v>
      </c>
      <c r="G435" s="1036" t="s">
        <v>1303</v>
      </c>
      <c r="H435" s="1036" t="s">
        <v>1304</v>
      </c>
      <c r="I435" s="1039" t="s">
        <v>205</v>
      </c>
      <c r="J435" s="1039" t="s">
        <v>782</v>
      </c>
      <c r="K435" s="1039"/>
      <c r="L435" s="1040" t="s">
        <v>206</v>
      </c>
      <c r="M435" s="1041"/>
      <c r="N435" s="1039" t="s">
        <v>731</v>
      </c>
      <c r="O435" s="1036" t="s">
        <v>732</v>
      </c>
      <c r="P435" s="1036" t="s">
        <v>207</v>
      </c>
      <c r="Q435" s="1042" t="s">
        <v>208</v>
      </c>
      <c r="R435" s="655"/>
      <c r="S435" s="655"/>
      <c r="T435" s="655"/>
      <c r="U435" s="655"/>
      <c r="V435" s="655"/>
      <c r="W435" s="655"/>
      <c r="X435" s="655"/>
      <c r="Y435" s="655"/>
      <c r="Z435" s="655"/>
      <c r="AA435" s="655"/>
      <c r="AB435" s="655"/>
      <c r="AC435" s="655"/>
      <c r="AD435" s="655"/>
      <c r="AE435" s="65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:43" ht="13.5" thickBot="1">
      <c r="A436" s="1043"/>
      <c r="B436" s="1044" t="s">
        <v>735</v>
      </c>
      <c r="C436" s="1037"/>
      <c r="D436" s="1038"/>
      <c r="E436" s="1483"/>
      <c r="F436" s="1044" t="s">
        <v>1305</v>
      </c>
      <c r="G436" s="1044" t="s">
        <v>1306</v>
      </c>
      <c r="H436" s="1044" t="s">
        <v>1307</v>
      </c>
      <c r="I436" s="1044"/>
      <c r="J436" s="1044" t="s">
        <v>1308</v>
      </c>
      <c r="K436" s="1044" t="s">
        <v>1309</v>
      </c>
      <c r="L436" s="1045" t="s">
        <v>736</v>
      </c>
      <c r="M436" s="1045" t="s">
        <v>737</v>
      </c>
      <c r="N436" s="1044" t="s">
        <v>738</v>
      </c>
      <c r="O436" s="1044" t="s">
        <v>739</v>
      </c>
      <c r="P436" s="1044" t="s">
        <v>740</v>
      </c>
      <c r="Q436" s="1046" t="s">
        <v>1310</v>
      </c>
      <c r="R436" s="655"/>
      <c r="S436" s="655"/>
      <c r="T436" s="655"/>
      <c r="U436" s="655"/>
      <c r="V436" s="655"/>
      <c r="W436" s="655"/>
      <c r="X436" s="655"/>
      <c r="Y436" s="655"/>
      <c r="Z436" s="655"/>
      <c r="AA436" s="655"/>
      <c r="AB436" s="655"/>
      <c r="AC436" s="655"/>
      <c r="AD436" s="655"/>
      <c r="AE436" s="655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:43" ht="12.75">
      <c r="A437" s="1047">
        <v>1</v>
      </c>
      <c r="B437" s="1048" t="s">
        <v>1311</v>
      </c>
      <c r="C437" s="1470" t="s">
        <v>1270</v>
      </c>
      <c r="D437" s="1471"/>
      <c r="E437" s="1050" t="s">
        <v>1312</v>
      </c>
      <c r="F437" s="1051">
        <v>1</v>
      </c>
      <c r="G437" s="1052">
        <v>0</v>
      </c>
      <c r="H437" s="1052">
        <v>22</v>
      </c>
      <c r="I437" s="1052">
        <v>50000</v>
      </c>
      <c r="J437" s="1052">
        <v>50000</v>
      </c>
      <c r="K437" s="1052">
        <f aca="true" t="shared" si="78" ref="K437:K443">L437+M437</f>
        <v>12250</v>
      </c>
      <c r="L437" s="1052">
        <f aca="true" t="shared" si="79" ref="L437:L443">I437*0.15</f>
        <v>7500</v>
      </c>
      <c r="M437" s="1052">
        <f aca="true" t="shared" si="80" ref="M437:M443">I437*0.095</f>
        <v>4750</v>
      </c>
      <c r="N437" s="1052">
        <v>0</v>
      </c>
      <c r="O437" s="1052">
        <f aca="true" t="shared" si="81" ref="O437:O443">I437*0.034</f>
        <v>1700.0000000000002</v>
      </c>
      <c r="P437" s="1052">
        <f aca="true" t="shared" si="82" ref="P437:P443">I437</f>
        <v>50000</v>
      </c>
      <c r="Q437" s="1053">
        <v>5000</v>
      </c>
      <c r="R437" s="655"/>
      <c r="S437" s="655"/>
      <c r="T437" s="655"/>
      <c r="U437" s="655"/>
      <c r="V437" s="655"/>
      <c r="W437" s="655"/>
      <c r="X437" s="655"/>
      <c r="Y437" s="655"/>
      <c r="Z437" s="655"/>
      <c r="AA437" s="655"/>
      <c r="AB437" s="655"/>
      <c r="AC437" s="655"/>
      <c r="AD437" s="655"/>
      <c r="AE437" s="655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:43" ht="12.75">
      <c r="A438" s="1054">
        <v>2</v>
      </c>
      <c r="B438" s="1056"/>
      <c r="C438" s="1470" t="s">
        <v>1316</v>
      </c>
      <c r="D438" s="1471"/>
      <c r="E438" s="1049" t="s">
        <v>1317</v>
      </c>
      <c r="F438" s="1056">
        <v>1</v>
      </c>
      <c r="G438" s="1056">
        <v>0</v>
      </c>
      <c r="H438" s="1056">
        <v>22</v>
      </c>
      <c r="I438" s="1052">
        <v>21100</v>
      </c>
      <c r="J438" s="1052">
        <v>21100</v>
      </c>
      <c r="K438" s="1056">
        <f t="shared" si="78"/>
        <v>5169.5</v>
      </c>
      <c r="L438" s="1052">
        <f t="shared" si="79"/>
        <v>3165</v>
      </c>
      <c r="M438" s="1052">
        <f t="shared" si="80"/>
        <v>2004.5</v>
      </c>
      <c r="N438" s="1056">
        <v>0</v>
      </c>
      <c r="O438" s="1052">
        <f t="shared" si="81"/>
        <v>717.4000000000001</v>
      </c>
      <c r="P438" s="1056">
        <f t="shared" si="82"/>
        <v>21100</v>
      </c>
      <c r="Q438" s="1053">
        <v>1110</v>
      </c>
      <c r="R438" s="655"/>
      <c r="S438" s="655"/>
      <c r="T438" s="655"/>
      <c r="U438" s="655"/>
      <c r="V438" s="655"/>
      <c r="W438" s="655"/>
      <c r="X438" s="655"/>
      <c r="Y438" s="655"/>
      <c r="Z438" s="655"/>
      <c r="AA438" s="655"/>
      <c r="AB438" s="655"/>
      <c r="AC438" s="655"/>
      <c r="AD438" s="655"/>
      <c r="AE438" s="655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:43" ht="12.75">
      <c r="A439" s="1054">
        <v>3</v>
      </c>
      <c r="B439" s="1056"/>
      <c r="C439" s="1470" t="s">
        <v>1318</v>
      </c>
      <c r="D439" s="1471"/>
      <c r="E439" s="1049" t="s">
        <v>1317</v>
      </c>
      <c r="F439" s="1056">
        <v>1</v>
      </c>
      <c r="G439" s="1056">
        <v>0</v>
      </c>
      <c r="H439" s="1056">
        <v>22</v>
      </c>
      <c r="I439" s="1052">
        <v>21100</v>
      </c>
      <c r="J439" s="1052">
        <v>21100</v>
      </c>
      <c r="K439" s="1056">
        <f t="shared" si="78"/>
        <v>5169.5</v>
      </c>
      <c r="L439" s="1052">
        <f t="shared" si="79"/>
        <v>3165</v>
      </c>
      <c r="M439" s="1052">
        <f t="shared" si="80"/>
        <v>2004.5</v>
      </c>
      <c r="N439" s="1052">
        <v>0</v>
      </c>
      <c r="O439" s="1052">
        <f t="shared" si="81"/>
        <v>717.4000000000001</v>
      </c>
      <c r="P439" s="1056">
        <f t="shared" si="82"/>
        <v>21100</v>
      </c>
      <c r="Q439" s="1053">
        <v>1110</v>
      </c>
      <c r="R439" s="655"/>
      <c r="S439" s="655"/>
      <c r="T439" s="655"/>
      <c r="U439" s="655"/>
      <c r="V439" s="655"/>
      <c r="W439" s="655"/>
      <c r="X439" s="655"/>
      <c r="Y439" s="655"/>
      <c r="Z439" s="655"/>
      <c r="AA439" s="655"/>
      <c r="AB439" s="655"/>
      <c r="AC439" s="655"/>
      <c r="AD439" s="655"/>
      <c r="AE439" s="655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:43" ht="12.75">
      <c r="A440" s="1054">
        <v>4</v>
      </c>
      <c r="B440" s="1056"/>
      <c r="C440" s="1470" t="s">
        <v>1319</v>
      </c>
      <c r="D440" s="1471"/>
      <c r="E440" s="1049" t="s">
        <v>1317</v>
      </c>
      <c r="F440" s="1056">
        <v>1</v>
      </c>
      <c r="G440" s="1056">
        <v>0</v>
      </c>
      <c r="H440" s="1056">
        <v>22</v>
      </c>
      <c r="I440" s="1052">
        <v>21100</v>
      </c>
      <c r="J440" s="1052">
        <v>21100</v>
      </c>
      <c r="K440" s="1056">
        <f t="shared" si="78"/>
        <v>5169.5</v>
      </c>
      <c r="L440" s="1052">
        <f t="shared" si="79"/>
        <v>3165</v>
      </c>
      <c r="M440" s="1052">
        <f t="shared" si="80"/>
        <v>2004.5</v>
      </c>
      <c r="N440" s="1056">
        <v>0</v>
      </c>
      <c r="O440" s="1052">
        <f t="shared" si="81"/>
        <v>717.4000000000001</v>
      </c>
      <c r="P440" s="1056">
        <f t="shared" si="82"/>
        <v>21100</v>
      </c>
      <c r="Q440" s="1053">
        <v>1110</v>
      </c>
      <c r="R440" s="655"/>
      <c r="S440" s="655"/>
      <c r="T440" s="655"/>
      <c r="U440" s="655"/>
      <c r="V440" s="655"/>
      <c r="W440" s="655"/>
      <c r="X440" s="655"/>
      <c r="Y440" s="655"/>
      <c r="Z440" s="655"/>
      <c r="AA440" s="655"/>
      <c r="AB440" s="655"/>
      <c r="AC440" s="655"/>
      <c r="AD440" s="655"/>
      <c r="AE440" s="655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:43" ht="12.75">
      <c r="A441" s="1054">
        <v>5</v>
      </c>
      <c r="B441" s="1056"/>
      <c r="C441" s="1470" t="s">
        <v>1320</v>
      </c>
      <c r="D441" s="1471"/>
      <c r="E441" s="1049" t="s">
        <v>1317</v>
      </c>
      <c r="F441" s="1056">
        <v>1</v>
      </c>
      <c r="G441" s="1056">
        <v>0</v>
      </c>
      <c r="H441" s="1056">
        <v>22</v>
      </c>
      <c r="I441" s="1052">
        <v>21100</v>
      </c>
      <c r="J441" s="1052">
        <v>21100</v>
      </c>
      <c r="K441" s="1056">
        <f t="shared" si="78"/>
        <v>5169.5</v>
      </c>
      <c r="L441" s="1052">
        <f t="shared" si="79"/>
        <v>3165</v>
      </c>
      <c r="M441" s="1052">
        <f t="shared" si="80"/>
        <v>2004.5</v>
      </c>
      <c r="N441" s="1052">
        <v>0</v>
      </c>
      <c r="O441" s="1052">
        <f t="shared" si="81"/>
        <v>717.4000000000001</v>
      </c>
      <c r="P441" s="1056">
        <f t="shared" si="82"/>
        <v>21100</v>
      </c>
      <c r="Q441" s="1053">
        <v>1110</v>
      </c>
      <c r="R441" s="655"/>
      <c r="S441" s="655"/>
      <c r="T441" s="655"/>
      <c r="U441" s="655"/>
      <c r="V441" s="655"/>
      <c r="W441" s="655"/>
      <c r="X441" s="655"/>
      <c r="Y441" s="655"/>
      <c r="Z441" s="655"/>
      <c r="AA441" s="655"/>
      <c r="AB441" s="655"/>
      <c r="AC441" s="655"/>
      <c r="AD441" s="655"/>
      <c r="AE441" s="655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:43" ht="12.75">
      <c r="A442" s="1054">
        <v>6</v>
      </c>
      <c r="B442" s="1056"/>
      <c r="C442" s="1470" t="s">
        <v>1321</v>
      </c>
      <c r="D442" s="1471"/>
      <c r="E442" s="1049" t="s">
        <v>1317</v>
      </c>
      <c r="F442" s="1056">
        <v>1</v>
      </c>
      <c r="G442" s="1056">
        <v>0</v>
      </c>
      <c r="H442" s="1056">
        <v>22</v>
      </c>
      <c r="I442" s="1052">
        <v>21100</v>
      </c>
      <c r="J442" s="1052">
        <v>21100</v>
      </c>
      <c r="K442" s="1056">
        <f t="shared" si="78"/>
        <v>5169.5</v>
      </c>
      <c r="L442" s="1052">
        <f t="shared" si="79"/>
        <v>3165</v>
      </c>
      <c r="M442" s="1052">
        <f t="shared" si="80"/>
        <v>2004.5</v>
      </c>
      <c r="N442" s="1056">
        <v>0</v>
      </c>
      <c r="O442" s="1052">
        <f t="shared" si="81"/>
        <v>717.4000000000001</v>
      </c>
      <c r="P442" s="1056">
        <f t="shared" si="82"/>
        <v>21100</v>
      </c>
      <c r="Q442" s="1053">
        <v>1110</v>
      </c>
      <c r="R442" s="655"/>
      <c r="S442" s="655"/>
      <c r="T442" s="655"/>
      <c r="U442" s="655"/>
      <c r="V442" s="655"/>
      <c r="W442" s="655"/>
      <c r="X442" s="655"/>
      <c r="Y442" s="655"/>
      <c r="Z442" s="655"/>
      <c r="AA442" s="655"/>
      <c r="AB442" s="655"/>
      <c r="AC442" s="655"/>
      <c r="AD442" s="655"/>
      <c r="AE442" s="655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:43" ht="12.75">
      <c r="A443" s="1054">
        <v>7</v>
      </c>
      <c r="B443" s="1056"/>
      <c r="C443" s="1470" t="s">
        <v>1726</v>
      </c>
      <c r="D443" s="1471"/>
      <c r="E443" s="1058" t="s">
        <v>1727</v>
      </c>
      <c r="F443" s="1056">
        <v>1</v>
      </c>
      <c r="G443" s="1056">
        <v>0</v>
      </c>
      <c r="H443" s="1056">
        <v>22</v>
      </c>
      <c r="I443" s="1052">
        <v>45000</v>
      </c>
      <c r="J443" s="1052">
        <v>45000</v>
      </c>
      <c r="K443" s="1056">
        <f t="shared" si="78"/>
        <v>11025</v>
      </c>
      <c r="L443" s="1052">
        <f t="shared" si="79"/>
        <v>6750</v>
      </c>
      <c r="M443" s="1052">
        <f t="shared" si="80"/>
        <v>4275</v>
      </c>
      <c r="N443" s="1052"/>
      <c r="O443" s="1052">
        <f t="shared" si="81"/>
        <v>1530</v>
      </c>
      <c r="P443" s="1056">
        <f t="shared" si="82"/>
        <v>45000</v>
      </c>
      <c r="Q443" s="1053">
        <v>4500</v>
      </c>
      <c r="R443" s="655"/>
      <c r="S443" s="655"/>
      <c r="T443" s="655"/>
      <c r="U443" s="655"/>
      <c r="V443" s="655"/>
      <c r="W443" s="655"/>
      <c r="X443" s="655"/>
      <c r="Y443" s="655"/>
      <c r="Z443" s="655"/>
      <c r="AA443" s="655"/>
      <c r="AB443" s="655"/>
      <c r="AC443" s="655"/>
      <c r="AD443" s="655"/>
      <c r="AE443" s="655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:43" ht="12.75">
      <c r="A444" s="1054">
        <v>8</v>
      </c>
      <c r="B444" s="1056"/>
      <c r="C444" s="1057"/>
      <c r="D444" s="1058"/>
      <c r="E444" s="1058"/>
      <c r="F444" s="1056"/>
      <c r="G444" s="1056"/>
      <c r="H444" s="1056"/>
      <c r="I444" s="1056"/>
      <c r="J444" s="1056"/>
      <c r="K444" s="1056"/>
      <c r="L444" s="1052"/>
      <c r="M444" s="1052"/>
      <c r="N444" s="1052"/>
      <c r="O444" s="1052"/>
      <c r="P444" s="1056"/>
      <c r="Q444" s="1053"/>
      <c r="R444" s="655"/>
      <c r="S444" s="655"/>
      <c r="T444" s="655"/>
      <c r="U444" s="655"/>
      <c r="V444" s="655"/>
      <c r="W444" s="655"/>
      <c r="X444" s="655"/>
      <c r="Y444" s="655"/>
      <c r="Z444" s="655"/>
      <c r="AA444" s="655"/>
      <c r="AB444" s="655"/>
      <c r="AC444" s="655"/>
      <c r="AD444" s="655"/>
      <c r="AE444" s="655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:43" ht="12.75">
      <c r="A445" s="1054">
        <v>9</v>
      </c>
      <c r="B445" s="1056"/>
      <c r="C445" s="1057"/>
      <c r="D445" s="1058"/>
      <c r="E445" s="1058"/>
      <c r="F445" s="1056"/>
      <c r="G445" s="1056"/>
      <c r="H445" s="1056"/>
      <c r="I445" s="1056"/>
      <c r="J445" s="1056"/>
      <c r="K445" s="1056"/>
      <c r="L445" s="1056"/>
      <c r="M445" s="1056"/>
      <c r="N445" s="1056"/>
      <c r="O445" s="1056"/>
      <c r="P445" s="1056"/>
      <c r="Q445" s="1059"/>
      <c r="R445" s="655"/>
      <c r="S445" s="655"/>
      <c r="T445" s="655"/>
      <c r="U445" s="655"/>
      <c r="V445" s="655"/>
      <c r="W445" s="655"/>
      <c r="X445" s="655"/>
      <c r="Y445" s="655"/>
      <c r="Z445" s="655"/>
      <c r="AA445" s="655"/>
      <c r="AB445" s="655"/>
      <c r="AC445" s="655"/>
      <c r="AD445" s="655"/>
      <c r="AE445" s="65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:43" ht="12.75">
      <c r="A446" s="1054">
        <v>10</v>
      </c>
      <c r="B446" s="1056"/>
      <c r="C446" s="1057"/>
      <c r="D446" s="1058"/>
      <c r="E446" s="1058"/>
      <c r="F446" s="1056"/>
      <c r="G446" s="1056"/>
      <c r="H446" s="1056"/>
      <c r="I446" s="1056"/>
      <c r="J446" s="1056"/>
      <c r="K446" s="1056"/>
      <c r="L446" s="1056"/>
      <c r="M446" s="1056"/>
      <c r="N446" s="1056"/>
      <c r="O446" s="1056"/>
      <c r="P446" s="1056"/>
      <c r="Q446" s="1059"/>
      <c r="R446" s="655"/>
      <c r="S446" s="655"/>
      <c r="T446" s="655"/>
      <c r="U446" s="655"/>
      <c r="V446" s="655"/>
      <c r="W446" s="655"/>
      <c r="X446" s="655"/>
      <c r="Y446" s="655"/>
      <c r="Z446" s="655"/>
      <c r="AA446" s="655"/>
      <c r="AB446" s="655"/>
      <c r="AC446" s="655"/>
      <c r="AD446" s="655"/>
      <c r="AE446" s="655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:43" ht="12.75">
      <c r="A447" s="1054">
        <v>11</v>
      </c>
      <c r="B447" s="1056"/>
      <c r="C447" s="1057"/>
      <c r="D447" s="1058"/>
      <c r="E447" s="1058"/>
      <c r="F447" s="1056"/>
      <c r="G447" s="1056"/>
      <c r="H447" s="1056"/>
      <c r="I447" s="1056"/>
      <c r="J447" s="1056"/>
      <c r="K447" s="1056"/>
      <c r="L447" s="1056"/>
      <c r="M447" s="1056"/>
      <c r="N447" s="1056"/>
      <c r="O447" s="1056"/>
      <c r="P447" s="1056"/>
      <c r="Q447" s="1059"/>
      <c r="R447" s="655"/>
      <c r="S447" s="655"/>
      <c r="T447" s="655"/>
      <c r="U447" s="655"/>
      <c r="V447" s="655"/>
      <c r="W447" s="655"/>
      <c r="X447" s="655"/>
      <c r="Y447" s="655"/>
      <c r="Z447" s="655"/>
      <c r="AA447" s="655"/>
      <c r="AB447" s="655"/>
      <c r="AC447" s="655"/>
      <c r="AD447" s="655"/>
      <c r="AE447" s="655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:43" ht="12.75">
      <c r="A448" s="1054">
        <v>12</v>
      </c>
      <c r="B448" s="1056"/>
      <c r="C448" s="1057"/>
      <c r="D448" s="1058"/>
      <c r="E448" s="1058"/>
      <c r="F448" s="1056"/>
      <c r="G448" s="1056"/>
      <c r="H448" s="1056"/>
      <c r="I448" s="1056"/>
      <c r="J448" s="1056"/>
      <c r="K448" s="1056"/>
      <c r="L448" s="1056"/>
      <c r="M448" s="1056"/>
      <c r="N448" s="1056"/>
      <c r="O448" s="1056"/>
      <c r="P448" s="1056"/>
      <c r="Q448" s="1059"/>
      <c r="R448" s="655"/>
      <c r="S448" s="655"/>
      <c r="T448" s="655"/>
      <c r="U448" s="655"/>
      <c r="V448" s="655"/>
      <c r="W448" s="655"/>
      <c r="X448" s="655"/>
      <c r="Y448" s="655"/>
      <c r="Z448" s="655"/>
      <c r="AA448" s="655"/>
      <c r="AB448" s="655"/>
      <c r="AC448" s="655"/>
      <c r="AD448" s="655"/>
      <c r="AE448" s="655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:43" ht="12.75">
      <c r="A449" s="1054">
        <v>13</v>
      </c>
      <c r="B449" s="1056"/>
      <c r="C449" s="1057"/>
      <c r="D449" s="1058"/>
      <c r="E449" s="1058"/>
      <c r="F449" s="1056"/>
      <c r="G449" s="1056"/>
      <c r="H449" s="1056"/>
      <c r="I449" s="1056"/>
      <c r="J449" s="1056"/>
      <c r="K449" s="1056"/>
      <c r="L449" s="1056"/>
      <c r="M449" s="1056"/>
      <c r="N449" s="1056"/>
      <c r="O449" s="1056"/>
      <c r="P449" s="1056"/>
      <c r="Q449" s="1059"/>
      <c r="R449" s="655"/>
      <c r="S449" s="655"/>
      <c r="T449" s="655"/>
      <c r="U449" s="655"/>
      <c r="V449" s="655"/>
      <c r="W449" s="655"/>
      <c r="X449" s="655"/>
      <c r="Y449" s="655"/>
      <c r="Z449" s="655"/>
      <c r="AA449" s="655"/>
      <c r="AB449" s="655"/>
      <c r="AC449" s="655"/>
      <c r="AD449" s="655"/>
      <c r="AE449" s="655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:43" ht="12.75">
      <c r="A450" s="1054">
        <v>14</v>
      </c>
      <c r="B450" s="1056"/>
      <c r="C450" s="1057"/>
      <c r="D450" s="1058"/>
      <c r="E450" s="1058"/>
      <c r="F450" s="1056"/>
      <c r="G450" s="1056"/>
      <c r="H450" s="1056"/>
      <c r="I450" s="1056"/>
      <c r="J450" s="1056"/>
      <c r="K450" s="1056"/>
      <c r="L450" s="1056"/>
      <c r="M450" s="1056"/>
      <c r="N450" s="1056"/>
      <c r="O450" s="1056"/>
      <c r="P450" s="1056"/>
      <c r="Q450" s="1059"/>
      <c r="R450" s="655"/>
      <c r="S450" s="655"/>
      <c r="T450" s="655"/>
      <c r="U450" s="655"/>
      <c r="V450" s="655"/>
      <c r="W450" s="655"/>
      <c r="X450" s="655"/>
      <c r="Y450" s="655"/>
      <c r="Z450" s="655"/>
      <c r="AA450" s="655"/>
      <c r="AB450" s="655"/>
      <c r="AC450" s="655"/>
      <c r="AD450" s="655"/>
      <c r="AE450" s="655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:43" ht="12.75">
      <c r="A451" s="1054">
        <v>15</v>
      </c>
      <c r="B451" s="1056"/>
      <c r="C451" s="1057"/>
      <c r="D451" s="1058"/>
      <c r="E451" s="1058"/>
      <c r="F451" s="1056"/>
      <c r="G451" s="1056"/>
      <c r="H451" s="1056"/>
      <c r="I451" s="1056"/>
      <c r="J451" s="1056"/>
      <c r="K451" s="1056"/>
      <c r="L451" s="1056"/>
      <c r="M451" s="1056"/>
      <c r="N451" s="1056"/>
      <c r="O451" s="1056"/>
      <c r="P451" s="1056"/>
      <c r="Q451" s="1059"/>
      <c r="R451" s="655"/>
      <c r="S451" s="655"/>
      <c r="T451" s="655"/>
      <c r="U451" s="655"/>
      <c r="V451" s="655"/>
      <c r="W451" s="655"/>
      <c r="X451" s="655"/>
      <c r="Y451" s="655"/>
      <c r="Z451" s="655"/>
      <c r="AA451" s="655"/>
      <c r="AB451" s="655"/>
      <c r="AC451" s="655"/>
      <c r="AD451" s="655"/>
      <c r="AE451" s="655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:43" ht="12.75">
      <c r="A452" s="1054">
        <v>16</v>
      </c>
      <c r="B452" s="1056"/>
      <c r="C452" s="1057"/>
      <c r="D452" s="1058"/>
      <c r="E452" s="1058"/>
      <c r="F452" s="1056"/>
      <c r="G452" s="1056"/>
      <c r="H452" s="1056"/>
      <c r="I452" s="1056"/>
      <c r="J452" s="1056"/>
      <c r="K452" s="1056"/>
      <c r="L452" s="1056"/>
      <c r="M452" s="1056"/>
      <c r="N452" s="1056"/>
      <c r="O452" s="1056"/>
      <c r="P452" s="1056"/>
      <c r="Q452" s="1059"/>
      <c r="R452" s="655"/>
      <c r="S452" s="655"/>
      <c r="T452" s="655"/>
      <c r="U452" s="655"/>
      <c r="V452" s="655"/>
      <c r="W452" s="655"/>
      <c r="X452" s="655"/>
      <c r="Y452" s="655"/>
      <c r="Z452" s="655"/>
      <c r="AA452" s="655"/>
      <c r="AB452" s="655"/>
      <c r="AC452" s="655"/>
      <c r="AD452" s="655"/>
      <c r="AE452" s="655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1:43" ht="12.75">
      <c r="A453" s="1054">
        <v>17</v>
      </c>
      <c r="B453" s="1056"/>
      <c r="C453" s="1057"/>
      <c r="D453" s="1058"/>
      <c r="E453" s="1058"/>
      <c r="F453" s="1056"/>
      <c r="G453" s="1056"/>
      <c r="H453" s="1056"/>
      <c r="I453" s="1056"/>
      <c r="J453" s="1056"/>
      <c r="K453" s="1056"/>
      <c r="L453" s="1056"/>
      <c r="M453" s="1056"/>
      <c r="N453" s="1056"/>
      <c r="O453" s="1056"/>
      <c r="P453" s="1056"/>
      <c r="Q453" s="1059"/>
      <c r="R453" s="655"/>
      <c r="S453" s="655"/>
      <c r="T453" s="655"/>
      <c r="U453" s="655"/>
      <c r="V453" s="655"/>
      <c r="W453" s="655"/>
      <c r="X453" s="655"/>
      <c r="Y453" s="655"/>
      <c r="Z453" s="655"/>
      <c r="AA453" s="655"/>
      <c r="AB453" s="655"/>
      <c r="AC453" s="655"/>
      <c r="AD453" s="655"/>
      <c r="AE453" s="655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1:43" ht="12.75">
      <c r="A454" s="1054">
        <v>18</v>
      </c>
      <c r="B454" s="1056"/>
      <c r="C454" s="1057"/>
      <c r="D454" s="1058"/>
      <c r="E454" s="1058"/>
      <c r="F454" s="1056"/>
      <c r="G454" s="1056"/>
      <c r="H454" s="1056"/>
      <c r="I454" s="1056"/>
      <c r="J454" s="1056"/>
      <c r="K454" s="1056"/>
      <c r="L454" s="1056"/>
      <c r="M454" s="1056"/>
      <c r="N454" s="1056"/>
      <c r="O454" s="1056"/>
      <c r="P454" s="1056"/>
      <c r="Q454" s="1059"/>
      <c r="R454" s="655"/>
      <c r="S454" s="655"/>
      <c r="T454" s="655"/>
      <c r="U454" s="655"/>
      <c r="V454" s="655"/>
      <c r="W454" s="655"/>
      <c r="X454" s="655"/>
      <c r="Y454" s="655"/>
      <c r="Z454" s="655"/>
      <c r="AA454" s="655"/>
      <c r="AB454" s="655"/>
      <c r="AC454" s="655"/>
      <c r="AD454" s="655"/>
      <c r="AE454" s="655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1:43" ht="12.75">
      <c r="A455" s="1054">
        <v>19</v>
      </c>
      <c r="B455" s="1056"/>
      <c r="C455" s="1057"/>
      <c r="D455" s="1058"/>
      <c r="E455" s="1058"/>
      <c r="F455" s="1056"/>
      <c r="G455" s="1056"/>
      <c r="H455" s="1056"/>
      <c r="I455" s="1056"/>
      <c r="J455" s="1056"/>
      <c r="K455" s="1056"/>
      <c r="L455" s="1056"/>
      <c r="M455" s="1056"/>
      <c r="N455" s="1056"/>
      <c r="O455" s="1056"/>
      <c r="P455" s="1056"/>
      <c r="Q455" s="1059"/>
      <c r="R455" s="655"/>
      <c r="S455" s="655"/>
      <c r="T455" s="655"/>
      <c r="U455" s="655"/>
      <c r="V455" s="655"/>
      <c r="W455" s="655"/>
      <c r="X455" s="655"/>
      <c r="Y455" s="655"/>
      <c r="Z455" s="655"/>
      <c r="AA455" s="655"/>
      <c r="AB455" s="655"/>
      <c r="AC455" s="655"/>
      <c r="AD455" s="655"/>
      <c r="AE455" s="6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1:43" ht="12.75">
      <c r="A456" s="1054">
        <v>20</v>
      </c>
      <c r="B456" s="1056"/>
      <c r="C456" s="1057"/>
      <c r="D456" s="1058"/>
      <c r="E456" s="1058"/>
      <c r="F456" s="1056"/>
      <c r="G456" s="1056"/>
      <c r="H456" s="1056"/>
      <c r="I456" s="1056"/>
      <c r="J456" s="1056"/>
      <c r="K456" s="1056"/>
      <c r="L456" s="1056"/>
      <c r="M456" s="1056"/>
      <c r="N456" s="1056"/>
      <c r="O456" s="1056"/>
      <c r="P456" s="1056"/>
      <c r="Q456" s="1059"/>
      <c r="R456" s="655"/>
      <c r="S456" s="655"/>
      <c r="T456" s="655"/>
      <c r="U456" s="655"/>
      <c r="V456" s="655"/>
      <c r="W456" s="655"/>
      <c r="X456" s="655"/>
      <c r="Y456" s="655"/>
      <c r="Z456" s="655"/>
      <c r="AA456" s="655"/>
      <c r="AB456" s="655"/>
      <c r="AC456" s="655"/>
      <c r="AD456" s="655"/>
      <c r="AE456" s="655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1:43" ht="12.75">
      <c r="A457" s="1054">
        <v>21</v>
      </c>
      <c r="B457" s="1056"/>
      <c r="C457" s="1057"/>
      <c r="D457" s="1058"/>
      <c r="E457" s="1058"/>
      <c r="F457" s="1056"/>
      <c r="G457" s="1056"/>
      <c r="H457" s="1056"/>
      <c r="I457" s="1056"/>
      <c r="J457" s="1056"/>
      <c r="K457" s="1056"/>
      <c r="L457" s="1056"/>
      <c r="M457" s="1056"/>
      <c r="N457" s="1056"/>
      <c r="O457" s="1056"/>
      <c r="P457" s="1056"/>
      <c r="Q457" s="1059"/>
      <c r="R457" s="655"/>
      <c r="S457" s="655"/>
      <c r="T457" s="655"/>
      <c r="U457" s="655"/>
      <c r="V457" s="655"/>
      <c r="W457" s="655"/>
      <c r="X457" s="655"/>
      <c r="Y457" s="655"/>
      <c r="Z457" s="655"/>
      <c r="AA457" s="655"/>
      <c r="AB457" s="655"/>
      <c r="AC457" s="655"/>
      <c r="AD457" s="655"/>
      <c r="AE457" s="655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1:43" ht="12.75">
      <c r="A458" s="1054">
        <v>22</v>
      </c>
      <c r="B458" s="1056"/>
      <c r="C458" s="1057"/>
      <c r="D458" s="1058"/>
      <c r="E458" s="1058"/>
      <c r="F458" s="1056"/>
      <c r="G458" s="1056"/>
      <c r="H458" s="1056"/>
      <c r="I458" s="1056"/>
      <c r="J458" s="1056"/>
      <c r="K458" s="1056"/>
      <c r="L458" s="1056"/>
      <c r="M458" s="1056"/>
      <c r="N458" s="1056"/>
      <c r="O458" s="1056"/>
      <c r="P458" s="1056"/>
      <c r="Q458" s="1059"/>
      <c r="R458" s="655"/>
      <c r="S458" s="655"/>
      <c r="T458" s="655"/>
      <c r="U458" s="655"/>
      <c r="V458" s="655"/>
      <c r="W458" s="655"/>
      <c r="X458" s="655"/>
      <c r="Y458" s="655"/>
      <c r="Z458" s="655"/>
      <c r="AA458" s="655"/>
      <c r="AB458" s="655"/>
      <c r="AC458" s="655"/>
      <c r="AD458" s="655"/>
      <c r="AE458" s="655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1:43" ht="12.75">
      <c r="A459" s="1054">
        <v>23</v>
      </c>
      <c r="B459" s="1056"/>
      <c r="C459" s="1057"/>
      <c r="D459" s="1058"/>
      <c r="E459" s="1058"/>
      <c r="F459" s="1056"/>
      <c r="G459" s="1056"/>
      <c r="H459" s="1056"/>
      <c r="I459" s="1056"/>
      <c r="J459" s="1056"/>
      <c r="K459" s="1056"/>
      <c r="L459" s="1056"/>
      <c r="M459" s="1056"/>
      <c r="N459" s="1056"/>
      <c r="O459" s="1056"/>
      <c r="P459" s="1056"/>
      <c r="Q459" s="1059"/>
      <c r="R459" s="655"/>
      <c r="S459" s="655"/>
      <c r="T459" s="655"/>
      <c r="U459" s="655"/>
      <c r="V459" s="655"/>
      <c r="W459" s="655"/>
      <c r="X459" s="655"/>
      <c r="Y459" s="655"/>
      <c r="Z459" s="655"/>
      <c r="AA459" s="655"/>
      <c r="AB459" s="655"/>
      <c r="AC459" s="655"/>
      <c r="AD459" s="655"/>
      <c r="AE459" s="655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1:43" ht="12.75">
      <c r="A460" s="1054">
        <v>24</v>
      </c>
      <c r="B460" s="1056"/>
      <c r="C460" s="1057"/>
      <c r="D460" s="1058"/>
      <c r="E460" s="1058"/>
      <c r="F460" s="1056"/>
      <c r="G460" s="1056"/>
      <c r="H460" s="1056"/>
      <c r="I460" s="1056"/>
      <c r="J460" s="1056"/>
      <c r="K460" s="1056"/>
      <c r="L460" s="1056"/>
      <c r="M460" s="1056"/>
      <c r="N460" s="1056"/>
      <c r="O460" s="1056"/>
      <c r="P460" s="1056"/>
      <c r="Q460" s="1059"/>
      <c r="R460" s="655"/>
      <c r="S460" s="655"/>
      <c r="T460" s="655"/>
      <c r="U460" s="655"/>
      <c r="V460" s="655"/>
      <c r="W460" s="655"/>
      <c r="X460" s="655"/>
      <c r="Y460" s="655"/>
      <c r="Z460" s="655"/>
      <c r="AA460" s="655"/>
      <c r="AB460" s="655"/>
      <c r="AC460" s="655"/>
      <c r="AD460" s="655"/>
      <c r="AE460" s="655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1:43" ht="13.5" thickBot="1">
      <c r="A461" s="1054">
        <v>25</v>
      </c>
      <c r="B461" s="1060"/>
      <c r="C461" s="1061"/>
      <c r="D461" s="1062"/>
      <c r="E461" s="1062"/>
      <c r="F461" s="1060"/>
      <c r="G461" s="1060"/>
      <c r="H461" s="1060"/>
      <c r="I461" s="1060"/>
      <c r="J461" s="1060"/>
      <c r="K461" s="1060"/>
      <c r="L461" s="1060"/>
      <c r="M461" s="1060"/>
      <c r="N461" s="1060"/>
      <c r="O461" s="1060"/>
      <c r="P461" s="1060"/>
      <c r="Q461" s="1063"/>
      <c r="R461" s="655"/>
      <c r="S461" s="655"/>
      <c r="T461" s="655"/>
      <c r="U461" s="655"/>
      <c r="V461" s="655"/>
      <c r="W461" s="655"/>
      <c r="X461" s="655"/>
      <c r="Y461" s="655"/>
      <c r="Z461" s="655"/>
      <c r="AA461" s="655"/>
      <c r="AB461" s="655"/>
      <c r="AC461" s="655"/>
      <c r="AD461" s="655"/>
      <c r="AE461" s="655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1:43" ht="13.5" thickBot="1">
      <c r="A462" s="1472" t="s">
        <v>753</v>
      </c>
      <c r="B462" s="1473"/>
      <c r="C462" s="1473"/>
      <c r="D462" s="1473"/>
      <c r="E462" s="1473"/>
      <c r="F462" s="1473"/>
      <c r="G462" s="1473"/>
      <c r="H462" s="1474"/>
      <c r="I462" s="1064">
        <f>SUM(I437:I461)</f>
        <v>200500</v>
      </c>
      <c r="J462" s="1064">
        <f aca="true" t="shared" si="83" ref="J462:Q462">SUM(J437:J461)</f>
        <v>200500</v>
      </c>
      <c r="K462" s="1064">
        <f t="shared" si="83"/>
        <v>49122.5</v>
      </c>
      <c r="L462" s="1064">
        <f t="shared" si="83"/>
        <v>30075</v>
      </c>
      <c r="M462" s="1064">
        <f t="shared" si="83"/>
        <v>19047.5</v>
      </c>
      <c r="N462" s="1064">
        <f t="shared" si="83"/>
        <v>0</v>
      </c>
      <c r="O462" s="1064">
        <f t="shared" si="83"/>
        <v>6817</v>
      </c>
      <c r="P462" s="1064">
        <f t="shared" si="83"/>
        <v>200500</v>
      </c>
      <c r="Q462" s="1064">
        <f t="shared" si="83"/>
        <v>15050</v>
      </c>
      <c r="R462" s="655"/>
      <c r="S462" s="655"/>
      <c r="T462" s="655"/>
      <c r="U462" s="655"/>
      <c r="V462" s="655"/>
      <c r="W462" s="655"/>
      <c r="X462" s="655"/>
      <c r="Y462" s="655"/>
      <c r="Z462" s="655"/>
      <c r="AA462" s="655"/>
      <c r="AB462" s="655"/>
      <c r="AC462" s="655"/>
      <c r="AD462" s="655"/>
      <c r="AE462" s="655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1:43" ht="13.5" thickBot="1">
      <c r="A463" s="1475" t="s">
        <v>756</v>
      </c>
      <c r="B463" s="1476"/>
      <c r="C463" s="1476"/>
      <c r="D463" s="1476"/>
      <c r="E463" s="1476"/>
      <c r="F463" s="1476"/>
      <c r="G463" s="1476"/>
      <c r="H463" s="1477"/>
      <c r="I463" s="1065"/>
      <c r="J463" s="1066"/>
      <c r="K463" s="1066"/>
      <c r="L463" s="1066"/>
      <c r="M463" s="1066"/>
      <c r="N463" s="1066">
        <v>0</v>
      </c>
      <c r="O463" s="1066"/>
      <c r="P463" s="1066"/>
      <c r="Q463" s="1067"/>
      <c r="R463" s="655"/>
      <c r="S463" s="655"/>
      <c r="T463" s="655"/>
      <c r="U463" s="655"/>
      <c r="V463" s="655"/>
      <c r="W463" s="655"/>
      <c r="X463" s="655"/>
      <c r="Y463" s="655"/>
      <c r="Z463" s="655"/>
      <c r="AA463" s="655"/>
      <c r="AB463" s="655"/>
      <c r="AC463" s="655"/>
      <c r="AD463" s="655"/>
      <c r="AE463" s="655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1:43" ht="13.5" thickBot="1">
      <c r="A464" s="1478" t="s">
        <v>759</v>
      </c>
      <c r="B464" s="1479"/>
      <c r="C464" s="1479"/>
      <c r="D464" s="1479"/>
      <c r="E464" s="1479"/>
      <c r="F464" s="1479"/>
      <c r="G464" s="1479"/>
      <c r="H464" s="1480"/>
      <c r="I464" s="1064">
        <f>SUM(I462:I463)</f>
        <v>200500</v>
      </c>
      <c r="J464" s="1064">
        <f aca="true" t="shared" si="84" ref="J464:Q464">SUM(J462:J463)</f>
        <v>200500</v>
      </c>
      <c r="K464" s="1064">
        <f t="shared" si="84"/>
        <v>49122.5</v>
      </c>
      <c r="L464" s="1064">
        <f t="shared" si="84"/>
        <v>30075</v>
      </c>
      <c r="M464" s="1064">
        <f t="shared" si="84"/>
        <v>19047.5</v>
      </c>
      <c r="N464" s="1064">
        <f t="shared" si="84"/>
        <v>0</v>
      </c>
      <c r="O464" s="1064">
        <f t="shared" si="84"/>
        <v>6817</v>
      </c>
      <c r="P464" s="1064">
        <f t="shared" si="84"/>
        <v>200500</v>
      </c>
      <c r="Q464" s="1064">
        <f t="shared" si="84"/>
        <v>15050</v>
      </c>
      <c r="R464" s="655"/>
      <c r="S464" s="655"/>
      <c r="T464" s="655"/>
      <c r="U464" s="655"/>
      <c r="V464" s="655"/>
      <c r="W464" s="655"/>
      <c r="X464" s="655"/>
      <c r="Y464" s="655"/>
      <c r="Z464" s="655"/>
      <c r="AA464" s="655"/>
      <c r="AB464" s="655"/>
      <c r="AC464" s="655"/>
      <c r="AD464" s="655"/>
      <c r="AE464" s="655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1:43" ht="12.75">
      <c r="A465" s="683"/>
      <c r="B465" s="684" t="s">
        <v>764</v>
      </c>
      <c r="C465" s="685"/>
      <c r="D465" s="685"/>
      <c r="E465" s="685"/>
      <c r="F465" s="685"/>
      <c r="G465" s="685"/>
      <c r="H465" s="1068"/>
      <c r="I465" s="686" t="s">
        <v>765</v>
      </c>
      <c r="J465" s="685"/>
      <c r="K465" s="685"/>
      <c r="L465" s="685"/>
      <c r="M465" s="685"/>
      <c r="N465" s="685"/>
      <c r="O465" s="685"/>
      <c r="P465" s="685"/>
      <c r="Q465" s="687"/>
      <c r="R465" s="655"/>
      <c r="S465" s="655"/>
      <c r="T465" s="655"/>
      <c r="U465" s="655"/>
      <c r="V465" s="655"/>
      <c r="W465" s="655"/>
      <c r="X465" s="655"/>
      <c r="Y465" s="655"/>
      <c r="Z465" s="655"/>
      <c r="AA465" s="655"/>
      <c r="AB465" s="655"/>
      <c r="AC465" s="655"/>
      <c r="AD465" s="655"/>
      <c r="AE465" s="65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1:43" ht="12.75">
      <c r="A466" s="688" t="s">
        <v>1323</v>
      </c>
      <c r="B466" s="689"/>
      <c r="C466" s="689"/>
      <c r="D466" s="689"/>
      <c r="E466" s="689"/>
      <c r="F466" s="689"/>
      <c r="G466" s="689"/>
      <c r="H466" s="1069"/>
      <c r="I466" s="690" t="s">
        <v>766</v>
      </c>
      <c r="J466" s="689"/>
      <c r="K466" s="689"/>
      <c r="L466" s="689"/>
      <c r="M466" s="689"/>
      <c r="N466" s="689"/>
      <c r="O466" s="689"/>
      <c r="P466" s="689"/>
      <c r="Q466" s="691"/>
      <c r="R466" s="655"/>
      <c r="S466" s="655"/>
      <c r="T466" s="655"/>
      <c r="U466" s="655"/>
      <c r="V466" s="655"/>
      <c r="W466" s="655"/>
      <c r="X466" s="655"/>
      <c r="Y466" s="655"/>
      <c r="Z466" s="655"/>
      <c r="AA466" s="655"/>
      <c r="AB466" s="655"/>
      <c r="AC466" s="655"/>
      <c r="AD466" s="655"/>
      <c r="AE466" s="655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1:43" ht="12.75">
      <c r="A467" s="688" t="s">
        <v>1324</v>
      </c>
      <c r="B467" s="689"/>
      <c r="C467" s="689"/>
      <c r="D467" s="689"/>
      <c r="E467" s="689"/>
      <c r="F467" s="689"/>
      <c r="G467" s="689"/>
      <c r="H467" s="1069"/>
      <c r="I467" s="47" t="s">
        <v>767</v>
      </c>
      <c r="J467" s="689"/>
      <c r="K467" s="689"/>
      <c r="L467" s="689"/>
      <c r="M467" s="689"/>
      <c r="N467" s="689"/>
      <c r="O467" s="689"/>
      <c r="P467" s="689"/>
      <c r="Q467" s="691"/>
      <c r="R467" s="655"/>
      <c r="S467" s="655"/>
      <c r="T467" s="655"/>
      <c r="U467" s="655"/>
      <c r="V467" s="655"/>
      <c r="W467" s="655"/>
      <c r="X467" s="655"/>
      <c r="Y467" s="655"/>
      <c r="Z467" s="655"/>
      <c r="AA467" s="655"/>
      <c r="AB467" s="655"/>
      <c r="AC467" s="655"/>
      <c r="AD467" s="655"/>
      <c r="AE467" s="655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1:43" ht="12.75">
      <c r="A468" s="688" t="s">
        <v>1325</v>
      </c>
      <c r="B468" s="689"/>
      <c r="C468" s="1"/>
      <c r="D468" s="689"/>
      <c r="E468" s="689"/>
      <c r="F468" s="689"/>
      <c r="G468" s="689"/>
      <c r="H468" s="1069"/>
      <c r="I468" s="690" t="s">
        <v>768</v>
      </c>
      <c r="J468" s="689"/>
      <c r="K468" s="689"/>
      <c r="L468" s="689"/>
      <c r="M468" s="689"/>
      <c r="N468" s="689"/>
      <c r="O468" s="689"/>
      <c r="P468" s="689"/>
      <c r="Q468" s="691"/>
      <c r="R468" s="655"/>
      <c r="S468" s="655"/>
      <c r="T468" s="655"/>
      <c r="U468" s="655"/>
      <c r="V468" s="655"/>
      <c r="W468" s="655"/>
      <c r="X468" s="655"/>
      <c r="Y468" s="655"/>
      <c r="Z468" s="655"/>
      <c r="AA468" s="655"/>
      <c r="AB468" s="655"/>
      <c r="AC468" s="655"/>
      <c r="AD468" s="655"/>
      <c r="AE468" s="655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1:43" ht="12.75">
      <c r="A469" s="688"/>
      <c r="B469" s="689"/>
      <c r="C469" s="689"/>
      <c r="D469" s="689"/>
      <c r="E469" s="689"/>
      <c r="F469" s="689"/>
      <c r="G469" s="689"/>
      <c r="H469" s="1069"/>
      <c r="I469" s="690" t="s">
        <v>769</v>
      </c>
      <c r="J469" s="689"/>
      <c r="K469" s="689"/>
      <c r="L469" s="689"/>
      <c r="M469" s="689"/>
      <c r="N469" s="689"/>
      <c r="O469" s="689"/>
      <c r="P469" s="689"/>
      <c r="Q469" s="691"/>
      <c r="R469" s="655"/>
      <c r="S469" s="655"/>
      <c r="T469" s="655"/>
      <c r="U469" s="655"/>
      <c r="V469" s="655"/>
      <c r="W469" s="655"/>
      <c r="X469" s="655"/>
      <c r="Y469" s="655"/>
      <c r="Z469" s="655"/>
      <c r="AA469" s="655"/>
      <c r="AB469" s="655"/>
      <c r="AC469" s="655"/>
      <c r="AD469" s="655"/>
      <c r="AE469" s="655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1:43" ht="12.75">
      <c r="A470" s="688"/>
      <c r="B470" s="700" t="s">
        <v>770</v>
      </c>
      <c r="C470" s="689"/>
      <c r="D470" s="689"/>
      <c r="E470" s="689"/>
      <c r="F470" s="689"/>
      <c r="G470" s="689"/>
      <c r="H470" s="1069"/>
      <c r="I470" s="47" t="s">
        <v>771</v>
      </c>
      <c r="J470" s="689"/>
      <c r="K470" s="689"/>
      <c r="L470" s="689"/>
      <c r="M470" s="689"/>
      <c r="N470" s="689"/>
      <c r="O470" s="689"/>
      <c r="P470" s="689"/>
      <c r="Q470" s="691"/>
      <c r="R470" s="655"/>
      <c r="S470" s="655"/>
      <c r="T470" s="655"/>
      <c r="U470" s="655"/>
      <c r="V470" s="655"/>
      <c r="W470" s="655"/>
      <c r="X470" s="655"/>
      <c r="Y470" s="655"/>
      <c r="Z470" s="655"/>
      <c r="AA470" s="655"/>
      <c r="AB470" s="655"/>
      <c r="AC470" s="655"/>
      <c r="AD470" s="655"/>
      <c r="AE470" s="655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1:43" ht="12.75">
      <c r="A471" s="688"/>
      <c r="B471" s="689" t="s">
        <v>1326</v>
      </c>
      <c r="C471" s="689"/>
      <c r="D471" s="689"/>
      <c r="E471" s="689"/>
      <c r="F471" s="689"/>
      <c r="G471" s="689"/>
      <c r="H471" s="1069"/>
      <c r="I471" s="47"/>
      <c r="J471" s="689"/>
      <c r="K471" s="689"/>
      <c r="L471" s="701" t="s">
        <v>772</v>
      </c>
      <c r="M471" s="689"/>
      <c r="N471" s="689"/>
      <c r="O471" s="689"/>
      <c r="P471" s="689"/>
      <c r="Q471" s="691"/>
      <c r="R471" s="655"/>
      <c r="S471" s="655"/>
      <c r="T471" s="655"/>
      <c r="U471" s="655"/>
      <c r="V471" s="655"/>
      <c r="W471" s="655"/>
      <c r="X471" s="655"/>
      <c r="Y471" s="655"/>
      <c r="Z471" s="655"/>
      <c r="AA471" s="655"/>
      <c r="AB471" s="655"/>
      <c r="AC471" s="655"/>
      <c r="AD471" s="655"/>
      <c r="AE471" s="655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1:43" ht="12.75">
      <c r="A472" s="688"/>
      <c r="B472" s="689"/>
      <c r="C472" s="689"/>
      <c r="D472" s="689" t="s">
        <v>773</v>
      </c>
      <c r="E472" s="689"/>
      <c r="F472" s="689"/>
      <c r="G472" s="689"/>
      <c r="H472" s="1069"/>
      <c r="I472" s="690" t="s">
        <v>774</v>
      </c>
      <c r="J472" s="689"/>
      <c r="K472" s="689"/>
      <c r="L472" s="689"/>
      <c r="M472" s="689"/>
      <c r="N472" s="689"/>
      <c r="O472" s="689"/>
      <c r="P472" s="689"/>
      <c r="Q472" s="689"/>
      <c r="R472" s="655"/>
      <c r="S472" s="655"/>
      <c r="T472" s="655"/>
      <c r="U472" s="655"/>
      <c r="V472" s="655"/>
      <c r="W472" s="655"/>
      <c r="X472" s="655"/>
      <c r="Y472" s="655"/>
      <c r="Z472" s="655"/>
      <c r="AA472" s="655"/>
      <c r="AB472" s="655"/>
      <c r="AC472" s="655"/>
      <c r="AD472" s="655"/>
      <c r="AE472" s="655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1:43" ht="12.75">
      <c r="A473" s="688"/>
      <c r="B473" s="689"/>
      <c r="C473" s="689"/>
      <c r="D473" s="689"/>
      <c r="E473" s="689"/>
      <c r="F473" s="689"/>
      <c r="G473" s="689"/>
      <c r="H473" s="1069"/>
      <c r="I473" s="690"/>
      <c r="J473" s="689" t="s">
        <v>775</v>
      </c>
      <c r="K473" s="689"/>
      <c r="L473" s="689"/>
      <c r="M473" s="689"/>
      <c r="N473" s="689"/>
      <c r="O473" s="689"/>
      <c r="P473" s="689"/>
      <c r="Q473" s="689"/>
      <c r="R473" s="655"/>
      <c r="S473" s="655"/>
      <c r="T473" s="655"/>
      <c r="U473" s="655"/>
      <c r="V473" s="655"/>
      <c r="W473" s="655"/>
      <c r="X473" s="655"/>
      <c r="Y473" s="655"/>
      <c r="Z473" s="655"/>
      <c r="AA473" s="655"/>
      <c r="AB473" s="655"/>
      <c r="AC473" s="655"/>
      <c r="AD473" s="655"/>
      <c r="AE473" s="655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1:43" ht="13.5" thickBot="1">
      <c r="A474" s="702"/>
      <c r="B474" s="703"/>
      <c r="C474" s="703"/>
      <c r="D474" s="703"/>
      <c r="E474" s="703"/>
      <c r="F474" s="703"/>
      <c r="G474" s="703"/>
      <c r="H474" s="1070"/>
      <c r="I474" s="704"/>
      <c r="J474" s="705" t="s">
        <v>776</v>
      </c>
      <c r="K474" s="703"/>
      <c r="L474" s="703"/>
      <c r="M474" s="703"/>
      <c r="N474" s="703"/>
      <c r="O474" s="703"/>
      <c r="P474" s="703"/>
      <c r="Q474" s="706"/>
      <c r="R474" s="655"/>
      <c r="S474" s="655"/>
      <c r="T474" s="655"/>
      <c r="U474" s="655"/>
      <c r="V474" s="655"/>
      <c r="W474" s="655"/>
      <c r="X474" s="655"/>
      <c r="Y474" s="655"/>
      <c r="Z474" s="655"/>
      <c r="AA474" s="655"/>
      <c r="AB474" s="655"/>
      <c r="AC474" s="655"/>
      <c r="AD474" s="655"/>
      <c r="AE474" s="655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1:43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 s="655"/>
      <c r="S475" s="655"/>
      <c r="T475" s="655"/>
      <c r="U475" s="655"/>
      <c r="V475" s="655"/>
      <c r="W475" s="655"/>
      <c r="X475" s="655"/>
      <c r="Y475" s="655"/>
      <c r="Z475" s="655"/>
      <c r="AA475" s="655"/>
      <c r="AB475" s="655"/>
      <c r="AC475" s="655"/>
      <c r="AD475" s="655"/>
      <c r="AE475" s="65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1:43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 s="655"/>
      <c r="S476" s="655"/>
      <c r="T476" s="655"/>
      <c r="U476" s="655"/>
      <c r="V476" s="655"/>
      <c r="W476" s="655"/>
      <c r="X476" s="655"/>
      <c r="Y476" s="655"/>
      <c r="Z476" s="655"/>
      <c r="AA476" s="655"/>
      <c r="AB476" s="655"/>
      <c r="AC476" s="655"/>
      <c r="AD476" s="655"/>
      <c r="AE476" s="655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1:43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 s="655"/>
      <c r="S477" s="655"/>
      <c r="T477" s="655"/>
      <c r="U477" s="655"/>
      <c r="V477" s="655"/>
      <c r="W477" s="655"/>
      <c r="X477" s="655"/>
      <c r="Y477" s="655"/>
      <c r="Z477" s="655"/>
      <c r="AA477" s="655"/>
      <c r="AB477" s="655"/>
      <c r="AC477" s="655"/>
      <c r="AD477" s="655"/>
      <c r="AE477" s="655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1:43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 s="655"/>
      <c r="S478" s="655"/>
      <c r="T478" s="655"/>
      <c r="U478" s="655"/>
      <c r="V478" s="655"/>
      <c r="W478" s="655"/>
      <c r="X478" s="655"/>
      <c r="Y478" s="655"/>
      <c r="Z478" s="655"/>
      <c r="AA478" s="655"/>
      <c r="AB478" s="655"/>
      <c r="AC478" s="655"/>
      <c r="AD478" s="655"/>
      <c r="AE478" s="655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1:43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 s="655"/>
      <c r="S479" s="655"/>
      <c r="T479" s="655"/>
      <c r="U479" s="655"/>
      <c r="V479" s="655"/>
      <c r="W479" s="655"/>
      <c r="X479" s="655"/>
      <c r="Y479" s="655"/>
      <c r="Z479" s="655"/>
      <c r="AA479" s="655"/>
      <c r="AB479" s="655"/>
      <c r="AC479" s="655"/>
      <c r="AD479" s="655"/>
      <c r="AE479" s="655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1:43" ht="15">
      <c r="A480" s="1025" t="s">
        <v>133</v>
      </c>
      <c r="B480" s="1025"/>
      <c r="C480" s="1025"/>
      <c r="D480" s="1025"/>
      <c r="E480" s="1025"/>
      <c r="F480" s="1025"/>
      <c r="G480" s="1025"/>
      <c r="H480" s="1025"/>
      <c r="I480" s="1025"/>
      <c r="J480" s="1025"/>
      <c r="K480" s="1025"/>
      <c r="L480" s="1025"/>
      <c r="M480" s="1025"/>
      <c r="N480" s="1025"/>
      <c r="O480" s="1025"/>
      <c r="P480" s="1025"/>
      <c r="Q480"/>
      <c r="R480" s="655"/>
      <c r="S480" s="655"/>
      <c r="T480" s="655"/>
      <c r="U480" s="655"/>
      <c r="V480" s="655"/>
      <c r="W480" s="655"/>
      <c r="X480" s="655"/>
      <c r="Y480" s="655"/>
      <c r="Z480" s="655"/>
      <c r="AA480" s="655"/>
      <c r="AB480" s="655"/>
      <c r="AC480" s="655"/>
      <c r="AD480" s="655"/>
      <c r="AE480" s="655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1:43" ht="15">
      <c r="A481" s="1025" t="s">
        <v>1293</v>
      </c>
      <c r="B481" s="1025"/>
      <c r="C481" s="1025"/>
      <c r="D481"/>
      <c r="E481" s="1025" t="s">
        <v>1294</v>
      </c>
      <c r="F481" s="1025"/>
      <c r="G481" s="1025"/>
      <c r="H481" s="1025"/>
      <c r="I481" s="1025"/>
      <c r="J481" s="1025" t="s">
        <v>1728</v>
      </c>
      <c r="K481" s="1025"/>
      <c r="L481" s="1025"/>
      <c r="M481" s="1025"/>
      <c r="N481" s="1025"/>
      <c r="O481" s="1025"/>
      <c r="P481" s="1025"/>
      <c r="Q481"/>
      <c r="R481" s="655"/>
      <c r="S481" s="655"/>
      <c r="T481" s="655"/>
      <c r="U481" s="655"/>
      <c r="V481" s="655"/>
      <c r="W481" s="655"/>
      <c r="X481" s="655"/>
      <c r="Y481" s="655"/>
      <c r="Z481" s="655"/>
      <c r="AA481" s="655"/>
      <c r="AB481" s="655"/>
      <c r="AC481" s="655"/>
      <c r="AD481" s="655"/>
      <c r="AE481" s="655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1:43" ht="16.5" thickBot="1">
      <c r="A482" s="1026" t="s">
        <v>725</v>
      </c>
      <c r="B482" s="1026"/>
      <c r="C482" s="1026"/>
      <c r="D482" s="1026"/>
      <c r="E482" s="1026"/>
      <c r="F482" s="1026" t="s">
        <v>1296</v>
      </c>
      <c r="G482" s="1026"/>
      <c r="H482" s="1026"/>
      <c r="I482" s="1026"/>
      <c r="J482" s="1026"/>
      <c r="K482" s="1026"/>
      <c r="L482" s="1026" t="s">
        <v>727</v>
      </c>
      <c r="M482" s="1026"/>
      <c r="N482" s="1026"/>
      <c r="O482" s="1026"/>
      <c r="P482" s="1026"/>
      <c r="Q482"/>
      <c r="R482" s="655"/>
      <c r="S482" s="655"/>
      <c r="T482" s="655"/>
      <c r="U482" s="655"/>
      <c r="V482" s="655"/>
      <c r="W482" s="655"/>
      <c r="X482" s="655"/>
      <c r="Y482" s="655"/>
      <c r="Z482" s="655"/>
      <c r="AA482" s="655"/>
      <c r="AB482" s="655"/>
      <c r="AC482" s="655"/>
      <c r="AD482" s="655"/>
      <c r="AE482" s="655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1:43" ht="12.75">
      <c r="A483" s="1027" t="s">
        <v>199</v>
      </c>
      <c r="B483" s="1028" t="s">
        <v>729</v>
      </c>
      <c r="C483" s="1029"/>
      <c r="D483" s="1030"/>
      <c r="E483" s="1481" t="s">
        <v>1297</v>
      </c>
      <c r="F483" s="1028" t="s">
        <v>1298</v>
      </c>
      <c r="G483" s="1028" t="s">
        <v>1299</v>
      </c>
      <c r="H483" s="1028" t="s">
        <v>1300</v>
      </c>
      <c r="I483" s="1031" t="s">
        <v>780</v>
      </c>
      <c r="J483" s="1032"/>
      <c r="K483" s="1031" t="s">
        <v>200</v>
      </c>
      <c r="L483" s="1033"/>
      <c r="M483" s="1033"/>
      <c r="N483" s="1032"/>
      <c r="O483" s="1028" t="s">
        <v>201</v>
      </c>
      <c r="P483" s="1028" t="s">
        <v>202</v>
      </c>
      <c r="Q483" s="1034" t="s">
        <v>203</v>
      </c>
      <c r="R483" s="655"/>
      <c r="S483" s="655"/>
      <c r="T483" s="655"/>
      <c r="U483" s="655"/>
      <c r="V483" s="655"/>
      <c r="W483" s="655"/>
      <c r="X483" s="655"/>
      <c r="Y483" s="655"/>
      <c r="Z483" s="655"/>
      <c r="AA483" s="655"/>
      <c r="AB483" s="655"/>
      <c r="AC483" s="655"/>
      <c r="AD483" s="655"/>
      <c r="AE483" s="655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1:43" ht="12.75">
      <c r="A484" s="1035"/>
      <c r="B484" s="1036" t="s">
        <v>730</v>
      </c>
      <c r="C484" s="1037" t="s">
        <v>1301</v>
      </c>
      <c r="D484" s="1038"/>
      <c r="E484" s="1482"/>
      <c r="F484" s="1036" t="s">
        <v>1302</v>
      </c>
      <c r="G484" s="1036" t="s">
        <v>1303</v>
      </c>
      <c r="H484" s="1036" t="s">
        <v>1304</v>
      </c>
      <c r="I484" s="1039" t="s">
        <v>205</v>
      </c>
      <c r="J484" s="1039" t="s">
        <v>782</v>
      </c>
      <c r="K484" s="1039"/>
      <c r="L484" s="1040" t="s">
        <v>206</v>
      </c>
      <c r="M484" s="1041"/>
      <c r="N484" s="1039" t="s">
        <v>731</v>
      </c>
      <c r="O484" s="1036" t="s">
        <v>732</v>
      </c>
      <c r="P484" s="1036" t="s">
        <v>207</v>
      </c>
      <c r="Q484" s="1042" t="s">
        <v>208</v>
      </c>
      <c r="R484" s="655"/>
      <c r="S484" s="655"/>
      <c r="T484" s="655"/>
      <c r="U484" s="655"/>
      <c r="V484" s="655"/>
      <c r="W484" s="655"/>
      <c r="X484" s="655"/>
      <c r="Y484" s="655"/>
      <c r="Z484" s="655"/>
      <c r="AA484" s="655"/>
      <c r="AB484" s="655"/>
      <c r="AC484" s="655"/>
      <c r="AD484" s="655"/>
      <c r="AE484" s="655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1:43" ht="13.5" thickBot="1">
      <c r="A485" s="1043"/>
      <c r="B485" s="1044" t="s">
        <v>735</v>
      </c>
      <c r="C485" s="1037"/>
      <c r="D485" s="1038"/>
      <c r="E485" s="1483"/>
      <c r="F485" s="1044" t="s">
        <v>1305</v>
      </c>
      <c r="G485" s="1044" t="s">
        <v>1306</v>
      </c>
      <c r="H485" s="1044" t="s">
        <v>1307</v>
      </c>
      <c r="I485" s="1044"/>
      <c r="J485" s="1044" t="s">
        <v>1308</v>
      </c>
      <c r="K485" s="1044" t="s">
        <v>1309</v>
      </c>
      <c r="L485" s="1045" t="s">
        <v>736</v>
      </c>
      <c r="M485" s="1045" t="s">
        <v>737</v>
      </c>
      <c r="N485" s="1044" t="s">
        <v>738</v>
      </c>
      <c r="O485" s="1044" t="s">
        <v>739</v>
      </c>
      <c r="P485" s="1044" t="s">
        <v>740</v>
      </c>
      <c r="Q485" s="1046" t="s">
        <v>1310</v>
      </c>
      <c r="R485" s="655"/>
      <c r="S485" s="655"/>
      <c r="T485" s="655"/>
      <c r="U485" s="655"/>
      <c r="V485" s="655"/>
      <c r="W485" s="655"/>
      <c r="X485" s="655"/>
      <c r="Y485" s="655"/>
      <c r="Z485" s="655"/>
      <c r="AA485" s="655"/>
      <c r="AB485" s="655"/>
      <c r="AC485" s="655"/>
      <c r="AD485" s="655"/>
      <c r="AE485" s="65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1:43" ht="12.75">
      <c r="A486" s="1047">
        <v>1</v>
      </c>
      <c r="B486" s="1048" t="s">
        <v>1311</v>
      </c>
      <c r="C486" s="1470" t="s">
        <v>1270</v>
      </c>
      <c r="D486" s="1471"/>
      <c r="E486" s="1050" t="s">
        <v>1312</v>
      </c>
      <c r="F486" s="1051">
        <v>1</v>
      </c>
      <c r="G486" s="1052">
        <v>0</v>
      </c>
      <c r="H486" s="1052">
        <v>22</v>
      </c>
      <c r="I486" s="1052">
        <v>50000</v>
      </c>
      <c r="J486" s="1052">
        <v>50000</v>
      </c>
      <c r="K486" s="1052">
        <f aca="true" t="shared" si="85" ref="K486:K492">L486+M486</f>
        <v>12250</v>
      </c>
      <c r="L486" s="1052">
        <f aca="true" t="shared" si="86" ref="L486:L492">I486*0.15</f>
        <v>7500</v>
      </c>
      <c r="M486" s="1052">
        <f aca="true" t="shared" si="87" ref="M486:M492">I486*0.095</f>
        <v>4750</v>
      </c>
      <c r="N486" s="1052">
        <v>0</v>
      </c>
      <c r="O486" s="1052">
        <f aca="true" t="shared" si="88" ref="O486:O492">I486*0.034</f>
        <v>1700.0000000000002</v>
      </c>
      <c r="P486" s="1052">
        <f aca="true" t="shared" si="89" ref="P486:P492">I486</f>
        <v>50000</v>
      </c>
      <c r="Q486" s="1053">
        <v>5000</v>
      </c>
      <c r="R486" s="655"/>
      <c r="S486" s="655"/>
      <c r="T486" s="655"/>
      <c r="U486" s="655"/>
      <c r="V486" s="655"/>
      <c r="W486" s="655"/>
      <c r="X486" s="655"/>
      <c r="Y486" s="655"/>
      <c r="Z486" s="655"/>
      <c r="AA486" s="655"/>
      <c r="AB486" s="655"/>
      <c r="AC486" s="655"/>
      <c r="AD486" s="655"/>
      <c r="AE486" s="655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1:43" ht="12.75">
      <c r="A487" s="1054">
        <v>2</v>
      </c>
      <c r="B487" s="1056"/>
      <c r="C487" s="1470" t="s">
        <v>1316</v>
      </c>
      <c r="D487" s="1471"/>
      <c r="E487" s="1049" t="s">
        <v>1317</v>
      </c>
      <c r="F487" s="1056">
        <v>1</v>
      </c>
      <c r="G487" s="1056">
        <v>0</v>
      </c>
      <c r="H487" s="1056">
        <v>22</v>
      </c>
      <c r="I487" s="1052">
        <v>21100</v>
      </c>
      <c r="J487" s="1052">
        <v>21100</v>
      </c>
      <c r="K487" s="1056">
        <f t="shared" si="85"/>
        <v>5169.5</v>
      </c>
      <c r="L487" s="1052">
        <f t="shared" si="86"/>
        <v>3165</v>
      </c>
      <c r="M487" s="1052">
        <f t="shared" si="87"/>
        <v>2004.5</v>
      </c>
      <c r="N487" s="1056">
        <v>0</v>
      </c>
      <c r="O487" s="1052">
        <f t="shared" si="88"/>
        <v>717.4000000000001</v>
      </c>
      <c r="P487" s="1056">
        <f t="shared" si="89"/>
        <v>21100</v>
      </c>
      <c r="Q487" s="1053">
        <v>1110</v>
      </c>
      <c r="R487" s="655"/>
      <c r="S487" s="655"/>
      <c r="T487" s="655"/>
      <c r="U487" s="655"/>
      <c r="V487" s="655"/>
      <c r="W487" s="655"/>
      <c r="X487" s="655"/>
      <c r="Y487" s="655"/>
      <c r="Z487" s="655"/>
      <c r="AA487" s="655"/>
      <c r="AB487" s="655"/>
      <c r="AC487" s="655"/>
      <c r="AD487" s="655"/>
      <c r="AE487" s="655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1:43" ht="12.75">
      <c r="A488" s="1054">
        <v>3</v>
      </c>
      <c r="B488" s="1056"/>
      <c r="C488" s="1470" t="s">
        <v>1318</v>
      </c>
      <c r="D488" s="1471"/>
      <c r="E488" s="1049" t="s">
        <v>1317</v>
      </c>
      <c r="F488" s="1056">
        <v>1</v>
      </c>
      <c r="G488" s="1056">
        <v>0</v>
      </c>
      <c r="H488" s="1056">
        <v>22</v>
      </c>
      <c r="I488" s="1052">
        <v>21100</v>
      </c>
      <c r="J488" s="1052">
        <v>21100</v>
      </c>
      <c r="K488" s="1056">
        <f t="shared" si="85"/>
        <v>5169.5</v>
      </c>
      <c r="L488" s="1052">
        <f t="shared" si="86"/>
        <v>3165</v>
      </c>
      <c r="M488" s="1052">
        <f t="shared" si="87"/>
        <v>2004.5</v>
      </c>
      <c r="N488" s="1052">
        <v>0</v>
      </c>
      <c r="O488" s="1052">
        <f t="shared" si="88"/>
        <v>717.4000000000001</v>
      </c>
      <c r="P488" s="1056">
        <f t="shared" si="89"/>
        <v>21100</v>
      </c>
      <c r="Q488" s="1053">
        <v>1110</v>
      </c>
      <c r="R488" s="655"/>
      <c r="S488" s="655"/>
      <c r="T488" s="655"/>
      <c r="U488" s="655"/>
      <c r="V488" s="655"/>
      <c r="W488" s="655"/>
      <c r="X488" s="655"/>
      <c r="Y488" s="655"/>
      <c r="Z488" s="655"/>
      <c r="AA488" s="655"/>
      <c r="AB488" s="655"/>
      <c r="AC488" s="655"/>
      <c r="AD488" s="655"/>
      <c r="AE488" s="655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1:43" ht="12.75">
      <c r="A489" s="1054">
        <v>4</v>
      </c>
      <c r="B489" s="1056"/>
      <c r="C489" s="1470" t="s">
        <v>1319</v>
      </c>
      <c r="D489" s="1471"/>
      <c r="E489" s="1049" t="s">
        <v>1317</v>
      </c>
      <c r="F489" s="1056">
        <v>1</v>
      </c>
      <c r="G489" s="1056">
        <v>0</v>
      </c>
      <c r="H489" s="1056">
        <v>22</v>
      </c>
      <c r="I489" s="1052">
        <v>21100</v>
      </c>
      <c r="J489" s="1052">
        <v>21100</v>
      </c>
      <c r="K489" s="1056">
        <f t="shared" si="85"/>
        <v>5169.5</v>
      </c>
      <c r="L489" s="1052">
        <f t="shared" si="86"/>
        <v>3165</v>
      </c>
      <c r="M489" s="1052">
        <f t="shared" si="87"/>
        <v>2004.5</v>
      </c>
      <c r="N489" s="1056">
        <v>0</v>
      </c>
      <c r="O489" s="1052">
        <f t="shared" si="88"/>
        <v>717.4000000000001</v>
      </c>
      <c r="P489" s="1056">
        <f t="shared" si="89"/>
        <v>21100</v>
      </c>
      <c r="Q489" s="1053">
        <v>1110</v>
      </c>
      <c r="R489" s="655"/>
      <c r="S489" s="655"/>
      <c r="T489" s="655"/>
      <c r="U489" s="655"/>
      <c r="V489" s="655"/>
      <c r="W489" s="655"/>
      <c r="X489" s="655"/>
      <c r="Y489" s="655"/>
      <c r="Z489" s="655"/>
      <c r="AA489" s="655"/>
      <c r="AB489" s="655"/>
      <c r="AC489" s="655"/>
      <c r="AD489" s="655"/>
      <c r="AE489" s="655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1:43" ht="12.75">
      <c r="A490" s="1054">
        <v>5</v>
      </c>
      <c r="B490" s="1056"/>
      <c r="C490" s="1470" t="s">
        <v>1320</v>
      </c>
      <c r="D490" s="1471"/>
      <c r="E490" s="1049" t="s">
        <v>1317</v>
      </c>
      <c r="F490" s="1056">
        <v>1</v>
      </c>
      <c r="G490" s="1056">
        <v>0</v>
      </c>
      <c r="H490" s="1056">
        <v>22</v>
      </c>
      <c r="I490" s="1052">
        <v>21100</v>
      </c>
      <c r="J490" s="1052">
        <v>21100</v>
      </c>
      <c r="K490" s="1056">
        <f t="shared" si="85"/>
        <v>5169.5</v>
      </c>
      <c r="L490" s="1052">
        <f t="shared" si="86"/>
        <v>3165</v>
      </c>
      <c r="M490" s="1052">
        <f t="shared" si="87"/>
        <v>2004.5</v>
      </c>
      <c r="N490" s="1052">
        <v>0</v>
      </c>
      <c r="O490" s="1052">
        <f t="shared" si="88"/>
        <v>717.4000000000001</v>
      </c>
      <c r="P490" s="1056">
        <f t="shared" si="89"/>
        <v>21100</v>
      </c>
      <c r="Q490" s="1053">
        <v>1110</v>
      </c>
      <c r="R490" s="655"/>
      <c r="S490" s="655"/>
      <c r="T490" s="655"/>
      <c r="U490" s="655"/>
      <c r="V490" s="655"/>
      <c r="W490" s="655"/>
      <c r="X490" s="655"/>
      <c r="Y490" s="655"/>
      <c r="Z490" s="655"/>
      <c r="AA490" s="655"/>
      <c r="AB490" s="655"/>
      <c r="AC490" s="655"/>
      <c r="AD490" s="655"/>
      <c r="AE490" s="655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1:43" ht="12.75">
      <c r="A491" s="1054">
        <v>6</v>
      </c>
      <c r="B491" s="1056"/>
      <c r="C491" s="1470" t="s">
        <v>1321</v>
      </c>
      <c r="D491" s="1471"/>
      <c r="E491" s="1049" t="s">
        <v>1317</v>
      </c>
      <c r="F491" s="1056">
        <v>1</v>
      </c>
      <c r="G491" s="1056">
        <v>0</v>
      </c>
      <c r="H491" s="1056">
        <v>22</v>
      </c>
      <c r="I491" s="1052">
        <v>21100</v>
      </c>
      <c r="J491" s="1052">
        <v>21100</v>
      </c>
      <c r="K491" s="1056">
        <f t="shared" si="85"/>
        <v>5169.5</v>
      </c>
      <c r="L491" s="1052">
        <f t="shared" si="86"/>
        <v>3165</v>
      </c>
      <c r="M491" s="1052">
        <f t="shared" si="87"/>
        <v>2004.5</v>
      </c>
      <c r="N491" s="1056">
        <v>0</v>
      </c>
      <c r="O491" s="1052">
        <f t="shared" si="88"/>
        <v>717.4000000000001</v>
      </c>
      <c r="P491" s="1056">
        <f t="shared" si="89"/>
        <v>21100</v>
      </c>
      <c r="Q491" s="1053">
        <v>1110</v>
      </c>
      <c r="R491" s="655"/>
      <c r="S491" s="655"/>
      <c r="T491" s="655"/>
      <c r="U491" s="655"/>
      <c r="V491" s="655"/>
      <c r="W491" s="655"/>
      <c r="X491" s="655"/>
      <c r="Y491" s="655"/>
      <c r="Z491" s="655"/>
      <c r="AA491" s="655"/>
      <c r="AB491" s="655"/>
      <c r="AC491" s="655"/>
      <c r="AD491" s="655"/>
      <c r="AE491" s="655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1:43" ht="12.75">
      <c r="A492" s="1054">
        <v>7</v>
      </c>
      <c r="B492" s="1056"/>
      <c r="C492" s="1470" t="s">
        <v>1726</v>
      </c>
      <c r="D492" s="1471"/>
      <c r="E492" s="1058" t="s">
        <v>1727</v>
      </c>
      <c r="F492" s="1056">
        <v>1</v>
      </c>
      <c r="G492" s="1056">
        <v>0</v>
      </c>
      <c r="H492" s="1056">
        <v>22</v>
      </c>
      <c r="I492" s="1052">
        <v>45000</v>
      </c>
      <c r="J492" s="1052">
        <v>45000</v>
      </c>
      <c r="K492" s="1056">
        <f t="shared" si="85"/>
        <v>11025</v>
      </c>
      <c r="L492" s="1052">
        <f t="shared" si="86"/>
        <v>6750</v>
      </c>
      <c r="M492" s="1052">
        <f t="shared" si="87"/>
        <v>4275</v>
      </c>
      <c r="N492" s="1052"/>
      <c r="O492" s="1052">
        <f t="shared" si="88"/>
        <v>1530</v>
      </c>
      <c r="P492" s="1056">
        <f t="shared" si="89"/>
        <v>45000</v>
      </c>
      <c r="Q492" s="1053">
        <v>4500</v>
      </c>
      <c r="R492" s="655"/>
      <c r="S492" s="655"/>
      <c r="T492" s="655"/>
      <c r="U492" s="655"/>
      <c r="V492" s="655"/>
      <c r="W492" s="655"/>
      <c r="X492" s="655"/>
      <c r="Y492" s="655"/>
      <c r="Z492" s="655"/>
      <c r="AA492" s="655"/>
      <c r="AB492" s="655"/>
      <c r="AC492" s="655"/>
      <c r="AD492" s="655"/>
      <c r="AE492" s="655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1:43" ht="12.75">
      <c r="A493" s="1054">
        <v>8</v>
      </c>
      <c r="B493" s="1056"/>
      <c r="C493" s="1057"/>
      <c r="D493" s="1058"/>
      <c r="E493" s="1058"/>
      <c r="F493" s="1056"/>
      <c r="G493" s="1056"/>
      <c r="H493" s="1056"/>
      <c r="I493" s="1056"/>
      <c r="J493" s="1056"/>
      <c r="K493" s="1056"/>
      <c r="L493" s="1052"/>
      <c r="M493" s="1052"/>
      <c r="N493" s="1052"/>
      <c r="O493" s="1052"/>
      <c r="P493" s="1056"/>
      <c r="Q493" s="1053"/>
      <c r="R493" s="655"/>
      <c r="S493" s="655"/>
      <c r="T493" s="655"/>
      <c r="U493" s="655"/>
      <c r="V493" s="655"/>
      <c r="W493" s="655"/>
      <c r="X493" s="655"/>
      <c r="Y493" s="655"/>
      <c r="Z493" s="655"/>
      <c r="AA493" s="655"/>
      <c r="AB493" s="655"/>
      <c r="AC493" s="655"/>
      <c r="AD493" s="655"/>
      <c r="AE493" s="655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1:43" ht="12.75">
      <c r="A494" s="1054">
        <v>9</v>
      </c>
      <c r="B494" s="1056"/>
      <c r="C494" s="1057"/>
      <c r="D494" s="1058"/>
      <c r="E494" s="1058"/>
      <c r="F494" s="1056"/>
      <c r="G494" s="1056"/>
      <c r="H494" s="1056"/>
      <c r="I494" s="1056"/>
      <c r="J494" s="1056"/>
      <c r="K494" s="1056"/>
      <c r="L494" s="1056"/>
      <c r="M494" s="1056"/>
      <c r="N494" s="1056"/>
      <c r="O494" s="1056"/>
      <c r="P494" s="1056"/>
      <c r="Q494" s="1059"/>
      <c r="R494" s="655"/>
      <c r="S494" s="655"/>
      <c r="T494" s="655"/>
      <c r="U494" s="655"/>
      <c r="V494" s="655"/>
      <c r="W494" s="655"/>
      <c r="X494" s="655"/>
      <c r="Y494" s="655"/>
      <c r="Z494" s="655"/>
      <c r="AA494" s="655"/>
      <c r="AB494" s="655"/>
      <c r="AC494" s="655"/>
      <c r="AD494" s="655"/>
      <c r="AE494" s="655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1:43" ht="12.75">
      <c r="A495" s="1054">
        <v>10</v>
      </c>
      <c r="B495" s="1056"/>
      <c r="C495" s="1057"/>
      <c r="D495" s="1058"/>
      <c r="E495" s="1058"/>
      <c r="F495" s="1056"/>
      <c r="G495" s="1056"/>
      <c r="H495" s="1056"/>
      <c r="I495" s="1056"/>
      <c r="J495" s="1056"/>
      <c r="K495" s="1056"/>
      <c r="L495" s="1056"/>
      <c r="M495" s="1056"/>
      <c r="N495" s="1056"/>
      <c r="O495" s="1056"/>
      <c r="P495" s="1056"/>
      <c r="Q495" s="1059"/>
      <c r="R495" s="655"/>
      <c r="S495" s="655"/>
      <c r="T495" s="655"/>
      <c r="U495" s="655"/>
      <c r="V495" s="655"/>
      <c r="W495" s="655"/>
      <c r="X495" s="655"/>
      <c r="Y495" s="655"/>
      <c r="Z495" s="655"/>
      <c r="AA495" s="655"/>
      <c r="AB495" s="655"/>
      <c r="AC495" s="655"/>
      <c r="AD495" s="655"/>
      <c r="AE495" s="65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1:43" ht="12.75">
      <c r="A496" s="1054">
        <v>11</v>
      </c>
      <c r="B496" s="1056"/>
      <c r="C496" s="1057"/>
      <c r="D496" s="1058"/>
      <c r="E496" s="1058"/>
      <c r="F496" s="1056"/>
      <c r="G496" s="1056"/>
      <c r="H496" s="1056"/>
      <c r="I496" s="1056"/>
      <c r="J496" s="1056"/>
      <c r="K496" s="1056"/>
      <c r="L496" s="1056"/>
      <c r="M496" s="1056"/>
      <c r="N496" s="1056"/>
      <c r="O496" s="1056"/>
      <c r="P496" s="1056"/>
      <c r="Q496" s="1059"/>
      <c r="R496" s="655"/>
      <c r="S496" s="655"/>
      <c r="T496" s="655"/>
      <c r="U496" s="655"/>
      <c r="V496" s="655"/>
      <c r="W496" s="655"/>
      <c r="X496" s="655"/>
      <c r="Y496" s="655"/>
      <c r="Z496" s="655"/>
      <c r="AA496" s="655"/>
      <c r="AB496" s="655"/>
      <c r="AC496" s="655"/>
      <c r="AD496" s="655"/>
      <c r="AE496" s="655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1:43" ht="12.75">
      <c r="A497" s="1054">
        <v>12</v>
      </c>
      <c r="B497" s="1056"/>
      <c r="C497" s="1057"/>
      <c r="D497" s="1058"/>
      <c r="E497" s="1058"/>
      <c r="F497" s="1056"/>
      <c r="G497" s="1056"/>
      <c r="H497" s="1056"/>
      <c r="I497" s="1056"/>
      <c r="J497" s="1056"/>
      <c r="K497" s="1056"/>
      <c r="L497" s="1056"/>
      <c r="M497" s="1056"/>
      <c r="N497" s="1056"/>
      <c r="O497" s="1056"/>
      <c r="P497" s="1056"/>
      <c r="Q497" s="1059"/>
      <c r="R497" s="655"/>
      <c r="S497" s="655"/>
      <c r="T497" s="655"/>
      <c r="U497" s="655"/>
      <c r="V497" s="655"/>
      <c r="W497" s="655"/>
      <c r="X497" s="655"/>
      <c r="Y497" s="655"/>
      <c r="Z497" s="655"/>
      <c r="AA497" s="655"/>
      <c r="AB497" s="655"/>
      <c r="AC497" s="655"/>
      <c r="AD497" s="655"/>
      <c r="AE497" s="655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1:43" ht="12.75">
      <c r="A498" s="1054">
        <v>13</v>
      </c>
      <c r="B498" s="1056"/>
      <c r="C498" s="1057"/>
      <c r="D498" s="1058"/>
      <c r="E498" s="1058"/>
      <c r="F498" s="1056"/>
      <c r="G498" s="1056"/>
      <c r="H498" s="1056"/>
      <c r="I498" s="1056"/>
      <c r="J498" s="1056"/>
      <c r="K498" s="1056"/>
      <c r="L498" s="1056"/>
      <c r="M498" s="1056"/>
      <c r="N498" s="1056"/>
      <c r="O498" s="1056"/>
      <c r="P498" s="1056"/>
      <c r="Q498" s="1059"/>
      <c r="R498" s="655"/>
      <c r="S498" s="655"/>
      <c r="T498" s="655"/>
      <c r="U498" s="655"/>
      <c r="V498" s="655"/>
      <c r="W498" s="655"/>
      <c r="X498" s="655"/>
      <c r="Y498" s="655"/>
      <c r="Z498" s="655"/>
      <c r="AA498" s="655"/>
      <c r="AB498" s="655"/>
      <c r="AC498" s="655"/>
      <c r="AD498" s="655"/>
      <c r="AE498" s="655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1:43" ht="12.75">
      <c r="A499" s="1054">
        <v>14</v>
      </c>
      <c r="B499" s="1056"/>
      <c r="C499" s="1057"/>
      <c r="D499" s="1058"/>
      <c r="E499" s="1058"/>
      <c r="F499" s="1056"/>
      <c r="G499" s="1056"/>
      <c r="H499" s="1056"/>
      <c r="I499" s="1056"/>
      <c r="J499" s="1056"/>
      <c r="K499" s="1056"/>
      <c r="L499" s="1056"/>
      <c r="M499" s="1056"/>
      <c r="N499" s="1056"/>
      <c r="O499" s="1056"/>
      <c r="P499" s="1056"/>
      <c r="Q499" s="1059"/>
      <c r="R499" s="655"/>
      <c r="S499" s="655"/>
      <c r="T499" s="655"/>
      <c r="U499" s="655"/>
      <c r="V499" s="655"/>
      <c r="W499" s="655"/>
      <c r="X499" s="655"/>
      <c r="Y499" s="655"/>
      <c r="Z499" s="655"/>
      <c r="AA499" s="655"/>
      <c r="AB499" s="655"/>
      <c r="AC499" s="655"/>
      <c r="AD499" s="655"/>
      <c r="AE499" s="655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1:43" ht="12.75">
      <c r="A500" s="1054">
        <v>15</v>
      </c>
      <c r="B500" s="1056"/>
      <c r="C500" s="1057"/>
      <c r="D500" s="1058"/>
      <c r="E500" s="1058"/>
      <c r="F500" s="1056"/>
      <c r="G500" s="1056"/>
      <c r="H500" s="1056"/>
      <c r="I500" s="1056"/>
      <c r="J500" s="1056"/>
      <c r="K500" s="1056"/>
      <c r="L500" s="1056"/>
      <c r="M500" s="1056"/>
      <c r="N500" s="1056"/>
      <c r="O500" s="1056"/>
      <c r="P500" s="1056"/>
      <c r="Q500" s="1059"/>
      <c r="R500" s="655"/>
      <c r="S500" s="655"/>
      <c r="T500" s="655"/>
      <c r="U500" s="655"/>
      <c r="V500" s="655"/>
      <c r="W500" s="655"/>
      <c r="X500" s="655"/>
      <c r="Y500" s="655"/>
      <c r="Z500" s="655"/>
      <c r="AA500" s="655"/>
      <c r="AB500" s="655"/>
      <c r="AC500" s="655"/>
      <c r="AD500" s="655"/>
      <c r="AE500" s="655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1:43" ht="12.75">
      <c r="A501" s="1054">
        <v>16</v>
      </c>
      <c r="B501" s="1056"/>
      <c r="C501" s="1057"/>
      <c r="D501" s="1058"/>
      <c r="E501" s="1058"/>
      <c r="F501" s="1056"/>
      <c r="G501" s="1056"/>
      <c r="H501" s="1056"/>
      <c r="I501" s="1056"/>
      <c r="J501" s="1056"/>
      <c r="K501" s="1056"/>
      <c r="L501" s="1056"/>
      <c r="M501" s="1056"/>
      <c r="N501" s="1056"/>
      <c r="O501" s="1056"/>
      <c r="P501" s="1056"/>
      <c r="Q501" s="1059"/>
      <c r="R501" s="655"/>
      <c r="S501" s="655"/>
      <c r="T501" s="655"/>
      <c r="U501" s="655"/>
      <c r="V501" s="655"/>
      <c r="W501" s="655"/>
      <c r="X501" s="655"/>
      <c r="Y501" s="655"/>
      <c r="Z501" s="655"/>
      <c r="AA501" s="655"/>
      <c r="AB501" s="655"/>
      <c r="AC501" s="655"/>
      <c r="AD501" s="655"/>
      <c r="AE501" s="655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1:43" ht="12.75">
      <c r="A502" s="1054">
        <v>17</v>
      </c>
      <c r="B502" s="1056"/>
      <c r="C502" s="1057"/>
      <c r="D502" s="1058"/>
      <c r="E502" s="1058"/>
      <c r="F502" s="1056"/>
      <c r="G502" s="1056"/>
      <c r="H502" s="1056"/>
      <c r="I502" s="1056"/>
      <c r="J502" s="1056"/>
      <c r="K502" s="1056"/>
      <c r="L502" s="1056"/>
      <c r="M502" s="1056"/>
      <c r="N502" s="1056"/>
      <c r="O502" s="1056"/>
      <c r="P502" s="1056"/>
      <c r="Q502" s="1059"/>
      <c r="R502" s="655"/>
      <c r="S502" s="655"/>
      <c r="T502" s="655"/>
      <c r="U502" s="655"/>
      <c r="V502" s="655"/>
      <c r="W502" s="655"/>
      <c r="X502" s="655"/>
      <c r="Y502" s="655"/>
      <c r="Z502" s="655"/>
      <c r="AA502" s="655"/>
      <c r="AB502" s="655"/>
      <c r="AC502" s="655"/>
      <c r="AD502" s="655"/>
      <c r="AE502" s="655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1:43" ht="12.75">
      <c r="A503" s="1054">
        <v>18</v>
      </c>
      <c r="B503" s="1056"/>
      <c r="C503" s="1057"/>
      <c r="D503" s="1058"/>
      <c r="E503" s="1058"/>
      <c r="F503" s="1056"/>
      <c r="G503" s="1056"/>
      <c r="H503" s="1056"/>
      <c r="I503" s="1056"/>
      <c r="J503" s="1056"/>
      <c r="K503" s="1056"/>
      <c r="L503" s="1056"/>
      <c r="M503" s="1056"/>
      <c r="N503" s="1056"/>
      <c r="O503" s="1056"/>
      <c r="P503" s="1056"/>
      <c r="Q503" s="1059"/>
      <c r="R503" s="655"/>
      <c r="S503" s="655"/>
      <c r="T503" s="655"/>
      <c r="U503" s="655"/>
      <c r="V503" s="655"/>
      <c r="W503" s="655"/>
      <c r="X503" s="655"/>
      <c r="Y503" s="655"/>
      <c r="Z503" s="655"/>
      <c r="AA503" s="655"/>
      <c r="AB503" s="655"/>
      <c r="AC503" s="655"/>
      <c r="AD503" s="655"/>
      <c r="AE503" s="655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1:43" ht="12.75">
      <c r="A504" s="1054">
        <v>19</v>
      </c>
      <c r="B504" s="1056"/>
      <c r="C504" s="1057"/>
      <c r="D504" s="1058"/>
      <c r="E504" s="1058"/>
      <c r="F504" s="1056"/>
      <c r="G504" s="1056"/>
      <c r="H504" s="1056"/>
      <c r="I504" s="1056"/>
      <c r="J504" s="1056"/>
      <c r="K504" s="1056"/>
      <c r="L504" s="1056"/>
      <c r="M504" s="1056"/>
      <c r="N504" s="1056"/>
      <c r="O504" s="1056"/>
      <c r="P504" s="1056"/>
      <c r="Q504" s="1059"/>
      <c r="R504" s="655"/>
      <c r="S504" s="655"/>
      <c r="T504" s="655"/>
      <c r="U504" s="655"/>
      <c r="V504" s="655"/>
      <c r="W504" s="655"/>
      <c r="X504" s="655"/>
      <c r="Y504" s="655"/>
      <c r="Z504" s="655"/>
      <c r="AA504" s="655"/>
      <c r="AB504" s="655"/>
      <c r="AC504" s="655"/>
      <c r="AD504" s="655"/>
      <c r="AE504" s="655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1:43" ht="12.75">
      <c r="A505" s="1054">
        <v>20</v>
      </c>
      <c r="B505" s="1056"/>
      <c r="C505" s="1057"/>
      <c r="D505" s="1058"/>
      <c r="E505" s="1058"/>
      <c r="F505" s="1056"/>
      <c r="G505" s="1056"/>
      <c r="H505" s="1056"/>
      <c r="I505" s="1056"/>
      <c r="J505" s="1056"/>
      <c r="K505" s="1056"/>
      <c r="L505" s="1056"/>
      <c r="M505" s="1056"/>
      <c r="N505" s="1056"/>
      <c r="O505" s="1056"/>
      <c r="P505" s="1056"/>
      <c r="Q505" s="1059"/>
      <c r="R505" s="655"/>
      <c r="S505" s="655"/>
      <c r="T505" s="655"/>
      <c r="U505" s="655"/>
      <c r="V505" s="655"/>
      <c r="W505" s="655"/>
      <c r="X505" s="655"/>
      <c r="Y505" s="655"/>
      <c r="Z505" s="655"/>
      <c r="AA505" s="655"/>
      <c r="AB505" s="655"/>
      <c r="AC505" s="655"/>
      <c r="AD505" s="655"/>
      <c r="AE505" s="65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1:43" ht="12.75">
      <c r="A506" s="1054">
        <v>21</v>
      </c>
      <c r="B506" s="1056"/>
      <c r="C506" s="1057"/>
      <c r="D506" s="1058"/>
      <c r="E506" s="1058"/>
      <c r="F506" s="1056"/>
      <c r="G506" s="1056"/>
      <c r="H506" s="1056"/>
      <c r="I506" s="1056"/>
      <c r="J506" s="1056"/>
      <c r="K506" s="1056"/>
      <c r="L506" s="1056"/>
      <c r="M506" s="1056"/>
      <c r="N506" s="1056"/>
      <c r="O506" s="1056"/>
      <c r="P506" s="1056"/>
      <c r="Q506" s="1059"/>
      <c r="R506" s="655"/>
      <c r="S506" s="655"/>
      <c r="T506" s="655"/>
      <c r="U506" s="655"/>
      <c r="V506" s="655"/>
      <c r="W506" s="655"/>
      <c r="X506" s="655"/>
      <c r="Y506" s="655"/>
      <c r="Z506" s="655"/>
      <c r="AA506" s="655"/>
      <c r="AB506" s="655"/>
      <c r="AC506" s="655"/>
      <c r="AD506" s="655"/>
      <c r="AE506" s="655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1:43" ht="12.75">
      <c r="A507" s="1054">
        <v>22</v>
      </c>
      <c r="B507" s="1056"/>
      <c r="C507" s="1057"/>
      <c r="D507" s="1058"/>
      <c r="E507" s="1058"/>
      <c r="F507" s="1056"/>
      <c r="G507" s="1056"/>
      <c r="H507" s="1056"/>
      <c r="I507" s="1056"/>
      <c r="J507" s="1056"/>
      <c r="K507" s="1056"/>
      <c r="L507" s="1056"/>
      <c r="M507" s="1056"/>
      <c r="N507" s="1056"/>
      <c r="O507" s="1056"/>
      <c r="P507" s="1056"/>
      <c r="Q507" s="1059"/>
      <c r="R507" s="655"/>
      <c r="S507" s="655"/>
      <c r="T507" s="655"/>
      <c r="U507" s="655"/>
      <c r="V507" s="655"/>
      <c r="W507" s="655"/>
      <c r="X507" s="655"/>
      <c r="Y507" s="655"/>
      <c r="Z507" s="655"/>
      <c r="AA507" s="655"/>
      <c r="AB507" s="655"/>
      <c r="AC507" s="655"/>
      <c r="AD507" s="655"/>
      <c r="AE507" s="655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1:43" ht="12.75">
      <c r="A508" s="1054">
        <v>23</v>
      </c>
      <c r="B508" s="1056"/>
      <c r="C508" s="1057"/>
      <c r="D508" s="1058"/>
      <c r="E508" s="1058"/>
      <c r="F508" s="1056"/>
      <c r="G508" s="1056"/>
      <c r="H508" s="1056"/>
      <c r="I508" s="1056"/>
      <c r="J508" s="1056"/>
      <c r="K508" s="1056"/>
      <c r="L508" s="1056"/>
      <c r="M508" s="1056"/>
      <c r="N508" s="1056"/>
      <c r="O508" s="1056"/>
      <c r="P508" s="1056"/>
      <c r="Q508" s="1059"/>
      <c r="R508" s="655"/>
      <c r="S508" s="655"/>
      <c r="T508" s="655"/>
      <c r="U508" s="655"/>
      <c r="V508" s="655"/>
      <c r="W508" s="655"/>
      <c r="X508" s="655"/>
      <c r="Y508" s="655"/>
      <c r="Z508" s="655"/>
      <c r="AA508" s="655"/>
      <c r="AB508" s="655"/>
      <c r="AC508" s="655"/>
      <c r="AD508" s="655"/>
      <c r="AE508" s="655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1:43" ht="12.75">
      <c r="A509" s="1054">
        <v>24</v>
      </c>
      <c r="B509" s="1056"/>
      <c r="C509" s="1057"/>
      <c r="D509" s="1058"/>
      <c r="E509" s="1058"/>
      <c r="F509" s="1056"/>
      <c r="G509" s="1056"/>
      <c r="H509" s="1056"/>
      <c r="I509" s="1056"/>
      <c r="J509" s="1056"/>
      <c r="K509" s="1056"/>
      <c r="L509" s="1056"/>
      <c r="M509" s="1056"/>
      <c r="N509" s="1056"/>
      <c r="O509" s="1056"/>
      <c r="P509" s="1056"/>
      <c r="Q509" s="1059"/>
      <c r="R509" s="655"/>
      <c r="S509" s="655"/>
      <c r="T509" s="655"/>
      <c r="U509" s="655"/>
      <c r="V509" s="655"/>
      <c r="W509" s="655"/>
      <c r="X509" s="655"/>
      <c r="Y509" s="655"/>
      <c r="Z509" s="655"/>
      <c r="AA509" s="655"/>
      <c r="AB509" s="655"/>
      <c r="AC509" s="655"/>
      <c r="AD509" s="655"/>
      <c r="AE509" s="655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1:43" ht="13.5" thickBot="1">
      <c r="A510" s="1054">
        <v>25</v>
      </c>
      <c r="B510" s="1060"/>
      <c r="C510" s="1061"/>
      <c r="D510" s="1062"/>
      <c r="E510" s="1062"/>
      <c r="F510" s="1060"/>
      <c r="G510" s="1060"/>
      <c r="H510" s="1060"/>
      <c r="I510" s="1060"/>
      <c r="J510" s="1060"/>
      <c r="K510" s="1060"/>
      <c r="L510" s="1060"/>
      <c r="M510" s="1060"/>
      <c r="N510" s="1060"/>
      <c r="O510" s="1060"/>
      <c r="P510" s="1060"/>
      <c r="Q510" s="1063"/>
      <c r="R510" s="655"/>
      <c r="S510" s="655"/>
      <c r="T510" s="655"/>
      <c r="U510" s="655"/>
      <c r="V510" s="655"/>
      <c r="W510" s="655"/>
      <c r="X510" s="655"/>
      <c r="Y510" s="655"/>
      <c r="Z510" s="655"/>
      <c r="AA510" s="655"/>
      <c r="AB510" s="655"/>
      <c r="AC510" s="655"/>
      <c r="AD510" s="655"/>
      <c r="AE510" s="655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1:43" ht="13.5" thickBot="1">
      <c r="A511" s="1472" t="s">
        <v>753</v>
      </c>
      <c r="B511" s="1473"/>
      <c r="C511" s="1473"/>
      <c r="D511" s="1473"/>
      <c r="E511" s="1473"/>
      <c r="F511" s="1473"/>
      <c r="G511" s="1473"/>
      <c r="H511" s="1474"/>
      <c r="I511" s="1064">
        <f>SUM(I486:I510)</f>
        <v>200500</v>
      </c>
      <c r="J511" s="1064">
        <f aca="true" t="shared" si="90" ref="J511:Q511">SUM(J486:J510)</f>
        <v>200500</v>
      </c>
      <c r="K511" s="1064">
        <f t="shared" si="90"/>
        <v>49122.5</v>
      </c>
      <c r="L511" s="1064">
        <f t="shared" si="90"/>
        <v>30075</v>
      </c>
      <c r="M511" s="1064">
        <f t="shared" si="90"/>
        <v>19047.5</v>
      </c>
      <c r="N511" s="1064">
        <f t="shared" si="90"/>
        <v>0</v>
      </c>
      <c r="O511" s="1064">
        <f t="shared" si="90"/>
        <v>6817</v>
      </c>
      <c r="P511" s="1064">
        <f t="shared" si="90"/>
        <v>200500</v>
      </c>
      <c r="Q511" s="1064">
        <f t="shared" si="90"/>
        <v>15050</v>
      </c>
      <c r="R511" s="655"/>
      <c r="S511" s="655"/>
      <c r="T511" s="655"/>
      <c r="U511" s="655"/>
      <c r="V511" s="655"/>
      <c r="W511" s="655"/>
      <c r="X511" s="655"/>
      <c r="Y511" s="655"/>
      <c r="Z511" s="655"/>
      <c r="AA511" s="655"/>
      <c r="AB511" s="655"/>
      <c r="AC511" s="655"/>
      <c r="AD511" s="655"/>
      <c r="AE511" s="655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1:43" ht="13.5" thickBot="1">
      <c r="A512" s="1475" t="s">
        <v>756</v>
      </c>
      <c r="B512" s="1476"/>
      <c r="C512" s="1476"/>
      <c r="D512" s="1476"/>
      <c r="E512" s="1476"/>
      <c r="F512" s="1476"/>
      <c r="G512" s="1476"/>
      <c r="H512" s="1477"/>
      <c r="I512" s="1065"/>
      <c r="J512" s="1066"/>
      <c r="K512" s="1066"/>
      <c r="L512" s="1066"/>
      <c r="M512" s="1066"/>
      <c r="N512" s="1066">
        <v>0</v>
      </c>
      <c r="O512" s="1066"/>
      <c r="P512" s="1066"/>
      <c r="Q512" s="1067"/>
      <c r="R512" s="655"/>
      <c r="S512" s="655"/>
      <c r="T512" s="655"/>
      <c r="U512" s="655"/>
      <c r="V512" s="655"/>
      <c r="W512" s="655"/>
      <c r="X512" s="655"/>
      <c r="Y512" s="655"/>
      <c r="Z512" s="655"/>
      <c r="AA512" s="655"/>
      <c r="AB512" s="655"/>
      <c r="AC512" s="655"/>
      <c r="AD512" s="655"/>
      <c r="AE512" s="655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1:43" ht="13.5" thickBot="1">
      <c r="A513" s="1478" t="s">
        <v>759</v>
      </c>
      <c r="B513" s="1479"/>
      <c r="C513" s="1479"/>
      <c r="D513" s="1479"/>
      <c r="E513" s="1479"/>
      <c r="F513" s="1479"/>
      <c r="G513" s="1479"/>
      <c r="H513" s="1480"/>
      <c r="I513" s="1064">
        <f>SUM(I511:I512)</f>
        <v>200500</v>
      </c>
      <c r="J513" s="1064">
        <f aca="true" t="shared" si="91" ref="J513:Q513">SUM(J511:J512)</f>
        <v>200500</v>
      </c>
      <c r="K513" s="1064">
        <f t="shared" si="91"/>
        <v>49122.5</v>
      </c>
      <c r="L513" s="1064">
        <f t="shared" si="91"/>
        <v>30075</v>
      </c>
      <c r="M513" s="1064">
        <f t="shared" si="91"/>
        <v>19047.5</v>
      </c>
      <c r="N513" s="1064">
        <f t="shared" si="91"/>
        <v>0</v>
      </c>
      <c r="O513" s="1064">
        <f t="shared" si="91"/>
        <v>6817</v>
      </c>
      <c r="P513" s="1064">
        <f t="shared" si="91"/>
        <v>200500</v>
      </c>
      <c r="Q513" s="1064">
        <f t="shared" si="91"/>
        <v>15050</v>
      </c>
      <c r="R513" s="655"/>
      <c r="S513" s="655"/>
      <c r="T513" s="655"/>
      <c r="U513" s="655"/>
      <c r="V513" s="655"/>
      <c r="W513" s="655"/>
      <c r="X513" s="655"/>
      <c r="Y513" s="655"/>
      <c r="Z513" s="655"/>
      <c r="AA513" s="655"/>
      <c r="AB513" s="655"/>
      <c r="AC513" s="655"/>
      <c r="AD513" s="655"/>
      <c r="AE513" s="655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1:43" ht="12.75">
      <c r="A514" s="683"/>
      <c r="B514" s="684" t="s">
        <v>764</v>
      </c>
      <c r="C514" s="685"/>
      <c r="D514" s="685"/>
      <c r="E514" s="685"/>
      <c r="F514" s="685"/>
      <c r="G514" s="685"/>
      <c r="H514" s="1068"/>
      <c r="I514" s="686" t="s">
        <v>765</v>
      </c>
      <c r="J514" s="685"/>
      <c r="K514" s="685"/>
      <c r="L514" s="685"/>
      <c r="M514" s="685"/>
      <c r="N514" s="685"/>
      <c r="O514" s="685"/>
      <c r="P514" s="685"/>
      <c r="Q514" s="687"/>
      <c r="R514" s="655"/>
      <c r="S514" s="655"/>
      <c r="T514" s="655"/>
      <c r="U514" s="655"/>
      <c r="V514" s="655"/>
      <c r="W514" s="655"/>
      <c r="X514" s="655"/>
      <c r="Y514" s="655"/>
      <c r="Z514" s="655"/>
      <c r="AA514" s="655"/>
      <c r="AB514" s="655"/>
      <c r="AC514" s="655"/>
      <c r="AD514" s="655"/>
      <c r="AE514" s="655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1:43" ht="12.75">
      <c r="A515" s="688" t="s">
        <v>1323</v>
      </c>
      <c r="B515" s="689"/>
      <c r="C515" s="689"/>
      <c r="D515" s="689"/>
      <c r="E515" s="689"/>
      <c r="F515" s="689"/>
      <c r="G515" s="689"/>
      <c r="H515" s="1069"/>
      <c r="I515" s="690" t="s">
        <v>766</v>
      </c>
      <c r="J515" s="689"/>
      <c r="K515" s="689"/>
      <c r="L515" s="689"/>
      <c r="M515" s="689"/>
      <c r="N515" s="689"/>
      <c r="O515" s="689"/>
      <c r="P515" s="689"/>
      <c r="Q515" s="691"/>
      <c r="R515" s="655"/>
      <c r="S515" s="655"/>
      <c r="T515" s="655"/>
      <c r="U515" s="655"/>
      <c r="V515" s="655"/>
      <c r="W515" s="655"/>
      <c r="X515" s="655"/>
      <c r="Y515" s="655"/>
      <c r="Z515" s="655"/>
      <c r="AA515" s="655"/>
      <c r="AB515" s="655"/>
      <c r="AC515" s="655"/>
      <c r="AD515" s="655"/>
      <c r="AE515" s="65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1:43" ht="12.75">
      <c r="A516" s="688" t="s">
        <v>1324</v>
      </c>
      <c r="B516" s="689"/>
      <c r="C516" s="689"/>
      <c r="D516" s="689"/>
      <c r="E516" s="689"/>
      <c r="F516" s="689"/>
      <c r="G516" s="689"/>
      <c r="H516" s="1069"/>
      <c r="I516" s="47" t="s">
        <v>767</v>
      </c>
      <c r="J516" s="689"/>
      <c r="K516" s="689"/>
      <c r="L516" s="689"/>
      <c r="M516" s="689"/>
      <c r="N516" s="689"/>
      <c r="O516" s="689"/>
      <c r="P516" s="689"/>
      <c r="Q516" s="691"/>
      <c r="R516" s="655"/>
      <c r="S516" s="655"/>
      <c r="T516" s="655"/>
      <c r="U516" s="655"/>
      <c r="V516" s="655"/>
      <c r="W516" s="655"/>
      <c r="X516" s="655"/>
      <c r="Y516" s="655"/>
      <c r="Z516" s="655"/>
      <c r="AA516" s="655"/>
      <c r="AB516" s="655"/>
      <c r="AC516" s="655"/>
      <c r="AD516" s="655"/>
      <c r="AE516" s="655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1:43" ht="12.75">
      <c r="A517" s="688" t="s">
        <v>1325</v>
      </c>
      <c r="B517" s="689"/>
      <c r="C517" s="1"/>
      <c r="D517" s="689"/>
      <c r="E517" s="689"/>
      <c r="F517" s="689"/>
      <c r="G517" s="689"/>
      <c r="H517" s="1069"/>
      <c r="I517" s="690" t="s">
        <v>768</v>
      </c>
      <c r="J517" s="689"/>
      <c r="K517" s="689"/>
      <c r="L517" s="689"/>
      <c r="M517" s="689"/>
      <c r="N517" s="689"/>
      <c r="O517" s="689"/>
      <c r="P517" s="689"/>
      <c r="Q517" s="691"/>
      <c r="R517" s="655"/>
      <c r="S517" s="655"/>
      <c r="T517" s="655"/>
      <c r="U517" s="655"/>
      <c r="V517" s="655"/>
      <c r="W517" s="655"/>
      <c r="X517" s="655"/>
      <c r="Y517" s="655"/>
      <c r="Z517" s="655"/>
      <c r="AA517" s="655"/>
      <c r="AB517" s="655"/>
      <c r="AC517" s="655"/>
      <c r="AD517" s="655"/>
      <c r="AE517" s="655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1:43" ht="12.75">
      <c r="A518" s="688"/>
      <c r="B518" s="689"/>
      <c r="C518" s="689"/>
      <c r="D518" s="689"/>
      <c r="E518" s="689"/>
      <c r="F518" s="689"/>
      <c r="G518" s="689"/>
      <c r="H518" s="1069"/>
      <c r="I518" s="690" t="s">
        <v>769</v>
      </c>
      <c r="J518" s="689"/>
      <c r="K518" s="689"/>
      <c r="L518" s="689"/>
      <c r="M518" s="689"/>
      <c r="N518" s="689"/>
      <c r="O518" s="689"/>
      <c r="P518" s="689"/>
      <c r="Q518" s="691"/>
      <c r="R518" s="655"/>
      <c r="S518" s="655"/>
      <c r="T518" s="655"/>
      <c r="U518" s="655"/>
      <c r="V518" s="655"/>
      <c r="W518" s="655"/>
      <c r="X518" s="655"/>
      <c r="Y518" s="655"/>
      <c r="Z518" s="655"/>
      <c r="AA518" s="655"/>
      <c r="AB518" s="655"/>
      <c r="AC518" s="655"/>
      <c r="AD518" s="655"/>
      <c r="AE518" s="655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1:43" ht="12.75">
      <c r="A519" s="688"/>
      <c r="B519" s="700" t="s">
        <v>770</v>
      </c>
      <c r="C519" s="689"/>
      <c r="D519" s="689"/>
      <c r="E519" s="689"/>
      <c r="F519" s="689"/>
      <c r="G519" s="689"/>
      <c r="H519" s="1069"/>
      <c r="I519" s="47" t="s">
        <v>771</v>
      </c>
      <c r="J519" s="689"/>
      <c r="K519" s="689"/>
      <c r="L519" s="689"/>
      <c r="M519" s="689"/>
      <c r="N519" s="689"/>
      <c r="O519" s="689"/>
      <c r="P519" s="689"/>
      <c r="Q519" s="691"/>
      <c r="R519" s="655"/>
      <c r="S519" s="655"/>
      <c r="T519" s="655"/>
      <c r="U519" s="655"/>
      <c r="V519" s="655"/>
      <c r="W519" s="655"/>
      <c r="X519" s="655"/>
      <c r="Y519" s="655"/>
      <c r="Z519" s="655"/>
      <c r="AA519" s="655"/>
      <c r="AB519" s="655"/>
      <c r="AC519" s="655"/>
      <c r="AD519" s="655"/>
      <c r="AE519" s="655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1:43" ht="12.75">
      <c r="A520" s="688"/>
      <c r="B520" s="689" t="s">
        <v>1326</v>
      </c>
      <c r="C520" s="689"/>
      <c r="D520" s="689"/>
      <c r="E520" s="689"/>
      <c r="F520" s="689"/>
      <c r="G520" s="689"/>
      <c r="H520" s="1069"/>
      <c r="I520" s="47"/>
      <c r="J520" s="689"/>
      <c r="K520" s="689"/>
      <c r="L520" s="701" t="s">
        <v>772</v>
      </c>
      <c r="M520" s="689"/>
      <c r="N520" s="689"/>
      <c r="O520" s="689"/>
      <c r="P520" s="689"/>
      <c r="Q520" s="691"/>
      <c r="R520" s="655"/>
      <c r="S520" s="655"/>
      <c r="T520" s="655"/>
      <c r="U520" s="655"/>
      <c r="V520" s="655"/>
      <c r="W520" s="655"/>
      <c r="X520" s="655"/>
      <c r="Y520" s="655"/>
      <c r="Z520" s="655"/>
      <c r="AA520" s="655"/>
      <c r="AB520" s="655"/>
      <c r="AC520" s="655"/>
      <c r="AD520" s="655"/>
      <c r="AE520" s="655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1:43" ht="12.75">
      <c r="A521" s="688"/>
      <c r="B521" s="689"/>
      <c r="C521" s="689"/>
      <c r="D521" s="689" t="s">
        <v>773</v>
      </c>
      <c r="E521" s="689"/>
      <c r="F521" s="689"/>
      <c r="G521" s="689"/>
      <c r="H521" s="1069"/>
      <c r="I521" s="690" t="s">
        <v>774</v>
      </c>
      <c r="J521" s="689"/>
      <c r="K521" s="689"/>
      <c r="L521" s="689"/>
      <c r="M521" s="689"/>
      <c r="N521" s="689"/>
      <c r="O521" s="689"/>
      <c r="P521" s="689"/>
      <c r="Q521" s="689"/>
      <c r="R521" s="655"/>
      <c r="S521" s="655"/>
      <c r="T521" s="655"/>
      <c r="U521" s="655"/>
      <c r="V521" s="655"/>
      <c r="W521" s="655"/>
      <c r="X521" s="655"/>
      <c r="Y521" s="655"/>
      <c r="Z521" s="655"/>
      <c r="AA521" s="655"/>
      <c r="AB521" s="655"/>
      <c r="AC521" s="655"/>
      <c r="AD521" s="655"/>
      <c r="AE521" s="655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1:43" ht="12.75">
      <c r="A522" s="688"/>
      <c r="B522" s="689"/>
      <c r="C522" s="689"/>
      <c r="D522" s="689"/>
      <c r="E522" s="689"/>
      <c r="F522" s="689"/>
      <c r="G522" s="689"/>
      <c r="H522" s="1069"/>
      <c r="I522" s="690"/>
      <c r="J522" s="689" t="s">
        <v>775</v>
      </c>
      <c r="K522" s="689"/>
      <c r="L522" s="689"/>
      <c r="M522" s="689"/>
      <c r="N522" s="689"/>
      <c r="O522" s="689"/>
      <c r="P522" s="689"/>
      <c r="Q522" s="689"/>
      <c r="R522" s="655"/>
      <c r="S522" s="655"/>
      <c r="T522" s="655"/>
      <c r="U522" s="655"/>
      <c r="V522" s="655"/>
      <c r="W522" s="655"/>
      <c r="X522" s="655"/>
      <c r="Y522" s="655"/>
      <c r="Z522" s="655"/>
      <c r="AA522" s="655"/>
      <c r="AB522" s="655"/>
      <c r="AC522" s="655"/>
      <c r="AD522" s="655"/>
      <c r="AE522" s="655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1:43" ht="13.5" thickBot="1">
      <c r="A523" s="702"/>
      <c r="B523" s="703"/>
      <c r="C523" s="703"/>
      <c r="D523" s="703"/>
      <c r="E523" s="703"/>
      <c r="F523" s="703"/>
      <c r="G523" s="703"/>
      <c r="H523" s="1070"/>
      <c r="I523" s="704"/>
      <c r="J523" s="705" t="s">
        <v>776</v>
      </c>
      <c r="K523" s="703"/>
      <c r="L523" s="703"/>
      <c r="M523" s="703"/>
      <c r="N523" s="703"/>
      <c r="O523" s="703"/>
      <c r="P523" s="703"/>
      <c r="Q523" s="706"/>
      <c r="R523" s="655"/>
      <c r="S523" s="655"/>
      <c r="T523" s="655"/>
      <c r="U523" s="655"/>
      <c r="V523" s="655"/>
      <c r="W523" s="655"/>
      <c r="X523" s="655"/>
      <c r="Y523" s="655"/>
      <c r="Z523" s="655"/>
      <c r="AA523" s="655"/>
      <c r="AB523" s="655"/>
      <c r="AC523" s="655"/>
      <c r="AD523" s="655"/>
      <c r="AE523" s="655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1:43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 s="655"/>
      <c r="S524" s="655"/>
      <c r="T524" s="655"/>
      <c r="U524" s="655"/>
      <c r="V524" s="655"/>
      <c r="W524" s="655"/>
      <c r="X524" s="655"/>
      <c r="Y524" s="655"/>
      <c r="Z524" s="655"/>
      <c r="AA524" s="655"/>
      <c r="AB524" s="655"/>
      <c r="AC524" s="655"/>
      <c r="AD524" s="655"/>
      <c r="AE524" s="655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1:43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 s="655"/>
      <c r="S525" s="655"/>
      <c r="T525" s="655"/>
      <c r="U525" s="655"/>
      <c r="V525" s="655"/>
      <c r="W525" s="655"/>
      <c r="X525" s="655"/>
      <c r="Y525" s="655"/>
      <c r="Z525" s="655"/>
      <c r="AA525" s="655"/>
      <c r="AB525" s="655"/>
      <c r="AC525" s="655"/>
      <c r="AD525" s="655"/>
      <c r="AE525" s="65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1:43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 s="655"/>
      <c r="S526" s="655"/>
      <c r="T526" s="655"/>
      <c r="U526" s="655"/>
      <c r="V526" s="655"/>
      <c r="W526" s="655"/>
      <c r="X526" s="655"/>
      <c r="Y526" s="655"/>
      <c r="Z526" s="655"/>
      <c r="AA526" s="655"/>
      <c r="AB526" s="655"/>
      <c r="AC526" s="655"/>
      <c r="AD526" s="655"/>
      <c r="AE526" s="655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1:43" ht="15">
      <c r="A527" s="1025" t="s">
        <v>1293</v>
      </c>
      <c r="B527" s="1025"/>
      <c r="C527" s="1025"/>
      <c r="D527"/>
      <c r="E527" s="1025" t="s">
        <v>1294</v>
      </c>
      <c r="F527" s="1025"/>
      <c r="G527" s="1025"/>
      <c r="H527" s="1025"/>
      <c r="I527" s="1025"/>
      <c r="J527" s="1025" t="s">
        <v>1729</v>
      </c>
      <c r="K527" s="1025"/>
      <c r="L527" s="1025"/>
      <c r="M527" s="1025"/>
      <c r="N527" s="1025"/>
      <c r="O527" s="1025"/>
      <c r="P527" s="1025"/>
      <c r="Q527"/>
      <c r="R527" s="655"/>
      <c r="S527" s="655"/>
      <c r="T527" s="655"/>
      <c r="U527" s="655"/>
      <c r="V527" s="655"/>
      <c r="W527" s="655"/>
      <c r="X527" s="655"/>
      <c r="Y527" s="655"/>
      <c r="Z527" s="655"/>
      <c r="AA527" s="655"/>
      <c r="AB527" s="655"/>
      <c r="AC527" s="655"/>
      <c r="AD527" s="655"/>
      <c r="AE527" s="655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1:43" ht="16.5" thickBot="1">
      <c r="A528" s="1026" t="s">
        <v>725</v>
      </c>
      <c r="B528" s="1026"/>
      <c r="C528" s="1026"/>
      <c r="D528" s="1026"/>
      <c r="E528" s="1026"/>
      <c r="F528" s="1026" t="s">
        <v>1296</v>
      </c>
      <c r="G528" s="1026"/>
      <c r="H528" s="1026"/>
      <c r="I528" s="1026"/>
      <c r="J528" s="1026"/>
      <c r="K528" s="1026"/>
      <c r="L528" s="1026" t="s">
        <v>727</v>
      </c>
      <c r="M528" s="1026"/>
      <c r="N528" s="1026"/>
      <c r="O528" s="1026"/>
      <c r="P528" s="1026"/>
      <c r="Q528"/>
      <c r="R528" s="655"/>
      <c r="S528" s="655"/>
      <c r="T528" s="655"/>
      <c r="U528" s="655"/>
      <c r="V528" s="655"/>
      <c r="W528" s="655"/>
      <c r="X528" s="655"/>
      <c r="Y528" s="655"/>
      <c r="Z528" s="655"/>
      <c r="AA528" s="655"/>
      <c r="AB528" s="655"/>
      <c r="AC528" s="655"/>
      <c r="AD528" s="655"/>
      <c r="AE528" s="655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1:43" ht="12.75">
      <c r="A529" s="1027" t="s">
        <v>199</v>
      </c>
      <c r="B529" s="1028" t="s">
        <v>729</v>
      </c>
      <c r="C529" s="1029"/>
      <c r="D529" s="1030"/>
      <c r="E529" s="1481" t="s">
        <v>1297</v>
      </c>
      <c r="F529" s="1028" t="s">
        <v>1298</v>
      </c>
      <c r="G529" s="1028" t="s">
        <v>1299</v>
      </c>
      <c r="H529" s="1028" t="s">
        <v>1300</v>
      </c>
      <c r="I529" s="1031" t="s">
        <v>780</v>
      </c>
      <c r="J529" s="1032"/>
      <c r="K529" s="1031" t="s">
        <v>200</v>
      </c>
      <c r="L529" s="1033"/>
      <c r="M529" s="1033"/>
      <c r="N529" s="1032"/>
      <c r="O529" s="1028" t="s">
        <v>201</v>
      </c>
      <c r="P529" s="1028" t="s">
        <v>202</v>
      </c>
      <c r="Q529" s="1034" t="s">
        <v>203</v>
      </c>
      <c r="R529" s="655"/>
      <c r="S529" s="655"/>
      <c r="T529" s="655"/>
      <c r="U529" s="655"/>
      <c r="V529" s="655"/>
      <c r="W529" s="655"/>
      <c r="X529" s="655"/>
      <c r="Y529" s="655"/>
      <c r="Z529" s="655"/>
      <c r="AA529" s="655"/>
      <c r="AB529" s="655"/>
      <c r="AC529" s="655"/>
      <c r="AD529" s="655"/>
      <c r="AE529" s="655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1:43" ht="12.75">
      <c r="A530" s="1035"/>
      <c r="B530" s="1036" t="s">
        <v>730</v>
      </c>
      <c r="C530" s="1037" t="s">
        <v>1301</v>
      </c>
      <c r="D530" s="1038"/>
      <c r="E530" s="1482"/>
      <c r="F530" s="1036" t="s">
        <v>1302</v>
      </c>
      <c r="G530" s="1036" t="s">
        <v>1303</v>
      </c>
      <c r="H530" s="1036" t="s">
        <v>1304</v>
      </c>
      <c r="I530" s="1039" t="s">
        <v>205</v>
      </c>
      <c r="J530" s="1039" t="s">
        <v>782</v>
      </c>
      <c r="K530" s="1039"/>
      <c r="L530" s="1040" t="s">
        <v>206</v>
      </c>
      <c r="M530" s="1041"/>
      <c r="N530" s="1039" t="s">
        <v>731</v>
      </c>
      <c r="O530" s="1036" t="s">
        <v>732</v>
      </c>
      <c r="P530" s="1036" t="s">
        <v>207</v>
      </c>
      <c r="Q530" s="1042" t="s">
        <v>208</v>
      </c>
      <c r="R530" s="655"/>
      <c r="S530" s="655"/>
      <c r="T530" s="655"/>
      <c r="U530" s="655"/>
      <c r="V530" s="655"/>
      <c r="W530" s="655"/>
      <c r="X530" s="655"/>
      <c r="Y530" s="655"/>
      <c r="Z530" s="655"/>
      <c r="AA530" s="655"/>
      <c r="AB530" s="655"/>
      <c r="AC530" s="655"/>
      <c r="AD530" s="655"/>
      <c r="AE530" s="655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1:43" ht="13.5" thickBot="1">
      <c r="A531" s="1043"/>
      <c r="B531" s="1044" t="s">
        <v>735</v>
      </c>
      <c r="C531" s="1037"/>
      <c r="D531" s="1038"/>
      <c r="E531" s="1483"/>
      <c r="F531" s="1044" t="s">
        <v>1305</v>
      </c>
      <c r="G531" s="1044" t="s">
        <v>1306</v>
      </c>
      <c r="H531" s="1044" t="s">
        <v>1307</v>
      </c>
      <c r="I531" s="1044"/>
      <c r="J531" s="1044" t="s">
        <v>1308</v>
      </c>
      <c r="K531" s="1044" t="s">
        <v>1309</v>
      </c>
      <c r="L531" s="1045" t="s">
        <v>736</v>
      </c>
      <c r="M531" s="1045" t="s">
        <v>737</v>
      </c>
      <c r="N531" s="1044" t="s">
        <v>738</v>
      </c>
      <c r="O531" s="1044" t="s">
        <v>739</v>
      </c>
      <c r="P531" s="1044" t="s">
        <v>740</v>
      </c>
      <c r="Q531" s="1046" t="s">
        <v>1310</v>
      </c>
      <c r="R531" s="655"/>
      <c r="S531" s="655"/>
      <c r="T531" s="655"/>
      <c r="U531" s="655"/>
      <c r="V531" s="655"/>
      <c r="W531" s="655"/>
      <c r="X531" s="655"/>
      <c r="Y531" s="655"/>
      <c r="Z531" s="655"/>
      <c r="AA531" s="655"/>
      <c r="AB531" s="655"/>
      <c r="AC531" s="655"/>
      <c r="AD531" s="655"/>
      <c r="AE531" s="655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1:43" ht="12.75">
      <c r="A532" s="1047">
        <v>1</v>
      </c>
      <c r="B532" s="1048" t="s">
        <v>1311</v>
      </c>
      <c r="C532" s="1470" t="s">
        <v>1270</v>
      </c>
      <c r="D532" s="1471"/>
      <c r="E532" s="1050" t="s">
        <v>1312</v>
      </c>
      <c r="F532" s="1051">
        <v>1</v>
      </c>
      <c r="G532" s="1052">
        <v>0</v>
      </c>
      <c r="H532" s="1052">
        <v>22</v>
      </c>
      <c r="I532" s="1052">
        <v>50000</v>
      </c>
      <c r="J532" s="1052">
        <v>50000</v>
      </c>
      <c r="K532" s="1052">
        <f aca="true" t="shared" si="92" ref="K532:K538">L532+M532</f>
        <v>12250</v>
      </c>
      <c r="L532" s="1052">
        <f aca="true" t="shared" si="93" ref="L532:L538">I532*0.15</f>
        <v>7500</v>
      </c>
      <c r="M532" s="1052">
        <f aca="true" t="shared" si="94" ref="M532:M538">I532*0.095</f>
        <v>4750</v>
      </c>
      <c r="N532" s="1052">
        <v>0</v>
      </c>
      <c r="O532" s="1052">
        <f aca="true" t="shared" si="95" ref="O532:O538">I532*0.034</f>
        <v>1700.0000000000002</v>
      </c>
      <c r="P532" s="1052">
        <f aca="true" t="shared" si="96" ref="P532:P538">I532</f>
        <v>50000</v>
      </c>
      <c r="Q532" s="1053">
        <v>5000</v>
      </c>
      <c r="R532" s="655"/>
      <c r="S532" s="655"/>
      <c r="T532" s="655"/>
      <c r="U532" s="655"/>
      <c r="V532" s="655"/>
      <c r="W532" s="655"/>
      <c r="X532" s="655"/>
      <c r="Y532" s="655"/>
      <c r="Z532" s="655"/>
      <c r="AA532" s="655"/>
      <c r="AB532" s="655"/>
      <c r="AC532" s="655"/>
      <c r="AD532" s="655"/>
      <c r="AE532" s="655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1:43" ht="12.75">
      <c r="A533" s="1054">
        <v>2</v>
      </c>
      <c r="B533" s="1056"/>
      <c r="C533" s="1470" t="s">
        <v>1316</v>
      </c>
      <c r="D533" s="1471"/>
      <c r="E533" s="1049" t="s">
        <v>1317</v>
      </c>
      <c r="F533" s="1056">
        <v>1</v>
      </c>
      <c r="G533" s="1056">
        <v>0</v>
      </c>
      <c r="H533" s="1056">
        <v>22</v>
      </c>
      <c r="I533" s="1052">
        <v>21100</v>
      </c>
      <c r="J533" s="1052">
        <v>21100</v>
      </c>
      <c r="K533" s="1056">
        <f t="shared" si="92"/>
        <v>5169.5</v>
      </c>
      <c r="L533" s="1052">
        <f t="shared" si="93"/>
        <v>3165</v>
      </c>
      <c r="M533" s="1052">
        <f t="shared" si="94"/>
        <v>2004.5</v>
      </c>
      <c r="N533" s="1056">
        <v>0</v>
      </c>
      <c r="O533" s="1052">
        <f t="shared" si="95"/>
        <v>717.4000000000001</v>
      </c>
      <c r="P533" s="1056">
        <f t="shared" si="96"/>
        <v>21100</v>
      </c>
      <c r="Q533" s="1053">
        <v>1110</v>
      </c>
      <c r="R533" s="655"/>
      <c r="S533" s="655"/>
      <c r="T533" s="655"/>
      <c r="U533" s="655"/>
      <c r="V533" s="655"/>
      <c r="W533" s="655"/>
      <c r="X533" s="655"/>
      <c r="Y533" s="655"/>
      <c r="Z533" s="655"/>
      <c r="AA533" s="655"/>
      <c r="AB533" s="655"/>
      <c r="AC533" s="655"/>
      <c r="AD533" s="655"/>
      <c r="AE533" s="655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1:43" ht="12.75">
      <c r="A534" s="1054">
        <v>3</v>
      </c>
      <c r="B534" s="1056"/>
      <c r="C534" s="1470" t="s">
        <v>1318</v>
      </c>
      <c r="D534" s="1471"/>
      <c r="E534" s="1049" t="s">
        <v>1317</v>
      </c>
      <c r="F534" s="1056">
        <v>1</v>
      </c>
      <c r="G534" s="1056">
        <v>0</v>
      </c>
      <c r="H534" s="1056">
        <v>22</v>
      </c>
      <c r="I534" s="1052">
        <v>21100</v>
      </c>
      <c r="J534" s="1052">
        <v>21100</v>
      </c>
      <c r="K534" s="1056">
        <f t="shared" si="92"/>
        <v>5169.5</v>
      </c>
      <c r="L534" s="1052">
        <f t="shared" si="93"/>
        <v>3165</v>
      </c>
      <c r="M534" s="1052">
        <f t="shared" si="94"/>
        <v>2004.5</v>
      </c>
      <c r="N534" s="1052">
        <v>0</v>
      </c>
      <c r="O534" s="1052">
        <f t="shared" si="95"/>
        <v>717.4000000000001</v>
      </c>
      <c r="P534" s="1056">
        <f t="shared" si="96"/>
        <v>21100</v>
      </c>
      <c r="Q534" s="1053">
        <v>1110</v>
      </c>
      <c r="R534" s="655"/>
      <c r="S534" s="655"/>
      <c r="T534" s="655"/>
      <c r="U534" s="655"/>
      <c r="V534" s="655"/>
      <c r="W534" s="655"/>
      <c r="X534" s="655"/>
      <c r="Y534" s="655"/>
      <c r="Z534" s="655"/>
      <c r="AA534" s="655"/>
      <c r="AB534" s="655"/>
      <c r="AC534" s="655"/>
      <c r="AD534" s="655"/>
      <c r="AE534" s="655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1:43" ht="12.75">
      <c r="A535" s="1054">
        <v>4</v>
      </c>
      <c r="B535" s="1056"/>
      <c r="C535" s="1470" t="s">
        <v>1319</v>
      </c>
      <c r="D535" s="1471"/>
      <c r="E535" s="1049" t="s">
        <v>1317</v>
      </c>
      <c r="F535" s="1056">
        <v>1</v>
      </c>
      <c r="G535" s="1056">
        <v>0</v>
      </c>
      <c r="H535" s="1056">
        <v>22</v>
      </c>
      <c r="I535" s="1052">
        <v>21100</v>
      </c>
      <c r="J535" s="1052">
        <v>21100</v>
      </c>
      <c r="K535" s="1056">
        <f t="shared" si="92"/>
        <v>5169.5</v>
      </c>
      <c r="L535" s="1052">
        <f t="shared" si="93"/>
        <v>3165</v>
      </c>
      <c r="M535" s="1052">
        <f t="shared" si="94"/>
        <v>2004.5</v>
      </c>
      <c r="N535" s="1056">
        <v>0</v>
      </c>
      <c r="O535" s="1052">
        <f t="shared" si="95"/>
        <v>717.4000000000001</v>
      </c>
      <c r="P535" s="1056">
        <f t="shared" si="96"/>
        <v>21100</v>
      </c>
      <c r="Q535" s="1053">
        <v>1110</v>
      </c>
      <c r="R535" s="655"/>
      <c r="S535" s="655"/>
      <c r="T535" s="655"/>
      <c r="U535" s="655"/>
      <c r="V535" s="655"/>
      <c r="W535" s="655"/>
      <c r="X535" s="655"/>
      <c r="Y535" s="655"/>
      <c r="Z535" s="655"/>
      <c r="AA535" s="655"/>
      <c r="AB535" s="655"/>
      <c r="AC535" s="655"/>
      <c r="AD535" s="655"/>
      <c r="AE535" s="65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1:43" ht="12.75">
      <c r="A536" s="1054">
        <v>5</v>
      </c>
      <c r="B536" s="1056"/>
      <c r="C536" s="1470" t="s">
        <v>1320</v>
      </c>
      <c r="D536" s="1471"/>
      <c r="E536" s="1049" t="s">
        <v>1317</v>
      </c>
      <c r="F536" s="1056">
        <v>1</v>
      </c>
      <c r="G536" s="1056">
        <v>0</v>
      </c>
      <c r="H536" s="1056">
        <v>22</v>
      </c>
      <c r="I536" s="1052">
        <v>21100</v>
      </c>
      <c r="J536" s="1052">
        <v>21100</v>
      </c>
      <c r="K536" s="1056">
        <f t="shared" si="92"/>
        <v>5169.5</v>
      </c>
      <c r="L536" s="1052">
        <f t="shared" si="93"/>
        <v>3165</v>
      </c>
      <c r="M536" s="1052">
        <f t="shared" si="94"/>
        <v>2004.5</v>
      </c>
      <c r="N536" s="1052">
        <v>0</v>
      </c>
      <c r="O536" s="1052">
        <f t="shared" si="95"/>
        <v>717.4000000000001</v>
      </c>
      <c r="P536" s="1056">
        <f t="shared" si="96"/>
        <v>21100</v>
      </c>
      <c r="Q536" s="1053">
        <v>1110</v>
      </c>
      <c r="R536" s="655"/>
      <c r="S536" s="655"/>
      <c r="T536" s="655"/>
      <c r="U536" s="655"/>
      <c r="V536" s="655"/>
      <c r="W536" s="655"/>
      <c r="X536" s="655"/>
      <c r="Y536" s="655"/>
      <c r="Z536" s="655"/>
      <c r="AA536" s="655"/>
      <c r="AB536" s="655"/>
      <c r="AC536" s="655"/>
      <c r="AD536" s="655"/>
      <c r="AE536" s="655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1:43" ht="12.75">
      <c r="A537" s="1054">
        <v>6</v>
      </c>
      <c r="B537" s="1056"/>
      <c r="C537" s="1470" t="s">
        <v>1321</v>
      </c>
      <c r="D537" s="1471"/>
      <c r="E537" s="1049" t="s">
        <v>1317</v>
      </c>
      <c r="F537" s="1056">
        <v>1</v>
      </c>
      <c r="G537" s="1056">
        <v>0</v>
      </c>
      <c r="H537" s="1056">
        <v>22</v>
      </c>
      <c r="I537" s="1052">
        <v>21100</v>
      </c>
      <c r="J537" s="1052">
        <v>21100</v>
      </c>
      <c r="K537" s="1056">
        <f t="shared" si="92"/>
        <v>5169.5</v>
      </c>
      <c r="L537" s="1052">
        <f t="shared" si="93"/>
        <v>3165</v>
      </c>
      <c r="M537" s="1052">
        <f t="shared" si="94"/>
        <v>2004.5</v>
      </c>
      <c r="N537" s="1056">
        <v>0</v>
      </c>
      <c r="O537" s="1052">
        <f t="shared" si="95"/>
        <v>717.4000000000001</v>
      </c>
      <c r="P537" s="1056">
        <f t="shared" si="96"/>
        <v>21100</v>
      </c>
      <c r="Q537" s="1053">
        <v>1110</v>
      </c>
      <c r="R537" s="655"/>
      <c r="S537" s="655"/>
      <c r="T537" s="655"/>
      <c r="U537" s="655"/>
      <c r="V537" s="655"/>
      <c r="W537" s="655"/>
      <c r="X537" s="655"/>
      <c r="Y537" s="655"/>
      <c r="Z537" s="655"/>
      <c r="AA537" s="655"/>
      <c r="AB537" s="655"/>
      <c r="AC537" s="655"/>
      <c r="AD537" s="655"/>
      <c r="AE537" s="655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1:43" ht="12.75">
      <c r="A538" s="1054">
        <v>7</v>
      </c>
      <c r="B538" s="1056"/>
      <c r="C538" s="1470" t="s">
        <v>1726</v>
      </c>
      <c r="D538" s="1471"/>
      <c r="E538" s="1058" t="s">
        <v>1727</v>
      </c>
      <c r="F538" s="1056">
        <v>1</v>
      </c>
      <c r="G538" s="1056">
        <v>0</v>
      </c>
      <c r="H538" s="1056">
        <v>22</v>
      </c>
      <c r="I538" s="1052">
        <v>45000</v>
      </c>
      <c r="J538" s="1052">
        <v>45000</v>
      </c>
      <c r="K538" s="1056">
        <f t="shared" si="92"/>
        <v>11025</v>
      </c>
      <c r="L538" s="1052">
        <f t="shared" si="93"/>
        <v>6750</v>
      </c>
      <c r="M538" s="1052">
        <f t="shared" si="94"/>
        <v>4275</v>
      </c>
      <c r="N538" s="1052"/>
      <c r="O538" s="1052">
        <f t="shared" si="95"/>
        <v>1530</v>
      </c>
      <c r="P538" s="1056">
        <f t="shared" si="96"/>
        <v>45000</v>
      </c>
      <c r="Q538" s="1053">
        <v>4500</v>
      </c>
      <c r="R538" s="655"/>
      <c r="S538" s="655"/>
      <c r="T538" s="655"/>
      <c r="U538" s="655"/>
      <c r="V538" s="655"/>
      <c r="W538" s="655"/>
      <c r="X538" s="655"/>
      <c r="Y538" s="655"/>
      <c r="Z538" s="655"/>
      <c r="AA538" s="655"/>
      <c r="AB538" s="655"/>
      <c r="AC538" s="655"/>
      <c r="AD538" s="655"/>
      <c r="AE538" s="655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1:43" ht="12.75">
      <c r="A539" s="1054">
        <v>8</v>
      </c>
      <c r="B539" s="1056"/>
      <c r="C539" s="1057"/>
      <c r="D539" s="1058"/>
      <c r="E539" s="1058"/>
      <c r="F539" s="1056"/>
      <c r="G539" s="1056"/>
      <c r="H539" s="1056"/>
      <c r="I539" s="1056"/>
      <c r="J539" s="1056"/>
      <c r="K539" s="1056"/>
      <c r="L539" s="1052"/>
      <c r="M539" s="1052"/>
      <c r="N539" s="1052"/>
      <c r="O539" s="1052"/>
      <c r="P539" s="1056"/>
      <c r="Q539" s="1053"/>
      <c r="R539" s="655"/>
      <c r="S539" s="655"/>
      <c r="T539" s="655"/>
      <c r="U539" s="655"/>
      <c r="V539" s="655"/>
      <c r="W539" s="655"/>
      <c r="X539" s="655"/>
      <c r="Y539" s="655"/>
      <c r="Z539" s="655"/>
      <c r="AA539" s="655"/>
      <c r="AB539" s="655"/>
      <c r="AC539" s="655"/>
      <c r="AD539" s="655"/>
      <c r="AE539" s="655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1:43" ht="12.75">
      <c r="A540" s="1054">
        <v>9</v>
      </c>
      <c r="B540" s="1056"/>
      <c r="C540" s="1057"/>
      <c r="D540" s="1058"/>
      <c r="E540" s="1058"/>
      <c r="F540" s="1056"/>
      <c r="G540" s="1056"/>
      <c r="H540" s="1056"/>
      <c r="I540" s="1056"/>
      <c r="J540" s="1056"/>
      <c r="K540" s="1056"/>
      <c r="L540" s="1056"/>
      <c r="M540" s="1056"/>
      <c r="N540" s="1056"/>
      <c r="O540" s="1056"/>
      <c r="P540" s="1056"/>
      <c r="Q540" s="1059"/>
      <c r="R540" s="655"/>
      <c r="S540" s="655"/>
      <c r="T540" s="655"/>
      <c r="U540" s="655"/>
      <c r="V540" s="655"/>
      <c r="W540" s="655"/>
      <c r="X540" s="655"/>
      <c r="Y540" s="655"/>
      <c r="Z540" s="655"/>
      <c r="AA540" s="655"/>
      <c r="AB540" s="655"/>
      <c r="AC540" s="655"/>
      <c r="AD540" s="655"/>
      <c r="AE540" s="655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1:17" ht="12">
      <c r="A541" s="1054">
        <v>10</v>
      </c>
      <c r="B541" s="1056"/>
      <c r="C541" s="1057"/>
      <c r="D541" s="1058"/>
      <c r="E541" s="1058"/>
      <c r="F541" s="1056"/>
      <c r="G541" s="1056"/>
      <c r="H541" s="1056"/>
      <c r="I541" s="1056"/>
      <c r="J541" s="1056"/>
      <c r="K541" s="1056"/>
      <c r="L541" s="1056"/>
      <c r="M541" s="1056"/>
      <c r="N541" s="1056"/>
      <c r="O541" s="1056"/>
      <c r="P541" s="1056"/>
      <c r="Q541" s="1059"/>
    </row>
    <row r="542" spans="1:17" ht="12">
      <c r="A542" s="1054">
        <v>11</v>
      </c>
      <c r="B542" s="1056"/>
      <c r="C542" s="1057"/>
      <c r="D542" s="1058"/>
      <c r="E542" s="1058"/>
      <c r="F542" s="1056"/>
      <c r="G542" s="1056"/>
      <c r="H542" s="1056"/>
      <c r="I542" s="1056"/>
      <c r="J542" s="1056"/>
      <c r="K542" s="1056"/>
      <c r="L542" s="1056"/>
      <c r="M542" s="1056"/>
      <c r="N542" s="1056"/>
      <c r="O542" s="1056"/>
      <c r="P542" s="1056"/>
      <c r="Q542" s="1059"/>
    </row>
    <row r="543" spans="1:17" ht="12">
      <c r="A543" s="1054">
        <v>12</v>
      </c>
      <c r="B543" s="1056"/>
      <c r="C543" s="1057"/>
      <c r="D543" s="1058"/>
      <c r="E543" s="1058"/>
      <c r="F543" s="1056"/>
      <c r="G543" s="1056"/>
      <c r="H543" s="1056"/>
      <c r="I543" s="1056"/>
      <c r="J543" s="1056"/>
      <c r="K543" s="1056"/>
      <c r="L543" s="1056"/>
      <c r="M543" s="1056"/>
      <c r="N543" s="1056"/>
      <c r="O543" s="1056"/>
      <c r="P543" s="1056"/>
      <c r="Q543" s="1059"/>
    </row>
    <row r="544" spans="1:17" ht="12">
      <c r="A544" s="1054">
        <v>13</v>
      </c>
      <c r="B544" s="1056"/>
      <c r="C544" s="1057"/>
      <c r="D544" s="1058"/>
      <c r="E544" s="1058"/>
      <c r="F544" s="1056"/>
      <c r="G544" s="1056"/>
      <c r="H544" s="1056"/>
      <c r="I544" s="1056"/>
      <c r="J544" s="1056"/>
      <c r="K544" s="1056"/>
      <c r="L544" s="1056"/>
      <c r="M544" s="1056"/>
      <c r="N544" s="1056"/>
      <c r="O544" s="1056"/>
      <c r="P544" s="1056"/>
      <c r="Q544" s="1059"/>
    </row>
    <row r="545" spans="1:17" ht="12">
      <c r="A545" s="1054">
        <v>14</v>
      </c>
      <c r="B545" s="1056"/>
      <c r="C545" s="1057"/>
      <c r="D545" s="1058"/>
      <c r="E545" s="1058"/>
      <c r="F545" s="1056"/>
      <c r="G545" s="1056"/>
      <c r="H545" s="1056"/>
      <c r="I545" s="1056"/>
      <c r="J545" s="1056"/>
      <c r="K545" s="1056"/>
      <c r="L545" s="1056"/>
      <c r="M545" s="1056"/>
      <c r="N545" s="1056"/>
      <c r="O545" s="1056"/>
      <c r="P545" s="1056"/>
      <c r="Q545" s="1059"/>
    </row>
    <row r="546" spans="1:17" ht="12">
      <c r="A546" s="1054">
        <v>15</v>
      </c>
      <c r="B546" s="1056"/>
      <c r="C546" s="1057"/>
      <c r="D546" s="1058"/>
      <c r="E546" s="1058"/>
      <c r="F546" s="1056"/>
      <c r="G546" s="1056"/>
      <c r="H546" s="1056"/>
      <c r="I546" s="1056"/>
      <c r="J546" s="1056"/>
      <c r="K546" s="1056"/>
      <c r="L546" s="1056"/>
      <c r="M546" s="1056"/>
      <c r="N546" s="1056"/>
      <c r="O546" s="1056"/>
      <c r="P546" s="1056"/>
      <c r="Q546" s="1059"/>
    </row>
    <row r="547" spans="1:17" ht="12">
      <c r="A547" s="1054">
        <v>16</v>
      </c>
      <c r="B547" s="1056"/>
      <c r="C547" s="1057"/>
      <c r="D547" s="1058"/>
      <c r="E547" s="1058"/>
      <c r="F547" s="1056"/>
      <c r="G547" s="1056"/>
      <c r="H547" s="1056"/>
      <c r="I547" s="1056"/>
      <c r="J547" s="1056"/>
      <c r="K547" s="1056"/>
      <c r="L547" s="1056"/>
      <c r="M547" s="1056"/>
      <c r="N547" s="1056"/>
      <c r="O547" s="1056"/>
      <c r="P547" s="1056"/>
      <c r="Q547" s="1059"/>
    </row>
    <row r="548" spans="1:17" ht="12">
      <c r="A548" s="1054">
        <v>17</v>
      </c>
      <c r="B548" s="1056"/>
      <c r="C548" s="1057"/>
      <c r="D548" s="1058"/>
      <c r="E548" s="1058"/>
      <c r="F548" s="1056"/>
      <c r="G548" s="1056"/>
      <c r="H548" s="1056"/>
      <c r="I548" s="1056"/>
      <c r="J548" s="1056"/>
      <c r="K548" s="1056"/>
      <c r="L548" s="1056"/>
      <c r="M548" s="1056"/>
      <c r="N548" s="1056"/>
      <c r="O548" s="1056"/>
      <c r="P548" s="1056"/>
      <c r="Q548" s="1059"/>
    </row>
    <row r="549" spans="1:17" ht="12">
      <c r="A549" s="1054">
        <v>18</v>
      </c>
      <c r="B549" s="1056"/>
      <c r="C549" s="1057"/>
      <c r="D549" s="1058"/>
      <c r="E549" s="1058"/>
      <c r="F549" s="1056"/>
      <c r="G549" s="1056"/>
      <c r="H549" s="1056"/>
      <c r="I549" s="1056"/>
      <c r="J549" s="1056"/>
      <c r="K549" s="1056"/>
      <c r="L549" s="1056"/>
      <c r="M549" s="1056"/>
      <c r="N549" s="1056"/>
      <c r="O549" s="1056"/>
      <c r="P549" s="1056"/>
      <c r="Q549" s="1059"/>
    </row>
    <row r="550" spans="1:17" ht="12">
      <c r="A550" s="1054">
        <v>19</v>
      </c>
      <c r="B550" s="1056"/>
      <c r="C550" s="1057"/>
      <c r="D550" s="1058"/>
      <c r="E550" s="1058"/>
      <c r="F550" s="1056"/>
      <c r="G550" s="1056"/>
      <c r="H550" s="1056"/>
      <c r="I550" s="1056"/>
      <c r="J550" s="1056"/>
      <c r="K550" s="1056"/>
      <c r="L550" s="1056"/>
      <c r="M550" s="1056"/>
      <c r="N550" s="1056"/>
      <c r="O550" s="1056"/>
      <c r="P550" s="1056"/>
      <c r="Q550" s="1059"/>
    </row>
    <row r="551" spans="1:17" ht="12">
      <c r="A551" s="1054">
        <v>20</v>
      </c>
      <c r="B551" s="1056"/>
      <c r="C551" s="1057"/>
      <c r="D551" s="1058"/>
      <c r="E551" s="1058"/>
      <c r="F551" s="1056"/>
      <c r="G551" s="1056"/>
      <c r="H551" s="1056"/>
      <c r="I551" s="1056"/>
      <c r="J551" s="1056"/>
      <c r="K551" s="1056"/>
      <c r="L551" s="1056"/>
      <c r="M551" s="1056"/>
      <c r="N551" s="1056"/>
      <c r="O551" s="1056"/>
      <c r="P551" s="1056"/>
      <c r="Q551" s="1059"/>
    </row>
    <row r="552" spans="1:17" ht="12">
      <c r="A552" s="1054">
        <v>21</v>
      </c>
      <c r="B552" s="1056"/>
      <c r="C552" s="1057"/>
      <c r="D552" s="1058"/>
      <c r="E552" s="1058"/>
      <c r="F552" s="1056"/>
      <c r="G552" s="1056"/>
      <c r="H552" s="1056"/>
      <c r="I552" s="1056"/>
      <c r="J552" s="1056"/>
      <c r="K552" s="1056"/>
      <c r="L552" s="1056"/>
      <c r="M552" s="1056"/>
      <c r="N552" s="1056"/>
      <c r="O552" s="1056"/>
      <c r="P552" s="1056"/>
      <c r="Q552" s="1059"/>
    </row>
    <row r="553" spans="1:17" ht="12">
      <c r="A553" s="1054">
        <v>22</v>
      </c>
      <c r="B553" s="1056"/>
      <c r="C553" s="1057"/>
      <c r="D553" s="1058"/>
      <c r="E553" s="1058"/>
      <c r="F553" s="1056"/>
      <c r="G553" s="1056"/>
      <c r="H553" s="1056"/>
      <c r="I553" s="1056"/>
      <c r="J553" s="1056"/>
      <c r="K553" s="1056"/>
      <c r="L553" s="1056"/>
      <c r="M553" s="1056"/>
      <c r="N553" s="1056"/>
      <c r="O553" s="1056"/>
      <c r="P553" s="1056"/>
      <c r="Q553" s="1059"/>
    </row>
    <row r="554" spans="1:17" ht="12">
      <c r="A554" s="1054">
        <v>23</v>
      </c>
      <c r="B554" s="1056"/>
      <c r="C554" s="1057"/>
      <c r="D554" s="1058"/>
      <c r="E554" s="1058"/>
      <c r="F554" s="1056"/>
      <c r="G554" s="1056"/>
      <c r="H554" s="1056"/>
      <c r="I554" s="1056"/>
      <c r="J554" s="1056"/>
      <c r="K554" s="1056"/>
      <c r="L554" s="1056"/>
      <c r="M554" s="1056"/>
      <c r="N554" s="1056"/>
      <c r="O554" s="1056"/>
      <c r="P554" s="1056"/>
      <c r="Q554" s="1059"/>
    </row>
    <row r="555" spans="1:17" ht="12">
      <c r="A555" s="1054">
        <v>24</v>
      </c>
      <c r="B555" s="1056"/>
      <c r="C555" s="1057"/>
      <c r="D555" s="1058"/>
      <c r="E555" s="1058"/>
      <c r="F555" s="1056"/>
      <c r="G555" s="1056"/>
      <c r="H555" s="1056"/>
      <c r="I555" s="1056"/>
      <c r="J555" s="1056"/>
      <c r="K555" s="1056"/>
      <c r="L555" s="1056"/>
      <c r="M555" s="1056"/>
      <c r="N555" s="1056"/>
      <c r="O555" s="1056"/>
      <c r="P555" s="1056"/>
      <c r="Q555" s="1059"/>
    </row>
    <row r="556" spans="1:17" ht="12.75" thickBot="1">
      <c r="A556" s="1054">
        <v>25</v>
      </c>
      <c r="B556" s="1060"/>
      <c r="C556" s="1061"/>
      <c r="D556" s="1062"/>
      <c r="E556" s="1062"/>
      <c r="F556" s="1060"/>
      <c r="G556" s="1060"/>
      <c r="H556" s="1060"/>
      <c r="I556" s="1060"/>
      <c r="J556" s="1060"/>
      <c r="K556" s="1060"/>
      <c r="L556" s="1060"/>
      <c r="M556" s="1060"/>
      <c r="N556" s="1060"/>
      <c r="O556" s="1060"/>
      <c r="P556" s="1060"/>
      <c r="Q556" s="1063"/>
    </row>
    <row r="557" spans="1:17" ht="12.75" thickBot="1">
      <c r="A557" s="1472" t="s">
        <v>753</v>
      </c>
      <c r="B557" s="1473"/>
      <c r="C557" s="1473"/>
      <c r="D557" s="1473"/>
      <c r="E557" s="1473"/>
      <c r="F557" s="1473"/>
      <c r="G557" s="1473"/>
      <c r="H557" s="1474"/>
      <c r="I557" s="1064">
        <f>SUM(I532:I556)</f>
        <v>200500</v>
      </c>
      <c r="J557" s="1064">
        <f aca="true" t="shared" si="97" ref="J557:Q557">SUM(J532:J556)</f>
        <v>200500</v>
      </c>
      <c r="K557" s="1064">
        <f t="shared" si="97"/>
        <v>49122.5</v>
      </c>
      <c r="L557" s="1064">
        <f t="shared" si="97"/>
        <v>30075</v>
      </c>
      <c r="M557" s="1064">
        <f t="shared" si="97"/>
        <v>19047.5</v>
      </c>
      <c r="N557" s="1064">
        <f t="shared" si="97"/>
        <v>0</v>
      </c>
      <c r="O557" s="1064">
        <f t="shared" si="97"/>
        <v>6817</v>
      </c>
      <c r="P557" s="1064">
        <f t="shared" si="97"/>
        <v>200500</v>
      </c>
      <c r="Q557" s="1064">
        <f t="shared" si="97"/>
        <v>15050</v>
      </c>
    </row>
    <row r="558" spans="1:17" ht="12.75" thickBot="1">
      <c r="A558" s="1475" t="s">
        <v>756</v>
      </c>
      <c r="B558" s="1476"/>
      <c r="C558" s="1476"/>
      <c r="D558" s="1476"/>
      <c r="E558" s="1476"/>
      <c r="F558" s="1476"/>
      <c r="G558" s="1476"/>
      <c r="H558" s="1477"/>
      <c r="I558" s="1065"/>
      <c r="J558" s="1066"/>
      <c r="K558" s="1066"/>
      <c r="L558" s="1066"/>
      <c r="M558" s="1066"/>
      <c r="N558" s="1066">
        <v>0</v>
      </c>
      <c r="O558" s="1066"/>
      <c r="P558" s="1066"/>
      <c r="Q558" s="1067"/>
    </row>
    <row r="559" spans="1:17" ht="12.75" thickBot="1">
      <c r="A559" s="1478" t="s">
        <v>759</v>
      </c>
      <c r="B559" s="1479"/>
      <c r="C559" s="1479"/>
      <c r="D559" s="1479"/>
      <c r="E559" s="1479"/>
      <c r="F559" s="1479"/>
      <c r="G559" s="1479"/>
      <c r="H559" s="1480"/>
      <c r="I559" s="1064">
        <f>SUM(I557:I558)</f>
        <v>200500</v>
      </c>
      <c r="J559" s="1064">
        <f aca="true" t="shared" si="98" ref="J559:Q559">SUM(J557:J558)</f>
        <v>200500</v>
      </c>
      <c r="K559" s="1064">
        <f t="shared" si="98"/>
        <v>49122.5</v>
      </c>
      <c r="L559" s="1064">
        <f t="shared" si="98"/>
        <v>30075</v>
      </c>
      <c r="M559" s="1064">
        <f t="shared" si="98"/>
        <v>19047.5</v>
      </c>
      <c r="N559" s="1064">
        <f t="shared" si="98"/>
        <v>0</v>
      </c>
      <c r="O559" s="1064">
        <f t="shared" si="98"/>
        <v>6817</v>
      </c>
      <c r="P559" s="1064">
        <f t="shared" si="98"/>
        <v>200500</v>
      </c>
      <c r="Q559" s="1064">
        <f t="shared" si="98"/>
        <v>15050</v>
      </c>
    </row>
    <row r="560" spans="1:17" ht="12">
      <c r="A560" s="683"/>
      <c r="B560" s="684" t="s">
        <v>764</v>
      </c>
      <c r="C560" s="685"/>
      <c r="D560" s="685"/>
      <c r="E560" s="685"/>
      <c r="F560" s="685"/>
      <c r="G560" s="685"/>
      <c r="H560" s="1068"/>
      <c r="I560" s="686" t="s">
        <v>765</v>
      </c>
      <c r="J560" s="685"/>
      <c r="K560" s="685"/>
      <c r="L560" s="685"/>
      <c r="M560" s="685"/>
      <c r="N560" s="685"/>
      <c r="O560" s="685"/>
      <c r="P560" s="685"/>
      <c r="Q560" s="687"/>
    </row>
    <row r="561" spans="1:17" ht="12">
      <c r="A561" s="688" t="s">
        <v>1323</v>
      </c>
      <c r="B561" s="689"/>
      <c r="C561" s="689"/>
      <c r="D561" s="689"/>
      <c r="E561" s="689"/>
      <c r="F561" s="689"/>
      <c r="G561" s="689"/>
      <c r="H561" s="1069"/>
      <c r="I561" s="690" t="s">
        <v>766</v>
      </c>
      <c r="J561" s="689"/>
      <c r="K561" s="689"/>
      <c r="L561" s="689"/>
      <c r="M561" s="689"/>
      <c r="N561" s="689"/>
      <c r="O561" s="689"/>
      <c r="P561" s="689"/>
      <c r="Q561" s="691"/>
    </row>
    <row r="562" spans="1:17" ht="12">
      <c r="A562" s="688" t="s">
        <v>1324</v>
      </c>
      <c r="B562" s="689"/>
      <c r="C562" s="689"/>
      <c r="D562" s="689"/>
      <c r="E562" s="689"/>
      <c r="F562" s="689"/>
      <c r="G562" s="689"/>
      <c r="H562" s="1069"/>
      <c r="I562" s="47" t="s">
        <v>767</v>
      </c>
      <c r="J562" s="689"/>
      <c r="K562" s="689"/>
      <c r="L562" s="689"/>
      <c r="M562" s="689"/>
      <c r="N562" s="689"/>
      <c r="O562" s="689"/>
      <c r="P562" s="689"/>
      <c r="Q562" s="691"/>
    </row>
    <row r="563" spans="1:17" ht="12.75">
      <c r="A563" s="688" t="s">
        <v>1325</v>
      </c>
      <c r="B563" s="689"/>
      <c r="C563" s="1"/>
      <c r="D563" s="689"/>
      <c r="E563" s="689"/>
      <c r="F563" s="689"/>
      <c r="G563" s="689"/>
      <c r="H563" s="1069"/>
      <c r="I563" s="690" t="s">
        <v>768</v>
      </c>
      <c r="J563" s="689"/>
      <c r="K563" s="689"/>
      <c r="L563" s="689"/>
      <c r="M563" s="689"/>
      <c r="N563" s="689"/>
      <c r="O563" s="689"/>
      <c r="P563" s="689"/>
      <c r="Q563" s="691"/>
    </row>
    <row r="564" spans="1:17" ht="12">
      <c r="A564" s="688"/>
      <c r="B564" s="689"/>
      <c r="C564" s="689"/>
      <c r="D564" s="689"/>
      <c r="E564" s="689"/>
      <c r="F564" s="689"/>
      <c r="G564" s="689"/>
      <c r="H564" s="1069"/>
      <c r="I564" s="690" t="s">
        <v>769</v>
      </c>
      <c r="J564" s="689"/>
      <c r="K564" s="689"/>
      <c r="L564" s="689"/>
      <c r="M564" s="689"/>
      <c r="N564" s="689"/>
      <c r="O564" s="689"/>
      <c r="P564" s="689"/>
      <c r="Q564" s="691"/>
    </row>
    <row r="565" spans="1:17" ht="12">
      <c r="A565" s="688"/>
      <c r="B565" s="700" t="s">
        <v>770</v>
      </c>
      <c r="C565" s="689"/>
      <c r="D565" s="689"/>
      <c r="E565" s="689"/>
      <c r="F565" s="689"/>
      <c r="G565" s="689"/>
      <c r="H565" s="1069"/>
      <c r="I565" s="47" t="s">
        <v>771</v>
      </c>
      <c r="J565" s="689"/>
      <c r="K565" s="689"/>
      <c r="L565" s="689"/>
      <c r="M565" s="689"/>
      <c r="N565" s="689"/>
      <c r="O565" s="689"/>
      <c r="P565" s="689"/>
      <c r="Q565" s="691"/>
    </row>
    <row r="566" spans="1:17" ht="12">
      <c r="A566" s="688"/>
      <c r="B566" s="689" t="s">
        <v>1326</v>
      </c>
      <c r="C566" s="689"/>
      <c r="D566" s="689"/>
      <c r="E566" s="689"/>
      <c r="F566" s="689"/>
      <c r="G566" s="689"/>
      <c r="H566" s="1069"/>
      <c r="I566" s="47"/>
      <c r="J566" s="689"/>
      <c r="K566" s="689"/>
      <c r="L566" s="701" t="s">
        <v>772</v>
      </c>
      <c r="M566" s="689"/>
      <c r="N566" s="689"/>
      <c r="O566" s="689"/>
      <c r="P566" s="689"/>
      <c r="Q566" s="691"/>
    </row>
    <row r="567" spans="1:17" ht="12">
      <c r="A567" s="688"/>
      <c r="B567" s="689"/>
      <c r="C567" s="689"/>
      <c r="D567" s="689" t="s">
        <v>773</v>
      </c>
      <c r="E567" s="689"/>
      <c r="F567" s="689"/>
      <c r="G567" s="689"/>
      <c r="H567" s="1069"/>
      <c r="I567" s="690" t="s">
        <v>774</v>
      </c>
      <c r="J567" s="689"/>
      <c r="K567" s="689"/>
      <c r="L567" s="689"/>
      <c r="M567" s="689"/>
      <c r="N567" s="689"/>
      <c r="O567" s="689"/>
      <c r="P567" s="689"/>
      <c r="Q567" s="689"/>
    </row>
    <row r="568" spans="1:17" ht="12">
      <c r="A568" s="688"/>
      <c r="B568" s="689"/>
      <c r="C568" s="689"/>
      <c r="D568" s="689"/>
      <c r="E568" s="689"/>
      <c r="F568" s="689"/>
      <c r="G568" s="689"/>
      <c r="H568" s="1069"/>
      <c r="I568" s="690"/>
      <c r="J568" s="689" t="s">
        <v>775</v>
      </c>
      <c r="K568" s="689"/>
      <c r="L568" s="689"/>
      <c r="M568" s="689"/>
      <c r="N568" s="689"/>
      <c r="O568" s="689"/>
      <c r="P568" s="689"/>
      <c r="Q568" s="689"/>
    </row>
    <row r="569" spans="1:17" ht="12.75" thickBot="1">
      <c r="A569" s="702"/>
      <c r="B569" s="703"/>
      <c r="C569" s="703"/>
      <c r="D569" s="703"/>
      <c r="E569" s="703"/>
      <c r="F569" s="703"/>
      <c r="G569" s="703"/>
      <c r="H569" s="1070"/>
      <c r="I569" s="704"/>
      <c r="J569" s="705" t="s">
        <v>776</v>
      </c>
      <c r="K569" s="703"/>
      <c r="L569" s="703"/>
      <c r="M569" s="703"/>
      <c r="N569" s="703"/>
      <c r="O569" s="703"/>
      <c r="P569" s="703"/>
      <c r="Q569" s="706"/>
    </row>
  </sheetData>
  <sheetProtection/>
  <mergeCells count="256">
    <mergeCell ref="AI9:AJ9"/>
    <mergeCell ref="AK9:AN9"/>
    <mergeCell ref="AS9:AS12"/>
    <mergeCell ref="AK10:AN10"/>
    <mergeCell ref="R123:X123"/>
    <mergeCell ref="R124:X124"/>
    <mergeCell ref="AD95:AD97"/>
    <mergeCell ref="R94:X94"/>
    <mergeCell ref="Y94:AD94"/>
    <mergeCell ref="R95:R97"/>
    <mergeCell ref="T116:U116"/>
    <mergeCell ref="R121:X121"/>
    <mergeCell ref="R122:X122"/>
    <mergeCell ref="R125:X125"/>
    <mergeCell ref="R126:X126"/>
    <mergeCell ref="T100:U100"/>
    <mergeCell ref="T101:U101"/>
    <mergeCell ref="T102:U102"/>
    <mergeCell ref="T103:U103"/>
    <mergeCell ref="T104:U104"/>
    <mergeCell ref="T110:U110"/>
    <mergeCell ref="T111:U111"/>
    <mergeCell ref="T112:U112"/>
    <mergeCell ref="T113:U113"/>
    <mergeCell ref="T114:U114"/>
    <mergeCell ref="T115:U115"/>
    <mergeCell ref="T106:U106"/>
    <mergeCell ref="C107:D107"/>
    <mergeCell ref="T107:U107"/>
    <mergeCell ref="C108:D108"/>
    <mergeCell ref="T108:U108"/>
    <mergeCell ref="T109:U109"/>
    <mergeCell ref="AA95:AA97"/>
    <mergeCell ref="AB95:AB97"/>
    <mergeCell ref="AC95:AC97"/>
    <mergeCell ref="X95:X97"/>
    <mergeCell ref="Y95:Y97"/>
    <mergeCell ref="Z95:Z97"/>
    <mergeCell ref="R82:X82"/>
    <mergeCell ref="S95:S97"/>
    <mergeCell ref="T95:U97"/>
    <mergeCell ref="V95:V97"/>
    <mergeCell ref="W95:W97"/>
    <mergeCell ref="C105:D105"/>
    <mergeCell ref="T105:U105"/>
    <mergeCell ref="T98:U98"/>
    <mergeCell ref="T99:U99"/>
    <mergeCell ref="E99:E101"/>
    <mergeCell ref="R78:X78"/>
    <mergeCell ref="T71:U71"/>
    <mergeCell ref="T72:U72"/>
    <mergeCell ref="A79:H79"/>
    <mergeCell ref="A80:H80"/>
    <mergeCell ref="A81:H81"/>
    <mergeCell ref="R79:X79"/>
    <mergeCell ref="R80:X80"/>
    <mergeCell ref="R81:X81"/>
    <mergeCell ref="T66:U66"/>
    <mergeCell ref="T67:U67"/>
    <mergeCell ref="T68:U68"/>
    <mergeCell ref="T69:U69"/>
    <mergeCell ref="T70:U70"/>
    <mergeCell ref="R77:X77"/>
    <mergeCell ref="T61:U61"/>
    <mergeCell ref="C60:D60"/>
    <mergeCell ref="T62:U62"/>
    <mergeCell ref="T63:U63"/>
    <mergeCell ref="T64:U64"/>
    <mergeCell ref="T65:U65"/>
    <mergeCell ref="Z51:Z53"/>
    <mergeCell ref="T56:U56"/>
    <mergeCell ref="T57:U57"/>
    <mergeCell ref="T58:U58"/>
    <mergeCell ref="T59:U59"/>
    <mergeCell ref="T60:U60"/>
    <mergeCell ref="T54:U54"/>
    <mergeCell ref="T55:U55"/>
    <mergeCell ref="T51:U53"/>
    <mergeCell ref="V51:V53"/>
    <mergeCell ref="W51:W53"/>
    <mergeCell ref="X51:X53"/>
    <mergeCell ref="AI34:AN34"/>
    <mergeCell ref="R35:X35"/>
    <mergeCell ref="AI35:AN35"/>
    <mergeCell ref="R36:X36"/>
    <mergeCell ref="R37:X37"/>
    <mergeCell ref="AA51:AA53"/>
    <mergeCell ref="AB51:AB53"/>
    <mergeCell ref="AC51:AC53"/>
    <mergeCell ref="AD51:AD53"/>
    <mergeCell ref="Y51:Y53"/>
    <mergeCell ref="T17:U17"/>
    <mergeCell ref="E51:E53"/>
    <mergeCell ref="R50:X50"/>
    <mergeCell ref="Y50:AD50"/>
    <mergeCell ref="R51:R53"/>
    <mergeCell ref="S51:S53"/>
    <mergeCell ref="T26:U26"/>
    <mergeCell ref="T27:U27"/>
    <mergeCell ref="R32:X32"/>
    <mergeCell ref="R33:X33"/>
    <mergeCell ref="A32:H32"/>
    <mergeCell ref="A33:H33"/>
    <mergeCell ref="A34:H34"/>
    <mergeCell ref="T22:U22"/>
    <mergeCell ref="T23:U23"/>
    <mergeCell ref="T24:U24"/>
    <mergeCell ref="T25:U25"/>
    <mergeCell ref="R34:X34"/>
    <mergeCell ref="T18:U18"/>
    <mergeCell ref="T19:U19"/>
    <mergeCell ref="T20:U20"/>
    <mergeCell ref="T10:U10"/>
    <mergeCell ref="T21:U21"/>
    <mergeCell ref="T11:U11"/>
    <mergeCell ref="T12:U12"/>
    <mergeCell ref="T13:U13"/>
    <mergeCell ref="T14:U14"/>
    <mergeCell ref="T15:U15"/>
    <mergeCell ref="T16:U16"/>
    <mergeCell ref="AA6:AA8"/>
    <mergeCell ref="AB6:AB8"/>
    <mergeCell ref="AC6:AC8"/>
    <mergeCell ref="AD6:AD8"/>
    <mergeCell ref="T9:U9"/>
    <mergeCell ref="W6:W8"/>
    <mergeCell ref="Y6:Y8"/>
    <mergeCell ref="X6:X8"/>
    <mergeCell ref="AI2:AN2"/>
    <mergeCell ref="AI3:AN3"/>
    <mergeCell ref="R5:X5"/>
    <mergeCell ref="Y5:AD5"/>
    <mergeCell ref="Z6:Z8"/>
    <mergeCell ref="E4:E6"/>
    <mergeCell ref="R6:R8"/>
    <mergeCell ref="S6:S8"/>
    <mergeCell ref="T6:U8"/>
    <mergeCell ref="V6:V8"/>
    <mergeCell ref="C7:D7"/>
    <mergeCell ref="C8:D8"/>
    <mergeCell ref="C9:D9"/>
    <mergeCell ref="C10:D10"/>
    <mergeCell ref="C12:D12"/>
    <mergeCell ref="C13:D13"/>
    <mergeCell ref="C54:D54"/>
    <mergeCell ref="C55:D55"/>
    <mergeCell ref="C56:D56"/>
    <mergeCell ref="C57:D57"/>
    <mergeCell ref="C58:D58"/>
    <mergeCell ref="C59:D59"/>
    <mergeCell ref="C102:D102"/>
    <mergeCell ref="C103:D103"/>
    <mergeCell ref="C104:D104"/>
    <mergeCell ref="A127:H127"/>
    <mergeCell ref="A128:H128"/>
    <mergeCell ref="C106:D106"/>
    <mergeCell ref="A129:H129"/>
    <mergeCell ref="E148:E150"/>
    <mergeCell ref="C151:D151"/>
    <mergeCell ref="C152:D152"/>
    <mergeCell ref="C153:D153"/>
    <mergeCell ref="C154:D154"/>
    <mergeCell ref="C155:D155"/>
    <mergeCell ref="C156:D156"/>
    <mergeCell ref="C157:D157"/>
    <mergeCell ref="A176:H176"/>
    <mergeCell ref="A177:H177"/>
    <mergeCell ref="A178:H178"/>
    <mergeCell ref="E195:E197"/>
    <mergeCell ref="C198:D198"/>
    <mergeCell ref="C199:D199"/>
    <mergeCell ref="C200:D200"/>
    <mergeCell ref="C201:D201"/>
    <mergeCell ref="C202:D202"/>
    <mergeCell ref="C203:D203"/>
    <mergeCell ref="C204:D204"/>
    <mergeCell ref="A223:H223"/>
    <mergeCell ref="A224:H224"/>
    <mergeCell ref="A225:H225"/>
    <mergeCell ref="E242:E244"/>
    <mergeCell ref="C245:D245"/>
    <mergeCell ref="C246:D246"/>
    <mergeCell ref="C247:D247"/>
    <mergeCell ref="C248:D248"/>
    <mergeCell ref="C249:D249"/>
    <mergeCell ref="C250:D250"/>
    <mergeCell ref="C251:D251"/>
    <mergeCell ref="A270:H270"/>
    <mergeCell ref="A271:H271"/>
    <mergeCell ref="A272:H272"/>
    <mergeCell ref="E290:E292"/>
    <mergeCell ref="C293:D293"/>
    <mergeCell ref="C294:D294"/>
    <mergeCell ref="C295:D295"/>
    <mergeCell ref="C296:D296"/>
    <mergeCell ref="C297:D297"/>
    <mergeCell ref="C298:D298"/>
    <mergeCell ref="C299:D299"/>
    <mergeCell ref="A318:H318"/>
    <mergeCell ref="A319:H319"/>
    <mergeCell ref="A320:H320"/>
    <mergeCell ref="E338:E340"/>
    <mergeCell ref="C341:D341"/>
    <mergeCell ref="C342:D342"/>
    <mergeCell ref="C343:D343"/>
    <mergeCell ref="C344:D344"/>
    <mergeCell ref="C345:D345"/>
    <mergeCell ref="C346:D346"/>
    <mergeCell ref="C347:D347"/>
    <mergeCell ref="A366:H366"/>
    <mergeCell ref="A367:H367"/>
    <mergeCell ref="A368:H368"/>
    <mergeCell ref="E386:E388"/>
    <mergeCell ref="C389:D389"/>
    <mergeCell ref="C390:D390"/>
    <mergeCell ref="C391:D391"/>
    <mergeCell ref="C392:D392"/>
    <mergeCell ref="C393:D393"/>
    <mergeCell ref="C394:D394"/>
    <mergeCell ref="C395:D395"/>
    <mergeCell ref="A414:H414"/>
    <mergeCell ref="A415:H415"/>
    <mergeCell ref="A416:H416"/>
    <mergeCell ref="E434:E436"/>
    <mergeCell ref="C437:D437"/>
    <mergeCell ref="C438:D438"/>
    <mergeCell ref="C439:D439"/>
    <mergeCell ref="C440:D440"/>
    <mergeCell ref="C441:D441"/>
    <mergeCell ref="C442:D442"/>
    <mergeCell ref="C443:D443"/>
    <mergeCell ref="A462:H462"/>
    <mergeCell ref="A463:H463"/>
    <mergeCell ref="A464:H464"/>
    <mergeCell ref="E483:E485"/>
    <mergeCell ref="C486:D486"/>
    <mergeCell ref="C487:D487"/>
    <mergeCell ref="C488:D488"/>
    <mergeCell ref="C489:D489"/>
    <mergeCell ref="C490:D490"/>
    <mergeCell ref="C491:D491"/>
    <mergeCell ref="C492:D492"/>
    <mergeCell ref="A511:H511"/>
    <mergeCell ref="A512:H512"/>
    <mergeCell ref="A513:H513"/>
    <mergeCell ref="E529:E531"/>
    <mergeCell ref="C538:D538"/>
    <mergeCell ref="A557:H557"/>
    <mergeCell ref="A558:H558"/>
    <mergeCell ref="A559:H559"/>
    <mergeCell ref="C532:D532"/>
    <mergeCell ref="C533:D533"/>
    <mergeCell ref="C534:D534"/>
    <mergeCell ref="C535:D535"/>
    <mergeCell ref="C536:D536"/>
    <mergeCell ref="C537:D537"/>
  </mergeCells>
  <printOptions/>
  <pageMargins left="0" right="0" top="0" bottom="0.25" header="0" footer="0.2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Y50"/>
  <sheetViews>
    <sheetView tabSelected="1" zoomScalePageLayoutView="0" workbookViewId="0" topLeftCell="A1">
      <selection activeCell="B1" sqref="B1:O49"/>
    </sheetView>
  </sheetViews>
  <sheetFormatPr defaultColWidth="9.140625" defaultRowHeight="12.75"/>
  <cols>
    <col min="1" max="1" width="2.421875" style="0" customWidth="1"/>
    <col min="2" max="2" width="4.28125" style="0" customWidth="1"/>
    <col min="3" max="3" width="17.8515625" style="0" customWidth="1"/>
    <col min="4" max="4" width="7.57421875" style="0" customWidth="1"/>
    <col min="5" max="5" width="10.421875" style="88" customWidth="1"/>
    <col min="6" max="6" width="9.7109375" style="88" customWidth="1"/>
    <col min="7" max="7" width="10.140625" style="88" customWidth="1"/>
    <col min="8" max="8" width="11.8515625" style="88" customWidth="1"/>
    <col min="9" max="9" width="6.8515625" style="88" customWidth="1"/>
    <col min="10" max="10" width="9.421875" style="88" customWidth="1"/>
    <col min="11" max="11" width="10.28125" style="0" customWidth="1"/>
    <col min="15" max="15" width="10.28125" style="0" customWidth="1"/>
    <col min="20" max="20" width="11.7109375" style="0" customWidth="1"/>
    <col min="24" max="24" width="11.140625" style="0" customWidth="1"/>
    <col min="25" max="25" width="18.140625" style="0" customWidth="1"/>
  </cols>
  <sheetData>
    <row r="1" spans="2:15" ht="12.75">
      <c r="B1" s="1"/>
      <c r="C1" s="1"/>
      <c r="D1" s="1"/>
      <c r="E1" s="549" t="s">
        <v>857</v>
      </c>
      <c r="F1" s="95"/>
      <c r="G1" s="95"/>
      <c r="H1" s="95"/>
      <c r="I1" s="95"/>
      <c r="J1" s="95"/>
      <c r="K1" s="95"/>
      <c r="L1" s="95"/>
      <c r="M1" s="95"/>
      <c r="N1" s="95"/>
      <c r="O1" s="88"/>
    </row>
    <row r="2" spans="2:15" ht="15.75">
      <c r="B2" s="2" t="s">
        <v>500</v>
      </c>
      <c r="C2" s="1"/>
      <c r="D2" s="1" t="str">
        <f>+'Kopertina '!F4</f>
        <v>FJORTES </v>
      </c>
      <c r="E2" s="95"/>
      <c r="F2" s="95"/>
      <c r="G2" s="95"/>
      <c r="H2" s="95"/>
      <c r="I2" s="95"/>
      <c r="J2" s="95"/>
      <c r="K2" s="95"/>
      <c r="L2" s="95">
        <f>S!J7</f>
        <v>2012</v>
      </c>
      <c r="M2" s="95"/>
      <c r="N2" s="549"/>
      <c r="O2" s="88"/>
    </row>
    <row r="3" spans="2:15" ht="15.75">
      <c r="B3" s="2" t="s">
        <v>501</v>
      </c>
      <c r="C3" s="1"/>
      <c r="D3" s="1" t="str">
        <f>+'Kopertina '!D44</f>
        <v>J97426201K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88"/>
    </row>
    <row r="4" spans="2:15" ht="16.5" thickBot="1">
      <c r="B4" s="2" t="s">
        <v>502</v>
      </c>
      <c r="C4" s="1"/>
      <c r="D4" s="1">
        <f>+'Shenimet Shpjeg'!E10</f>
        <v>0</v>
      </c>
      <c r="E4" s="95"/>
      <c r="F4" s="95"/>
      <c r="G4" s="95"/>
      <c r="H4" s="95"/>
      <c r="I4" s="95"/>
      <c r="J4" s="95"/>
      <c r="K4" s="95"/>
      <c r="L4" s="95"/>
      <c r="M4" s="95"/>
      <c r="N4" s="95"/>
      <c r="O4" s="88"/>
    </row>
    <row r="5" spans="2:15" ht="12.75" customHeight="1">
      <c r="B5" s="609" t="s">
        <v>1</v>
      </c>
      <c r="C5" s="610" t="s">
        <v>503</v>
      </c>
      <c r="D5" s="1543" t="s">
        <v>504</v>
      </c>
      <c r="E5" s="1532" t="s">
        <v>505</v>
      </c>
      <c r="F5" s="1540" t="s">
        <v>506</v>
      </c>
      <c r="G5" s="1541"/>
      <c r="H5" s="1542"/>
      <c r="I5" s="1532" t="s">
        <v>507</v>
      </c>
      <c r="J5" s="1532" t="s">
        <v>949</v>
      </c>
      <c r="K5" s="1532" t="s">
        <v>860</v>
      </c>
      <c r="L5" s="1532" t="s">
        <v>950</v>
      </c>
      <c r="M5" s="1532" t="s">
        <v>951</v>
      </c>
      <c r="N5" s="1534" t="s">
        <v>952</v>
      </c>
      <c r="O5" s="1545" t="s">
        <v>953</v>
      </c>
    </row>
    <row r="6" spans="2:23" ht="33.75" customHeight="1" thickBot="1">
      <c r="B6" s="611"/>
      <c r="C6" s="612"/>
      <c r="D6" s="1544"/>
      <c r="E6" s="1533"/>
      <c r="F6" s="550" t="s">
        <v>508</v>
      </c>
      <c r="G6" s="550" t="s">
        <v>509</v>
      </c>
      <c r="H6" s="550" t="s">
        <v>948</v>
      </c>
      <c r="I6" s="1533"/>
      <c r="J6" s="1533"/>
      <c r="K6" s="1533"/>
      <c r="L6" s="1533"/>
      <c r="M6" s="1533"/>
      <c r="N6" s="1535"/>
      <c r="O6" s="1546"/>
      <c r="T6" s="1488" t="s">
        <v>1011</v>
      </c>
      <c r="U6" s="1488"/>
      <c r="V6" s="1488"/>
      <c r="W6" s="1488"/>
    </row>
    <row r="7" spans="2:15" ht="13.5" thickBot="1">
      <c r="B7" s="551"/>
      <c r="C7" s="552" t="s">
        <v>510</v>
      </c>
      <c r="D7" s="552" t="s">
        <v>511</v>
      </c>
      <c r="E7" s="553">
        <v>1</v>
      </c>
      <c r="F7" s="553">
        <v>2</v>
      </c>
      <c r="G7" s="553">
        <v>3</v>
      </c>
      <c r="H7" s="553" t="s">
        <v>512</v>
      </c>
      <c r="I7" s="553">
        <v>5</v>
      </c>
      <c r="J7" s="553">
        <v>6</v>
      </c>
      <c r="K7" s="553" t="s">
        <v>513</v>
      </c>
      <c r="L7" s="554" t="s">
        <v>514</v>
      </c>
      <c r="M7" s="555">
        <v>9</v>
      </c>
      <c r="N7" s="555" t="s">
        <v>515</v>
      </c>
      <c r="O7" s="556" t="s">
        <v>516</v>
      </c>
    </row>
    <row r="8" spans="2:15" ht="12.75">
      <c r="B8" s="557"/>
      <c r="C8" s="558" t="s">
        <v>858</v>
      </c>
      <c r="D8" s="559"/>
      <c r="E8" s="560"/>
      <c r="F8" s="461"/>
      <c r="G8" s="460"/>
      <c r="H8" s="460">
        <f>E8+F8-G8</f>
        <v>0</v>
      </c>
      <c r="I8" s="561">
        <v>0</v>
      </c>
      <c r="J8" s="460">
        <v>0</v>
      </c>
      <c r="K8" s="460">
        <f>E8</f>
        <v>0</v>
      </c>
      <c r="L8" s="460">
        <v>0</v>
      </c>
      <c r="M8" s="562">
        <v>0</v>
      </c>
      <c r="N8" s="563">
        <v>0</v>
      </c>
      <c r="O8" s="564">
        <f>H8</f>
        <v>0</v>
      </c>
    </row>
    <row r="9" spans="2:25" ht="12.75">
      <c r="B9" s="304">
        <v>1</v>
      </c>
      <c r="C9" s="583" t="s">
        <v>859</v>
      </c>
      <c r="D9" s="924"/>
      <c r="E9" s="925">
        <f>E8</f>
        <v>0</v>
      </c>
      <c r="F9" s="925">
        <f aca="true" t="shared" si="0" ref="F9:O9">F8</f>
        <v>0</v>
      </c>
      <c r="G9" s="925">
        <f t="shared" si="0"/>
        <v>0</v>
      </c>
      <c r="H9" s="925">
        <f t="shared" si="0"/>
        <v>0</v>
      </c>
      <c r="I9" s="925">
        <v>0</v>
      </c>
      <c r="J9" s="925">
        <v>0</v>
      </c>
      <c r="K9" s="925">
        <f t="shared" si="0"/>
        <v>0</v>
      </c>
      <c r="L9" s="925">
        <f t="shared" si="0"/>
        <v>0</v>
      </c>
      <c r="M9" s="925">
        <f t="shared" si="0"/>
        <v>0</v>
      </c>
      <c r="N9" s="925">
        <f t="shared" si="0"/>
        <v>0</v>
      </c>
      <c r="O9" s="925">
        <f t="shared" si="0"/>
        <v>0</v>
      </c>
      <c r="Q9" s="59"/>
      <c r="R9" s="59"/>
      <c r="S9" s="164" t="s">
        <v>982</v>
      </c>
      <c r="T9" s="164"/>
      <c r="U9" s="164"/>
      <c r="V9" s="59"/>
      <c r="W9" s="59"/>
      <c r="X9" s="59"/>
      <c r="Y9" s="59"/>
    </row>
    <row r="10" spans="2:25" ht="13.5" thickBot="1">
      <c r="B10" s="557"/>
      <c r="C10" s="306" t="s">
        <v>1047</v>
      </c>
      <c r="D10" s="565" t="s">
        <v>798</v>
      </c>
      <c r="E10" s="566">
        <v>21545658</v>
      </c>
      <c r="F10" s="566">
        <f>824051+2749349+3769496</f>
        <v>7342896</v>
      </c>
      <c r="G10" s="566"/>
      <c r="H10" s="139">
        <f>E10+F10-G10</f>
        <v>28888554</v>
      </c>
      <c r="I10" s="305">
        <v>5</v>
      </c>
      <c r="J10" s="139"/>
      <c r="K10" s="139">
        <f>E10-J10</f>
        <v>21545658</v>
      </c>
      <c r="L10" s="139">
        <f>K10*I10/100+F10*I10/100/12*0</f>
        <v>1077282.9</v>
      </c>
      <c r="M10" s="567">
        <v>0</v>
      </c>
      <c r="N10" s="567">
        <f>J10+L10-M10</f>
        <v>1077282.9</v>
      </c>
      <c r="O10" s="999">
        <f>H10-N10</f>
        <v>27811271.1</v>
      </c>
      <c r="Q10" s="59"/>
      <c r="R10" s="59"/>
      <c r="S10" s="59"/>
      <c r="T10" s="59"/>
      <c r="U10" s="59"/>
      <c r="V10" s="59"/>
      <c r="W10" s="59"/>
      <c r="X10" s="59"/>
      <c r="Y10" s="59"/>
    </row>
    <row r="11" spans="2:25" ht="13.5" thickBot="1">
      <c r="B11" s="557"/>
      <c r="C11" s="306" t="s">
        <v>1048</v>
      </c>
      <c r="D11" s="565"/>
      <c r="E11" s="566">
        <v>9037823</v>
      </c>
      <c r="F11" s="566"/>
      <c r="G11" s="566"/>
      <c r="H11" s="139">
        <f>E11+F11-G11</f>
        <v>9037823</v>
      </c>
      <c r="I11" s="305">
        <v>5</v>
      </c>
      <c r="J11" s="139"/>
      <c r="K11" s="139">
        <f>E11-J11</f>
        <v>9037823</v>
      </c>
      <c r="L11" s="139">
        <f>K11*I11/100+F11*I11/100/12*0</f>
        <v>451891.15</v>
      </c>
      <c r="M11" s="567">
        <v>0</v>
      </c>
      <c r="N11" s="567">
        <f>J11+L11-M11</f>
        <v>451891.15</v>
      </c>
      <c r="O11" s="999">
        <f>H11-N11</f>
        <v>8585931.85</v>
      </c>
      <c r="Q11" s="1468" t="s">
        <v>1</v>
      </c>
      <c r="R11" s="525" t="s">
        <v>245</v>
      </c>
      <c r="S11" s="526"/>
      <c r="T11" s="921" t="s">
        <v>246</v>
      </c>
      <c r="U11" s="921" t="s">
        <v>226</v>
      </c>
      <c r="V11" s="921" t="s">
        <v>247</v>
      </c>
      <c r="W11" s="921" t="s">
        <v>228</v>
      </c>
      <c r="X11" s="921" t="s">
        <v>229</v>
      </c>
      <c r="Y11" s="921" t="s">
        <v>248</v>
      </c>
    </row>
    <row r="12" spans="2:25" ht="13.5" thickBot="1">
      <c r="B12" s="557">
        <v>2</v>
      </c>
      <c r="C12" s="306" t="s">
        <v>876</v>
      </c>
      <c r="D12" s="565"/>
      <c r="E12" s="566"/>
      <c r="F12" s="566">
        <f>6538246+6275550</f>
        <v>12813796</v>
      </c>
      <c r="G12" s="566"/>
      <c r="H12" s="139">
        <f>E12+F12-G12</f>
        <v>12813796</v>
      </c>
      <c r="I12" s="305">
        <v>5</v>
      </c>
      <c r="J12" s="139"/>
      <c r="K12" s="139">
        <f>E12-J12</f>
        <v>0</v>
      </c>
      <c r="L12" s="139">
        <f>K12*I12/100+F12*I12/100/12*0</f>
        <v>0</v>
      </c>
      <c r="M12" s="567">
        <v>0</v>
      </c>
      <c r="N12" s="567">
        <f>J12+L12-M12</f>
        <v>0</v>
      </c>
      <c r="O12" s="999">
        <f>H12-N12</f>
        <v>12813796</v>
      </c>
      <c r="Q12" s="1536"/>
      <c r="R12" s="501" t="s">
        <v>1</v>
      </c>
      <c r="S12" s="921" t="s">
        <v>232</v>
      </c>
      <c r="T12" s="922" t="s">
        <v>249</v>
      </c>
      <c r="U12" s="922" t="s">
        <v>250</v>
      </c>
      <c r="V12" s="922"/>
      <c r="W12" s="922"/>
      <c r="X12" s="922" t="s">
        <v>236</v>
      </c>
      <c r="Y12" s="922"/>
    </row>
    <row r="13" spans="2:25" ht="13.5" thickBot="1">
      <c r="B13" s="304"/>
      <c r="C13" s="568" t="s">
        <v>517</v>
      </c>
      <c r="D13" s="569"/>
      <c r="E13" s="570">
        <f>E10+E11+E12</f>
        <v>30583481</v>
      </c>
      <c r="F13" s="570">
        <f aca="true" t="shared" si="1" ref="F13:O13">F10+F11+F12</f>
        <v>20156692</v>
      </c>
      <c r="G13" s="570">
        <f t="shared" si="1"/>
        <v>0</v>
      </c>
      <c r="H13" s="570">
        <f t="shared" si="1"/>
        <v>50740173</v>
      </c>
      <c r="I13" s="570"/>
      <c r="J13" s="570">
        <f t="shared" si="1"/>
        <v>0</v>
      </c>
      <c r="K13" s="570">
        <f t="shared" si="1"/>
        <v>30583481</v>
      </c>
      <c r="L13" s="570">
        <f t="shared" si="1"/>
        <v>1529174.0499999998</v>
      </c>
      <c r="M13" s="570">
        <f t="shared" si="1"/>
        <v>0</v>
      </c>
      <c r="N13" s="570">
        <f t="shared" si="1"/>
        <v>1529174.0499999998</v>
      </c>
      <c r="O13" s="570">
        <f t="shared" si="1"/>
        <v>49210998.95</v>
      </c>
      <c r="Q13" s="977">
        <v>1</v>
      </c>
      <c r="R13" s="978">
        <f>S!N39</f>
        <v>295</v>
      </c>
      <c r="S13" s="978">
        <f>S!O39</f>
        <v>10.5</v>
      </c>
      <c r="T13" s="978">
        <f>S!P39</f>
        <v>500000</v>
      </c>
      <c r="U13" s="978">
        <f>S!Q39</f>
        <v>0</v>
      </c>
      <c r="V13" s="978">
        <f>S!R39</f>
        <v>0</v>
      </c>
      <c r="W13" s="978">
        <f>S!S39</f>
        <v>0</v>
      </c>
      <c r="X13" s="978">
        <f>S!T39</f>
        <v>100000</v>
      </c>
      <c r="Y13" s="978" t="str">
        <f>S!U39</f>
        <v>REZERVUAR</v>
      </c>
    </row>
    <row r="14" spans="2:25" ht="12.75">
      <c r="B14" s="557"/>
      <c r="C14" s="571" t="s">
        <v>518</v>
      </c>
      <c r="D14" s="572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2"/>
      <c r="Q14" s="977">
        <v>2</v>
      </c>
      <c r="R14" s="978">
        <f>S!N40</f>
        <v>37</v>
      </c>
      <c r="S14" s="978">
        <f>S!O40</f>
        <v>30.7</v>
      </c>
      <c r="T14" s="978">
        <f>S!P40</f>
        <v>824051</v>
      </c>
      <c r="U14" s="978">
        <f>S!Q40</f>
        <v>0</v>
      </c>
      <c r="V14" s="978">
        <f>S!R40</f>
        <v>0</v>
      </c>
      <c r="W14" s="978">
        <f>S!S40</f>
        <v>0</v>
      </c>
      <c r="X14" s="978">
        <f>S!T40</f>
        <v>164810.2</v>
      </c>
      <c r="Y14" s="978" t="str">
        <f>S!U40</f>
        <v>NDERTESA</v>
      </c>
    </row>
    <row r="15" spans="2:25" ht="12.75">
      <c r="B15" s="573"/>
      <c r="C15" s="574" t="s">
        <v>519</v>
      </c>
      <c r="D15" s="575"/>
      <c r="E15" s="146"/>
      <c r="F15" s="146"/>
      <c r="G15" s="146"/>
      <c r="H15" s="460"/>
      <c r="I15" s="146"/>
      <c r="J15" s="146"/>
      <c r="K15" s="146"/>
      <c r="L15" s="146"/>
      <c r="M15" s="146"/>
      <c r="N15" s="146"/>
      <c r="O15" s="466"/>
      <c r="Q15" s="977">
        <v>3</v>
      </c>
      <c r="R15" s="978">
        <f>S!N41</f>
        <v>45</v>
      </c>
      <c r="S15" s="978">
        <f>S!O41</f>
        <v>24.7</v>
      </c>
      <c r="T15" s="978">
        <f>S!P41</f>
        <v>843330</v>
      </c>
      <c r="U15" s="978">
        <f>S!Q41</f>
        <v>0</v>
      </c>
      <c r="V15" s="978">
        <f>S!R41</f>
        <v>0</v>
      </c>
      <c r="W15" s="978">
        <f>S!S41</f>
        <v>0</v>
      </c>
      <c r="X15" s="978">
        <f>S!T41</f>
        <v>168666</v>
      </c>
      <c r="Y15" s="978" t="str">
        <f>S!U41</f>
        <v>IMPIANT GAZI</v>
      </c>
    </row>
    <row r="16" spans="2:25" ht="12.75">
      <c r="B16" s="304">
        <v>1</v>
      </c>
      <c r="C16" s="306" t="s">
        <v>519</v>
      </c>
      <c r="D16" s="565"/>
      <c r="E16" s="139">
        <v>0</v>
      </c>
      <c r="F16" s="139">
        <v>0</v>
      </c>
      <c r="G16" s="139">
        <v>0</v>
      </c>
      <c r="H16" s="460">
        <f aca="true" t="shared" si="2" ref="H16:H27">E16+F16-G16</f>
        <v>0</v>
      </c>
      <c r="I16" s="139">
        <v>5</v>
      </c>
      <c r="J16" s="139"/>
      <c r="K16" s="139">
        <f>E16-J16</f>
        <v>0</v>
      </c>
      <c r="L16" s="139">
        <f>K16*I16/100+F16*I16/100/12*0</f>
        <v>0</v>
      </c>
      <c r="M16" s="139"/>
      <c r="N16" s="139">
        <f>J16+L16-M16</f>
        <v>0</v>
      </c>
      <c r="O16" s="143">
        <f>H16-N16</f>
        <v>0</v>
      </c>
      <c r="Q16" s="977">
        <v>4</v>
      </c>
      <c r="R16" s="978">
        <f>S!N42</f>
        <v>312</v>
      </c>
      <c r="S16" s="978">
        <f>S!O42</f>
        <v>19.7</v>
      </c>
      <c r="T16" s="978">
        <f>S!P42</f>
        <v>500000</v>
      </c>
      <c r="U16" s="978">
        <f>S!Q42</f>
        <v>0</v>
      </c>
      <c r="V16" s="978">
        <f>S!R42</f>
        <v>0</v>
      </c>
      <c r="W16" s="978">
        <f>S!S42</f>
        <v>0</v>
      </c>
      <c r="X16" s="978">
        <f>S!T42</f>
        <v>100000</v>
      </c>
      <c r="Y16" s="978" t="str">
        <f>S!U42</f>
        <v>REZERVUAR</v>
      </c>
    </row>
    <row r="17" spans="2:25" ht="12.75">
      <c r="B17" s="557">
        <v>2</v>
      </c>
      <c r="C17" s="576"/>
      <c r="D17" s="577"/>
      <c r="E17" s="139">
        <v>0</v>
      </c>
      <c r="F17" s="139">
        <v>0</v>
      </c>
      <c r="G17" s="139">
        <v>0</v>
      </c>
      <c r="H17" s="460">
        <f t="shared" si="2"/>
        <v>0</v>
      </c>
      <c r="I17" s="460">
        <v>5</v>
      </c>
      <c r="J17" s="460"/>
      <c r="K17" s="139">
        <f aca="true" t="shared" si="3" ref="K17:K27">E17-J17</f>
        <v>0</v>
      </c>
      <c r="L17" s="139">
        <f aca="true" t="shared" si="4" ref="L17:L27">K17*I17/100+F17*I17/100/12*0</f>
        <v>0</v>
      </c>
      <c r="M17" s="460"/>
      <c r="N17" s="139">
        <f aca="true" t="shared" si="5" ref="N17:N27">J17+L17-M17</f>
        <v>0</v>
      </c>
      <c r="O17" s="143">
        <f aca="true" t="shared" si="6" ref="O17:O27">H17-N17</f>
        <v>0</v>
      </c>
      <c r="Q17" s="977">
        <v>5</v>
      </c>
      <c r="R17" s="978">
        <f>S!N43</f>
        <v>54</v>
      </c>
      <c r="S17" s="978">
        <f>S!O43</f>
        <v>30.09</v>
      </c>
      <c r="T17" s="978">
        <f>S!P43</f>
        <v>2749349</v>
      </c>
      <c r="U17" s="978">
        <f>S!Q43</f>
        <v>0</v>
      </c>
      <c r="V17" s="978">
        <f>S!R43</f>
        <v>0</v>
      </c>
      <c r="W17" s="978">
        <f>S!S43</f>
        <v>0</v>
      </c>
      <c r="X17" s="978">
        <f>S!T43</f>
        <v>549869.8</v>
      </c>
      <c r="Y17" s="978" t="str">
        <f>S!U43</f>
        <v>NDERTESA</v>
      </c>
    </row>
    <row r="18" spans="2:25" ht="12.75">
      <c r="B18" s="557">
        <v>3</v>
      </c>
      <c r="C18" s="578"/>
      <c r="D18" s="579"/>
      <c r="E18" s="139">
        <v>0</v>
      </c>
      <c r="F18" s="139">
        <v>0</v>
      </c>
      <c r="G18" s="139">
        <v>0</v>
      </c>
      <c r="H18" s="460">
        <f t="shared" si="2"/>
        <v>0</v>
      </c>
      <c r="I18" s="139">
        <v>5</v>
      </c>
      <c r="J18" s="139"/>
      <c r="K18" s="139">
        <f t="shared" si="3"/>
        <v>0</v>
      </c>
      <c r="L18" s="139">
        <f t="shared" si="4"/>
        <v>0</v>
      </c>
      <c r="M18" s="139"/>
      <c r="N18" s="139">
        <f t="shared" si="5"/>
        <v>0</v>
      </c>
      <c r="O18" s="143">
        <f t="shared" si="6"/>
        <v>0</v>
      </c>
      <c r="Q18" s="977">
        <v>6</v>
      </c>
      <c r="R18" s="978">
        <f>S!N44</f>
        <v>71</v>
      </c>
      <c r="S18" s="978">
        <f>S!O44</f>
        <v>30.12</v>
      </c>
      <c r="T18" s="978">
        <f>S!P44</f>
        <v>3769496</v>
      </c>
      <c r="U18" s="978">
        <f>S!Q44</f>
        <v>0</v>
      </c>
      <c r="V18" s="978">
        <f>S!R44</f>
        <v>0</v>
      </c>
      <c r="W18" s="978">
        <f>S!S44</f>
        <v>0</v>
      </c>
      <c r="X18" s="978">
        <f>S!T44</f>
        <v>753899.2000000001</v>
      </c>
      <c r="Y18" s="978" t="str">
        <f>S!U44</f>
        <v>NDERTESA</v>
      </c>
    </row>
    <row r="19" spans="2:25" ht="12.75">
      <c r="B19" s="304">
        <v>4</v>
      </c>
      <c r="C19" s="571"/>
      <c r="D19" s="572"/>
      <c r="E19" s="139">
        <v>0</v>
      </c>
      <c r="F19" s="139">
        <v>0</v>
      </c>
      <c r="G19" s="139">
        <v>0</v>
      </c>
      <c r="H19" s="460">
        <f t="shared" si="2"/>
        <v>0</v>
      </c>
      <c r="I19" s="139">
        <v>5</v>
      </c>
      <c r="J19" s="139"/>
      <c r="K19" s="139">
        <f t="shared" si="3"/>
        <v>0</v>
      </c>
      <c r="L19" s="139">
        <f t="shared" si="4"/>
        <v>0</v>
      </c>
      <c r="M19" s="139"/>
      <c r="N19" s="139">
        <f t="shared" si="5"/>
        <v>0</v>
      </c>
      <c r="O19" s="143">
        <f t="shared" si="6"/>
        <v>0</v>
      </c>
      <c r="Q19" s="977">
        <v>7</v>
      </c>
      <c r="R19" s="978">
        <f>S!N45</f>
        <v>76</v>
      </c>
      <c r="S19" s="978">
        <f>S!O45</f>
        <v>31.12</v>
      </c>
      <c r="T19" s="978">
        <f>S!P45</f>
        <v>6538246</v>
      </c>
      <c r="U19" s="978">
        <f>S!Q45</f>
        <v>0</v>
      </c>
      <c r="V19" s="978">
        <f>S!R45</f>
        <v>0</v>
      </c>
      <c r="W19" s="978">
        <f>S!S45</f>
        <v>0</v>
      </c>
      <c r="X19" s="978">
        <f>S!T45</f>
        <v>1307649.2000000002</v>
      </c>
      <c r="Y19" s="978" t="str">
        <f>S!U45</f>
        <v>NDERTESA</v>
      </c>
    </row>
    <row r="20" spans="2:25" ht="12.75">
      <c r="B20" s="557">
        <v>5</v>
      </c>
      <c r="C20" s="580"/>
      <c r="D20" s="579"/>
      <c r="E20" s="139">
        <v>0</v>
      </c>
      <c r="F20" s="139">
        <v>0</v>
      </c>
      <c r="G20" s="139">
        <v>0</v>
      </c>
      <c r="H20" s="460">
        <f t="shared" si="2"/>
        <v>0</v>
      </c>
      <c r="I20" s="139">
        <v>5</v>
      </c>
      <c r="J20" s="139"/>
      <c r="K20" s="139">
        <f t="shared" si="3"/>
        <v>0</v>
      </c>
      <c r="L20" s="139">
        <f t="shared" si="4"/>
        <v>0</v>
      </c>
      <c r="M20" s="139"/>
      <c r="N20" s="139">
        <f t="shared" si="5"/>
        <v>0</v>
      </c>
      <c r="O20" s="143">
        <f t="shared" si="6"/>
        <v>0</v>
      </c>
      <c r="Q20" s="977">
        <v>8</v>
      </c>
      <c r="R20" s="978">
        <f>S!N46</f>
        <v>73</v>
      </c>
      <c r="S20" s="978">
        <f>S!O46</f>
        <v>31.1</v>
      </c>
      <c r="T20" s="978">
        <f>S!P46</f>
        <v>6275550</v>
      </c>
      <c r="U20" s="978">
        <f>S!Q46</f>
        <v>0</v>
      </c>
      <c r="V20" s="978">
        <f>S!R46</f>
        <v>0</v>
      </c>
      <c r="W20" s="978">
        <f>S!S46</f>
        <v>0</v>
      </c>
      <c r="X20" s="978">
        <f>S!T46</f>
        <v>1255110</v>
      </c>
      <c r="Y20" s="978" t="str">
        <f>S!U46</f>
        <v>NDERTESA</v>
      </c>
    </row>
    <row r="21" spans="2:25" ht="12.75">
      <c r="B21" s="304">
        <v>6</v>
      </c>
      <c r="C21" s="580"/>
      <c r="D21" s="579"/>
      <c r="E21" s="139">
        <v>0</v>
      </c>
      <c r="F21" s="139">
        <v>0</v>
      </c>
      <c r="G21" s="139">
        <v>0</v>
      </c>
      <c r="H21" s="460">
        <f t="shared" si="2"/>
        <v>0</v>
      </c>
      <c r="I21" s="139">
        <v>5</v>
      </c>
      <c r="J21" s="139"/>
      <c r="K21" s="139">
        <f t="shared" si="3"/>
        <v>0</v>
      </c>
      <c r="L21" s="139">
        <f t="shared" si="4"/>
        <v>0</v>
      </c>
      <c r="M21" s="139"/>
      <c r="N21" s="139">
        <f t="shared" si="5"/>
        <v>0</v>
      </c>
      <c r="O21" s="143">
        <f t="shared" si="6"/>
        <v>0</v>
      </c>
      <c r="Q21" s="977">
        <v>9</v>
      </c>
      <c r="R21" s="978">
        <f>S!N47</f>
        <v>0</v>
      </c>
      <c r="S21" s="978">
        <f>S!O47</f>
        <v>0</v>
      </c>
      <c r="T21" s="978">
        <f>S!P47</f>
        <v>0</v>
      </c>
      <c r="U21" s="978">
        <f>S!Q47</f>
        <v>0</v>
      </c>
      <c r="V21" s="978">
        <f>S!R47</f>
        <v>0</v>
      </c>
      <c r="W21" s="978">
        <f>S!S47</f>
        <v>0</v>
      </c>
      <c r="X21" s="978">
        <f>S!T47</f>
        <v>0</v>
      </c>
      <c r="Y21" s="978">
        <f>S!U47</f>
        <v>0</v>
      </c>
    </row>
    <row r="22" spans="2:25" ht="12.75">
      <c r="B22" s="557"/>
      <c r="C22" s="581" t="s">
        <v>518</v>
      </c>
      <c r="D22" s="579"/>
      <c r="E22" s="139"/>
      <c r="F22" s="141"/>
      <c r="G22" s="139"/>
      <c r="H22" s="460"/>
      <c r="I22" s="139"/>
      <c r="J22" s="139"/>
      <c r="K22" s="139">
        <f t="shared" si="3"/>
        <v>0</v>
      </c>
      <c r="L22" s="139"/>
      <c r="M22" s="139"/>
      <c r="N22" s="139"/>
      <c r="O22" s="143"/>
      <c r="Q22" s="977">
        <v>10</v>
      </c>
      <c r="R22" s="978">
        <f>S!N48</f>
        <v>0</v>
      </c>
      <c r="S22" s="978">
        <f>S!O48</f>
        <v>0</v>
      </c>
      <c r="T22" s="978">
        <f>S!P48</f>
        <v>0</v>
      </c>
      <c r="U22" s="978">
        <f>S!Q48</f>
        <v>0</v>
      </c>
      <c r="V22" s="978">
        <f>S!R48</f>
        <v>0</v>
      </c>
      <c r="W22" s="978">
        <f>S!S48</f>
        <v>0</v>
      </c>
      <c r="X22" s="978">
        <f>S!T48</f>
        <v>0</v>
      </c>
      <c r="Y22" s="978">
        <f>S!U48</f>
        <v>0</v>
      </c>
    </row>
    <row r="23" spans="2:25" ht="12.75">
      <c r="B23" s="304">
        <v>1</v>
      </c>
      <c r="C23" s="128"/>
      <c r="D23" s="579" t="s">
        <v>1049</v>
      </c>
      <c r="E23" s="139">
        <v>400000</v>
      </c>
      <c r="F23" s="141">
        <v>0</v>
      </c>
      <c r="G23" s="139">
        <v>0</v>
      </c>
      <c r="H23" s="460">
        <f t="shared" si="2"/>
        <v>400000</v>
      </c>
      <c r="I23" s="139">
        <v>20</v>
      </c>
      <c r="J23" s="139">
        <v>175175</v>
      </c>
      <c r="K23" s="139">
        <f t="shared" si="3"/>
        <v>224825</v>
      </c>
      <c r="L23" s="139">
        <f t="shared" si="4"/>
        <v>44965</v>
      </c>
      <c r="M23" s="139"/>
      <c r="N23" s="139">
        <f t="shared" si="5"/>
        <v>220140</v>
      </c>
      <c r="O23" s="143">
        <f t="shared" si="6"/>
        <v>179860</v>
      </c>
      <c r="Q23" s="977">
        <v>11</v>
      </c>
      <c r="R23" s="978">
        <f>S!N49</f>
        <v>0</v>
      </c>
      <c r="S23" s="978">
        <f>S!O49</f>
        <v>0</v>
      </c>
      <c r="T23" s="978">
        <f>S!P49</f>
        <v>0</v>
      </c>
      <c r="U23" s="978">
        <f>S!Q49</f>
        <v>0</v>
      </c>
      <c r="V23" s="978">
        <f>S!R49</f>
        <v>0</v>
      </c>
      <c r="W23" s="978">
        <f>S!S49</f>
        <v>0</v>
      </c>
      <c r="X23" s="978">
        <f>S!T49</f>
        <v>0</v>
      </c>
      <c r="Y23" s="978">
        <f>S!U49</f>
        <v>0</v>
      </c>
    </row>
    <row r="24" spans="2:25" ht="12.75">
      <c r="B24" s="557">
        <v>2</v>
      </c>
      <c r="C24" s="128"/>
      <c r="D24" s="579" t="s">
        <v>1049</v>
      </c>
      <c r="E24" s="139">
        <v>1185000</v>
      </c>
      <c r="F24" s="141">
        <v>0</v>
      </c>
      <c r="G24" s="139">
        <v>0</v>
      </c>
      <c r="H24" s="460">
        <f t="shared" si="2"/>
        <v>1185000</v>
      </c>
      <c r="I24" s="139">
        <v>20</v>
      </c>
      <c r="J24" s="139">
        <v>673589</v>
      </c>
      <c r="K24" s="139">
        <f t="shared" si="3"/>
        <v>511411</v>
      </c>
      <c r="L24" s="139">
        <f t="shared" si="4"/>
        <v>102282.2</v>
      </c>
      <c r="M24" s="139"/>
      <c r="N24" s="139">
        <f t="shared" si="5"/>
        <v>775871.2</v>
      </c>
      <c r="O24" s="143">
        <f t="shared" si="6"/>
        <v>409128.80000000005</v>
      </c>
      <c r="Q24" s="977">
        <v>12</v>
      </c>
      <c r="R24" s="978">
        <f>S!N50</f>
        <v>0</v>
      </c>
      <c r="S24" s="978">
        <f>S!O50</f>
        <v>0</v>
      </c>
      <c r="T24" s="978">
        <f>S!P50</f>
        <v>0</v>
      </c>
      <c r="U24" s="978">
        <f>S!Q50</f>
        <v>0</v>
      </c>
      <c r="V24" s="978">
        <f>S!R50</f>
        <v>0</v>
      </c>
      <c r="W24" s="978">
        <f>S!S50</f>
        <v>0</v>
      </c>
      <c r="X24" s="978">
        <f>S!T50</f>
        <v>0</v>
      </c>
      <c r="Y24" s="978">
        <f>S!U50</f>
        <v>0</v>
      </c>
    </row>
    <row r="25" spans="2:25" ht="12.75">
      <c r="B25" s="304">
        <v>3</v>
      </c>
      <c r="C25" s="128"/>
      <c r="D25" s="579" t="s">
        <v>1049</v>
      </c>
      <c r="E25" s="139">
        <v>50000</v>
      </c>
      <c r="F25" s="141">
        <v>0</v>
      </c>
      <c r="G25" s="139">
        <v>0</v>
      </c>
      <c r="H25" s="460">
        <f t="shared" si="2"/>
        <v>50000</v>
      </c>
      <c r="I25" s="139">
        <v>20</v>
      </c>
      <c r="J25" s="139">
        <v>42320</v>
      </c>
      <c r="K25" s="139">
        <f t="shared" si="3"/>
        <v>7680</v>
      </c>
      <c r="L25" s="139">
        <f t="shared" si="4"/>
        <v>1536</v>
      </c>
      <c r="M25" s="139"/>
      <c r="N25" s="139">
        <f t="shared" si="5"/>
        <v>43856</v>
      </c>
      <c r="O25" s="143">
        <f t="shared" si="6"/>
        <v>6144</v>
      </c>
      <c r="Q25" s="977">
        <v>13</v>
      </c>
      <c r="R25" s="978">
        <f>S!N51</f>
        <v>0</v>
      </c>
      <c r="S25" s="978">
        <f>S!O51</f>
        <v>0</v>
      </c>
      <c r="T25" s="978">
        <f>S!P51</f>
        <v>0</v>
      </c>
      <c r="U25" s="978">
        <f>S!Q51</f>
        <v>0</v>
      </c>
      <c r="V25" s="978">
        <f>S!R51</f>
        <v>0</v>
      </c>
      <c r="W25" s="978">
        <f>S!S51</f>
        <v>0</v>
      </c>
      <c r="X25" s="978">
        <f>S!T51</f>
        <v>0</v>
      </c>
      <c r="Y25" s="978">
        <f>S!U51</f>
        <v>0</v>
      </c>
    </row>
    <row r="26" spans="2:25" ht="12.75">
      <c r="B26" s="557">
        <v>4</v>
      </c>
      <c r="C26" s="128"/>
      <c r="D26" s="579"/>
      <c r="E26" s="566">
        <v>0</v>
      </c>
      <c r="F26" s="141">
        <v>0</v>
      </c>
      <c r="G26" s="139">
        <v>0</v>
      </c>
      <c r="H26" s="460">
        <f t="shared" si="2"/>
        <v>0</v>
      </c>
      <c r="I26" s="139">
        <v>20</v>
      </c>
      <c r="J26" s="139"/>
      <c r="K26" s="139">
        <f t="shared" si="3"/>
        <v>0</v>
      </c>
      <c r="L26" s="139">
        <f t="shared" si="4"/>
        <v>0</v>
      </c>
      <c r="M26" s="139"/>
      <c r="N26" s="139">
        <f t="shared" si="5"/>
        <v>0</v>
      </c>
      <c r="O26" s="143">
        <f t="shared" si="6"/>
        <v>0</v>
      </c>
      <c r="Q26" s="977">
        <v>14</v>
      </c>
      <c r="R26" s="978">
        <f>S!N52</f>
        <v>0</v>
      </c>
      <c r="S26" s="978">
        <f>S!O52</f>
        <v>0</v>
      </c>
      <c r="T26" s="978">
        <f>S!P52</f>
        <v>0</v>
      </c>
      <c r="U26" s="978">
        <f>S!Q52</f>
        <v>0</v>
      </c>
      <c r="V26" s="978">
        <f>S!R52</f>
        <v>0</v>
      </c>
      <c r="W26" s="978">
        <f>S!S52</f>
        <v>0</v>
      </c>
      <c r="X26" s="978">
        <f>S!T52</f>
        <v>0</v>
      </c>
      <c r="Y26" s="978">
        <f>S!U52</f>
        <v>0</v>
      </c>
    </row>
    <row r="27" spans="2:25" ht="13.5" thickBot="1">
      <c r="B27" s="304">
        <v>5</v>
      </c>
      <c r="C27" s="128"/>
      <c r="D27" s="579"/>
      <c r="E27" s="582">
        <v>0</v>
      </c>
      <c r="F27" s="141">
        <v>0</v>
      </c>
      <c r="G27" s="139">
        <v>0</v>
      </c>
      <c r="H27" s="460">
        <f t="shared" si="2"/>
        <v>0</v>
      </c>
      <c r="I27" s="146">
        <v>20</v>
      </c>
      <c r="J27" s="146"/>
      <c r="K27" s="139">
        <f t="shared" si="3"/>
        <v>0</v>
      </c>
      <c r="L27" s="139">
        <f t="shared" si="4"/>
        <v>0</v>
      </c>
      <c r="M27" s="146"/>
      <c r="N27" s="139">
        <f t="shared" si="5"/>
        <v>0</v>
      </c>
      <c r="O27" s="143">
        <f t="shared" si="6"/>
        <v>0</v>
      </c>
      <c r="Q27" s="1537" t="s">
        <v>356</v>
      </c>
      <c r="R27" s="1538"/>
      <c r="S27" s="1539"/>
      <c r="T27" s="975">
        <f>SUM(T13:T26)</f>
        <v>22000022</v>
      </c>
      <c r="U27" s="975">
        <f>SUM(U13:U26)</f>
        <v>0</v>
      </c>
      <c r="V27" s="975">
        <f>SUM(V13:V26)</f>
        <v>0</v>
      </c>
      <c r="W27" s="975">
        <f>SUM(W13:W26)</f>
        <v>0</v>
      </c>
      <c r="X27" s="975">
        <f>SUM(X13:X26)</f>
        <v>4400004.4</v>
      </c>
      <c r="Y27" s="976"/>
    </row>
    <row r="28" spans="2:15" ht="13.5" thickBot="1">
      <c r="B28" s="557"/>
      <c r="C28" s="583" t="s">
        <v>520</v>
      </c>
      <c r="D28" s="584"/>
      <c r="E28" s="585">
        <f>E16+E17+E18+E19+E20+E21+E23+E24+E25+E26+E27</f>
        <v>1635000</v>
      </c>
      <c r="F28" s="585">
        <f>F16+F17+F18+F19+F20+F21+F23+F24+F25+F26+F27</f>
        <v>0</v>
      </c>
      <c r="G28" s="585">
        <f>G16+G17+G18+G19+G20+G21+G23+G24+G25+G26+G27</f>
        <v>0</v>
      </c>
      <c r="H28" s="585">
        <f>H16+H17+H18+H19+H20+H21+H23+H24+H25+H26+H27</f>
        <v>1635000</v>
      </c>
      <c r="I28" s="586"/>
      <c r="J28" s="585">
        <f aca="true" t="shared" si="7" ref="J28:O28">J16+J17+J18+J19+J20+J21+J23+J24+J25+J26+J27</f>
        <v>891084</v>
      </c>
      <c r="K28" s="585">
        <f t="shared" si="7"/>
        <v>743916</v>
      </c>
      <c r="L28" s="585">
        <f t="shared" si="7"/>
        <v>148783.2</v>
      </c>
      <c r="M28" s="585">
        <f t="shared" si="7"/>
        <v>0</v>
      </c>
      <c r="N28" s="585">
        <f t="shared" si="7"/>
        <v>1039867.2</v>
      </c>
      <c r="O28" s="587">
        <f t="shared" si="7"/>
        <v>595132.8</v>
      </c>
    </row>
    <row r="29" spans="2:15" ht="12.75">
      <c r="B29" s="304"/>
      <c r="C29" s="588" t="s">
        <v>521</v>
      </c>
      <c r="D29" s="589"/>
      <c r="E29" s="1000"/>
      <c r="F29" s="461"/>
      <c r="G29" s="460"/>
      <c r="H29" s="461"/>
      <c r="I29" s="460"/>
      <c r="J29" s="590"/>
      <c r="K29" s="590"/>
      <c r="L29" s="590"/>
      <c r="M29" s="590"/>
      <c r="N29" s="567"/>
      <c r="O29" s="591"/>
    </row>
    <row r="30" spans="2:15" ht="12.75">
      <c r="B30" s="557">
        <v>1</v>
      </c>
      <c r="C30" s="592"/>
      <c r="D30" s="593"/>
      <c r="E30" s="1001">
        <v>0</v>
      </c>
      <c r="F30" s="1001">
        <v>0</v>
      </c>
      <c r="G30" s="1001">
        <v>0</v>
      </c>
      <c r="H30" s="1001">
        <f>E30+F30-G30</f>
        <v>0</v>
      </c>
      <c r="I30" s="1002">
        <v>20</v>
      </c>
      <c r="J30" s="1001">
        <v>0</v>
      </c>
      <c r="K30" s="1001">
        <f>E30-J30</f>
        <v>0</v>
      </c>
      <c r="L30" s="1001">
        <f>K30*I30/100+F30*I30/100/12*0</f>
        <v>0</v>
      </c>
      <c r="M30" s="1001">
        <v>0</v>
      </c>
      <c r="N30" s="1001">
        <f>J30+L30-M30</f>
        <v>0</v>
      </c>
      <c r="O30" s="1003">
        <f>H30-N30</f>
        <v>0</v>
      </c>
    </row>
    <row r="31" spans="2:15" ht="12.75">
      <c r="B31" s="304">
        <v>2</v>
      </c>
      <c r="C31" s="594"/>
      <c r="D31" s="593"/>
      <c r="E31" s="1001"/>
      <c r="F31" s="1001">
        <v>0</v>
      </c>
      <c r="G31" s="1001">
        <v>0</v>
      </c>
      <c r="H31" s="1001">
        <f>E31+F31-G31</f>
        <v>0</v>
      </c>
      <c r="I31" s="1002">
        <v>20</v>
      </c>
      <c r="J31" s="1001"/>
      <c r="K31" s="1001">
        <f>E31-J31</f>
        <v>0</v>
      </c>
      <c r="L31" s="1001">
        <f>K31*I31/100+F31*I31/100/12*0</f>
        <v>0</v>
      </c>
      <c r="M31" s="1001">
        <v>0</v>
      </c>
      <c r="N31" s="1001">
        <f>J31+L31-M31</f>
        <v>0</v>
      </c>
      <c r="O31" s="1003">
        <f>H31-N31</f>
        <v>0</v>
      </c>
    </row>
    <row r="32" spans="2:15" ht="12.75">
      <c r="B32" s="557">
        <v>3</v>
      </c>
      <c r="C32" s="594"/>
      <c r="D32" s="593"/>
      <c r="E32" s="1001">
        <v>0</v>
      </c>
      <c r="F32" s="1001">
        <v>0</v>
      </c>
      <c r="G32" s="1001">
        <v>0</v>
      </c>
      <c r="H32" s="1001">
        <f>E32+F32-G32</f>
        <v>0</v>
      </c>
      <c r="I32" s="1002">
        <v>20</v>
      </c>
      <c r="J32" s="1001">
        <v>0</v>
      </c>
      <c r="K32" s="1001">
        <f>E32-J32</f>
        <v>0</v>
      </c>
      <c r="L32" s="1001">
        <f>K32*I32/100+F32*I32/100/12*0</f>
        <v>0</v>
      </c>
      <c r="M32" s="1001">
        <v>0</v>
      </c>
      <c r="N32" s="1001">
        <f>J32+L32-M32</f>
        <v>0</v>
      </c>
      <c r="O32" s="1003">
        <f>H32-N32</f>
        <v>0</v>
      </c>
    </row>
    <row r="33" spans="2:15" ht="12.75">
      <c r="B33" s="304">
        <v>4</v>
      </c>
      <c r="C33" s="594"/>
      <c r="D33" s="593"/>
      <c r="E33" s="1001">
        <v>0</v>
      </c>
      <c r="F33" s="1001">
        <v>0</v>
      </c>
      <c r="G33" s="1001">
        <v>0</v>
      </c>
      <c r="H33" s="1001">
        <f>E33+F33-G33</f>
        <v>0</v>
      </c>
      <c r="I33" s="1002">
        <v>20</v>
      </c>
      <c r="J33" s="1001">
        <v>0</v>
      </c>
      <c r="K33" s="1001">
        <f>E33-J33</f>
        <v>0</v>
      </c>
      <c r="L33" s="1001">
        <f>K33*I33/100+F33*I33/100/12*0</f>
        <v>0</v>
      </c>
      <c r="M33" s="1001">
        <v>0</v>
      </c>
      <c r="N33" s="1001">
        <f>J33+L33-M33</f>
        <v>0</v>
      </c>
      <c r="O33" s="1003">
        <f>H33-N33</f>
        <v>0</v>
      </c>
    </row>
    <row r="34" spans="2:15" ht="13.5" thickBot="1">
      <c r="B34" s="557">
        <v>5</v>
      </c>
      <c r="C34" s="594"/>
      <c r="D34" s="593"/>
      <c r="E34" s="1001">
        <v>0</v>
      </c>
      <c r="F34" s="1001">
        <v>0</v>
      </c>
      <c r="G34" s="1001">
        <v>0</v>
      </c>
      <c r="H34" s="1001">
        <f>E34+F34-G34</f>
        <v>0</v>
      </c>
      <c r="I34" s="1002">
        <v>20</v>
      </c>
      <c r="J34" s="1001">
        <v>0</v>
      </c>
      <c r="K34" s="1001">
        <f>E34-J34</f>
        <v>0</v>
      </c>
      <c r="L34" s="1001">
        <f>K34*I34/100+F34*I34/100/12*0</f>
        <v>0</v>
      </c>
      <c r="M34" s="1001">
        <v>0</v>
      </c>
      <c r="N34" s="1001">
        <f>J34+L34-M34</f>
        <v>0</v>
      </c>
      <c r="O34" s="1003">
        <f>H34-N34</f>
        <v>0</v>
      </c>
    </row>
    <row r="35" spans="2:15" ht="13.5" thickBot="1">
      <c r="B35" s="557"/>
      <c r="C35" s="597" t="s">
        <v>522</v>
      </c>
      <c r="D35" s="598"/>
      <c r="E35" s="1004">
        <f>SUM(E30:E34)</f>
        <v>0</v>
      </c>
      <c r="F35" s="1004">
        <f>SUM(F30:F34)</f>
        <v>0</v>
      </c>
      <c r="G35" s="1004">
        <f>SUM(G30:G34)</f>
        <v>0</v>
      </c>
      <c r="H35" s="1004">
        <f>SUM(H30:H34)</f>
        <v>0</v>
      </c>
      <c r="I35" s="1005"/>
      <c r="J35" s="1004">
        <f aca="true" t="shared" si="8" ref="J35:O35">SUM(J30:J34)</f>
        <v>0</v>
      </c>
      <c r="K35" s="1004">
        <f t="shared" si="8"/>
        <v>0</v>
      </c>
      <c r="L35" s="1004">
        <f t="shared" si="8"/>
        <v>0</v>
      </c>
      <c r="M35" s="1004">
        <f t="shared" si="8"/>
        <v>0</v>
      </c>
      <c r="N35" s="1004">
        <f t="shared" si="8"/>
        <v>0</v>
      </c>
      <c r="O35" s="1006">
        <f t="shared" si="8"/>
        <v>0</v>
      </c>
    </row>
    <row r="36" spans="2:15" ht="12.75">
      <c r="B36" s="304"/>
      <c r="C36" s="599" t="s">
        <v>523</v>
      </c>
      <c r="D36" s="596"/>
      <c r="E36" s="1001"/>
      <c r="F36" s="141">
        <v>0</v>
      </c>
      <c r="G36" s="460">
        <v>0</v>
      </c>
      <c r="H36" s="141">
        <f aca="true" t="shared" si="9" ref="H36:H46">E36+F36-G36</f>
        <v>0</v>
      </c>
      <c r="I36" s="139">
        <v>20</v>
      </c>
      <c r="J36" s="146"/>
      <c r="K36" s="146">
        <f aca="true" t="shared" si="10" ref="K36:K46">E36-J36</f>
        <v>0</v>
      </c>
      <c r="L36" s="146">
        <f aca="true" t="shared" si="11" ref="L36:L46">K36*I36/100+F36*I36/100/12*0</f>
        <v>0</v>
      </c>
      <c r="M36" s="146">
        <v>0</v>
      </c>
      <c r="N36" s="567">
        <f aca="true" t="shared" si="12" ref="N36:N46">J36+L36-M36</f>
        <v>0</v>
      </c>
      <c r="O36" s="466">
        <f aca="true" t="shared" si="13" ref="O36:O46">H36-N36</f>
        <v>0</v>
      </c>
    </row>
    <row r="37" spans="2:15" ht="12.75">
      <c r="B37" s="557"/>
      <c r="C37" s="599" t="s">
        <v>1050</v>
      </c>
      <c r="D37" s="596" t="s">
        <v>1056</v>
      </c>
      <c r="E37" s="1001">
        <v>896132</v>
      </c>
      <c r="F37" s="141"/>
      <c r="G37" s="460">
        <v>0</v>
      </c>
      <c r="H37" s="141">
        <f t="shared" si="9"/>
        <v>896132</v>
      </c>
      <c r="I37" s="146">
        <v>20</v>
      </c>
      <c r="J37" s="146">
        <v>445295</v>
      </c>
      <c r="K37" s="146">
        <f t="shared" si="10"/>
        <v>450837</v>
      </c>
      <c r="L37" s="146">
        <f t="shared" si="11"/>
        <v>90167.4</v>
      </c>
      <c r="M37" s="146">
        <v>0</v>
      </c>
      <c r="N37" s="567">
        <f t="shared" si="12"/>
        <v>535462.4</v>
      </c>
      <c r="O37" s="466">
        <f t="shared" si="13"/>
        <v>360669.6</v>
      </c>
    </row>
    <row r="38" spans="2:15" ht="12.75">
      <c r="B38" s="557"/>
      <c r="C38" s="599" t="s">
        <v>1050</v>
      </c>
      <c r="D38" s="596" t="s">
        <v>1057</v>
      </c>
      <c r="E38" s="1001">
        <v>668000</v>
      </c>
      <c r="F38" s="141">
        <v>0</v>
      </c>
      <c r="G38" s="460">
        <v>0</v>
      </c>
      <c r="H38" s="141">
        <f t="shared" si="9"/>
        <v>668000</v>
      </c>
      <c r="I38" s="139">
        <v>20</v>
      </c>
      <c r="J38" s="146">
        <v>42000</v>
      </c>
      <c r="K38" s="146">
        <f t="shared" si="10"/>
        <v>626000</v>
      </c>
      <c r="L38" s="146">
        <f t="shared" si="11"/>
        <v>125200</v>
      </c>
      <c r="M38" s="146">
        <v>0</v>
      </c>
      <c r="N38" s="567">
        <f t="shared" si="12"/>
        <v>167200</v>
      </c>
      <c r="O38" s="466">
        <f t="shared" si="13"/>
        <v>500800</v>
      </c>
    </row>
    <row r="39" spans="2:15" ht="12.75">
      <c r="B39" s="557"/>
      <c r="C39" s="599" t="s">
        <v>1051</v>
      </c>
      <c r="D39" s="596" t="s">
        <v>1057</v>
      </c>
      <c r="E39" s="1001">
        <v>615999</v>
      </c>
      <c r="F39" s="141"/>
      <c r="G39" s="460">
        <v>0</v>
      </c>
      <c r="H39" s="141">
        <f t="shared" si="9"/>
        <v>615999</v>
      </c>
      <c r="I39" s="146">
        <v>20</v>
      </c>
      <c r="J39" s="146">
        <v>64867</v>
      </c>
      <c r="K39" s="146">
        <f t="shared" si="10"/>
        <v>551132</v>
      </c>
      <c r="L39" s="146">
        <f t="shared" si="11"/>
        <v>110226.4</v>
      </c>
      <c r="M39" s="146">
        <v>0</v>
      </c>
      <c r="N39" s="567">
        <f t="shared" si="12"/>
        <v>175093.4</v>
      </c>
      <c r="O39" s="466">
        <f t="shared" si="13"/>
        <v>440905.6</v>
      </c>
    </row>
    <row r="40" spans="2:15" ht="12.75">
      <c r="B40" s="557"/>
      <c r="C40" s="599" t="s">
        <v>1050</v>
      </c>
      <c r="D40" s="596" t="s">
        <v>1057</v>
      </c>
      <c r="E40" s="1001">
        <v>64967</v>
      </c>
      <c r="F40" s="141">
        <v>0</v>
      </c>
      <c r="G40" s="460">
        <v>0</v>
      </c>
      <c r="H40" s="141">
        <f t="shared" si="9"/>
        <v>64967</v>
      </c>
      <c r="I40" s="139">
        <v>20</v>
      </c>
      <c r="J40" s="146">
        <v>12993</v>
      </c>
      <c r="K40" s="146">
        <f t="shared" si="10"/>
        <v>51974</v>
      </c>
      <c r="L40" s="146">
        <f t="shared" si="11"/>
        <v>10394.8</v>
      </c>
      <c r="M40" s="146">
        <v>0</v>
      </c>
      <c r="N40" s="567">
        <f t="shared" si="12"/>
        <v>23387.8</v>
      </c>
      <c r="O40" s="466">
        <f t="shared" si="13"/>
        <v>41579.2</v>
      </c>
    </row>
    <row r="41" spans="2:15" ht="12.75">
      <c r="B41" s="557">
        <v>1</v>
      </c>
      <c r="C41" s="595" t="s">
        <v>1052</v>
      </c>
      <c r="D41" s="596" t="s">
        <v>1057</v>
      </c>
      <c r="E41" s="1001">
        <v>333333</v>
      </c>
      <c r="F41" s="141"/>
      <c r="G41" s="460">
        <v>0</v>
      </c>
      <c r="H41" s="141">
        <f t="shared" si="9"/>
        <v>333333</v>
      </c>
      <c r="I41" s="146">
        <v>20</v>
      </c>
      <c r="J41" s="146">
        <v>66667</v>
      </c>
      <c r="K41" s="146">
        <f t="shared" si="10"/>
        <v>266666</v>
      </c>
      <c r="L41" s="146">
        <f t="shared" si="11"/>
        <v>53333.2</v>
      </c>
      <c r="M41" s="146">
        <v>0</v>
      </c>
      <c r="N41" s="567">
        <f t="shared" si="12"/>
        <v>120000.2</v>
      </c>
      <c r="O41" s="466">
        <f t="shared" si="13"/>
        <v>213332.8</v>
      </c>
    </row>
    <row r="42" spans="2:15" ht="12.75">
      <c r="B42" s="304">
        <v>2</v>
      </c>
      <c r="C42" s="595" t="s">
        <v>1053</v>
      </c>
      <c r="D42" s="596" t="s">
        <v>1057</v>
      </c>
      <c r="E42" s="1001">
        <v>670000</v>
      </c>
      <c r="F42" s="141">
        <v>1000000</v>
      </c>
      <c r="G42" s="460">
        <v>0</v>
      </c>
      <c r="H42" s="141">
        <f t="shared" si="9"/>
        <v>1670000</v>
      </c>
      <c r="I42" s="139">
        <v>20</v>
      </c>
      <c r="J42" s="146">
        <v>134000</v>
      </c>
      <c r="K42" s="146">
        <f t="shared" si="10"/>
        <v>536000</v>
      </c>
      <c r="L42" s="146">
        <f t="shared" si="11"/>
        <v>107200</v>
      </c>
      <c r="M42" s="146">
        <v>0</v>
      </c>
      <c r="N42" s="567">
        <f t="shared" si="12"/>
        <v>241200</v>
      </c>
      <c r="O42" s="466">
        <f t="shared" si="13"/>
        <v>1428800</v>
      </c>
    </row>
    <row r="43" spans="2:15" ht="12.75">
      <c r="B43" s="557"/>
      <c r="C43" s="595" t="s">
        <v>1054</v>
      </c>
      <c r="D43" s="596" t="s">
        <v>1057</v>
      </c>
      <c r="E43" s="1001">
        <v>210000</v>
      </c>
      <c r="F43" s="141">
        <v>0</v>
      </c>
      <c r="G43" s="460">
        <v>0</v>
      </c>
      <c r="H43" s="141">
        <f t="shared" si="9"/>
        <v>210000</v>
      </c>
      <c r="I43" s="139">
        <v>20</v>
      </c>
      <c r="J43" s="146">
        <v>42000</v>
      </c>
      <c r="K43" s="146">
        <f t="shared" si="10"/>
        <v>168000</v>
      </c>
      <c r="L43" s="146">
        <f t="shared" si="11"/>
        <v>33600</v>
      </c>
      <c r="M43" s="146">
        <v>0</v>
      </c>
      <c r="N43" s="567">
        <f t="shared" si="12"/>
        <v>75600</v>
      </c>
      <c r="O43" s="466">
        <f t="shared" si="13"/>
        <v>134400</v>
      </c>
    </row>
    <row r="44" spans="2:15" ht="12.75">
      <c r="B44" s="557"/>
      <c r="C44" s="595" t="s">
        <v>1055</v>
      </c>
      <c r="D44" s="596" t="s">
        <v>1057</v>
      </c>
      <c r="E44" s="1001">
        <v>833333</v>
      </c>
      <c r="F44" s="141"/>
      <c r="G44" s="460">
        <v>0</v>
      </c>
      <c r="H44" s="141">
        <f t="shared" si="9"/>
        <v>833333</v>
      </c>
      <c r="I44" s="146">
        <v>20</v>
      </c>
      <c r="J44" s="146">
        <v>166667</v>
      </c>
      <c r="K44" s="146">
        <f t="shared" si="10"/>
        <v>666666</v>
      </c>
      <c r="L44" s="146">
        <f t="shared" si="11"/>
        <v>133333.2</v>
      </c>
      <c r="M44" s="146">
        <v>0</v>
      </c>
      <c r="N44" s="567">
        <f t="shared" si="12"/>
        <v>300000.2</v>
      </c>
      <c r="O44" s="466">
        <f t="shared" si="13"/>
        <v>533332.8</v>
      </c>
    </row>
    <row r="45" spans="2:15" ht="12.75">
      <c r="B45" s="557">
        <v>3</v>
      </c>
      <c r="C45" s="592" t="s">
        <v>1369</v>
      </c>
      <c r="D45" s="593"/>
      <c r="E45" s="1001">
        <v>0</v>
      </c>
      <c r="F45" s="141">
        <v>843330</v>
      </c>
      <c r="G45" s="460">
        <v>0</v>
      </c>
      <c r="H45" s="141">
        <f t="shared" si="9"/>
        <v>843330</v>
      </c>
      <c r="I45" s="600">
        <v>20</v>
      </c>
      <c r="J45" s="146">
        <v>0</v>
      </c>
      <c r="K45" s="146">
        <f t="shared" si="10"/>
        <v>0</v>
      </c>
      <c r="L45" s="146">
        <f t="shared" si="11"/>
        <v>0</v>
      </c>
      <c r="M45" s="146">
        <v>0</v>
      </c>
      <c r="N45" s="567">
        <f t="shared" si="12"/>
        <v>0</v>
      </c>
      <c r="O45" s="466">
        <f t="shared" si="13"/>
        <v>843330</v>
      </c>
    </row>
    <row r="46" spans="2:15" ht="13.5" thickBot="1">
      <c r="B46" s="304">
        <v>4</v>
      </c>
      <c r="C46" s="993" t="s">
        <v>955</v>
      </c>
      <c r="D46" s="994"/>
      <c r="E46" s="1007">
        <v>0</v>
      </c>
      <c r="F46" s="145">
        <v>0</v>
      </c>
      <c r="G46" s="590">
        <v>0</v>
      </c>
      <c r="H46" s="145">
        <f t="shared" si="9"/>
        <v>0</v>
      </c>
      <c r="I46" s="600">
        <v>20</v>
      </c>
      <c r="J46" s="146">
        <v>0</v>
      </c>
      <c r="K46" s="146">
        <f t="shared" si="10"/>
        <v>0</v>
      </c>
      <c r="L46" s="146">
        <f t="shared" si="11"/>
        <v>0</v>
      </c>
      <c r="M46" s="146">
        <v>0</v>
      </c>
      <c r="N46" s="725">
        <f t="shared" si="12"/>
        <v>0</v>
      </c>
      <c r="O46" s="466">
        <f t="shared" si="13"/>
        <v>0</v>
      </c>
    </row>
    <row r="47" spans="2:15" ht="13.5" thickBot="1">
      <c r="B47" s="992"/>
      <c r="C47" s="995" t="s">
        <v>524</v>
      </c>
      <c r="D47" s="996"/>
      <c r="E47" s="601">
        <f>SUM(E37:E46)</f>
        <v>4291764</v>
      </c>
      <c r="F47" s="601">
        <f aca="true" t="shared" si="14" ref="F47:O47">SUM(F37:F46)</f>
        <v>1843330</v>
      </c>
      <c r="G47" s="601">
        <f t="shared" si="14"/>
        <v>0</v>
      </c>
      <c r="H47" s="601">
        <f t="shared" si="14"/>
        <v>6135094</v>
      </c>
      <c r="I47" s="601">
        <f t="shared" si="14"/>
        <v>200</v>
      </c>
      <c r="J47" s="601">
        <f t="shared" si="14"/>
        <v>974489</v>
      </c>
      <c r="K47" s="601">
        <f t="shared" si="14"/>
        <v>3317275</v>
      </c>
      <c r="L47" s="601">
        <f t="shared" si="14"/>
        <v>663455</v>
      </c>
      <c r="M47" s="601">
        <f t="shared" si="14"/>
        <v>0</v>
      </c>
      <c r="N47" s="601">
        <f t="shared" si="14"/>
        <v>1637944</v>
      </c>
      <c r="O47" s="601">
        <f t="shared" si="14"/>
        <v>4497150</v>
      </c>
    </row>
    <row r="48" spans="2:15" ht="13.5" thickBot="1">
      <c r="B48" s="602"/>
      <c r="C48" s="923" t="s">
        <v>954</v>
      </c>
      <c r="D48" s="603"/>
      <c r="E48" s="604"/>
      <c r="F48" s="605"/>
      <c r="G48" s="606"/>
      <c r="H48" s="998">
        <f>E48+F48-G48</f>
        <v>0</v>
      </c>
      <c r="I48" s="607"/>
      <c r="J48" s="605"/>
      <c r="K48" s="605"/>
      <c r="L48" s="590">
        <f>K48*I48/100+F48*I48/100/12*0</f>
        <v>0</v>
      </c>
      <c r="M48" s="604"/>
      <c r="N48" s="604">
        <f>J48+L48-M48</f>
        <v>0</v>
      </c>
      <c r="O48" s="1008">
        <f>K48-L48</f>
        <v>0</v>
      </c>
    </row>
    <row r="49" spans="2:15" ht="13.5" thickBot="1">
      <c r="B49" s="1529" t="s">
        <v>525</v>
      </c>
      <c r="C49" s="1530"/>
      <c r="D49" s="1531"/>
      <c r="E49" s="608">
        <f>E9+E13+E28+E35+E47+E48</f>
        <v>36510245</v>
      </c>
      <c r="F49" s="608">
        <f aca="true" t="shared" si="15" ref="F49:O49">F9+F13+F28+F35+F47+F48</f>
        <v>22000022</v>
      </c>
      <c r="G49" s="608">
        <f t="shared" si="15"/>
        <v>0</v>
      </c>
      <c r="H49" s="608">
        <f t="shared" si="15"/>
        <v>58510267</v>
      </c>
      <c r="I49" s="608">
        <f t="shared" si="15"/>
        <v>200</v>
      </c>
      <c r="J49" s="608">
        <f t="shared" si="15"/>
        <v>1865573</v>
      </c>
      <c r="K49" s="608">
        <f t="shared" si="15"/>
        <v>34644672</v>
      </c>
      <c r="L49" s="608">
        <f t="shared" si="15"/>
        <v>2341412.25</v>
      </c>
      <c r="M49" s="608">
        <f t="shared" si="15"/>
        <v>0</v>
      </c>
      <c r="N49" s="608">
        <f t="shared" si="15"/>
        <v>4206985.25</v>
      </c>
      <c r="O49" s="608">
        <f t="shared" si="15"/>
        <v>54303281.75</v>
      </c>
    </row>
    <row r="50" spans="2:15" ht="12.75">
      <c r="B50" s="1"/>
      <c r="C50" s="1"/>
      <c r="D50" s="1"/>
      <c r="E50" s="95"/>
      <c r="F50" s="95"/>
      <c r="G50" s="95"/>
      <c r="H50" s="95"/>
      <c r="I50" s="95"/>
      <c r="J50" s="95"/>
      <c r="K50" s="549"/>
      <c r="L50" s="95"/>
      <c r="M50" s="95"/>
      <c r="N50" s="95"/>
      <c r="O50" s="88"/>
    </row>
  </sheetData>
  <sheetProtection/>
  <mergeCells count="14">
    <mergeCell ref="Q11:Q12"/>
    <mergeCell ref="Q27:S27"/>
    <mergeCell ref="T6:W6"/>
    <mergeCell ref="E5:E6"/>
    <mergeCell ref="F5:H5"/>
    <mergeCell ref="D5:D6"/>
    <mergeCell ref="O5:O6"/>
    <mergeCell ref="B49:D49"/>
    <mergeCell ref="J5:J6"/>
    <mergeCell ref="K5:K6"/>
    <mergeCell ref="L5:L6"/>
    <mergeCell ref="M5:M6"/>
    <mergeCell ref="N5:N6"/>
    <mergeCell ref="I5:I6"/>
  </mergeCells>
  <printOptions/>
  <pageMargins left="0" right="0" top="0" bottom="0" header="0" footer="0"/>
  <pageSetup horizontalDpi="600" verticalDpi="600" orientation="landscape" paperSize="9" scale="10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X48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3.8515625" style="0" customWidth="1"/>
    <col min="3" max="3" width="33.421875" style="0" customWidth="1"/>
    <col min="4" max="4" width="14.00390625" style="0" customWidth="1"/>
    <col min="5" max="5" width="13.140625" style="0" customWidth="1"/>
    <col min="6" max="6" width="15.421875" style="0" customWidth="1"/>
    <col min="7" max="7" width="16.28125" style="189" customWidth="1"/>
    <col min="8" max="8" width="22.140625" style="0" customWidth="1"/>
    <col min="9" max="9" width="7.8515625" style="0" customWidth="1"/>
    <col min="19" max="19" width="12.00390625" style="0" bestFit="1" customWidth="1"/>
    <col min="22" max="22" width="12.00390625" style="0" bestFit="1" customWidth="1"/>
    <col min="24" max="24" width="14.00390625" style="0" bestFit="1" customWidth="1"/>
  </cols>
  <sheetData>
    <row r="2" spans="13:23" ht="12.75"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2:23" ht="12.75">
      <c r="B3" s="2"/>
      <c r="C3" s="51"/>
      <c r="D3" s="51"/>
      <c r="E3" s="51"/>
      <c r="F3" s="2"/>
      <c r="G3" s="191"/>
      <c r="H3" s="2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</row>
    <row r="4" spans="2:23" ht="12.75">
      <c r="B4" s="2"/>
      <c r="C4" s="2" t="str">
        <f>'Kopertina '!F4</f>
        <v>FJORTES </v>
      </c>
      <c r="D4" s="2"/>
      <c r="E4" s="2"/>
      <c r="F4" s="2"/>
      <c r="G4" s="191"/>
      <c r="H4" s="2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</row>
    <row r="5" spans="2:23" ht="12.75">
      <c r="B5" s="1"/>
      <c r="C5" s="1"/>
      <c r="D5" s="1"/>
      <c r="E5" s="1"/>
      <c r="F5" s="2"/>
      <c r="G5" s="191"/>
      <c r="H5" s="2"/>
      <c r="I5" s="2"/>
      <c r="J5" s="2" t="s">
        <v>159</v>
      </c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</row>
    <row r="6" spans="2:23" ht="12.75">
      <c r="B6" s="1"/>
      <c r="C6" s="1337" t="s">
        <v>165</v>
      </c>
      <c r="D6" s="1337"/>
      <c r="E6" s="1337"/>
      <c r="F6" s="1337"/>
      <c r="G6" s="192"/>
      <c r="H6" s="52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</row>
    <row r="7" spans="2:23" ht="13.5" thickBot="1">
      <c r="B7" s="1"/>
      <c r="C7" s="1"/>
      <c r="D7" s="1"/>
      <c r="E7" s="1"/>
      <c r="F7" s="1"/>
      <c r="G7" s="138"/>
      <c r="H7" s="1"/>
      <c r="I7" s="19">
        <f>'Kopertina '!F29</f>
        <v>2012</v>
      </c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</row>
    <row r="8" spans="13:23" ht="13.5" thickBot="1">
      <c r="M8" s="133"/>
      <c r="N8" s="133"/>
      <c r="O8" s="133"/>
      <c r="P8" s="133"/>
      <c r="Q8" s="133"/>
      <c r="R8" s="133"/>
      <c r="S8" s="133"/>
      <c r="T8" s="133"/>
      <c r="U8" s="133"/>
      <c r="V8" s="163"/>
      <c r="W8" s="133"/>
    </row>
    <row r="9" spans="2:23" ht="12.75">
      <c r="B9" s="16"/>
      <c r="C9" s="17"/>
      <c r="D9" s="17"/>
      <c r="E9" s="17"/>
      <c r="F9" s="17"/>
      <c r="G9" s="193"/>
      <c r="H9" s="17"/>
      <c r="I9" s="18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</row>
    <row r="10" spans="2:23" ht="13.5" thickBot="1">
      <c r="B10" s="5"/>
      <c r="C10" s="1"/>
      <c r="D10" s="1"/>
      <c r="E10" s="1"/>
      <c r="F10" s="1"/>
      <c r="G10" s="138"/>
      <c r="H10" s="1"/>
      <c r="I10" s="6"/>
      <c r="M10" s="133"/>
      <c r="N10" s="133"/>
      <c r="O10" s="133"/>
      <c r="P10" s="133"/>
      <c r="Q10" s="133"/>
      <c r="R10" s="133"/>
      <c r="S10" s="137"/>
      <c r="T10" s="133"/>
      <c r="U10" s="133"/>
      <c r="V10" s="133"/>
      <c r="W10" s="133"/>
    </row>
    <row r="11" spans="2:23" ht="21" customHeight="1" thickBot="1">
      <c r="B11" s="1548" t="s">
        <v>1</v>
      </c>
      <c r="C11" s="1550" t="s">
        <v>239</v>
      </c>
      <c r="D11" s="530"/>
      <c r="E11" s="530" t="s">
        <v>481</v>
      </c>
      <c r="F11" s="1552" t="s">
        <v>364</v>
      </c>
      <c r="G11" s="1553"/>
      <c r="H11" s="1554"/>
      <c r="I11" s="6"/>
      <c r="M11" s="133"/>
      <c r="N11" s="133"/>
      <c r="O11" s="133"/>
      <c r="P11" s="133"/>
      <c r="Q11" s="133"/>
      <c r="R11" s="133"/>
      <c r="S11" s="188"/>
      <c r="T11" s="133"/>
      <c r="U11" s="133"/>
      <c r="V11" s="133"/>
      <c r="W11" s="133"/>
    </row>
    <row r="12" spans="2:23" ht="21" customHeight="1" thickBot="1">
      <c r="B12" s="1549"/>
      <c r="C12" s="1551"/>
      <c r="D12" s="531"/>
      <c r="E12" s="532" t="s">
        <v>482</v>
      </c>
      <c r="F12" s="397" t="s">
        <v>365</v>
      </c>
      <c r="G12" s="533" t="s">
        <v>366</v>
      </c>
      <c r="H12" s="469" t="s">
        <v>484</v>
      </c>
      <c r="I12" s="6"/>
      <c r="M12" s="133"/>
      <c r="N12" s="133"/>
      <c r="O12" s="133"/>
      <c r="P12" s="133"/>
      <c r="Q12" s="133"/>
      <c r="R12" s="133"/>
      <c r="S12" s="137"/>
      <c r="T12" s="133"/>
      <c r="U12" s="133"/>
      <c r="V12" s="133"/>
      <c r="W12" s="133"/>
    </row>
    <row r="13" spans="2:23" ht="12.75">
      <c r="B13" s="982" t="s">
        <v>72</v>
      </c>
      <c r="C13" s="63" t="s">
        <v>1014</v>
      </c>
      <c r="D13" s="79"/>
      <c r="E13" s="79"/>
      <c r="F13" s="131"/>
      <c r="G13" s="194">
        <v>0</v>
      </c>
      <c r="H13" s="150">
        <f>F13+G13*140.5</f>
        <v>0</v>
      </c>
      <c r="I13" s="6"/>
      <c r="M13" s="133"/>
      <c r="N13" s="133"/>
      <c r="O13" s="133"/>
      <c r="P13" s="133"/>
      <c r="Q13" s="133"/>
      <c r="R13" s="133"/>
      <c r="S13" s="137"/>
      <c r="T13" s="133"/>
      <c r="U13" s="133"/>
      <c r="V13" s="133"/>
      <c r="W13" s="133"/>
    </row>
    <row r="14" spans="2:23" ht="12.75">
      <c r="B14" s="147">
        <v>1</v>
      </c>
      <c r="C14" s="81" t="s">
        <v>1767</v>
      </c>
      <c r="D14" s="81"/>
      <c r="E14" s="81"/>
      <c r="F14" s="132">
        <v>235450</v>
      </c>
      <c r="G14" s="195">
        <v>0</v>
      </c>
      <c r="H14" s="150">
        <f aca="true" t="shared" si="0" ref="H14:H39">F14+G14*140.5</f>
        <v>235450</v>
      </c>
      <c r="I14" s="6"/>
      <c r="M14" s="133"/>
      <c r="N14" s="133"/>
      <c r="O14" s="133"/>
      <c r="P14" s="133"/>
      <c r="Q14" s="133"/>
      <c r="R14" s="133"/>
      <c r="S14" s="137"/>
      <c r="T14" s="133"/>
      <c r="U14" s="133"/>
      <c r="V14" s="133"/>
      <c r="W14" s="133"/>
    </row>
    <row r="15" spans="2:23" ht="12.75">
      <c r="B15" s="147">
        <v>2</v>
      </c>
      <c r="C15" s="81"/>
      <c r="D15" s="81"/>
      <c r="E15" s="81"/>
      <c r="F15" s="112"/>
      <c r="G15" s="195">
        <v>0</v>
      </c>
      <c r="H15" s="150">
        <f t="shared" si="0"/>
        <v>0</v>
      </c>
      <c r="I15" s="6"/>
      <c r="M15" s="133"/>
      <c r="N15" s="133"/>
      <c r="O15" s="133"/>
      <c r="P15" s="133"/>
      <c r="Q15" s="133"/>
      <c r="R15" s="133"/>
      <c r="S15" s="137"/>
      <c r="T15" s="133"/>
      <c r="U15" s="133"/>
      <c r="V15" s="133"/>
      <c r="W15" s="133"/>
    </row>
    <row r="16" spans="2:23" ht="12.75">
      <c r="B16" s="149">
        <v>3</v>
      </c>
      <c r="C16" s="81"/>
      <c r="D16" s="81"/>
      <c r="E16" s="81"/>
      <c r="F16" s="112"/>
      <c r="G16" s="195">
        <v>0</v>
      </c>
      <c r="H16" s="150">
        <f t="shared" si="0"/>
        <v>0</v>
      </c>
      <c r="I16" s="6"/>
      <c r="M16" s="133"/>
      <c r="N16" s="133"/>
      <c r="O16" s="133"/>
      <c r="P16" s="133"/>
      <c r="Q16" s="133"/>
      <c r="R16" s="133"/>
      <c r="S16" s="137"/>
      <c r="T16" s="133"/>
      <c r="U16" s="133"/>
      <c r="V16" s="133"/>
      <c r="W16" s="133"/>
    </row>
    <row r="17" spans="2:23" ht="12.75">
      <c r="B17" s="147">
        <v>4</v>
      </c>
      <c r="C17" s="81"/>
      <c r="D17" s="81"/>
      <c r="E17" s="81"/>
      <c r="F17" s="112"/>
      <c r="G17" s="195">
        <v>0</v>
      </c>
      <c r="H17" s="150">
        <f t="shared" si="0"/>
        <v>0</v>
      </c>
      <c r="I17" s="6"/>
      <c r="M17" s="133"/>
      <c r="N17" s="133"/>
      <c r="O17" s="133"/>
      <c r="P17" s="133"/>
      <c r="Q17" s="133"/>
      <c r="R17" s="133"/>
      <c r="S17" s="137"/>
      <c r="T17" s="133"/>
      <c r="U17" s="133"/>
      <c r="V17" s="133"/>
      <c r="W17" s="133"/>
    </row>
    <row r="18" spans="2:23" ht="12.75">
      <c r="B18" s="147">
        <v>5</v>
      </c>
      <c r="C18" s="81"/>
      <c r="D18" s="81"/>
      <c r="E18" s="81"/>
      <c r="F18" s="112"/>
      <c r="G18" s="195">
        <v>0</v>
      </c>
      <c r="H18" s="150">
        <f t="shared" si="0"/>
        <v>0</v>
      </c>
      <c r="I18" s="6"/>
      <c r="M18" s="133"/>
      <c r="N18" s="133"/>
      <c r="O18" s="133"/>
      <c r="P18" s="133"/>
      <c r="Q18" s="133"/>
      <c r="R18" s="133"/>
      <c r="S18" s="137"/>
      <c r="T18" s="133"/>
      <c r="U18" s="133"/>
      <c r="V18" s="133"/>
      <c r="W18" s="133"/>
    </row>
    <row r="19" spans="2:23" ht="12.75">
      <c r="B19" s="149">
        <v>6</v>
      </c>
      <c r="C19" s="81"/>
      <c r="D19" s="81"/>
      <c r="E19" s="81"/>
      <c r="F19" s="112"/>
      <c r="G19" s="195">
        <v>0</v>
      </c>
      <c r="H19" s="150">
        <f t="shared" si="0"/>
        <v>0</v>
      </c>
      <c r="I19" s="6"/>
      <c r="M19" s="133"/>
      <c r="N19" s="133"/>
      <c r="O19" s="133"/>
      <c r="P19" s="133"/>
      <c r="Q19" s="133"/>
      <c r="R19" s="133"/>
      <c r="S19" s="137"/>
      <c r="T19" s="133"/>
      <c r="U19" s="133"/>
      <c r="V19" s="133"/>
      <c r="W19" s="133"/>
    </row>
    <row r="20" spans="2:23" ht="12.75">
      <c r="B20" s="147">
        <v>7</v>
      </c>
      <c r="C20" s="81"/>
      <c r="D20" s="81"/>
      <c r="E20" s="81"/>
      <c r="F20" s="112"/>
      <c r="G20" s="195">
        <v>0</v>
      </c>
      <c r="H20" s="150">
        <f t="shared" si="0"/>
        <v>0</v>
      </c>
      <c r="I20" s="6"/>
      <c r="M20" s="133"/>
      <c r="N20" s="133"/>
      <c r="O20" s="133"/>
      <c r="P20" s="133"/>
      <c r="Q20" s="133"/>
      <c r="R20" s="133"/>
      <c r="S20" s="137"/>
      <c r="T20" s="133"/>
      <c r="U20" s="133"/>
      <c r="V20" s="133"/>
      <c r="W20" s="133"/>
    </row>
    <row r="21" spans="2:23" ht="12.75">
      <c r="B21" s="147">
        <v>8</v>
      </c>
      <c r="C21" s="81"/>
      <c r="D21" s="81"/>
      <c r="E21" s="81"/>
      <c r="F21" s="112"/>
      <c r="G21" s="195">
        <v>0</v>
      </c>
      <c r="H21" s="150">
        <f t="shared" si="0"/>
        <v>0</v>
      </c>
      <c r="I21" s="6"/>
      <c r="M21" s="133"/>
      <c r="N21" s="133"/>
      <c r="O21" s="133"/>
      <c r="P21" s="133"/>
      <c r="Q21" s="133"/>
      <c r="R21" s="133"/>
      <c r="S21" s="137"/>
      <c r="T21" s="133"/>
      <c r="U21" s="133"/>
      <c r="V21" s="133"/>
      <c r="W21" s="133"/>
    </row>
    <row r="22" spans="2:23" ht="12.75">
      <c r="B22" s="982" t="s">
        <v>78</v>
      </c>
      <c r="C22" s="27" t="s">
        <v>1015</v>
      </c>
      <c r="D22" s="81"/>
      <c r="E22" s="81"/>
      <c r="F22" s="112"/>
      <c r="G22" s="195">
        <v>0</v>
      </c>
      <c r="H22" s="150">
        <f t="shared" si="0"/>
        <v>0</v>
      </c>
      <c r="I22" s="6"/>
      <c r="M22" s="133"/>
      <c r="N22" s="133"/>
      <c r="O22" s="133"/>
      <c r="P22" s="133"/>
      <c r="Q22" s="133"/>
      <c r="R22" s="133"/>
      <c r="S22" s="137"/>
      <c r="T22" s="133"/>
      <c r="U22" s="133"/>
      <c r="V22" s="133"/>
      <c r="W22" s="133"/>
    </row>
    <row r="23" spans="2:23" ht="12.75">
      <c r="B23" s="147">
        <v>1</v>
      </c>
      <c r="C23" s="81"/>
      <c r="D23" s="81"/>
      <c r="E23" s="81"/>
      <c r="F23" s="112"/>
      <c r="G23" s="195">
        <v>0</v>
      </c>
      <c r="H23" s="150">
        <f t="shared" si="0"/>
        <v>0</v>
      </c>
      <c r="I23" s="6"/>
      <c r="M23" s="133"/>
      <c r="N23" s="133"/>
      <c r="O23" s="133"/>
      <c r="P23" s="133"/>
      <c r="Q23" s="133"/>
      <c r="R23" s="133"/>
      <c r="S23" s="137"/>
      <c r="T23" s="133"/>
      <c r="U23" s="133"/>
      <c r="V23" s="133"/>
      <c r="W23" s="133"/>
    </row>
    <row r="24" spans="2:23" ht="12.75">
      <c r="B24" s="147">
        <v>2</v>
      </c>
      <c r="C24" s="81"/>
      <c r="D24" s="81"/>
      <c r="E24" s="81"/>
      <c r="F24" s="112"/>
      <c r="G24" s="195">
        <v>0</v>
      </c>
      <c r="H24" s="150">
        <f t="shared" si="0"/>
        <v>0</v>
      </c>
      <c r="I24" s="6"/>
      <c r="M24" s="133"/>
      <c r="N24" s="133"/>
      <c r="O24" s="133"/>
      <c r="P24" s="133"/>
      <c r="Q24" s="133"/>
      <c r="R24" s="133"/>
      <c r="S24" s="137"/>
      <c r="T24" s="133"/>
      <c r="U24" s="133"/>
      <c r="V24" s="133"/>
      <c r="W24" s="133"/>
    </row>
    <row r="25" spans="2:23" ht="12.75">
      <c r="B25" s="149">
        <v>3</v>
      </c>
      <c r="C25" s="81"/>
      <c r="D25" s="81"/>
      <c r="E25" s="81"/>
      <c r="F25" s="112"/>
      <c r="G25" s="195">
        <v>0</v>
      </c>
      <c r="H25" s="150">
        <f t="shared" si="0"/>
        <v>0</v>
      </c>
      <c r="I25" s="6"/>
      <c r="M25" s="133"/>
      <c r="N25" s="133"/>
      <c r="O25" s="133"/>
      <c r="P25" s="133"/>
      <c r="Q25" s="133"/>
      <c r="R25" s="133"/>
      <c r="S25" s="137"/>
      <c r="T25" s="133"/>
      <c r="U25" s="133"/>
      <c r="V25" s="133"/>
      <c r="W25" s="133"/>
    </row>
    <row r="26" spans="2:23" ht="12.75">
      <c r="B26" s="147">
        <v>4</v>
      </c>
      <c r="C26" s="81"/>
      <c r="D26" s="81"/>
      <c r="E26" s="81"/>
      <c r="F26" s="112"/>
      <c r="G26" s="195">
        <v>0</v>
      </c>
      <c r="H26" s="150">
        <f t="shared" si="0"/>
        <v>0</v>
      </c>
      <c r="I26" s="6"/>
      <c r="M26" s="133"/>
      <c r="N26" s="133"/>
      <c r="O26" s="133"/>
      <c r="P26" s="133"/>
      <c r="Q26" s="133"/>
      <c r="R26" s="133"/>
      <c r="S26" s="137"/>
      <c r="T26" s="133"/>
      <c r="U26" s="133"/>
      <c r="V26" s="133"/>
      <c r="W26" s="133"/>
    </row>
    <row r="27" spans="2:23" ht="12.75">
      <c r="B27" s="983" t="s">
        <v>83</v>
      </c>
      <c r="C27" s="27" t="s">
        <v>1016</v>
      </c>
      <c r="D27" s="81"/>
      <c r="E27" s="81"/>
      <c r="F27" s="112"/>
      <c r="G27" s="195">
        <v>0</v>
      </c>
      <c r="H27" s="150">
        <f t="shared" si="0"/>
        <v>0</v>
      </c>
      <c r="I27" s="6"/>
      <c r="M27" s="133"/>
      <c r="N27" s="133"/>
      <c r="O27" s="133"/>
      <c r="P27" s="133"/>
      <c r="Q27" s="133"/>
      <c r="R27" s="133"/>
      <c r="S27" s="137"/>
      <c r="T27" s="133"/>
      <c r="U27" s="133"/>
      <c r="V27" s="133"/>
      <c r="W27" s="133"/>
    </row>
    <row r="28" spans="2:23" ht="12.75">
      <c r="B28" s="149">
        <v>1</v>
      </c>
      <c r="C28" s="81"/>
      <c r="D28" s="81"/>
      <c r="E28" s="81"/>
      <c r="F28" s="112"/>
      <c r="G28" s="195">
        <v>0</v>
      </c>
      <c r="H28" s="150">
        <f t="shared" si="0"/>
        <v>0</v>
      </c>
      <c r="I28" s="6"/>
      <c r="M28" s="133"/>
      <c r="N28" s="133"/>
      <c r="O28" s="133"/>
      <c r="P28" s="133"/>
      <c r="Q28" s="133"/>
      <c r="R28" s="133"/>
      <c r="S28" s="137"/>
      <c r="T28" s="133"/>
      <c r="U28" s="133"/>
      <c r="V28" s="133"/>
      <c r="W28" s="133"/>
    </row>
    <row r="29" spans="2:23" ht="12.75">
      <c r="B29" s="147">
        <v>2</v>
      </c>
      <c r="C29" s="22"/>
      <c r="D29" s="22"/>
      <c r="E29" s="22"/>
      <c r="F29" s="112"/>
      <c r="G29" s="195">
        <v>0</v>
      </c>
      <c r="H29" s="150">
        <f t="shared" si="0"/>
        <v>0</v>
      </c>
      <c r="I29" s="6"/>
      <c r="M29" s="133"/>
      <c r="N29" s="133"/>
      <c r="O29" s="133"/>
      <c r="P29" s="133"/>
      <c r="Q29" s="133"/>
      <c r="R29" s="133"/>
      <c r="S29" s="137"/>
      <c r="T29" s="133"/>
      <c r="U29" s="133"/>
      <c r="V29" s="133"/>
      <c r="W29" s="133"/>
    </row>
    <row r="30" spans="2:23" ht="14.25" customHeight="1">
      <c r="B30" s="147">
        <v>3</v>
      </c>
      <c r="C30" s="83"/>
      <c r="D30" s="100"/>
      <c r="E30" s="100"/>
      <c r="F30" s="151"/>
      <c r="G30" s="196">
        <v>0</v>
      </c>
      <c r="H30" s="150">
        <f t="shared" si="0"/>
        <v>0</v>
      </c>
      <c r="I30" s="6"/>
      <c r="M30" s="133"/>
      <c r="N30" s="133"/>
      <c r="O30" s="133"/>
      <c r="P30" s="133"/>
      <c r="Q30" s="133"/>
      <c r="R30" s="133"/>
      <c r="S30" s="137"/>
      <c r="T30" s="133"/>
      <c r="U30" s="133"/>
      <c r="V30" s="133"/>
      <c r="W30" s="133"/>
    </row>
    <row r="31" spans="2:23" ht="12.75">
      <c r="B31" s="149">
        <v>4</v>
      </c>
      <c r="C31" s="83"/>
      <c r="D31" s="100"/>
      <c r="E31" s="100"/>
      <c r="F31" s="151"/>
      <c r="G31" s="196">
        <v>0</v>
      </c>
      <c r="H31" s="150">
        <f t="shared" si="0"/>
        <v>0</v>
      </c>
      <c r="I31" s="6"/>
      <c r="M31" s="133"/>
      <c r="N31" s="133"/>
      <c r="O31" s="133"/>
      <c r="P31" s="133"/>
      <c r="Q31" s="133"/>
      <c r="R31" s="133"/>
      <c r="S31" s="137"/>
      <c r="T31" s="133"/>
      <c r="U31" s="133"/>
      <c r="V31" s="133"/>
      <c r="W31" s="133"/>
    </row>
    <row r="32" spans="2:23" ht="13.5" thickBot="1">
      <c r="B32" s="983" t="s">
        <v>114</v>
      </c>
      <c r="C32" s="984" t="s">
        <v>1017</v>
      </c>
      <c r="D32" s="100"/>
      <c r="E32" s="100"/>
      <c r="F32" s="151"/>
      <c r="G32" s="337">
        <v>0</v>
      </c>
      <c r="H32" s="150">
        <f t="shared" si="0"/>
        <v>0</v>
      </c>
      <c r="I32" s="6"/>
      <c r="M32" s="133"/>
      <c r="N32" s="133"/>
      <c r="O32" s="133"/>
      <c r="P32" s="133"/>
      <c r="Q32" s="133"/>
      <c r="R32" s="133"/>
      <c r="S32" s="137"/>
      <c r="T32" s="133"/>
      <c r="U32" s="133"/>
      <c r="V32" s="133"/>
      <c r="W32" s="133"/>
    </row>
    <row r="33" spans="2:24" ht="13.5" thickBot="1">
      <c r="B33" s="147">
        <v>1</v>
      </c>
      <c r="C33" s="83" t="s">
        <v>1018</v>
      </c>
      <c r="D33" s="22"/>
      <c r="E33" s="22"/>
      <c r="F33" s="112">
        <f>'Pasq e SHITJES  Ndertimit'!J38</f>
        <v>0</v>
      </c>
      <c r="G33" s="132">
        <v>0</v>
      </c>
      <c r="H33" s="150">
        <f t="shared" si="0"/>
        <v>0</v>
      </c>
      <c r="I33" s="6"/>
      <c r="M33" s="133"/>
      <c r="N33" s="133"/>
      <c r="O33" s="133"/>
      <c r="P33" s="133"/>
      <c r="Q33" s="133"/>
      <c r="R33" s="133"/>
      <c r="S33" s="137"/>
      <c r="T33" s="133"/>
      <c r="U33" s="133"/>
      <c r="V33" s="133"/>
      <c r="W33" s="133"/>
      <c r="X33" s="190"/>
    </row>
    <row r="34" spans="2:23" ht="12.75">
      <c r="B34" s="149">
        <v>2</v>
      </c>
      <c r="C34" s="83" t="s">
        <v>1019</v>
      </c>
      <c r="D34" s="22"/>
      <c r="E34" s="22"/>
      <c r="F34" s="112">
        <f>'Pasq e SHITJES  Ndertimit'!J40</f>
        <v>0</v>
      </c>
      <c r="G34" s="132">
        <v>0</v>
      </c>
      <c r="H34" s="150">
        <f t="shared" si="0"/>
        <v>0</v>
      </c>
      <c r="I34" s="6"/>
      <c r="M34" s="133"/>
      <c r="N34" s="133"/>
      <c r="O34" s="133"/>
      <c r="P34" s="133"/>
      <c r="Q34" s="133"/>
      <c r="R34" s="133"/>
      <c r="S34" s="137"/>
      <c r="T34" s="133"/>
      <c r="U34" s="133"/>
      <c r="V34" s="133"/>
      <c r="W34" s="133"/>
    </row>
    <row r="35" spans="2:23" ht="12.75">
      <c r="B35" s="147">
        <v>3</v>
      </c>
      <c r="C35" s="83" t="s">
        <v>1020</v>
      </c>
      <c r="D35" s="22"/>
      <c r="E35" s="22"/>
      <c r="F35" s="112">
        <f>'Pasq e SHITJES  Ndertimit'!J41</f>
        <v>0</v>
      </c>
      <c r="G35" s="132">
        <v>0</v>
      </c>
      <c r="H35" s="150">
        <f t="shared" si="0"/>
        <v>0</v>
      </c>
      <c r="I35" s="6"/>
      <c r="M35" s="133"/>
      <c r="N35" s="133"/>
      <c r="O35" s="133"/>
      <c r="P35" s="133"/>
      <c r="Q35" s="133"/>
      <c r="R35" s="133"/>
      <c r="S35" s="188"/>
      <c r="T35" s="133"/>
      <c r="U35" s="133"/>
      <c r="V35" s="133"/>
      <c r="W35" s="133"/>
    </row>
    <row r="36" spans="2:23" ht="12.75">
      <c r="B36" s="147">
        <v>4</v>
      </c>
      <c r="C36" s="83" t="s">
        <v>925</v>
      </c>
      <c r="D36" s="81"/>
      <c r="E36" s="22"/>
      <c r="F36" s="112">
        <f>'Pasq e SHITJES  Ndertimit'!J42</f>
        <v>0</v>
      </c>
      <c r="G36" s="132">
        <v>0</v>
      </c>
      <c r="H36" s="150">
        <f t="shared" si="0"/>
        <v>0</v>
      </c>
      <c r="I36" s="6"/>
      <c r="M36" s="133"/>
      <c r="N36" s="133"/>
      <c r="O36" s="133"/>
      <c r="P36" s="133"/>
      <c r="Q36" s="133"/>
      <c r="R36" s="133"/>
      <c r="S36" s="137"/>
      <c r="T36" s="133"/>
      <c r="U36" s="133"/>
      <c r="V36" s="133"/>
      <c r="W36" s="133"/>
    </row>
    <row r="37" spans="2:23" ht="12.75">
      <c r="B37" s="149">
        <v>5</v>
      </c>
      <c r="C37" s="84" t="s">
        <v>925</v>
      </c>
      <c r="D37" s="85"/>
      <c r="E37" s="86"/>
      <c r="F37" s="112">
        <f>'Pasq e SHITJES  Ndertimit'!J43</f>
        <v>0</v>
      </c>
      <c r="G37" s="210">
        <v>0</v>
      </c>
      <c r="H37" s="150">
        <f t="shared" si="0"/>
        <v>0</v>
      </c>
      <c r="I37" s="6"/>
      <c r="M37" s="133"/>
      <c r="N37" s="133"/>
      <c r="O37" s="133"/>
      <c r="P37" s="133"/>
      <c r="Q37" s="133"/>
      <c r="R37" s="133"/>
      <c r="S37" s="137"/>
      <c r="T37" s="133"/>
      <c r="U37" s="133"/>
      <c r="V37" s="133"/>
      <c r="W37" s="133"/>
    </row>
    <row r="38" spans="2:23" ht="12.75">
      <c r="B38" s="147"/>
      <c r="C38" s="84"/>
      <c r="D38" s="85"/>
      <c r="E38" s="86"/>
      <c r="F38" s="118"/>
      <c r="G38" s="210">
        <v>0</v>
      </c>
      <c r="H38" s="150">
        <f t="shared" si="0"/>
        <v>0</v>
      </c>
      <c r="I38" s="6"/>
      <c r="M38" s="133"/>
      <c r="N38" s="133"/>
      <c r="O38" s="133"/>
      <c r="P38" s="133"/>
      <c r="Q38" s="133"/>
      <c r="R38" s="133"/>
      <c r="S38" s="137"/>
      <c r="T38" s="133"/>
      <c r="U38" s="133"/>
      <c r="V38" s="133"/>
      <c r="W38" s="133"/>
    </row>
    <row r="39" spans="2:23" ht="13.5" thickBot="1">
      <c r="B39" s="147"/>
      <c r="C39" s="84"/>
      <c r="D39" s="85"/>
      <c r="E39" s="86"/>
      <c r="F39" s="118"/>
      <c r="G39" s="210">
        <v>0</v>
      </c>
      <c r="H39" s="150">
        <f t="shared" si="0"/>
        <v>0</v>
      </c>
      <c r="I39" s="6"/>
      <c r="M39" s="133"/>
      <c r="N39" s="133"/>
      <c r="O39" s="133"/>
      <c r="P39" s="133"/>
      <c r="Q39" s="133"/>
      <c r="R39" s="133"/>
      <c r="S39" s="137"/>
      <c r="T39" s="133"/>
      <c r="U39" s="133"/>
      <c r="V39" s="133"/>
      <c r="W39" s="133"/>
    </row>
    <row r="40" spans="2:23" ht="15.75" thickBot="1">
      <c r="B40" s="534" t="s">
        <v>483</v>
      </c>
      <c r="C40" s="535"/>
      <c r="D40" s="535"/>
      <c r="E40" s="535">
        <f>E13+E14+E15+E27+E28+E29+E30+E31+E32+E33+E34+E35+E36+E37+E38+E39</f>
        <v>0</v>
      </c>
      <c r="F40" s="536">
        <f>SUM(F13:F39)</f>
        <v>235450</v>
      </c>
      <c r="G40" s="537">
        <v>0</v>
      </c>
      <c r="H40" s="538">
        <f>SUM(H13:H39)</f>
        <v>235450</v>
      </c>
      <c r="I40" s="6"/>
      <c r="M40" s="133"/>
      <c r="N40" s="133"/>
      <c r="O40" s="133"/>
      <c r="P40" s="133"/>
      <c r="Q40" s="133"/>
      <c r="R40" s="133"/>
      <c r="S40" s="137"/>
      <c r="T40" s="133"/>
      <c r="U40" s="133"/>
      <c r="V40" s="133"/>
      <c r="W40" s="133"/>
    </row>
    <row r="41" spans="2:23" ht="12.75">
      <c r="B41" s="5"/>
      <c r="C41" s="1"/>
      <c r="D41" s="1"/>
      <c r="E41" s="1"/>
      <c r="F41" s="1"/>
      <c r="G41" s="134"/>
      <c r="H41" s="1"/>
      <c r="I41" s="6"/>
      <c r="M41" s="133"/>
      <c r="N41" s="133"/>
      <c r="O41" s="133"/>
      <c r="P41" s="133"/>
      <c r="Q41" s="133"/>
      <c r="R41" s="133"/>
      <c r="S41" s="137"/>
      <c r="T41" s="133"/>
      <c r="U41" s="133"/>
      <c r="V41" s="133"/>
      <c r="W41" s="133"/>
    </row>
    <row r="42" spans="2:23" ht="12.75">
      <c r="B42" s="5"/>
      <c r="C42" s="2" t="s">
        <v>485</v>
      </c>
      <c r="D42" s="148"/>
      <c r="E42" s="148"/>
      <c r="F42" s="1"/>
      <c r="G42" s="132">
        <v>0</v>
      </c>
      <c r="H42" s="1"/>
      <c r="I42" s="6"/>
      <c r="M42" s="133"/>
      <c r="N42" s="133"/>
      <c r="O42" s="133"/>
      <c r="P42" s="133"/>
      <c r="Q42" s="133"/>
      <c r="R42" s="133"/>
      <c r="S42" s="137"/>
      <c r="T42" s="133"/>
      <c r="U42" s="133"/>
      <c r="V42" s="133"/>
      <c r="W42" s="133"/>
    </row>
    <row r="43" spans="2:23" ht="12.75">
      <c r="B43" s="5"/>
      <c r="C43" s="28" t="s">
        <v>486</v>
      </c>
      <c r="D43" s="148"/>
      <c r="E43" s="148"/>
      <c r="F43" s="1"/>
      <c r="G43" s="132">
        <v>0</v>
      </c>
      <c r="H43" s="1"/>
      <c r="I43" s="6"/>
      <c r="M43" s="133"/>
      <c r="N43" s="133"/>
      <c r="O43" s="133"/>
      <c r="P43" s="133"/>
      <c r="Q43" s="133"/>
      <c r="R43" s="133"/>
      <c r="S43" s="137"/>
      <c r="T43" s="133"/>
      <c r="U43" s="133"/>
      <c r="V43" s="133"/>
      <c r="W43" s="133"/>
    </row>
    <row r="44" spans="2:23" ht="12.75">
      <c r="B44" s="5"/>
      <c r="C44" s="28" t="s">
        <v>487</v>
      </c>
      <c r="D44" s="148"/>
      <c r="E44" s="148"/>
      <c r="F44" s="1"/>
      <c r="G44" s="195">
        <v>0</v>
      </c>
      <c r="H44" s="96"/>
      <c r="I44" s="6"/>
      <c r="M44" s="133"/>
      <c r="N44" s="133"/>
      <c r="O44" s="133"/>
      <c r="P44" s="133"/>
      <c r="Q44" s="133"/>
      <c r="R44" s="133"/>
      <c r="S44" s="137"/>
      <c r="T44" s="133"/>
      <c r="U44" s="133"/>
      <c r="V44" s="133"/>
      <c r="W44" s="133"/>
    </row>
    <row r="45" spans="2:23" ht="12.75">
      <c r="B45" s="5"/>
      <c r="C45" s="65" t="s">
        <v>488</v>
      </c>
      <c r="D45" s="148"/>
      <c r="E45" s="148"/>
      <c r="F45" s="1"/>
      <c r="G45" s="195">
        <v>0</v>
      </c>
      <c r="H45" s="1"/>
      <c r="I45" s="6"/>
      <c r="M45" s="133"/>
      <c r="N45" s="133"/>
      <c r="O45" s="133"/>
      <c r="P45" s="133"/>
      <c r="Q45" s="133"/>
      <c r="R45" s="133"/>
      <c r="S45" s="137"/>
      <c r="T45" s="133"/>
      <c r="U45" s="133"/>
      <c r="V45" s="133"/>
      <c r="W45" s="133"/>
    </row>
    <row r="46" spans="2:23" ht="13.5" thickBot="1">
      <c r="B46" s="5"/>
      <c r="C46" s="65" t="s">
        <v>489</v>
      </c>
      <c r="D46" s="1"/>
      <c r="E46" s="1"/>
      <c r="F46" s="1"/>
      <c r="G46" s="326">
        <v>0</v>
      </c>
      <c r="H46" s="1"/>
      <c r="I46" s="6"/>
      <c r="M46" s="133"/>
      <c r="N46" s="133"/>
      <c r="O46" s="133"/>
      <c r="P46" s="133"/>
      <c r="Q46" s="133"/>
      <c r="R46" s="133"/>
      <c r="S46" s="137"/>
      <c r="T46" s="133"/>
      <c r="U46" s="133"/>
      <c r="V46" s="133"/>
      <c r="W46" s="133"/>
    </row>
    <row r="47" spans="2:23" ht="13.5" thickBot="1">
      <c r="B47" s="5"/>
      <c r="C47" s="1"/>
      <c r="D47" s="1547" t="s">
        <v>164</v>
      </c>
      <c r="E47" s="1362"/>
      <c r="F47" s="1"/>
      <c r="G47" s="539">
        <f>SUM(G42:G46)</f>
        <v>0</v>
      </c>
      <c r="H47" s="1"/>
      <c r="I47" s="6"/>
      <c r="M47" s="133"/>
      <c r="N47" s="133"/>
      <c r="O47" s="133"/>
      <c r="P47" s="133"/>
      <c r="Q47" s="133"/>
      <c r="R47" s="133"/>
      <c r="S47" s="137"/>
      <c r="T47" s="133"/>
      <c r="U47" s="133"/>
      <c r="V47" s="133"/>
      <c r="W47" s="133"/>
    </row>
    <row r="48" spans="2:9" ht="13.5" thickBot="1">
      <c r="B48" s="7"/>
      <c r="C48" s="8"/>
      <c r="D48" s="8"/>
      <c r="E48" s="8"/>
      <c r="F48" s="8"/>
      <c r="G48" s="197"/>
      <c r="H48" s="8"/>
      <c r="I48" s="9"/>
    </row>
  </sheetData>
  <sheetProtection/>
  <mergeCells count="5">
    <mergeCell ref="D47:E47"/>
    <mergeCell ref="C6:F6"/>
    <mergeCell ref="B11:B12"/>
    <mergeCell ref="C11:C12"/>
    <mergeCell ref="F11:H11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F53" sqref="A1:F53"/>
    </sheetView>
  </sheetViews>
  <sheetFormatPr defaultColWidth="9.140625" defaultRowHeight="12.75"/>
  <cols>
    <col min="1" max="2" width="4.140625" style="0" customWidth="1"/>
    <col min="3" max="3" width="44.7109375" style="0" customWidth="1"/>
    <col min="4" max="4" width="9.421875" style="0" customWidth="1"/>
    <col min="5" max="5" width="14.8515625" style="88" customWidth="1"/>
    <col min="6" max="6" width="15.140625" style="88" customWidth="1"/>
  </cols>
  <sheetData>
    <row r="1" spans="1:6" ht="14.25">
      <c r="A1" s="10"/>
      <c r="B1" s="10"/>
      <c r="C1" s="10"/>
      <c r="D1" s="10"/>
      <c r="E1" s="91" t="str">
        <f>'Kopertina '!F4</f>
        <v>FJORTES </v>
      </c>
      <c r="F1" s="91"/>
    </row>
    <row r="2" spans="1:6" ht="15.75">
      <c r="A2" s="10"/>
      <c r="B2" s="1315" t="s">
        <v>0</v>
      </c>
      <c r="C2" s="1315"/>
      <c r="D2" s="1315"/>
      <c r="E2" s="1315"/>
      <c r="F2" s="92">
        <f>'Kopertina '!F29</f>
        <v>2012</v>
      </c>
    </row>
    <row r="3" spans="1:6" ht="15" thickBot="1">
      <c r="A3" s="10"/>
      <c r="B3" s="10"/>
      <c r="C3" s="10"/>
      <c r="D3" s="10"/>
      <c r="E3" s="91"/>
      <c r="F3" s="91"/>
    </row>
    <row r="4" spans="1:6" ht="15" customHeight="1">
      <c r="A4" s="10"/>
      <c r="B4" s="1320" t="s">
        <v>1</v>
      </c>
      <c r="C4" s="1320" t="s">
        <v>285</v>
      </c>
      <c r="D4" s="1320" t="s">
        <v>3</v>
      </c>
      <c r="E4" s="1318" t="s">
        <v>896</v>
      </c>
      <c r="F4" s="1318" t="s">
        <v>911</v>
      </c>
    </row>
    <row r="5" spans="1:6" ht="15.75" customHeight="1" thickBot="1">
      <c r="A5" s="10"/>
      <c r="B5" s="1324"/>
      <c r="C5" s="1324"/>
      <c r="D5" s="1324"/>
      <c r="E5" s="1323"/>
      <c r="F5" s="1323"/>
    </row>
    <row r="6" spans="1:6" ht="19.5" customHeight="1">
      <c r="A6" s="10"/>
      <c r="B6" s="373" t="s">
        <v>4</v>
      </c>
      <c r="C6" s="374" t="s">
        <v>286</v>
      </c>
      <c r="D6" s="375"/>
      <c r="E6" s="366">
        <f>E7+E8+E12+E24+E25</f>
        <v>52404552.5</v>
      </c>
      <c r="F6" s="366">
        <f>F7+F8+F12+F24+F25</f>
        <v>30696942</v>
      </c>
    </row>
    <row r="7" spans="1:6" ht="15">
      <c r="A7" s="10"/>
      <c r="B7" s="376"/>
      <c r="C7" s="946" t="s">
        <v>287</v>
      </c>
      <c r="D7" s="950" t="s">
        <v>476</v>
      </c>
      <c r="E7" s="938"/>
      <c r="F7" s="941"/>
    </row>
    <row r="8" spans="1:6" ht="15">
      <c r="A8" s="10"/>
      <c r="B8" s="376"/>
      <c r="C8" s="942" t="s">
        <v>29</v>
      </c>
      <c r="D8" s="950"/>
      <c r="E8" s="938">
        <f>E9+E10+E11</f>
        <v>0</v>
      </c>
      <c r="F8" s="941">
        <f>F9+F10+F11</f>
        <v>0</v>
      </c>
    </row>
    <row r="9" spans="1:6" ht="15">
      <c r="A9" s="10"/>
      <c r="B9" s="376"/>
      <c r="C9" s="367" t="s">
        <v>288</v>
      </c>
      <c r="D9" s="380" t="s">
        <v>861</v>
      </c>
      <c r="E9" s="367">
        <f>'L  1'!G14</f>
        <v>0</v>
      </c>
      <c r="F9" s="368"/>
    </row>
    <row r="10" spans="1:6" ht="14.25">
      <c r="A10" s="10"/>
      <c r="B10" s="376"/>
      <c r="C10" s="378" t="s">
        <v>289</v>
      </c>
      <c r="D10" s="377" t="s">
        <v>476</v>
      </c>
      <c r="E10" s="367"/>
      <c r="F10" s="368"/>
    </row>
    <row r="11" spans="1:6" ht="14.25">
      <c r="A11" s="10"/>
      <c r="B11" s="376"/>
      <c r="C11" s="378" t="s">
        <v>290</v>
      </c>
      <c r="D11" s="377" t="s">
        <v>476</v>
      </c>
      <c r="E11" s="367"/>
      <c r="F11" s="368"/>
    </row>
    <row r="12" spans="1:6" ht="15">
      <c r="A12" s="10"/>
      <c r="B12" s="376"/>
      <c r="C12" s="942" t="s">
        <v>30</v>
      </c>
      <c r="D12" s="951"/>
      <c r="E12" s="942">
        <f>E13+E14+E15+E16+E17+E18+E19+E20+E21+E22+E23</f>
        <v>52404552.5</v>
      </c>
      <c r="F12" s="943">
        <f>F13+F14+F15+F16+F17+F18+F19+F20+F21+F22</f>
        <v>30696942</v>
      </c>
    </row>
    <row r="13" spans="1:6" ht="15">
      <c r="A13" s="10"/>
      <c r="B13" s="376"/>
      <c r="C13" s="367" t="s">
        <v>31</v>
      </c>
      <c r="D13" s="379" t="s">
        <v>128</v>
      </c>
      <c r="E13" s="367">
        <f>+'M1'!H54</f>
        <v>52170569</v>
      </c>
      <c r="F13" s="368">
        <v>29612785</v>
      </c>
    </row>
    <row r="14" spans="1:6" ht="15">
      <c r="A14" s="10"/>
      <c r="B14" s="376"/>
      <c r="C14" s="367" t="s">
        <v>32</v>
      </c>
      <c r="D14" s="379" t="s">
        <v>157</v>
      </c>
      <c r="E14" s="367">
        <f>T!AR24</f>
        <v>162994</v>
      </c>
      <c r="F14" s="368">
        <v>646834</v>
      </c>
    </row>
    <row r="15" spans="1:6" ht="15">
      <c r="A15" s="10"/>
      <c r="B15" s="376"/>
      <c r="C15" s="367" t="s">
        <v>33</v>
      </c>
      <c r="D15" s="379" t="s">
        <v>157</v>
      </c>
      <c r="E15" s="367">
        <f>T!AK24+T!AO24</f>
        <v>55939.5</v>
      </c>
      <c r="F15" s="368">
        <v>42827</v>
      </c>
    </row>
    <row r="16" spans="1:6" ht="15">
      <c r="A16" s="10"/>
      <c r="B16" s="376"/>
      <c r="C16" s="367" t="s">
        <v>34</v>
      </c>
      <c r="D16" s="379" t="s">
        <v>157</v>
      </c>
      <c r="E16" s="367">
        <f>T!AQ24</f>
        <v>15050</v>
      </c>
      <c r="F16" s="368">
        <v>10350</v>
      </c>
    </row>
    <row r="17" spans="1:6" ht="15">
      <c r="A17" s="10"/>
      <c r="B17" s="376"/>
      <c r="C17" s="367" t="s">
        <v>35</v>
      </c>
      <c r="D17" s="380" t="s">
        <v>867</v>
      </c>
      <c r="E17" s="367">
        <v>0</v>
      </c>
      <c r="F17" s="368">
        <v>384146</v>
      </c>
    </row>
    <row r="18" spans="1:6" ht="15">
      <c r="A18" s="10"/>
      <c r="B18" s="376"/>
      <c r="C18" s="367" t="s">
        <v>36</v>
      </c>
      <c r="D18" s="380" t="s">
        <v>129</v>
      </c>
      <c r="E18" s="367">
        <f>+IF('P -Ardh Analiz '!N25&gt;0,'P -Ardh Analiz '!N25,0)</f>
        <v>0</v>
      </c>
      <c r="F18" s="368"/>
    </row>
    <row r="19" spans="1:6" ht="14.25">
      <c r="A19" s="10"/>
      <c r="B19" s="376"/>
      <c r="C19" s="367" t="s">
        <v>37</v>
      </c>
      <c r="D19" s="377" t="s">
        <v>476</v>
      </c>
      <c r="E19" s="367">
        <v>0</v>
      </c>
      <c r="F19" s="368"/>
    </row>
    <row r="20" spans="1:6" ht="14.25">
      <c r="A20" s="10"/>
      <c r="B20" s="376"/>
      <c r="C20" s="367" t="s">
        <v>291</v>
      </c>
      <c r="D20" s="377" t="s">
        <v>476</v>
      </c>
      <c r="E20" s="381">
        <v>0</v>
      </c>
      <c r="F20" s="368">
        <v>0</v>
      </c>
    </row>
    <row r="21" spans="1:6" ht="14.25">
      <c r="A21" s="10"/>
      <c r="B21" s="376"/>
      <c r="C21" s="382" t="s">
        <v>38</v>
      </c>
      <c r="D21" s="377" t="s">
        <v>476</v>
      </c>
      <c r="E21" s="367"/>
      <c r="F21" s="368"/>
    </row>
    <row r="22" spans="1:6" ht="14.25">
      <c r="A22" s="10"/>
      <c r="B22" s="376"/>
      <c r="C22" s="367" t="s">
        <v>292</v>
      </c>
      <c r="D22" s="377" t="s">
        <v>476</v>
      </c>
      <c r="E22" s="367">
        <v>0</v>
      </c>
      <c r="F22" s="368">
        <v>0</v>
      </c>
    </row>
    <row r="23" spans="1:6" ht="14.25">
      <c r="A23" s="10"/>
      <c r="B23" s="376"/>
      <c r="C23" s="367"/>
      <c r="D23" s="377" t="s">
        <v>476</v>
      </c>
      <c r="E23" s="367"/>
      <c r="F23" s="368"/>
    </row>
    <row r="24" spans="1:6" ht="15">
      <c r="A24" s="10"/>
      <c r="B24" s="376"/>
      <c r="C24" s="946" t="s">
        <v>39</v>
      </c>
      <c r="D24" s="950" t="s">
        <v>476</v>
      </c>
      <c r="E24" s="946"/>
      <c r="F24" s="941"/>
    </row>
    <row r="25" spans="1:6" ht="15">
      <c r="A25" s="10"/>
      <c r="B25" s="376"/>
      <c r="C25" s="946" t="s">
        <v>125</v>
      </c>
      <c r="D25" s="950" t="s">
        <v>476</v>
      </c>
      <c r="E25" s="946"/>
      <c r="F25" s="941"/>
    </row>
    <row r="26" spans="1:6" ht="15">
      <c r="A26" s="10"/>
      <c r="B26" s="376"/>
      <c r="C26" s="367"/>
      <c r="D26" s="379"/>
      <c r="E26" s="367"/>
      <c r="F26" s="368"/>
    </row>
    <row r="27" spans="1:6" ht="15">
      <c r="A27" s="10"/>
      <c r="B27" s="383" t="s">
        <v>19</v>
      </c>
      <c r="C27" s="369" t="s">
        <v>293</v>
      </c>
      <c r="D27" s="384"/>
      <c r="E27" s="369">
        <f>E28+E31+E32+E33+E34</f>
        <v>0</v>
      </c>
      <c r="F27" s="369">
        <f>F28+F31+F32+F33+F34</f>
        <v>0</v>
      </c>
    </row>
    <row r="28" spans="1:6" ht="15">
      <c r="A28" s="10"/>
      <c r="B28" s="385"/>
      <c r="C28" s="946" t="s">
        <v>40</v>
      </c>
      <c r="D28" s="950" t="s">
        <v>476</v>
      </c>
      <c r="E28" s="938">
        <f>E29+E30</f>
        <v>0</v>
      </c>
      <c r="F28" s="938">
        <f>F29+F30</f>
        <v>0</v>
      </c>
    </row>
    <row r="29" spans="1:8" ht="15">
      <c r="A29" s="10"/>
      <c r="B29" s="385"/>
      <c r="C29" s="367" t="s">
        <v>41</v>
      </c>
      <c r="D29" s="380" t="s">
        <v>719</v>
      </c>
      <c r="E29" s="367">
        <f>'L  2'!F29</f>
        <v>0</v>
      </c>
      <c r="F29" s="368"/>
      <c r="H29" s="88"/>
    </row>
    <row r="30" spans="1:6" ht="15">
      <c r="A30" s="10"/>
      <c r="B30" s="385"/>
      <c r="C30" s="367" t="s">
        <v>42</v>
      </c>
      <c r="D30" s="377"/>
      <c r="E30" s="367"/>
      <c r="F30" s="368"/>
    </row>
    <row r="31" spans="1:6" ht="15">
      <c r="A31" s="10"/>
      <c r="B31" s="385"/>
      <c r="C31" s="946" t="s">
        <v>43</v>
      </c>
      <c r="D31" s="947" t="s">
        <v>956</v>
      </c>
      <c r="E31" s="946">
        <f>'L  2'!F29</f>
        <v>0</v>
      </c>
      <c r="F31" s="948"/>
    </row>
    <row r="32" spans="1:6" ht="15">
      <c r="A32" s="10"/>
      <c r="B32" s="385"/>
      <c r="C32" s="946" t="s">
        <v>294</v>
      </c>
      <c r="D32" s="949" t="s">
        <v>476</v>
      </c>
      <c r="E32" s="946"/>
      <c r="F32" s="948"/>
    </row>
    <row r="33" spans="1:6" ht="15">
      <c r="A33" s="10"/>
      <c r="B33" s="385"/>
      <c r="C33" s="946" t="s">
        <v>39</v>
      </c>
      <c r="D33" s="949" t="s">
        <v>476</v>
      </c>
      <c r="E33" s="946"/>
      <c r="F33" s="948"/>
    </row>
    <row r="34" spans="1:6" ht="15">
      <c r="A34" s="10"/>
      <c r="B34" s="385"/>
      <c r="C34" s="367"/>
      <c r="D34" s="379"/>
      <c r="E34" s="367"/>
      <c r="F34" s="368"/>
    </row>
    <row r="35" spans="1:6" ht="15">
      <c r="A35" s="10"/>
      <c r="B35" s="385"/>
      <c r="C35" s="367"/>
      <c r="D35" s="379"/>
      <c r="E35" s="367"/>
      <c r="F35" s="368"/>
    </row>
    <row r="36" spans="1:6" ht="21" customHeight="1">
      <c r="A36" s="10"/>
      <c r="B36" s="386"/>
      <c r="C36" s="387" t="s">
        <v>295</v>
      </c>
      <c r="D36" s="384"/>
      <c r="E36" s="369">
        <f>E6+E27</f>
        <v>52404552.5</v>
      </c>
      <c r="F36" s="369">
        <f>F6+F27</f>
        <v>30696942</v>
      </c>
    </row>
    <row r="37" spans="1:6" ht="15">
      <c r="A37" s="10"/>
      <c r="B37" s="385"/>
      <c r="C37" s="388"/>
      <c r="D37" s="389"/>
      <c r="E37" s="381"/>
      <c r="F37" s="390"/>
    </row>
    <row r="38" spans="1:6" ht="19.5" customHeight="1">
      <c r="A38" s="10"/>
      <c r="B38" s="383" t="s">
        <v>44</v>
      </c>
      <c r="C38" s="391" t="s">
        <v>45</v>
      </c>
      <c r="D38" s="384"/>
      <c r="E38" s="369">
        <f>E39+E40+E41+E42+E43+E44+E45+E46+E47+E48+E49+E50</f>
        <v>22657492.243300006</v>
      </c>
      <c r="F38" s="369">
        <f>F39+F40+F41+F42+F43+F44+F45+F46+F47+F48+F49+F50</f>
        <v>17451112</v>
      </c>
    </row>
    <row r="39" spans="1:6" ht="14.25">
      <c r="A39" s="10"/>
      <c r="B39" s="376"/>
      <c r="C39" s="367" t="s">
        <v>46</v>
      </c>
      <c r="D39" s="377" t="s">
        <v>959</v>
      </c>
      <c r="E39" s="367">
        <f>'Pasq e ndrysh te kap 2'!D18</f>
        <v>16578558</v>
      </c>
      <c r="F39" s="368">
        <v>16578558</v>
      </c>
    </row>
    <row r="40" spans="1:6" ht="14.25">
      <c r="A40" s="10"/>
      <c r="B40" s="376"/>
      <c r="C40" s="367" t="s">
        <v>47</v>
      </c>
      <c r="D40" s="377" t="s">
        <v>959</v>
      </c>
      <c r="E40" s="367"/>
      <c r="F40" s="368"/>
    </row>
    <row r="41" spans="1:6" ht="14.25">
      <c r="A41" s="10"/>
      <c r="B41" s="376"/>
      <c r="C41" s="367" t="s">
        <v>48</v>
      </c>
      <c r="D41" s="377" t="s">
        <v>959</v>
      </c>
      <c r="E41" s="367"/>
      <c r="F41" s="368"/>
    </row>
    <row r="42" spans="1:6" ht="14.25">
      <c r="A42" s="10"/>
      <c r="B42" s="376"/>
      <c r="C42" s="367" t="s">
        <v>49</v>
      </c>
      <c r="D42" s="377" t="s">
        <v>959</v>
      </c>
      <c r="E42" s="367"/>
      <c r="F42" s="368"/>
    </row>
    <row r="43" spans="1:6" ht="14.25">
      <c r="A43" s="10"/>
      <c r="B43" s="376"/>
      <c r="C43" s="367" t="s">
        <v>50</v>
      </c>
      <c r="D43" s="377" t="s">
        <v>959</v>
      </c>
      <c r="E43" s="367"/>
      <c r="F43" s="368"/>
    </row>
    <row r="44" spans="1:6" ht="14.25">
      <c r="A44" s="10"/>
      <c r="B44" s="376"/>
      <c r="C44" s="382" t="s">
        <v>353</v>
      </c>
      <c r="D44" s="377" t="s">
        <v>959</v>
      </c>
      <c r="E44" s="367"/>
      <c r="F44" s="368"/>
    </row>
    <row r="45" spans="1:6" ht="14.25">
      <c r="A45" s="10"/>
      <c r="B45" s="376"/>
      <c r="C45" s="382" t="s">
        <v>51</v>
      </c>
      <c r="D45" s="377" t="s">
        <v>959</v>
      </c>
      <c r="E45" s="367">
        <f>'Pasq e ndrysh te kap 2'!G18</f>
        <v>872554</v>
      </c>
      <c r="F45" s="368">
        <v>872554</v>
      </c>
    </row>
    <row r="46" spans="1:6" ht="14.25">
      <c r="A46" s="10"/>
      <c r="B46" s="376"/>
      <c r="C46" s="367" t="s">
        <v>870</v>
      </c>
      <c r="D46" s="377" t="s">
        <v>959</v>
      </c>
      <c r="E46" s="367"/>
      <c r="F46" s="368"/>
    </row>
    <row r="47" spans="1:6" ht="14.25">
      <c r="A47" s="10"/>
      <c r="B47" s="376"/>
      <c r="C47" s="382" t="s">
        <v>52</v>
      </c>
      <c r="D47" s="377" t="s">
        <v>959</v>
      </c>
      <c r="E47" s="367">
        <f>'Pasq e ndrysh te kap 2'!H13-'Pasq e ndrysh te kap 2'!H15</f>
        <v>0</v>
      </c>
      <c r="F47" s="368"/>
    </row>
    <row r="48" spans="1:6" ht="14.25">
      <c r="A48" s="10"/>
      <c r="B48" s="376"/>
      <c r="C48" s="367" t="s">
        <v>53</v>
      </c>
      <c r="D48" s="377" t="s">
        <v>960</v>
      </c>
      <c r="E48" s="367">
        <f>'Ardh e shp - natyres'!E39</f>
        <v>5206380.243300006</v>
      </c>
      <c r="F48" s="368"/>
    </row>
    <row r="49" spans="1:6" ht="14.25">
      <c r="A49" s="10"/>
      <c r="B49" s="376"/>
      <c r="C49" s="367" t="s">
        <v>298</v>
      </c>
      <c r="D49" s="377" t="s">
        <v>476</v>
      </c>
      <c r="E49" s="367"/>
      <c r="F49" s="368"/>
    </row>
    <row r="50" spans="1:6" ht="15">
      <c r="A50" s="10"/>
      <c r="B50" s="376"/>
      <c r="C50" s="367"/>
      <c r="D50" s="379"/>
      <c r="E50" s="367"/>
      <c r="F50" s="368"/>
    </row>
    <row r="51" spans="1:6" ht="15">
      <c r="A51" s="10"/>
      <c r="B51" s="376"/>
      <c r="C51" s="367"/>
      <c r="D51" s="379"/>
      <c r="E51" s="367"/>
      <c r="F51" s="368"/>
    </row>
    <row r="52" spans="1:6" ht="22.5" customHeight="1">
      <c r="A52" s="10"/>
      <c r="B52" s="392"/>
      <c r="C52" s="1322" t="s">
        <v>296</v>
      </c>
      <c r="D52" s="1322"/>
      <c r="E52" s="369">
        <f>E36+E38</f>
        <v>75062044.7433</v>
      </c>
      <c r="F52" s="369">
        <f>F36+F38</f>
        <v>48148054</v>
      </c>
    </row>
    <row r="53" spans="1:6" ht="15.75" thickBot="1">
      <c r="A53" s="10"/>
      <c r="B53" s="393"/>
      <c r="C53" s="371"/>
      <c r="D53" s="394"/>
      <c r="E53" s="371"/>
      <c r="F53" s="372"/>
    </row>
    <row r="55" spans="5:6" ht="12.75">
      <c r="E55" s="88">
        <f>'AKTIVI '!E53-'PASIVI '!E52</f>
        <v>-0.11699999868869781</v>
      </c>
      <c r="F55" s="88">
        <f>'AKTIVI '!F53-'PASIVI '!F52</f>
        <v>0</v>
      </c>
    </row>
  </sheetData>
  <sheetProtection/>
  <mergeCells count="7">
    <mergeCell ref="B2:E2"/>
    <mergeCell ref="C52:D52"/>
    <mergeCell ref="E4:E5"/>
    <mergeCell ref="F4:F5"/>
    <mergeCell ref="C4:C5"/>
    <mergeCell ref="B4:B5"/>
    <mergeCell ref="D4:D5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AD567"/>
  <sheetViews>
    <sheetView zoomScalePageLayoutView="0" workbookViewId="0" topLeftCell="A1">
      <selection activeCell="E559" sqref="E559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6.00390625" style="0" customWidth="1"/>
    <col min="5" max="5" width="11.8515625" style="0" customWidth="1"/>
  </cols>
  <sheetData>
    <row r="2" spans="2:12" ht="13.5">
      <c r="B2" s="1137"/>
      <c r="C2" s="1138"/>
      <c r="D2" s="1139"/>
      <c r="E2" s="1140"/>
      <c r="F2" s="1137"/>
      <c r="G2" s="1141"/>
      <c r="H2" s="1142"/>
      <c r="I2" s="1140"/>
      <c r="J2" s="1140"/>
      <c r="K2" s="1143"/>
      <c r="L2" s="1143"/>
    </row>
    <row r="3" spans="2:12" ht="13.5">
      <c r="B3" s="1137"/>
      <c r="C3" s="1138"/>
      <c r="D3" s="1144"/>
      <c r="E3" s="1140"/>
      <c r="F3" s="1137"/>
      <c r="G3" s="1141"/>
      <c r="H3" s="1142"/>
      <c r="I3" s="1140"/>
      <c r="J3" s="1140"/>
      <c r="K3" s="1143"/>
      <c r="L3" s="1143"/>
    </row>
    <row r="4" spans="2:30" ht="13.5">
      <c r="B4" s="1137"/>
      <c r="C4" s="1138"/>
      <c r="D4" s="1568" t="s">
        <v>1596</v>
      </c>
      <c r="E4" s="1568"/>
      <c r="F4" s="1568"/>
      <c r="G4" s="1568"/>
      <c r="H4" s="1568"/>
      <c r="I4" s="1568"/>
      <c r="J4" s="1568"/>
      <c r="K4" s="1568"/>
      <c r="L4" s="1568"/>
      <c r="M4" s="1555" t="s">
        <v>1608</v>
      </c>
      <c r="N4" s="1555"/>
      <c r="O4" s="1555"/>
      <c r="P4" s="1555"/>
      <c r="Q4" s="1555"/>
      <c r="R4" s="1555"/>
      <c r="S4" s="1555"/>
      <c r="T4" s="1555"/>
      <c r="U4" s="1555"/>
      <c r="V4" s="1555"/>
      <c r="W4" s="1555"/>
      <c r="X4" s="1555"/>
      <c r="Y4" s="1555"/>
      <c r="Z4" s="1555"/>
      <c r="AA4" s="1555"/>
      <c r="AB4" s="1555"/>
      <c r="AC4" s="1555"/>
      <c r="AD4" s="1555"/>
    </row>
    <row r="5" spans="2:30" ht="13.5">
      <c r="B5" s="1137"/>
      <c r="C5" s="1138"/>
      <c r="D5" s="1568"/>
      <c r="E5" s="1568"/>
      <c r="F5" s="1568"/>
      <c r="G5" s="1568"/>
      <c r="H5" s="1568"/>
      <c r="I5" s="1568"/>
      <c r="J5" s="1568"/>
      <c r="K5" s="1568"/>
      <c r="L5" s="1568"/>
      <c r="M5" s="1555"/>
      <c r="N5" s="1555"/>
      <c r="O5" s="1555"/>
      <c r="P5" s="1555"/>
      <c r="Q5" s="1555"/>
      <c r="R5" s="1555"/>
      <c r="S5" s="1555"/>
      <c r="T5" s="1555"/>
      <c r="U5" s="1555"/>
      <c r="V5" s="1555"/>
      <c r="W5" s="1555"/>
      <c r="X5" s="1555"/>
      <c r="Y5" s="1555"/>
      <c r="Z5" s="1555"/>
      <c r="AA5" s="1555"/>
      <c r="AB5" s="1555"/>
      <c r="AC5" s="1555"/>
      <c r="AD5" s="1555"/>
    </row>
    <row r="6" spans="2:30" ht="14.25" thickBot="1">
      <c r="B6" s="1145"/>
      <c r="C6" s="1146"/>
      <c r="D6" s="1147"/>
      <c r="E6" s="1143"/>
      <c r="F6" s="1145"/>
      <c r="G6" s="1148"/>
      <c r="H6" s="1149"/>
      <c r="I6" s="1143"/>
      <c r="J6" s="1143"/>
      <c r="K6" s="1143"/>
      <c r="L6" s="1143"/>
      <c r="M6" s="1211"/>
      <c r="N6" s="1212"/>
      <c r="O6" s="1212"/>
      <c r="P6" s="1212"/>
      <c r="Q6" s="1212"/>
      <c r="R6" s="1212"/>
      <c r="S6" s="1212"/>
      <c r="T6" s="1211"/>
      <c r="U6" s="1211"/>
      <c r="V6" s="1211"/>
      <c r="W6" s="1211"/>
      <c r="X6" s="1211"/>
      <c r="Y6" s="1211"/>
      <c r="Z6" s="1213"/>
      <c r="AA6" s="1211"/>
      <c r="AB6" s="1211"/>
      <c r="AC6" s="1214"/>
      <c r="AD6" s="1211"/>
    </row>
    <row r="7" spans="2:30" ht="14.25" thickBot="1">
      <c r="B7" s="1150" t="s">
        <v>1</v>
      </c>
      <c r="C7" s="1569" t="s">
        <v>224</v>
      </c>
      <c r="D7" s="1570"/>
      <c r="E7" s="1151" t="s">
        <v>1597</v>
      </c>
      <c r="F7" s="1571" t="s">
        <v>1598</v>
      </c>
      <c r="G7" s="1573" t="s">
        <v>1599</v>
      </c>
      <c r="H7" s="1152" t="s">
        <v>1600</v>
      </c>
      <c r="I7" s="1575" t="s">
        <v>1601</v>
      </c>
      <c r="J7" s="1153" t="s">
        <v>1602</v>
      </c>
      <c r="K7" s="1151" t="s">
        <v>820</v>
      </c>
      <c r="L7" s="1154" t="s">
        <v>1603</v>
      </c>
      <c r="M7" s="709"/>
      <c r="N7" s="709"/>
      <c r="O7" s="709"/>
      <c r="P7" s="709"/>
      <c r="Q7" s="709"/>
      <c r="R7" s="709"/>
      <c r="S7" s="709"/>
      <c r="T7" s="709"/>
      <c r="U7" s="709"/>
      <c r="V7" s="709"/>
      <c r="W7" s="709"/>
      <c r="X7" s="709"/>
      <c r="Y7" s="709"/>
      <c r="Z7" s="1215"/>
      <c r="AA7" s="709"/>
      <c r="AB7" s="709"/>
      <c r="AC7" s="709"/>
      <c r="AD7" s="709"/>
    </row>
    <row r="8" spans="2:30" ht="14.25" thickBot="1">
      <c r="B8" s="1155"/>
      <c r="C8" s="1156" t="s">
        <v>1</v>
      </c>
      <c r="D8" s="1157" t="s">
        <v>232</v>
      </c>
      <c r="E8" s="1158" t="s">
        <v>1604</v>
      </c>
      <c r="F8" s="1572"/>
      <c r="G8" s="1574"/>
      <c r="H8" s="1159" t="s">
        <v>221</v>
      </c>
      <c r="I8" s="1576"/>
      <c r="J8" s="1160" t="s">
        <v>1605</v>
      </c>
      <c r="K8" s="1158"/>
      <c r="L8" s="1161" t="s">
        <v>1611</v>
      </c>
      <c r="M8" s="1216" t="s">
        <v>1</v>
      </c>
      <c r="N8" s="1217" t="s">
        <v>166</v>
      </c>
      <c r="O8" s="1218" t="s">
        <v>1602</v>
      </c>
      <c r="P8" s="1217" t="s">
        <v>820</v>
      </c>
      <c r="Q8" s="1217" t="s">
        <v>1603</v>
      </c>
      <c r="R8" s="1218" t="s">
        <v>1602</v>
      </c>
      <c r="S8" s="1217" t="s">
        <v>1609</v>
      </c>
      <c r="T8" s="140"/>
      <c r="U8" s="140"/>
      <c r="V8" s="709"/>
      <c r="W8" s="709"/>
      <c r="X8" s="709"/>
      <c r="Y8" s="709"/>
      <c r="Z8" s="1215"/>
      <c r="AA8" s="709"/>
      <c r="AB8" s="709"/>
      <c r="AC8" s="709"/>
      <c r="AD8" s="709"/>
    </row>
    <row r="9" spans="2:30" ht="14.25" thickBot="1">
      <c r="B9" s="1162">
        <v>1</v>
      </c>
      <c r="C9" s="1163"/>
      <c r="D9" s="1164"/>
      <c r="E9" s="1165"/>
      <c r="F9" s="1166"/>
      <c r="G9" s="1167"/>
      <c r="H9" s="1168"/>
      <c r="I9" s="1169"/>
      <c r="J9" s="1169">
        <v>0</v>
      </c>
      <c r="K9" s="1177">
        <f>+J9*0.2</f>
        <v>0</v>
      </c>
      <c r="L9" s="1170">
        <f>K9+J9</f>
        <v>0</v>
      </c>
      <c r="M9" s="1219"/>
      <c r="N9" s="1220"/>
      <c r="O9" s="1221" t="s">
        <v>1605</v>
      </c>
      <c r="P9" s="1220"/>
      <c r="Q9" s="1220" t="s">
        <v>1606</v>
      </c>
      <c r="R9" s="1221" t="s">
        <v>1610</v>
      </c>
      <c r="S9" s="1219"/>
      <c r="T9" s="140"/>
      <c r="U9" s="140"/>
      <c r="V9" s="709"/>
      <c r="W9" s="709"/>
      <c r="X9" s="709"/>
      <c r="Y9" s="709"/>
      <c r="Z9" s="1215"/>
      <c r="AA9" s="709"/>
      <c r="AB9" s="709"/>
      <c r="AC9" s="709"/>
      <c r="AD9" s="709"/>
    </row>
    <row r="10" spans="2:30" ht="14.25" thickBot="1">
      <c r="B10" s="1171">
        <v>2</v>
      </c>
      <c r="C10" s="1172"/>
      <c r="D10" s="1173"/>
      <c r="E10" s="1174"/>
      <c r="F10" s="1175"/>
      <c r="G10" s="1174"/>
      <c r="H10" s="1176"/>
      <c r="I10" s="1177"/>
      <c r="J10" s="1177"/>
      <c r="K10" s="1177">
        <f aca="true" t="shared" si="0" ref="K10:K73">+J10*0.2</f>
        <v>0</v>
      </c>
      <c r="L10" s="1178"/>
      <c r="M10" s="459">
        <v>1</v>
      </c>
      <c r="N10" s="460" t="s">
        <v>1607</v>
      </c>
      <c r="O10" s="460">
        <f>+I11</f>
        <v>0</v>
      </c>
      <c r="P10" s="460">
        <f>+J11</f>
        <v>0</v>
      </c>
      <c r="Q10" s="460">
        <f>+K11</f>
        <v>0</v>
      </c>
      <c r="R10" s="460">
        <v>0</v>
      </c>
      <c r="S10" s="462">
        <f aca="true" t="shared" si="1" ref="S10:S21">O10-R10</f>
        <v>0</v>
      </c>
      <c r="T10" s="1215"/>
      <c r="U10" s="1215"/>
      <c r="V10" s="1215"/>
      <c r="W10" s="1215"/>
      <c r="X10" s="709"/>
      <c r="Y10" s="709"/>
      <c r="Z10" s="1215"/>
      <c r="AA10" s="709"/>
      <c r="AB10" s="709"/>
      <c r="AC10" s="709"/>
      <c r="AD10" s="709"/>
    </row>
    <row r="11" spans="2:30" ht="13.5">
      <c r="B11" s="1162">
        <v>3</v>
      </c>
      <c r="C11" s="1172"/>
      <c r="D11" s="1173"/>
      <c r="E11" s="1174"/>
      <c r="F11" s="1175"/>
      <c r="G11" s="1174"/>
      <c r="H11" s="1176"/>
      <c r="I11" s="1177"/>
      <c r="J11" s="1177"/>
      <c r="K11" s="1177">
        <f t="shared" si="0"/>
        <v>0</v>
      </c>
      <c r="L11" s="1178"/>
      <c r="M11" s="1222">
        <v>2</v>
      </c>
      <c r="N11" s="139" t="s">
        <v>184</v>
      </c>
      <c r="O11" s="139">
        <f>+I15</f>
        <v>0</v>
      </c>
      <c r="P11" s="139">
        <f>+J15</f>
        <v>0</v>
      </c>
      <c r="Q11" s="139">
        <f>+K15</f>
        <v>0</v>
      </c>
      <c r="R11" s="139">
        <v>492000</v>
      </c>
      <c r="S11" s="462">
        <v>0</v>
      </c>
      <c r="T11" s="1215"/>
      <c r="U11" s="1215"/>
      <c r="V11" s="1215"/>
      <c r="W11" s="1215"/>
      <c r="X11" s="709"/>
      <c r="Y11" s="709"/>
      <c r="Z11" s="1215"/>
      <c r="AA11" s="709"/>
      <c r="AB11" s="709"/>
      <c r="AC11" s="709"/>
      <c r="AD11" s="709"/>
    </row>
    <row r="12" spans="2:30" ht="14.25" thickBot="1">
      <c r="B12" s="1171">
        <v>4</v>
      </c>
      <c r="C12" s="1172"/>
      <c r="D12" s="1173"/>
      <c r="E12" s="1174"/>
      <c r="F12" s="1175"/>
      <c r="G12" s="1174"/>
      <c r="H12" s="1176"/>
      <c r="I12" s="1177"/>
      <c r="J12" s="1177"/>
      <c r="K12" s="1177">
        <f t="shared" si="0"/>
        <v>0</v>
      </c>
      <c r="L12" s="1178"/>
      <c r="M12" s="1222">
        <v>3</v>
      </c>
      <c r="N12" s="139" t="s">
        <v>185</v>
      </c>
      <c r="O12" s="139">
        <f>+I19</f>
        <v>0</v>
      </c>
      <c r="P12" s="139">
        <f>+J19</f>
        <v>0</v>
      </c>
      <c r="Q12" s="139">
        <f>+K19</f>
        <v>0</v>
      </c>
      <c r="R12" s="139">
        <v>414000</v>
      </c>
      <c r="S12" s="462">
        <f t="shared" si="1"/>
        <v>-414000</v>
      </c>
      <c r="T12" s="1215"/>
      <c r="U12" s="1215"/>
      <c r="V12" s="1215"/>
      <c r="W12" s="1215"/>
      <c r="X12" s="709"/>
      <c r="Y12" s="709"/>
      <c r="Z12" s="1215"/>
      <c r="AA12" s="709"/>
      <c r="AB12" s="709"/>
      <c r="AC12" s="709"/>
      <c r="AD12" s="709"/>
    </row>
    <row r="13" spans="2:30" ht="13.5">
      <c r="B13" s="1162">
        <v>5</v>
      </c>
      <c r="C13" s="1172"/>
      <c r="D13" s="1173"/>
      <c r="E13" s="1174"/>
      <c r="F13" s="1175"/>
      <c r="G13" s="1174"/>
      <c r="H13" s="1176"/>
      <c r="I13" s="1177"/>
      <c r="J13" s="1177"/>
      <c r="K13" s="1177">
        <f t="shared" si="0"/>
        <v>0</v>
      </c>
      <c r="L13" s="1178"/>
      <c r="M13" s="142">
        <v>4</v>
      </c>
      <c r="N13" s="139" t="s">
        <v>186</v>
      </c>
      <c r="O13" s="139">
        <f>+I21</f>
        <v>0</v>
      </c>
      <c r="P13" s="139">
        <f>+J21</f>
        <v>0</v>
      </c>
      <c r="Q13" s="139">
        <f>+K21</f>
        <v>0</v>
      </c>
      <c r="R13" s="139">
        <v>350000</v>
      </c>
      <c r="S13" s="143">
        <f t="shared" si="1"/>
        <v>-350000</v>
      </c>
      <c r="T13" s="1215"/>
      <c r="U13" s="1215"/>
      <c r="V13" s="1215"/>
      <c r="W13" s="1215"/>
      <c r="X13" s="709"/>
      <c r="Y13" s="709"/>
      <c r="Z13" s="1215"/>
      <c r="AA13" s="709"/>
      <c r="AB13" s="709"/>
      <c r="AC13" s="709"/>
      <c r="AD13" s="709"/>
    </row>
    <row r="14" spans="2:30" ht="14.25" thickBot="1">
      <c r="B14" s="1171">
        <v>6</v>
      </c>
      <c r="C14" s="1172"/>
      <c r="D14" s="1173"/>
      <c r="E14" s="1174"/>
      <c r="F14" s="1175"/>
      <c r="G14" s="1174"/>
      <c r="H14" s="1176"/>
      <c r="I14" s="1177"/>
      <c r="J14" s="1177"/>
      <c r="K14" s="1177">
        <f t="shared" si="0"/>
        <v>0</v>
      </c>
      <c r="L14" s="1178"/>
      <c r="M14" s="1222">
        <v>5</v>
      </c>
      <c r="N14" s="139" t="s">
        <v>187</v>
      </c>
      <c r="O14" s="139">
        <f>+I95</f>
        <v>0</v>
      </c>
      <c r="P14" s="139">
        <f>+J95</f>
        <v>0</v>
      </c>
      <c r="Q14" s="139">
        <f>+K95</f>
        <v>0</v>
      </c>
      <c r="R14" s="139"/>
      <c r="S14" s="143">
        <f t="shared" si="1"/>
        <v>0</v>
      </c>
      <c r="T14" s="1215"/>
      <c r="U14" s="1215"/>
      <c r="V14" s="1215"/>
      <c r="W14" s="1215"/>
      <c r="X14" s="709"/>
      <c r="Y14" s="709"/>
      <c r="Z14" s="1215"/>
      <c r="AA14" s="709"/>
      <c r="AB14" s="709"/>
      <c r="AC14" s="709"/>
      <c r="AD14" s="709"/>
    </row>
    <row r="15" spans="2:30" ht="13.5">
      <c r="B15" s="1162">
        <v>7</v>
      </c>
      <c r="C15" s="1172"/>
      <c r="D15" s="1173"/>
      <c r="E15" s="1174"/>
      <c r="F15" s="1175"/>
      <c r="G15" s="1174"/>
      <c r="H15" s="1176"/>
      <c r="I15" s="1177"/>
      <c r="J15" s="1177"/>
      <c r="K15" s="1177">
        <f t="shared" si="0"/>
        <v>0</v>
      </c>
      <c r="L15" s="1178"/>
      <c r="M15" s="1222">
        <v>6</v>
      </c>
      <c r="N15" s="141" t="s">
        <v>188</v>
      </c>
      <c r="O15" s="139">
        <f>+I384</f>
        <v>0</v>
      </c>
      <c r="P15" s="139"/>
      <c r="Q15" s="139"/>
      <c r="R15" s="139"/>
      <c r="S15" s="143">
        <f t="shared" si="1"/>
        <v>0</v>
      </c>
      <c r="T15" s="1215"/>
      <c r="U15" s="1215"/>
      <c r="V15" s="1215"/>
      <c r="W15" s="1215"/>
      <c r="X15" s="709"/>
      <c r="Y15" s="709"/>
      <c r="Z15" s="1215"/>
      <c r="AA15" s="709"/>
      <c r="AB15" s="709"/>
      <c r="AC15" s="709"/>
      <c r="AD15" s="709"/>
    </row>
    <row r="16" spans="2:30" ht="14.25" thickBot="1">
      <c r="B16" s="1171">
        <v>8</v>
      </c>
      <c r="C16" s="1172"/>
      <c r="D16" s="1173"/>
      <c r="E16" s="1174"/>
      <c r="F16" s="1175"/>
      <c r="G16" s="1174"/>
      <c r="H16" s="1176"/>
      <c r="I16" s="1177"/>
      <c r="J16" s="1177"/>
      <c r="K16" s="1177">
        <f t="shared" si="0"/>
        <v>0</v>
      </c>
      <c r="L16" s="1178"/>
      <c r="M16" s="142">
        <v>7</v>
      </c>
      <c r="N16" s="139" t="s">
        <v>189</v>
      </c>
      <c r="O16" s="139"/>
      <c r="P16" s="139"/>
      <c r="Q16" s="139"/>
      <c r="R16" s="139"/>
      <c r="S16" s="143">
        <f t="shared" si="1"/>
        <v>0</v>
      </c>
      <c r="T16" s="1215"/>
      <c r="U16" s="1215"/>
      <c r="V16" s="1215"/>
      <c r="W16" s="1215"/>
      <c r="X16" s="709"/>
      <c r="Y16" s="709"/>
      <c r="Z16" s="1215"/>
      <c r="AA16" s="709"/>
      <c r="AB16" s="709"/>
      <c r="AC16" s="709"/>
      <c r="AD16" s="709"/>
    </row>
    <row r="17" spans="2:30" ht="13.5">
      <c r="B17" s="1162">
        <v>9</v>
      </c>
      <c r="C17" s="1172"/>
      <c r="D17" s="1173"/>
      <c r="E17" s="1174"/>
      <c r="F17" s="1175"/>
      <c r="G17" s="1174"/>
      <c r="H17" s="1176"/>
      <c r="I17" s="1177"/>
      <c r="J17" s="1177"/>
      <c r="K17" s="1177">
        <f t="shared" si="0"/>
        <v>0</v>
      </c>
      <c r="L17" s="1178"/>
      <c r="M17" s="1222">
        <v>8</v>
      </c>
      <c r="N17" s="139" t="s">
        <v>190</v>
      </c>
      <c r="O17" s="139"/>
      <c r="P17" s="139"/>
      <c r="Q17" s="139"/>
      <c r="R17" s="139"/>
      <c r="S17" s="143">
        <f t="shared" si="1"/>
        <v>0</v>
      </c>
      <c r="T17" s="1215"/>
      <c r="U17" s="1215"/>
      <c r="V17" s="1215"/>
      <c r="W17" s="1215"/>
      <c r="X17" s="709"/>
      <c r="Y17" s="709"/>
      <c r="Z17" s="1215"/>
      <c r="AA17" s="709"/>
      <c r="AB17" s="709"/>
      <c r="AC17" s="709"/>
      <c r="AD17" s="709"/>
    </row>
    <row r="18" spans="2:30" ht="14.25" thickBot="1">
      <c r="B18" s="1171">
        <v>10</v>
      </c>
      <c r="C18" s="1172"/>
      <c r="D18" s="1173"/>
      <c r="E18" s="1174"/>
      <c r="F18" s="1175"/>
      <c r="G18" s="1174"/>
      <c r="H18" s="1176"/>
      <c r="I18" s="1177"/>
      <c r="J18" s="1177"/>
      <c r="K18" s="1177">
        <f t="shared" si="0"/>
        <v>0</v>
      </c>
      <c r="L18" s="1178"/>
      <c r="M18" s="1222">
        <v>9</v>
      </c>
      <c r="N18" s="139" t="s">
        <v>191</v>
      </c>
      <c r="O18" s="139"/>
      <c r="P18" s="139"/>
      <c r="Q18" s="139"/>
      <c r="R18" s="139"/>
      <c r="S18" s="143">
        <f t="shared" si="1"/>
        <v>0</v>
      </c>
      <c r="T18" s="1215"/>
      <c r="U18" s="1215"/>
      <c r="V18" s="1215"/>
      <c r="W18" s="1215"/>
      <c r="X18" s="709"/>
      <c r="Y18" s="225"/>
      <c r="Z18" s="1215"/>
      <c r="AA18" s="225"/>
      <c r="AB18" s="225"/>
      <c r="AC18" s="709"/>
      <c r="AD18" s="709"/>
    </row>
    <row r="19" spans="2:30" ht="13.5">
      <c r="B19" s="1162">
        <v>11</v>
      </c>
      <c r="C19" s="1172"/>
      <c r="D19" s="1173"/>
      <c r="E19" s="1174"/>
      <c r="F19" s="1175"/>
      <c r="G19" s="1174"/>
      <c r="H19" s="1176"/>
      <c r="I19" s="1177"/>
      <c r="J19" s="1177"/>
      <c r="K19" s="1177">
        <f t="shared" si="0"/>
        <v>0</v>
      </c>
      <c r="L19" s="1178"/>
      <c r="M19" s="142">
        <v>10</v>
      </c>
      <c r="N19" s="139" t="s">
        <v>192</v>
      </c>
      <c r="O19" s="139"/>
      <c r="P19" s="139"/>
      <c r="Q19" s="139"/>
      <c r="R19" s="139"/>
      <c r="S19" s="143">
        <f t="shared" si="1"/>
        <v>0</v>
      </c>
      <c r="T19" s="1215"/>
      <c r="U19" s="1215"/>
      <c r="V19" s="1215"/>
      <c r="W19" s="1215"/>
      <c r="X19" s="709"/>
      <c r="Y19" s="709"/>
      <c r="Z19" s="1215"/>
      <c r="AA19" s="709"/>
      <c r="AB19" s="709"/>
      <c r="AC19" s="709"/>
      <c r="AD19" s="709"/>
    </row>
    <row r="20" spans="2:30" ht="14.25" thickBot="1">
      <c r="B20" s="1171">
        <v>12</v>
      </c>
      <c r="C20" s="1172"/>
      <c r="D20" s="1173"/>
      <c r="E20" s="1174"/>
      <c r="F20" s="1175"/>
      <c r="G20" s="1174"/>
      <c r="H20" s="1176"/>
      <c r="I20" s="1177"/>
      <c r="J20" s="1177"/>
      <c r="K20" s="1177">
        <f t="shared" si="0"/>
        <v>0</v>
      </c>
      <c r="L20" s="1178"/>
      <c r="M20" s="1222">
        <v>11</v>
      </c>
      <c r="N20" s="139" t="s">
        <v>193</v>
      </c>
      <c r="O20" s="139"/>
      <c r="P20" s="139"/>
      <c r="Q20" s="139"/>
      <c r="R20" s="139"/>
      <c r="S20" s="143">
        <f t="shared" si="1"/>
        <v>0</v>
      </c>
      <c r="T20" s="1215"/>
      <c r="U20" s="1215"/>
      <c r="V20" s="1215"/>
      <c r="W20" s="1215"/>
      <c r="X20" s="709"/>
      <c r="Y20" s="709"/>
      <c r="Z20" s="1215"/>
      <c r="AA20" s="709"/>
      <c r="AB20" s="709"/>
      <c r="AC20" s="709"/>
      <c r="AD20" s="709"/>
    </row>
    <row r="21" spans="2:30" ht="14.25" thickBot="1">
      <c r="B21" s="1162">
        <v>13</v>
      </c>
      <c r="C21" s="1172"/>
      <c r="D21" s="1173"/>
      <c r="E21" s="1174"/>
      <c r="F21" s="1175"/>
      <c r="G21" s="1174"/>
      <c r="H21" s="1176"/>
      <c r="I21" s="1177"/>
      <c r="J21" s="1177"/>
      <c r="K21" s="1177">
        <f t="shared" si="0"/>
        <v>0</v>
      </c>
      <c r="L21" s="1178"/>
      <c r="M21" s="1223">
        <v>12</v>
      </c>
      <c r="N21" s="1224" t="s">
        <v>194</v>
      </c>
      <c r="O21" s="1224"/>
      <c r="P21" s="1224"/>
      <c r="Q21" s="1224"/>
      <c r="R21" s="1224"/>
      <c r="S21" s="1225">
        <f t="shared" si="1"/>
        <v>0</v>
      </c>
      <c r="T21" s="1215"/>
      <c r="U21" s="1215"/>
      <c r="V21" s="1215"/>
      <c r="W21" s="1215"/>
      <c r="X21" s="709"/>
      <c r="Y21" s="709"/>
      <c r="Z21" s="1215"/>
      <c r="AA21" s="709"/>
      <c r="AB21" s="709"/>
      <c r="AC21" s="709"/>
      <c r="AD21" s="709"/>
    </row>
    <row r="22" spans="2:12" ht="14.25" thickBot="1">
      <c r="B22" s="1171">
        <v>14</v>
      </c>
      <c r="C22" s="1172"/>
      <c r="D22" s="1173"/>
      <c r="E22" s="1174"/>
      <c r="F22" s="1175"/>
      <c r="G22" s="1174"/>
      <c r="H22" s="1176"/>
      <c r="I22" s="1177"/>
      <c r="J22" s="1177"/>
      <c r="K22" s="1177">
        <f t="shared" si="0"/>
        <v>0</v>
      </c>
      <c r="L22" s="1178"/>
    </row>
    <row r="23" spans="2:12" ht="13.5">
      <c r="B23" s="1162">
        <v>15</v>
      </c>
      <c r="C23" s="1172"/>
      <c r="D23" s="1173"/>
      <c r="E23" s="1174"/>
      <c r="F23" s="1175"/>
      <c r="G23" s="1174"/>
      <c r="H23" s="1176"/>
      <c r="I23" s="1177"/>
      <c r="J23" s="1177"/>
      <c r="K23" s="1177">
        <f t="shared" si="0"/>
        <v>0</v>
      </c>
      <c r="L23" s="1178"/>
    </row>
    <row r="24" spans="2:12" ht="14.25" thickBot="1">
      <c r="B24" s="1171">
        <v>16</v>
      </c>
      <c r="C24" s="1172"/>
      <c r="D24" s="1173"/>
      <c r="E24" s="1174"/>
      <c r="F24" s="1175"/>
      <c r="G24" s="1174"/>
      <c r="H24" s="1176"/>
      <c r="I24" s="1177"/>
      <c r="J24" s="1177"/>
      <c r="K24" s="1177">
        <f t="shared" si="0"/>
        <v>0</v>
      </c>
      <c r="L24" s="1178"/>
    </row>
    <row r="25" spans="2:12" ht="13.5">
      <c r="B25" s="1162">
        <v>17</v>
      </c>
      <c r="C25" s="1172"/>
      <c r="D25" s="1173"/>
      <c r="E25" s="1174"/>
      <c r="F25" s="1175"/>
      <c r="G25" s="1174"/>
      <c r="H25" s="1176"/>
      <c r="I25" s="1177"/>
      <c r="J25" s="1177"/>
      <c r="K25" s="1177">
        <f t="shared" si="0"/>
        <v>0</v>
      </c>
      <c r="L25" s="1178"/>
    </row>
    <row r="26" spans="2:12" ht="14.25" thickBot="1">
      <c r="B26" s="1171">
        <v>18</v>
      </c>
      <c r="C26" s="1182"/>
      <c r="D26" s="1183"/>
      <c r="E26" s="1184"/>
      <c r="F26" s="1226"/>
      <c r="G26" s="1181"/>
      <c r="H26" s="1176"/>
      <c r="I26" s="1177"/>
      <c r="J26" s="1177"/>
      <c r="K26" s="1177">
        <f t="shared" si="0"/>
        <v>0</v>
      </c>
      <c r="L26" s="1178"/>
    </row>
    <row r="27" spans="2:12" ht="13.5">
      <c r="B27" s="1162">
        <v>19</v>
      </c>
      <c r="C27" s="1172"/>
      <c r="D27" s="1173"/>
      <c r="E27" s="1174"/>
      <c r="F27" s="1175"/>
      <c r="G27" s="1174"/>
      <c r="H27" s="1176"/>
      <c r="I27" s="1177"/>
      <c r="J27" s="1177"/>
      <c r="K27" s="1177">
        <f t="shared" si="0"/>
        <v>0</v>
      </c>
      <c r="L27" s="1178"/>
    </row>
    <row r="28" spans="2:12" ht="14.25" thickBot="1">
      <c r="B28" s="1171">
        <v>20</v>
      </c>
      <c r="C28" s="1172"/>
      <c r="D28" s="1173"/>
      <c r="E28" s="1174"/>
      <c r="F28" s="1175"/>
      <c r="G28" s="1174"/>
      <c r="H28" s="1176"/>
      <c r="I28" s="1177"/>
      <c r="J28" s="1177"/>
      <c r="K28" s="1177">
        <f t="shared" si="0"/>
        <v>0</v>
      </c>
      <c r="L28" s="1178"/>
    </row>
    <row r="29" spans="2:12" ht="13.5">
      <c r="B29" s="1162">
        <v>21</v>
      </c>
      <c r="C29" s="1172"/>
      <c r="D29" s="1173"/>
      <c r="E29" s="1174"/>
      <c r="F29" s="1175"/>
      <c r="G29" s="1174"/>
      <c r="H29" s="1176"/>
      <c r="I29" s="1177"/>
      <c r="J29" s="1177"/>
      <c r="K29" s="1177">
        <f t="shared" si="0"/>
        <v>0</v>
      </c>
      <c r="L29" s="1178"/>
    </row>
    <row r="30" spans="2:12" ht="14.25" thickBot="1">
      <c r="B30" s="1171">
        <v>22</v>
      </c>
      <c r="C30" s="1172"/>
      <c r="D30" s="1173"/>
      <c r="E30" s="1174"/>
      <c r="F30" s="1175"/>
      <c r="G30" s="1174"/>
      <c r="H30" s="1176"/>
      <c r="I30" s="1177"/>
      <c r="J30" s="1177"/>
      <c r="K30" s="1177">
        <f t="shared" si="0"/>
        <v>0</v>
      </c>
      <c r="L30" s="1178"/>
    </row>
    <row r="31" spans="2:12" ht="13.5">
      <c r="B31" s="1162">
        <v>23</v>
      </c>
      <c r="C31" s="1172"/>
      <c r="D31" s="1173"/>
      <c r="E31" s="1174"/>
      <c r="F31" s="1175"/>
      <c r="G31" s="1174"/>
      <c r="H31" s="1176"/>
      <c r="I31" s="1177"/>
      <c r="J31" s="1177"/>
      <c r="K31" s="1177">
        <f t="shared" si="0"/>
        <v>0</v>
      </c>
      <c r="L31" s="1178"/>
    </row>
    <row r="32" spans="2:12" ht="14.25" thickBot="1">
      <c r="B32" s="1171">
        <v>24</v>
      </c>
      <c r="C32" s="1172"/>
      <c r="D32" s="1173"/>
      <c r="E32" s="1174"/>
      <c r="F32" s="1175"/>
      <c r="G32" s="1174"/>
      <c r="H32" s="1176"/>
      <c r="I32" s="1177"/>
      <c r="J32" s="1177"/>
      <c r="K32" s="1177">
        <f t="shared" si="0"/>
        <v>0</v>
      </c>
      <c r="L32" s="1178"/>
    </row>
    <row r="33" spans="2:12" ht="13.5">
      <c r="B33" s="1162">
        <v>25</v>
      </c>
      <c r="C33" s="1172"/>
      <c r="D33" s="1173"/>
      <c r="E33" s="1174"/>
      <c r="F33" s="1175"/>
      <c r="G33" s="1174"/>
      <c r="H33" s="1176"/>
      <c r="I33" s="1177"/>
      <c r="J33" s="1177"/>
      <c r="K33" s="1177">
        <f t="shared" si="0"/>
        <v>0</v>
      </c>
      <c r="L33" s="1178"/>
    </row>
    <row r="34" spans="2:12" ht="14.25" thickBot="1">
      <c r="B34" s="1171">
        <v>26</v>
      </c>
      <c r="C34" s="1172"/>
      <c r="D34" s="1173"/>
      <c r="E34" s="1174"/>
      <c r="F34" s="1175"/>
      <c r="G34" s="1174"/>
      <c r="H34" s="1176"/>
      <c r="I34" s="1177"/>
      <c r="J34" s="1177"/>
      <c r="K34" s="1177">
        <f t="shared" si="0"/>
        <v>0</v>
      </c>
      <c r="L34" s="1178"/>
    </row>
    <row r="35" spans="2:12" ht="13.5">
      <c r="B35" s="1162">
        <v>27</v>
      </c>
      <c r="C35" s="1172"/>
      <c r="D35" s="1173"/>
      <c r="E35" s="1174"/>
      <c r="F35" s="1175"/>
      <c r="G35" s="1174"/>
      <c r="H35" s="1176"/>
      <c r="I35" s="1177"/>
      <c r="J35" s="1177"/>
      <c r="K35" s="1177">
        <f t="shared" si="0"/>
        <v>0</v>
      </c>
      <c r="L35" s="1178"/>
    </row>
    <row r="36" spans="2:12" ht="14.25" thickBot="1">
      <c r="B36" s="1171">
        <v>28</v>
      </c>
      <c r="C36" s="1172"/>
      <c r="D36" s="1173"/>
      <c r="E36" s="1174"/>
      <c r="F36" s="1175"/>
      <c r="G36" s="1174"/>
      <c r="H36" s="1176"/>
      <c r="I36" s="1177"/>
      <c r="J36" s="1177"/>
      <c r="K36" s="1177">
        <f t="shared" si="0"/>
        <v>0</v>
      </c>
      <c r="L36" s="1178"/>
    </row>
    <row r="37" spans="2:12" ht="13.5">
      <c r="B37" s="1162">
        <v>29</v>
      </c>
      <c r="C37" s="1172"/>
      <c r="D37" s="1173"/>
      <c r="E37" s="1174"/>
      <c r="F37" s="1175"/>
      <c r="G37" s="1174"/>
      <c r="H37" s="1176"/>
      <c r="I37" s="1177"/>
      <c r="J37" s="1177"/>
      <c r="K37" s="1177">
        <f t="shared" si="0"/>
        <v>0</v>
      </c>
      <c r="L37" s="1178"/>
    </row>
    <row r="38" spans="2:12" ht="14.25" thickBot="1">
      <c r="B38" s="1171">
        <v>30</v>
      </c>
      <c r="C38" s="1172"/>
      <c r="D38" s="1173"/>
      <c r="E38" s="1174"/>
      <c r="F38" s="1175"/>
      <c r="G38" s="1174"/>
      <c r="H38" s="1176"/>
      <c r="I38" s="1177"/>
      <c r="J38" s="1177"/>
      <c r="K38" s="1177">
        <f t="shared" si="0"/>
        <v>0</v>
      </c>
      <c r="L38" s="1178"/>
    </row>
    <row r="39" spans="2:12" ht="13.5">
      <c r="B39" s="1162">
        <v>31</v>
      </c>
      <c r="C39" s="1172"/>
      <c r="D39" s="1173"/>
      <c r="E39" s="1174"/>
      <c r="F39" s="1175"/>
      <c r="G39" s="1174"/>
      <c r="H39" s="1176"/>
      <c r="I39" s="1177"/>
      <c r="J39" s="1177"/>
      <c r="K39" s="1177">
        <f t="shared" si="0"/>
        <v>0</v>
      </c>
      <c r="L39" s="1178"/>
    </row>
    <row r="40" spans="2:12" ht="14.25" thickBot="1">
      <c r="B40" s="1171">
        <v>32</v>
      </c>
      <c r="C40" s="1172"/>
      <c r="D40" s="1173"/>
      <c r="E40" s="1174"/>
      <c r="F40" s="1175"/>
      <c r="G40" s="1174"/>
      <c r="H40" s="1176"/>
      <c r="I40" s="1177"/>
      <c r="J40" s="1177"/>
      <c r="K40" s="1177">
        <f t="shared" si="0"/>
        <v>0</v>
      </c>
      <c r="L40" s="1178"/>
    </row>
    <row r="41" spans="2:12" ht="13.5">
      <c r="B41" s="1162">
        <v>33</v>
      </c>
      <c r="C41" s="1172"/>
      <c r="D41" s="1173"/>
      <c r="E41" s="1174"/>
      <c r="F41" s="1175"/>
      <c r="G41" s="1174"/>
      <c r="H41" s="1176"/>
      <c r="I41" s="1177"/>
      <c r="J41" s="1177"/>
      <c r="K41" s="1177">
        <f t="shared" si="0"/>
        <v>0</v>
      </c>
      <c r="L41" s="1178"/>
    </row>
    <row r="42" spans="2:12" ht="14.25" thickBot="1">
      <c r="B42" s="1171">
        <v>34</v>
      </c>
      <c r="C42" s="1172"/>
      <c r="D42" s="1173"/>
      <c r="E42" s="1174"/>
      <c r="F42" s="1175"/>
      <c r="G42" s="1174"/>
      <c r="H42" s="1176"/>
      <c r="I42" s="1177"/>
      <c r="J42" s="1177"/>
      <c r="K42" s="1177">
        <f t="shared" si="0"/>
        <v>0</v>
      </c>
      <c r="L42" s="1178"/>
    </row>
    <row r="43" spans="2:12" ht="13.5">
      <c r="B43" s="1162">
        <v>35</v>
      </c>
      <c r="C43" s="1172"/>
      <c r="D43" s="1173"/>
      <c r="E43" s="1174"/>
      <c r="F43" s="1175"/>
      <c r="G43" s="1174"/>
      <c r="H43" s="1176"/>
      <c r="I43" s="1177"/>
      <c r="J43" s="1177"/>
      <c r="K43" s="1177">
        <f t="shared" si="0"/>
        <v>0</v>
      </c>
      <c r="L43" s="1178"/>
    </row>
    <row r="44" spans="2:12" ht="14.25" thickBot="1">
      <c r="B44" s="1171">
        <v>36</v>
      </c>
      <c r="C44" s="1172"/>
      <c r="D44" s="1173"/>
      <c r="E44" s="1174"/>
      <c r="F44" s="1175"/>
      <c r="G44" s="1174"/>
      <c r="H44" s="1176"/>
      <c r="I44" s="1177"/>
      <c r="J44" s="1177"/>
      <c r="K44" s="1177">
        <f t="shared" si="0"/>
        <v>0</v>
      </c>
      <c r="L44" s="1178"/>
    </row>
    <row r="45" spans="2:12" ht="13.5">
      <c r="B45" s="1162">
        <v>37</v>
      </c>
      <c r="C45" s="1172"/>
      <c r="D45" s="1173"/>
      <c r="E45" s="1174"/>
      <c r="F45" s="1175"/>
      <c r="G45" s="1174"/>
      <c r="H45" s="1176"/>
      <c r="I45" s="1177"/>
      <c r="J45" s="1177"/>
      <c r="K45" s="1177">
        <f t="shared" si="0"/>
        <v>0</v>
      </c>
      <c r="L45" s="1178"/>
    </row>
    <row r="46" spans="2:12" ht="14.25" thickBot="1">
      <c r="B46" s="1171">
        <v>38</v>
      </c>
      <c r="C46" s="1172"/>
      <c r="D46" s="1173"/>
      <c r="E46" s="1174"/>
      <c r="F46" s="1175"/>
      <c r="G46" s="1174"/>
      <c r="H46" s="1176"/>
      <c r="I46" s="1177"/>
      <c r="J46" s="1177"/>
      <c r="K46" s="1177">
        <f t="shared" si="0"/>
        <v>0</v>
      </c>
      <c r="L46" s="1178"/>
    </row>
    <row r="47" spans="2:12" ht="13.5">
      <c r="B47" s="1162">
        <v>39</v>
      </c>
      <c r="C47" s="1172"/>
      <c r="D47" s="1173"/>
      <c r="E47" s="1174"/>
      <c r="F47" s="1175"/>
      <c r="G47" s="1174"/>
      <c r="H47" s="1176"/>
      <c r="I47" s="1177"/>
      <c r="J47" s="1177"/>
      <c r="K47" s="1177">
        <f t="shared" si="0"/>
        <v>0</v>
      </c>
      <c r="L47" s="1178"/>
    </row>
    <row r="48" spans="2:12" ht="14.25" thickBot="1">
      <c r="B48" s="1171">
        <v>40</v>
      </c>
      <c r="C48" s="1172"/>
      <c r="D48" s="1173"/>
      <c r="E48" s="1174"/>
      <c r="F48" s="1175"/>
      <c r="G48" s="1174"/>
      <c r="H48" s="1176"/>
      <c r="I48" s="1177"/>
      <c r="J48" s="1177"/>
      <c r="K48" s="1177">
        <f t="shared" si="0"/>
        <v>0</v>
      </c>
      <c r="L48" s="1178"/>
    </row>
    <row r="49" spans="2:12" ht="13.5">
      <c r="B49" s="1162">
        <v>41</v>
      </c>
      <c r="C49" s="1172"/>
      <c r="D49" s="1173"/>
      <c r="E49" s="1174"/>
      <c r="F49" s="1175"/>
      <c r="G49" s="1174"/>
      <c r="H49" s="1176"/>
      <c r="I49" s="1177"/>
      <c r="J49" s="1177"/>
      <c r="K49" s="1177">
        <f t="shared" si="0"/>
        <v>0</v>
      </c>
      <c r="L49" s="1178"/>
    </row>
    <row r="50" spans="2:12" ht="14.25" thickBot="1">
      <c r="B50" s="1171">
        <v>42</v>
      </c>
      <c r="C50" s="1172"/>
      <c r="D50" s="1173"/>
      <c r="E50" s="1174"/>
      <c r="F50" s="1175"/>
      <c r="G50" s="1174"/>
      <c r="H50" s="1176"/>
      <c r="I50" s="1177"/>
      <c r="J50" s="1177"/>
      <c r="K50" s="1177">
        <f t="shared" si="0"/>
        <v>0</v>
      </c>
      <c r="L50" s="1178"/>
    </row>
    <row r="51" spans="2:12" ht="13.5">
      <c r="B51" s="1162">
        <v>43</v>
      </c>
      <c r="C51" s="1172"/>
      <c r="D51" s="1173"/>
      <c r="E51" s="1174"/>
      <c r="F51" s="1175"/>
      <c r="G51" s="1174"/>
      <c r="H51" s="1176"/>
      <c r="I51" s="1177"/>
      <c r="J51" s="1177"/>
      <c r="K51" s="1177">
        <f t="shared" si="0"/>
        <v>0</v>
      </c>
      <c r="L51" s="1178"/>
    </row>
    <row r="52" spans="2:12" ht="14.25" thickBot="1">
      <c r="B52" s="1171">
        <v>44</v>
      </c>
      <c r="C52" s="1172"/>
      <c r="D52" s="1173"/>
      <c r="E52" s="1174"/>
      <c r="F52" s="1175"/>
      <c r="G52" s="1174"/>
      <c r="H52" s="1176"/>
      <c r="I52" s="1177"/>
      <c r="J52" s="1177"/>
      <c r="K52" s="1177">
        <f t="shared" si="0"/>
        <v>0</v>
      </c>
      <c r="L52" s="1178"/>
    </row>
    <row r="53" spans="2:12" ht="13.5">
      <c r="B53" s="1162">
        <v>45</v>
      </c>
      <c r="C53" s="1172"/>
      <c r="D53" s="1173"/>
      <c r="E53" s="1174"/>
      <c r="F53" s="1175"/>
      <c r="G53" s="1174"/>
      <c r="H53" s="1176"/>
      <c r="I53" s="1177"/>
      <c r="J53" s="1177"/>
      <c r="K53" s="1177">
        <f t="shared" si="0"/>
        <v>0</v>
      </c>
      <c r="L53" s="1178"/>
    </row>
    <row r="54" spans="2:12" ht="14.25" thickBot="1">
      <c r="B54" s="1171">
        <v>46</v>
      </c>
      <c r="C54" s="1172"/>
      <c r="D54" s="1173"/>
      <c r="E54" s="1174"/>
      <c r="F54" s="1175"/>
      <c r="G54" s="1174"/>
      <c r="H54" s="1176"/>
      <c r="I54" s="1177"/>
      <c r="J54" s="1177"/>
      <c r="K54" s="1177">
        <f t="shared" si="0"/>
        <v>0</v>
      </c>
      <c r="L54" s="1178"/>
    </row>
    <row r="55" spans="2:12" ht="13.5">
      <c r="B55" s="1162">
        <v>47</v>
      </c>
      <c r="C55" s="1172"/>
      <c r="D55" s="1173"/>
      <c r="E55" s="1174"/>
      <c r="F55" s="1175"/>
      <c r="G55" s="1174"/>
      <c r="H55" s="1176"/>
      <c r="I55" s="1177"/>
      <c r="J55" s="1177"/>
      <c r="K55" s="1177">
        <f t="shared" si="0"/>
        <v>0</v>
      </c>
      <c r="L55" s="1178"/>
    </row>
    <row r="56" spans="2:12" ht="14.25" thickBot="1">
      <c r="B56" s="1171">
        <v>48</v>
      </c>
      <c r="C56" s="1172"/>
      <c r="D56" s="1173"/>
      <c r="E56" s="1174"/>
      <c r="F56" s="1175"/>
      <c r="G56" s="1174"/>
      <c r="H56" s="1176"/>
      <c r="I56" s="1177"/>
      <c r="J56" s="1177"/>
      <c r="K56" s="1177">
        <f t="shared" si="0"/>
        <v>0</v>
      </c>
      <c r="L56" s="1178"/>
    </row>
    <row r="57" spans="2:12" ht="13.5">
      <c r="B57" s="1162">
        <v>49</v>
      </c>
      <c r="C57" s="1172"/>
      <c r="D57" s="1173"/>
      <c r="E57" s="1174"/>
      <c r="F57" s="1175"/>
      <c r="G57" s="1174"/>
      <c r="H57" s="1176"/>
      <c r="I57" s="1177"/>
      <c r="J57" s="1177"/>
      <c r="K57" s="1177">
        <f t="shared" si="0"/>
        <v>0</v>
      </c>
      <c r="L57" s="1178"/>
    </row>
    <row r="58" spans="2:12" ht="14.25" thickBot="1">
      <c r="B58" s="1171">
        <v>50</v>
      </c>
      <c r="C58" s="1172"/>
      <c r="D58" s="1173"/>
      <c r="E58" s="1174"/>
      <c r="F58" s="1175"/>
      <c r="G58" s="1174"/>
      <c r="H58" s="1176"/>
      <c r="I58" s="1177"/>
      <c r="J58" s="1177"/>
      <c r="K58" s="1177">
        <f t="shared" si="0"/>
        <v>0</v>
      </c>
      <c r="L58" s="1178"/>
    </row>
    <row r="59" spans="2:12" ht="13.5">
      <c r="B59" s="1162">
        <v>51</v>
      </c>
      <c r="C59" s="1172"/>
      <c r="D59" s="1173"/>
      <c r="E59" s="1174"/>
      <c r="F59" s="1175"/>
      <c r="G59" s="1174"/>
      <c r="H59" s="1176"/>
      <c r="I59" s="1177"/>
      <c r="J59" s="1177"/>
      <c r="K59" s="1177">
        <f t="shared" si="0"/>
        <v>0</v>
      </c>
      <c r="L59" s="1178"/>
    </row>
    <row r="60" spans="2:12" ht="14.25" thickBot="1">
      <c r="B60" s="1171">
        <v>52</v>
      </c>
      <c r="C60" s="1172"/>
      <c r="D60" s="1173"/>
      <c r="E60" s="1174"/>
      <c r="F60" s="1175"/>
      <c r="G60" s="1174"/>
      <c r="H60" s="1176"/>
      <c r="I60" s="1177"/>
      <c r="J60" s="1177"/>
      <c r="K60" s="1177">
        <f t="shared" si="0"/>
        <v>0</v>
      </c>
      <c r="L60" s="1178"/>
    </row>
    <row r="61" spans="2:12" ht="13.5">
      <c r="B61" s="1162">
        <v>53</v>
      </c>
      <c r="C61" s="1172"/>
      <c r="D61" s="1173"/>
      <c r="E61" s="1174"/>
      <c r="F61" s="1175"/>
      <c r="G61" s="1174"/>
      <c r="H61" s="1176"/>
      <c r="I61" s="1177"/>
      <c r="J61" s="1177"/>
      <c r="K61" s="1177">
        <f t="shared" si="0"/>
        <v>0</v>
      </c>
      <c r="L61" s="1178"/>
    </row>
    <row r="62" spans="2:12" ht="14.25" thickBot="1">
      <c r="B62" s="1171">
        <v>54</v>
      </c>
      <c r="C62" s="1172"/>
      <c r="D62" s="1173"/>
      <c r="E62" s="1174"/>
      <c r="F62" s="1175"/>
      <c r="G62" s="1174"/>
      <c r="H62" s="1176"/>
      <c r="I62" s="1177"/>
      <c r="J62" s="1177"/>
      <c r="K62" s="1177">
        <f t="shared" si="0"/>
        <v>0</v>
      </c>
      <c r="L62" s="1178"/>
    </row>
    <row r="63" spans="2:12" ht="13.5">
      <c r="B63" s="1162">
        <v>55</v>
      </c>
      <c r="C63" s="1172"/>
      <c r="D63" s="1173"/>
      <c r="E63" s="1174"/>
      <c r="F63" s="1175"/>
      <c r="G63" s="1174"/>
      <c r="H63" s="1176"/>
      <c r="I63" s="1177"/>
      <c r="J63" s="1177"/>
      <c r="K63" s="1177">
        <f t="shared" si="0"/>
        <v>0</v>
      </c>
      <c r="L63" s="1178"/>
    </row>
    <row r="64" spans="2:12" ht="14.25" thickBot="1">
      <c r="B64" s="1171">
        <v>56</v>
      </c>
      <c r="C64" s="1172"/>
      <c r="D64" s="1173"/>
      <c r="E64" s="1174"/>
      <c r="F64" s="1175"/>
      <c r="G64" s="1174"/>
      <c r="H64" s="1176"/>
      <c r="I64" s="1177"/>
      <c r="J64" s="1177"/>
      <c r="K64" s="1177">
        <f t="shared" si="0"/>
        <v>0</v>
      </c>
      <c r="L64" s="1178"/>
    </row>
    <row r="65" spans="2:12" ht="13.5">
      <c r="B65" s="1162">
        <v>57</v>
      </c>
      <c r="C65" s="1172"/>
      <c r="D65" s="1173"/>
      <c r="E65" s="1174"/>
      <c r="F65" s="1175"/>
      <c r="G65" s="1174"/>
      <c r="H65" s="1176"/>
      <c r="I65" s="1177"/>
      <c r="J65" s="1177"/>
      <c r="K65" s="1177">
        <f t="shared" si="0"/>
        <v>0</v>
      </c>
      <c r="L65" s="1178"/>
    </row>
    <row r="66" spans="2:12" ht="14.25" thickBot="1">
      <c r="B66" s="1171">
        <v>58</v>
      </c>
      <c r="C66" s="1172"/>
      <c r="D66" s="1173"/>
      <c r="E66" s="1174"/>
      <c r="F66" s="1175"/>
      <c r="G66" s="1174"/>
      <c r="H66" s="1176"/>
      <c r="I66" s="1177"/>
      <c r="J66" s="1177"/>
      <c r="K66" s="1177">
        <f t="shared" si="0"/>
        <v>0</v>
      </c>
      <c r="L66" s="1178"/>
    </row>
    <row r="67" spans="2:12" ht="13.5">
      <c r="B67" s="1162">
        <v>59</v>
      </c>
      <c r="C67" s="1172"/>
      <c r="D67" s="1173"/>
      <c r="E67" s="1174"/>
      <c r="F67" s="1175"/>
      <c r="G67" s="1174"/>
      <c r="H67" s="1176"/>
      <c r="I67" s="1177"/>
      <c r="J67" s="1177"/>
      <c r="K67" s="1177">
        <f t="shared" si="0"/>
        <v>0</v>
      </c>
      <c r="L67" s="1178"/>
    </row>
    <row r="68" spans="2:12" ht="14.25" thickBot="1">
      <c r="B68" s="1171">
        <v>60</v>
      </c>
      <c r="C68" s="1172"/>
      <c r="D68" s="1173"/>
      <c r="E68" s="1174"/>
      <c r="F68" s="1175"/>
      <c r="G68" s="1174"/>
      <c r="H68" s="1176"/>
      <c r="I68" s="1177"/>
      <c r="J68" s="1177"/>
      <c r="K68" s="1177">
        <f t="shared" si="0"/>
        <v>0</v>
      </c>
      <c r="L68" s="1178"/>
    </row>
    <row r="69" spans="2:12" ht="13.5">
      <c r="B69" s="1162">
        <v>61</v>
      </c>
      <c r="C69" s="1172"/>
      <c r="D69" s="1173"/>
      <c r="E69" s="1174"/>
      <c r="F69" s="1175"/>
      <c r="G69" s="1174"/>
      <c r="H69" s="1176"/>
      <c r="I69" s="1177"/>
      <c r="J69" s="1177"/>
      <c r="K69" s="1177">
        <f t="shared" si="0"/>
        <v>0</v>
      </c>
      <c r="L69" s="1178"/>
    </row>
    <row r="70" spans="2:12" ht="14.25" thickBot="1">
      <c r="B70" s="1171">
        <v>62</v>
      </c>
      <c r="C70" s="1172"/>
      <c r="D70" s="1173"/>
      <c r="E70" s="1174"/>
      <c r="F70" s="1175"/>
      <c r="G70" s="1174"/>
      <c r="H70" s="1176"/>
      <c r="I70" s="1177"/>
      <c r="J70" s="1177"/>
      <c r="K70" s="1177">
        <f t="shared" si="0"/>
        <v>0</v>
      </c>
      <c r="L70" s="1178"/>
    </row>
    <row r="71" spans="2:12" ht="13.5">
      <c r="B71" s="1162">
        <v>63</v>
      </c>
      <c r="C71" s="1172"/>
      <c r="D71" s="1173"/>
      <c r="E71" s="1174"/>
      <c r="F71" s="1175"/>
      <c r="G71" s="1174"/>
      <c r="H71" s="1176"/>
      <c r="I71" s="1177"/>
      <c r="J71" s="1177"/>
      <c r="K71" s="1177">
        <f t="shared" si="0"/>
        <v>0</v>
      </c>
      <c r="L71" s="1178"/>
    </row>
    <row r="72" spans="2:12" ht="14.25" thickBot="1">
      <c r="B72" s="1171">
        <v>64</v>
      </c>
      <c r="C72" s="1172"/>
      <c r="D72" s="1173"/>
      <c r="E72" s="1174"/>
      <c r="F72" s="1175"/>
      <c r="G72" s="1174"/>
      <c r="H72" s="1176"/>
      <c r="I72" s="1177"/>
      <c r="J72" s="1177"/>
      <c r="K72" s="1177">
        <f t="shared" si="0"/>
        <v>0</v>
      </c>
      <c r="L72" s="1178"/>
    </row>
    <row r="73" spans="2:12" ht="13.5">
      <c r="B73" s="1162">
        <v>65</v>
      </c>
      <c r="C73" s="1172"/>
      <c r="D73" s="1173"/>
      <c r="E73" s="1174"/>
      <c r="F73" s="1175"/>
      <c r="G73" s="1174"/>
      <c r="H73" s="1176"/>
      <c r="I73" s="1177"/>
      <c r="J73" s="1177"/>
      <c r="K73" s="1177">
        <f t="shared" si="0"/>
        <v>0</v>
      </c>
      <c r="L73" s="1178"/>
    </row>
    <row r="74" spans="2:12" ht="14.25" thickBot="1">
      <c r="B74" s="1171">
        <v>66</v>
      </c>
      <c r="C74" s="1172"/>
      <c r="D74" s="1173"/>
      <c r="E74" s="1174"/>
      <c r="F74" s="1175"/>
      <c r="G74" s="1174"/>
      <c r="H74" s="1176"/>
      <c r="I74" s="1177"/>
      <c r="J74" s="1177"/>
      <c r="K74" s="1177">
        <f aca="true" t="shared" si="2" ref="K74:K137">+J74*0.2</f>
        <v>0</v>
      </c>
      <c r="L74" s="1178"/>
    </row>
    <row r="75" spans="2:12" ht="13.5">
      <c r="B75" s="1162">
        <v>67</v>
      </c>
      <c r="C75" s="1172"/>
      <c r="D75" s="1173"/>
      <c r="E75" s="1174"/>
      <c r="F75" s="1175"/>
      <c r="G75" s="1174"/>
      <c r="H75" s="1176"/>
      <c r="I75" s="1177"/>
      <c r="J75" s="1177"/>
      <c r="K75" s="1177">
        <f t="shared" si="2"/>
        <v>0</v>
      </c>
      <c r="L75" s="1178"/>
    </row>
    <row r="76" spans="2:12" ht="14.25" thickBot="1">
      <c r="B76" s="1171">
        <v>68</v>
      </c>
      <c r="C76" s="1172"/>
      <c r="D76" s="1173"/>
      <c r="E76" s="1174"/>
      <c r="F76" s="1175"/>
      <c r="G76" s="1174"/>
      <c r="H76" s="1176"/>
      <c r="I76" s="1177"/>
      <c r="J76" s="1177"/>
      <c r="K76" s="1177">
        <f t="shared" si="2"/>
        <v>0</v>
      </c>
      <c r="L76" s="1178"/>
    </row>
    <row r="77" spans="2:12" ht="13.5">
      <c r="B77" s="1162">
        <v>69</v>
      </c>
      <c r="C77" s="1172"/>
      <c r="D77" s="1173"/>
      <c r="E77" s="1174"/>
      <c r="F77" s="1175"/>
      <c r="G77" s="1174"/>
      <c r="H77" s="1176"/>
      <c r="I77" s="1177"/>
      <c r="J77" s="1177"/>
      <c r="K77" s="1177">
        <f t="shared" si="2"/>
        <v>0</v>
      </c>
      <c r="L77" s="1178"/>
    </row>
    <row r="78" spans="2:12" ht="14.25" thickBot="1">
      <c r="B78" s="1171">
        <v>70</v>
      </c>
      <c r="C78" s="1172"/>
      <c r="D78" s="1173"/>
      <c r="E78" s="1174"/>
      <c r="F78" s="1175"/>
      <c r="G78" s="1174"/>
      <c r="H78" s="1176"/>
      <c r="I78" s="1177"/>
      <c r="J78" s="1177"/>
      <c r="K78" s="1177">
        <f t="shared" si="2"/>
        <v>0</v>
      </c>
      <c r="L78" s="1178"/>
    </row>
    <row r="79" spans="2:12" ht="13.5">
      <c r="B79" s="1162">
        <v>71</v>
      </c>
      <c r="C79" s="1172"/>
      <c r="D79" s="1173"/>
      <c r="E79" s="1174"/>
      <c r="F79" s="1175"/>
      <c r="G79" s="1174"/>
      <c r="H79" s="1176"/>
      <c r="I79" s="1177"/>
      <c r="J79" s="1177"/>
      <c r="K79" s="1177">
        <f t="shared" si="2"/>
        <v>0</v>
      </c>
      <c r="L79" s="1178"/>
    </row>
    <row r="80" spans="2:12" ht="14.25" thickBot="1">
      <c r="B80" s="1171">
        <v>72</v>
      </c>
      <c r="C80" s="1172"/>
      <c r="D80" s="1173"/>
      <c r="E80" s="1174"/>
      <c r="F80" s="1175"/>
      <c r="G80" s="1174"/>
      <c r="H80" s="1176"/>
      <c r="I80" s="1177"/>
      <c r="J80" s="1177"/>
      <c r="K80" s="1177">
        <f t="shared" si="2"/>
        <v>0</v>
      </c>
      <c r="L80" s="1178"/>
    </row>
    <row r="81" spans="2:12" ht="13.5">
      <c r="B81" s="1162">
        <v>73</v>
      </c>
      <c r="C81" s="1172"/>
      <c r="D81" s="1173"/>
      <c r="E81" s="1174"/>
      <c r="F81" s="1175"/>
      <c r="G81" s="1174"/>
      <c r="H81" s="1176"/>
      <c r="I81" s="1177"/>
      <c r="J81" s="1177"/>
      <c r="K81" s="1177">
        <f t="shared" si="2"/>
        <v>0</v>
      </c>
      <c r="L81" s="1178"/>
    </row>
    <row r="82" spans="2:12" ht="14.25" thickBot="1">
      <c r="B82" s="1171">
        <v>74</v>
      </c>
      <c r="C82" s="1172"/>
      <c r="D82" s="1173"/>
      <c r="E82" s="1174"/>
      <c r="F82" s="1175"/>
      <c r="G82" s="1174"/>
      <c r="H82" s="1176"/>
      <c r="I82" s="1177"/>
      <c r="J82" s="1177"/>
      <c r="K82" s="1177">
        <f t="shared" si="2"/>
        <v>0</v>
      </c>
      <c r="L82" s="1178"/>
    </row>
    <row r="83" spans="2:12" ht="13.5">
      <c r="B83" s="1162">
        <v>75</v>
      </c>
      <c r="C83" s="1172"/>
      <c r="D83" s="1173"/>
      <c r="E83" s="1174"/>
      <c r="F83" s="1175"/>
      <c r="G83" s="1174"/>
      <c r="H83" s="1176"/>
      <c r="I83" s="1177"/>
      <c r="J83" s="1177"/>
      <c r="K83" s="1177">
        <f t="shared" si="2"/>
        <v>0</v>
      </c>
      <c r="L83" s="1178"/>
    </row>
    <row r="84" spans="2:12" ht="14.25" thickBot="1">
      <c r="B84" s="1171">
        <v>76</v>
      </c>
      <c r="C84" s="1172"/>
      <c r="D84" s="1173"/>
      <c r="E84" s="1174"/>
      <c r="F84" s="1175"/>
      <c r="G84" s="1174"/>
      <c r="H84" s="1176"/>
      <c r="I84" s="1177"/>
      <c r="J84" s="1177"/>
      <c r="K84" s="1177">
        <f t="shared" si="2"/>
        <v>0</v>
      </c>
      <c r="L84" s="1178"/>
    </row>
    <row r="85" spans="2:12" ht="13.5">
      <c r="B85" s="1162">
        <v>77</v>
      </c>
      <c r="C85" s="1185"/>
      <c r="D85" s="1173"/>
      <c r="E85" s="1186"/>
      <c r="F85" s="1175"/>
      <c r="G85" s="1174"/>
      <c r="H85" s="1176"/>
      <c r="I85" s="1177"/>
      <c r="J85" s="1177"/>
      <c r="K85" s="1177">
        <f t="shared" si="2"/>
        <v>0</v>
      </c>
      <c r="L85" s="1178"/>
    </row>
    <row r="86" spans="2:12" ht="14.25" thickBot="1">
      <c r="B86" s="1171">
        <v>78</v>
      </c>
      <c r="C86" s="1172"/>
      <c r="D86" s="1173"/>
      <c r="E86" s="1174"/>
      <c r="F86" s="1175"/>
      <c r="G86" s="1174"/>
      <c r="H86" s="1176"/>
      <c r="I86" s="1177"/>
      <c r="J86" s="1177"/>
      <c r="K86" s="1177">
        <f t="shared" si="2"/>
        <v>0</v>
      </c>
      <c r="L86" s="1178"/>
    </row>
    <row r="87" spans="2:12" ht="13.5">
      <c r="B87" s="1162">
        <v>79</v>
      </c>
      <c r="C87" s="1185"/>
      <c r="D87" s="1173"/>
      <c r="E87" s="1186"/>
      <c r="F87" s="1175"/>
      <c r="G87" s="1174"/>
      <c r="H87" s="1176"/>
      <c r="I87" s="1177"/>
      <c r="J87" s="1177"/>
      <c r="K87" s="1177">
        <f t="shared" si="2"/>
        <v>0</v>
      </c>
      <c r="L87" s="1178"/>
    </row>
    <row r="88" spans="2:12" ht="14.25" thickBot="1">
      <c r="B88" s="1171">
        <v>80</v>
      </c>
      <c r="C88" s="1172"/>
      <c r="D88" s="1173"/>
      <c r="E88" s="1174"/>
      <c r="F88" s="1175"/>
      <c r="G88" s="1174"/>
      <c r="H88" s="1176"/>
      <c r="I88" s="1177"/>
      <c r="J88" s="1177"/>
      <c r="K88" s="1177">
        <f t="shared" si="2"/>
        <v>0</v>
      </c>
      <c r="L88" s="1178"/>
    </row>
    <row r="89" spans="2:12" ht="13.5">
      <c r="B89" s="1162">
        <v>81</v>
      </c>
      <c r="C89" s="1185"/>
      <c r="D89" s="1173"/>
      <c r="E89" s="1186"/>
      <c r="F89" s="1175"/>
      <c r="G89" s="1174"/>
      <c r="H89" s="1176"/>
      <c r="I89" s="1177"/>
      <c r="J89" s="1177"/>
      <c r="K89" s="1177">
        <f t="shared" si="2"/>
        <v>0</v>
      </c>
      <c r="L89" s="1178"/>
    </row>
    <row r="90" spans="2:12" ht="14.25" thickBot="1">
      <c r="B90" s="1171">
        <v>82</v>
      </c>
      <c r="C90" s="1172"/>
      <c r="D90" s="1173"/>
      <c r="E90" s="1174"/>
      <c r="F90" s="1175"/>
      <c r="G90" s="1174"/>
      <c r="H90" s="1176"/>
      <c r="I90" s="1177"/>
      <c r="J90" s="1179"/>
      <c r="K90" s="1177">
        <f t="shared" si="2"/>
        <v>0</v>
      </c>
      <c r="L90" s="1180"/>
    </row>
    <row r="91" spans="2:12" ht="13.5">
      <c r="B91" s="1162">
        <v>83</v>
      </c>
      <c r="C91" s="1172"/>
      <c r="D91" s="1173"/>
      <c r="E91" s="1174"/>
      <c r="F91" s="1175"/>
      <c r="G91" s="1174"/>
      <c r="H91" s="1176"/>
      <c r="I91" s="1177"/>
      <c r="J91" s="1179"/>
      <c r="K91" s="1177">
        <f t="shared" si="2"/>
        <v>0</v>
      </c>
      <c r="L91" s="1180"/>
    </row>
    <row r="92" spans="2:12" ht="14.25" thickBot="1">
      <c r="B92" s="1171">
        <v>84</v>
      </c>
      <c r="C92" s="1172"/>
      <c r="D92" s="1173"/>
      <c r="E92" s="1174"/>
      <c r="F92" s="1175"/>
      <c r="G92" s="1174"/>
      <c r="H92" s="1176"/>
      <c r="I92" s="1177"/>
      <c r="J92" s="1179"/>
      <c r="K92" s="1177">
        <f t="shared" si="2"/>
        <v>0</v>
      </c>
      <c r="L92" s="1180"/>
    </row>
    <row r="93" spans="2:12" ht="14.25" thickBot="1">
      <c r="B93" s="1162">
        <v>85</v>
      </c>
      <c r="C93" s="1187"/>
      <c r="D93" s="1188"/>
      <c r="E93" s="1189"/>
      <c r="F93" s="1190"/>
      <c r="G93" s="1189"/>
      <c r="H93" s="1191"/>
      <c r="I93" s="1192"/>
      <c r="J93" s="1192"/>
      <c r="K93" s="1177">
        <f t="shared" si="2"/>
        <v>0</v>
      </c>
      <c r="L93" s="1193"/>
    </row>
    <row r="94" spans="2:12" ht="14.25" thickBot="1">
      <c r="B94" s="1171">
        <v>86</v>
      </c>
      <c r="C94" s="1227"/>
      <c r="D94" s="1228"/>
      <c r="E94" s="1228"/>
      <c r="F94" s="1228"/>
      <c r="G94" s="1229"/>
      <c r="H94" s="1194"/>
      <c r="I94" s="1194"/>
      <c r="J94" s="1194"/>
      <c r="K94" s="1177">
        <f t="shared" si="2"/>
        <v>0</v>
      </c>
      <c r="L94" s="1195"/>
    </row>
    <row r="95" spans="2:12" ht="13.5">
      <c r="B95" s="1162">
        <v>87</v>
      </c>
      <c r="C95" s="1196"/>
      <c r="D95" s="1197"/>
      <c r="E95" s="1198"/>
      <c r="F95" s="1199"/>
      <c r="G95" s="1198"/>
      <c r="H95" s="1200"/>
      <c r="I95" s="1201"/>
      <c r="J95" s="1201"/>
      <c r="K95" s="1177">
        <f t="shared" si="2"/>
        <v>0</v>
      </c>
      <c r="L95" s="1202"/>
    </row>
    <row r="96" spans="2:12" ht="14.25" thickBot="1">
      <c r="B96" s="1171">
        <v>88</v>
      </c>
      <c r="C96" s="1172"/>
      <c r="D96" s="1173"/>
      <c r="E96" s="1174"/>
      <c r="F96" s="1175"/>
      <c r="G96" s="1174"/>
      <c r="H96" s="1176"/>
      <c r="I96" s="1177"/>
      <c r="J96" s="1177"/>
      <c r="K96" s="1177">
        <f t="shared" si="2"/>
        <v>0</v>
      </c>
      <c r="L96" s="1178"/>
    </row>
    <row r="97" spans="2:12" ht="13.5">
      <c r="B97" s="1162">
        <v>89</v>
      </c>
      <c r="C97" s="1172"/>
      <c r="D97" s="1173"/>
      <c r="E97" s="1174"/>
      <c r="F97" s="1175"/>
      <c r="G97" s="1174"/>
      <c r="H97" s="1176"/>
      <c r="I97" s="1177"/>
      <c r="J97" s="1177"/>
      <c r="K97" s="1177">
        <f t="shared" si="2"/>
        <v>0</v>
      </c>
      <c r="L97" s="1178"/>
    </row>
    <row r="98" spans="2:12" ht="14.25" thickBot="1">
      <c r="B98" s="1171">
        <v>90</v>
      </c>
      <c r="C98" s="1172"/>
      <c r="D98" s="1173"/>
      <c r="E98" s="1174"/>
      <c r="F98" s="1175"/>
      <c r="G98" s="1174"/>
      <c r="H98" s="1176"/>
      <c r="I98" s="1177"/>
      <c r="J98" s="1177"/>
      <c r="K98" s="1177">
        <f t="shared" si="2"/>
        <v>0</v>
      </c>
      <c r="L98" s="1178"/>
    </row>
    <row r="99" spans="2:12" ht="13.5">
      <c r="B99" s="1162">
        <v>91</v>
      </c>
      <c r="C99" s="1172"/>
      <c r="D99" s="1173"/>
      <c r="E99" s="1174"/>
      <c r="F99" s="1175"/>
      <c r="G99" s="1174"/>
      <c r="H99" s="1176"/>
      <c r="I99" s="1177"/>
      <c r="J99" s="1177"/>
      <c r="K99" s="1177">
        <f t="shared" si="2"/>
        <v>0</v>
      </c>
      <c r="L99" s="1178"/>
    </row>
    <row r="100" spans="2:12" ht="14.25" thickBot="1">
      <c r="B100" s="1171">
        <v>92</v>
      </c>
      <c r="C100" s="1172"/>
      <c r="D100" s="1173"/>
      <c r="E100" s="1174"/>
      <c r="F100" s="1175"/>
      <c r="G100" s="1174"/>
      <c r="H100" s="1176"/>
      <c r="I100" s="1177"/>
      <c r="J100" s="1177"/>
      <c r="K100" s="1177">
        <f t="shared" si="2"/>
        <v>0</v>
      </c>
      <c r="L100" s="1178"/>
    </row>
    <row r="101" spans="2:12" ht="13.5">
      <c r="B101" s="1162">
        <v>93</v>
      </c>
      <c r="C101" s="1172"/>
      <c r="D101" s="1173"/>
      <c r="E101" s="1174"/>
      <c r="F101" s="1175"/>
      <c r="G101" s="1174"/>
      <c r="H101" s="1176"/>
      <c r="I101" s="1177"/>
      <c r="J101" s="1177"/>
      <c r="K101" s="1177">
        <f t="shared" si="2"/>
        <v>0</v>
      </c>
      <c r="L101" s="1178"/>
    </row>
    <row r="102" spans="2:12" ht="14.25" thickBot="1">
      <c r="B102" s="1171">
        <v>94</v>
      </c>
      <c r="C102" s="1172"/>
      <c r="D102" s="1173"/>
      <c r="E102" s="1174"/>
      <c r="F102" s="1175"/>
      <c r="G102" s="1174"/>
      <c r="H102" s="1176"/>
      <c r="I102" s="1177"/>
      <c r="J102" s="1177"/>
      <c r="K102" s="1177">
        <f t="shared" si="2"/>
        <v>0</v>
      </c>
      <c r="L102" s="1178"/>
    </row>
    <row r="103" spans="2:12" ht="13.5">
      <c r="B103" s="1162">
        <v>95</v>
      </c>
      <c r="C103" s="1172"/>
      <c r="D103" s="1173"/>
      <c r="E103" s="1174"/>
      <c r="F103" s="1175"/>
      <c r="G103" s="1174"/>
      <c r="H103" s="1176"/>
      <c r="I103" s="1177"/>
      <c r="J103" s="1177"/>
      <c r="K103" s="1177">
        <f t="shared" si="2"/>
        <v>0</v>
      </c>
      <c r="L103" s="1178"/>
    </row>
    <row r="104" spans="2:12" ht="14.25" thickBot="1">
      <c r="B104" s="1171">
        <v>96</v>
      </c>
      <c r="C104" s="1172"/>
      <c r="D104" s="1173"/>
      <c r="E104" s="1174"/>
      <c r="F104" s="1175"/>
      <c r="G104" s="1174"/>
      <c r="H104" s="1176"/>
      <c r="I104" s="1177"/>
      <c r="J104" s="1177"/>
      <c r="K104" s="1177">
        <f t="shared" si="2"/>
        <v>0</v>
      </c>
      <c r="L104" s="1178"/>
    </row>
    <row r="105" spans="2:12" ht="13.5">
      <c r="B105" s="1162">
        <v>97</v>
      </c>
      <c r="C105" s="1172"/>
      <c r="D105" s="1173"/>
      <c r="E105" s="1174"/>
      <c r="F105" s="1175"/>
      <c r="G105" s="1174"/>
      <c r="H105" s="1176"/>
      <c r="I105" s="1177"/>
      <c r="J105" s="1177"/>
      <c r="K105" s="1177">
        <f t="shared" si="2"/>
        <v>0</v>
      </c>
      <c r="L105" s="1178"/>
    </row>
    <row r="106" spans="2:12" ht="14.25" thickBot="1">
      <c r="B106" s="1171">
        <v>98</v>
      </c>
      <c r="C106" s="1172"/>
      <c r="D106" s="1173"/>
      <c r="E106" s="1174"/>
      <c r="F106" s="1175"/>
      <c r="G106" s="1174"/>
      <c r="H106" s="1176"/>
      <c r="I106" s="1177"/>
      <c r="J106" s="1177"/>
      <c r="K106" s="1177">
        <f t="shared" si="2"/>
        <v>0</v>
      </c>
      <c r="L106" s="1178"/>
    </row>
    <row r="107" spans="2:12" ht="13.5">
      <c r="B107" s="1162">
        <v>99</v>
      </c>
      <c r="C107" s="1172"/>
      <c r="D107" s="1173"/>
      <c r="E107" s="1174"/>
      <c r="F107" s="1175"/>
      <c r="G107" s="1174"/>
      <c r="H107" s="1176"/>
      <c r="I107" s="1177"/>
      <c r="J107" s="1177"/>
      <c r="K107" s="1177">
        <f t="shared" si="2"/>
        <v>0</v>
      </c>
      <c r="L107" s="1178"/>
    </row>
    <row r="108" spans="2:12" ht="14.25" thickBot="1">
      <c r="B108" s="1171">
        <v>100</v>
      </c>
      <c r="C108" s="1172"/>
      <c r="D108" s="1173"/>
      <c r="E108" s="1174"/>
      <c r="F108" s="1175"/>
      <c r="G108" s="1174"/>
      <c r="H108" s="1176"/>
      <c r="I108" s="1177"/>
      <c r="J108" s="1177"/>
      <c r="K108" s="1177">
        <f t="shared" si="2"/>
        <v>0</v>
      </c>
      <c r="L108" s="1178"/>
    </row>
    <row r="109" spans="2:12" ht="13.5">
      <c r="B109" s="1162">
        <v>101</v>
      </c>
      <c r="C109" s="1172"/>
      <c r="D109" s="1173"/>
      <c r="E109" s="1174"/>
      <c r="F109" s="1175"/>
      <c r="G109" s="1174"/>
      <c r="H109" s="1176"/>
      <c r="I109" s="1177"/>
      <c r="J109" s="1177"/>
      <c r="K109" s="1177">
        <f t="shared" si="2"/>
        <v>0</v>
      </c>
      <c r="L109" s="1178"/>
    </row>
    <row r="110" spans="2:12" ht="14.25" thickBot="1">
      <c r="B110" s="1171">
        <v>102</v>
      </c>
      <c r="C110" s="1172"/>
      <c r="D110" s="1173"/>
      <c r="E110" s="1174"/>
      <c r="F110" s="1175"/>
      <c r="G110" s="1174"/>
      <c r="H110" s="1176"/>
      <c r="I110" s="1177"/>
      <c r="J110" s="1177"/>
      <c r="K110" s="1177">
        <f t="shared" si="2"/>
        <v>0</v>
      </c>
      <c r="L110" s="1178"/>
    </row>
    <row r="111" spans="2:12" ht="13.5">
      <c r="B111" s="1162">
        <v>103</v>
      </c>
      <c r="C111" s="1172"/>
      <c r="D111" s="1173"/>
      <c r="E111" s="1174"/>
      <c r="F111" s="1175"/>
      <c r="G111" s="1174"/>
      <c r="H111" s="1176"/>
      <c r="I111" s="1177"/>
      <c r="J111" s="1177"/>
      <c r="K111" s="1177">
        <f t="shared" si="2"/>
        <v>0</v>
      </c>
      <c r="L111" s="1178"/>
    </row>
    <row r="112" spans="2:12" ht="14.25" thickBot="1">
      <c r="B112" s="1171">
        <v>104</v>
      </c>
      <c r="C112" s="1172"/>
      <c r="D112" s="1173"/>
      <c r="E112" s="1174"/>
      <c r="F112" s="1175"/>
      <c r="G112" s="1174"/>
      <c r="H112" s="1176"/>
      <c r="I112" s="1177"/>
      <c r="J112" s="1177"/>
      <c r="K112" s="1177">
        <f t="shared" si="2"/>
        <v>0</v>
      </c>
      <c r="L112" s="1178"/>
    </row>
    <row r="113" spans="2:12" ht="13.5">
      <c r="B113" s="1162">
        <v>105</v>
      </c>
      <c r="C113" s="1172"/>
      <c r="D113" s="1173"/>
      <c r="E113" s="1174"/>
      <c r="F113" s="1175"/>
      <c r="G113" s="1174"/>
      <c r="H113" s="1176"/>
      <c r="I113" s="1177"/>
      <c r="J113" s="1177"/>
      <c r="K113" s="1177">
        <f t="shared" si="2"/>
        <v>0</v>
      </c>
      <c r="L113" s="1178"/>
    </row>
    <row r="114" spans="2:12" ht="14.25" thickBot="1">
      <c r="B114" s="1171">
        <v>106</v>
      </c>
      <c r="C114" s="1203"/>
      <c r="D114" s="1173"/>
      <c r="E114" s="1174"/>
      <c r="F114" s="1175"/>
      <c r="G114" s="1174"/>
      <c r="H114" s="1176"/>
      <c r="I114" s="1177"/>
      <c r="J114" s="1177"/>
      <c r="K114" s="1177">
        <f t="shared" si="2"/>
        <v>0</v>
      </c>
      <c r="L114" s="1178"/>
    </row>
    <row r="115" spans="2:12" ht="13.5">
      <c r="B115" s="1162">
        <v>107</v>
      </c>
      <c r="C115" s="1203"/>
      <c r="D115" s="1173"/>
      <c r="E115" s="1174"/>
      <c r="F115" s="1175"/>
      <c r="G115" s="1174"/>
      <c r="H115" s="1176"/>
      <c r="I115" s="1177"/>
      <c r="J115" s="1177"/>
      <c r="K115" s="1177">
        <f t="shared" si="2"/>
        <v>0</v>
      </c>
      <c r="L115" s="1178"/>
    </row>
    <row r="116" spans="2:12" ht="14.25" thickBot="1">
      <c r="B116" s="1171">
        <v>108</v>
      </c>
      <c r="C116" s="1203"/>
      <c r="D116" s="1173"/>
      <c r="E116" s="1174"/>
      <c r="F116" s="1175"/>
      <c r="G116" s="1174"/>
      <c r="H116" s="1176"/>
      <c r="I116" s="1177"/>
      <c r="J116" s="1177"/>
      <c r="K116" s="1177">
        <f t="shared" si="2"/>
        <v>0</v>
      </c>
      <c r="L116" s="1178"/>
    </row>
    <row r="117" spans="2:12" ht="13.5">
      <c r="B117" s="1162">
        <v>109</v>
      </c>
      <c r="C117" s="1203"/>
      <c r="D117" s="1173"/>
      <c r="E117" s="1174"/>
      <c r="F117" s="1175"/>
      <c r="G117" s="1174"/>
      <c r="H117" s="1176"/>
      <c r="I117" s="1177"/>
      <c r="J117" s="1177"/>
      <c r="K117" s="1177">
        <f t="shared" si="2"/>
        <v>0</v>
      </c>
      <c r="L117" s="1178"/>
    </row>
    <row r="118" spans="2:12" ht="14.25" thickBot="1">
      <c r="B118" s="1171">
        <v>110</v>
      </c>
      <c r="C118" s="1203"/>
      <c r="D118" s="1173"/>
      <c r="E118" s="1174"/>
      <c r="F118" s="1175"/>
      <c r="G118" s="1174"/>
      <c r="H118" s="1176"/>
      <c r="I118" s="1177"/>
      <c r="J118" s="1177"/>
      <c r="K118" s="1177">
        <f t="shared" si="2"/>
        <v>0</v>
      </c>
      <c r="L118" s="1178"/>
    </row>
    <row r="119" spans="2:12" ht="13.5">
      <c r="B119" s="1162">
        <v>111</v>
      </c>
      <c r="C119" s="1203"/>
      <c r="D119" s="1173"/>
      <c r="E119" s="1174"/>
      <c r="F119" s="1175"/>
      <c r="G119" s="1174"/>
      <c r="H119" s="1176"/>
      <c r="I119" s="1177"/>
      <c r="J119" s="1177"/>
      <c r="K119" s="1177">
        <f t="shared" si="2"/>
        <v>0</v>
      </c>
      <c r="L119" s="1178"/>
    </row>
    <row r="120" spans="2:12" ht="14.25" thickBot="1">
      <c r="B120" s="1171">
        <v>112</v>
      </c>
      <c r="C120" s="1203"/>
      <c r="D120" s="1173"/>
      <c r="E120" s="1174"/>
      <c r="F120" s="1175"/>
      <c r="G120" s="1174"/>
      <c r="H120" s="1176"/>
      <c r="I120" s="1177"/>
      <c r="J120" s="1177"/>
      <c r="K120" s="1177">
        <f t="shared" si="2"/>
        <v>0</v>
      </c>
      <c r="L120" s="1178"/>
    </row>
    <row r="121" spans="2:12" ht="13.5">
      <c r="B121" s="1162">
        <v>113</v>
      </c>
      <c r="C121" s="1203"/>
      <c r="D121" s="1173"/>
      <c r="E121" s="1174"/>
      <c r="F121" s="1175"/>
      <c r="G121" s="1174"/>
      <c r="H121" s="1176"/>
      <c r="I121" s="1177"/>
      <c r="J121" s="1177"/>
      <c r="K121" s="1177">
        <f t="shared" si="2"/>
        <v>0</v>
      </c>
      <c r="L121" s="1178"/>
    </row>
    <row r="122" spans="2:12" ht="14.25" thickBot="1">
      <c r="B122" s="1171">
        <v>114</v>
      </c>
      <c r="C122" s="1203"/>
      <c r="D122" s="1173"/>
      <c r="E122" s="1174"/>
      <c r="F122" s="1175"/>
      <c r="G122" s="1174"/>
      <c r="H122" s="1176"/>
      <c r="I122" s="1177"/>
      <c r="J122" s="1177"/>
      <c r="K122" s="1177">
        <f t="shared" si="2"/>
        <v>0</v>
      </c>
      <c r="L122" s="1178"/>
    </row>
    <row r="123" spans="2:12" ht="13.5">
      <c r="B123" s="1162">
        <v>115</v>
      </c>
      <c r="C123" s="1203"/>
      <c r="D123" s="1173"/>
      <c r="E123" s="1174"/>
      <c r="F123" s="1175"/>
      <c r="G123" s="1174"/>
      <c r="H123" s="1176"/>
      <c r="I123" s="1177"/>
      <c r="J123" s="1177"/>
      <c r="K123" s="1177">
        <f t="shared" si="2"/>
        <v>0</v>
      </c>
      <c r="L123" s="1178"/>
    </row>
    <row r="124" spans="2:12" ht="14.25" thickBot="1">
      <c r="B124" s="1171">
        <v>116</v>
      </c>
      <c r="C124" s="1203"/>
      <c r="D124" s="1173"/>
      <c r="E124" s="1174"/>
      <c r="F124" s="1175"/>
      <c r="G124" s="1174"/>
      <c r="H124" s="1176"/>
      <c r="I124" s="1177"/>
      <c r="J124" s="1177"/>
      <c r="K124" s="1177">
        <f t="shared" si="2"/>
        <v>0</v>
      </c>
      <c r="L124" s="1178"/>
    </row>
    <row r="125" spans="2:12" ht="13.5">
      <c r="B125" s="1162">
        <v>117</v>
      </c>
      <c r="C125" s="1203"/>
      <c r="D125" s="1173"/>
      <c r="E125" s="1174"/>
      <c r="F125" s="1175"/>
      <c r="G125" s="1174"/>
      <c r="H125" s="1176"/>
      <c r="I125" s="1177"/>
      <c r="J125" s="1177"/>
      <c r="K125" s="1177">
        <f t="shared" si="2"/>
        <v>0</v>
      </c>
      <c r="L125" s="1178"/>
    </row>
    <row r="126" spans="2:12" ht="14.25" thickBot="1">
      <c r="B126" s="1171">
        <v>118</v>
      </c>
      <c r="C126" s="1203"/>
      <c r="D126" s="1173"/>
      <c r="E126" s="1174"/>
      <c r="F126" s="1175"/>
      <c r="G126" s="1174"/>
      <c r="H126" s="1176"/>
      <c r="I126" s="1177"/>
      <c r="J126" s="1177"/>
      <c r="K126" s="1177">
        <f t="shared" si="2"/>
        <v>0</v>
      </c>
      <c r="L126" s="1178"/>
    </row>
    <row r="127" spans="2:12" ht="13.5">
      <c r="B127" s="1162">
        <v>119</v>
      </c>
      <c r="C127" s="1203"/>
      <c r="D127" s="1173"/>
      <c r="E127" s="1174"/>
      <c r="F127" s="1175"/>
      <c r="G127" s="1174"/>
      <c r="H127" s="1176"/>
      <c r="I127" s="1177"/>
      <c r="J127" s="1177"/>
      <c r="K127" s="1177">
        <f t="shared" si="2"/>
        <v>0</v>
      </c>
      <c r="L127" s="1178"/>
    </row>
    <row r="128" spans="2:12" ht="14.25" thickBot="1">
      <c r="B128" s="1171">
        <v>120</v>
      </c>
      <c r="C128" s="1203"/>
      <c r="D128" s="1173"/>
      <c r="E128" s="1174"/>
      <c r="F128" s="1175"/>
      <c r="G128" s="1174"/>
      <c r="H128" s="1176"/>
      <c r="I128" s="1177"/>
      <c r="J128" s="1177"/>
      <c r="K128" s="1177">
        <f t="shared" si="2"/>
        <v>0</v>
      </c>
      <c r="L128" s="1178"/>
    </row>
    <row r="129" spans="2:12" ht="13.5">
      <c r="B129" s="1162">
        <v>121</v>
      </c>
      <c r="C129" s="1203"/>
      <c r="D129" s="1173"/>
      <c r="E129" s="1174"/>
      <c r="F129" s="1175"/>
      <c r="G129" s="1174"/>
      <c r="H129" s="1176"/>
      <c r="I129" s="1177"/>
      <c r="J129" s="1177"/>
      <c r="K129" s="1177">
        <f t="shared" si="2"/>
        <v>0</v>
      </c>
      <c r="L129" s="1178"/>
    </row>
    <row r="130" spans="2:12" ht="14.25" thickBot="1">
      <c r="B130" s="1171">
        <v>122</v>
      </c>
      <c r="C130" s="1203"/>
      <c r="D130" s="1173"/>
      <c r="E130" s="1174"/>
      <c r="F130" s="1175"/>
      <c r="G130" s="1174"/>
      <c r="H130" s="1176"/>
      <c r="I130" s="1177"/>
      <c r="J130" s="1177"/>
      <c r="K130" s="1177">
        <f t="shared" si="2"/>
        <v>0</v>
      </c>
      <c r="L130" s="1178"/>
    </row>
    <row r="131" spans="2:12" ht="13.5">
      <c r="B131" s="1162">
        <v>123</v>
      </c>
      <c r="C131" s="1203"/>
      <c r="D131" s="1173"/>
      <c r="E131" s="1174"/>
      <c r="F131" s="1175"/>
      <c r="G131" s="1174"/>
      <c r="H131" s="1176"/>
      <c r="I131" s="1177"/>
      <c r="J131" s="1177"/>
      <c r="K131" s="1177">
        <f t="shared" si="2"/>
        <v>0</v>
      </c>
      <c r="L131" s="1178"/>
    </row>
    <row r="132" spans="2:12" ht="14.25" thickBot="1">
      <c r="B132" s="1171">
        <v>124</v>
      </c>
      <c r="C132" s="1203"/>
      <c r="D132" s="1173"/>
      <c r="E132" s="1174"/>
      <c r="F132" s="1175"/>
      <c r="G132" s="1174"/>
      <c r="H132" s="1176"/>
      <c r="I132" s="1177"/>
      <c r="J132" s="1177"/>
      <c r="K132" s="1177">
        <f t="shared" si="2"/>
        <v>0</v>
      </c>
      <c r="L132" s="1178"/>
    </row>
    <row r="133" spans="2:12" ht="13.5">
      <c r="B133" s="1162">
        <v>125</v>
      </c>
      <c r="C133" s="1203"/>
      <c r="D133" s="1173"/>
      <c r="E133" s="1174"/>
      <c r="F133" s="1175"/>
      <c r="G133" s="1174"/>
      <c r="H133" s="1176"/>
      <c r="I133" s="1177"/>
      <c r="J133" s="1177"/>
      <c r="K133" s="1177">
        <f t="shared" si="2"/>
        <v>0</v>
      </c>
      <c r="L133" s="1178"/>
    </row>
    <row r="134" spans="2:12" ht="14.25" thickBot="1">
      <c r="B134" s="1171">
        <v>126</v>
      </c>
      <c r="C134" s="1203"/>
      <c r="D134" s="1173"/>
      <c r="E134" s="1174"/>
      <c r="F134" s="1175"/>
      <c r="G134" s="1174"/>
      <c r="H134" s="1176"/>
      <c r="I134" s="1177"/>
      <c r="J134" s="1177"/>
      <c r="K134" s="1177">
        <f t="shared" si="2"/>
        <v>0</v>
      </c>
      <c r="L134" s="1178"/>
    </row>
    <row r="135" spans="2:12" ht="13.5">
      <c r="B135" s="1162">
        <v>127</v>
      </c>
      <c r="C135" s="1203"/>
      <c r="D135" s="1173"/>
      <c r="E135" s="1174"/>
      <c r="F135" s="1175"/>
      <c r="G135" s="1174"/>
      <c r="H135" s="1176"/>
      <c r="I135" s="1177"/>
      <c r="J135" s="1177"/>
      <c r="K135" s="1177">
        <f t="shared" si="2"/>
        <v>0</v>
      </c>
      <c r="L135" s="1178"/>
    </row>
    <row r="136" spans="2:12" ht="14.25" thickBot="1">
      <c r="B136" s="1171">
        <v>128</v>
      </c>
      <c r="C136" s="1203"/>
      <c r="D136" s="1173"/>
      <c r="E136" s="1174"/>
      <c r="F136" s="1175"/>
      <c r="G136" s="1174"/>
      <c r="H136" s="1176"/>
      <c r="I136" s="1177"/>
      <c r="J136" s="1177"/>
      <c r="K136" s="1177">
        <f t="shared" si="2"/>
        <v>0</v>
      </c>
      <c r="L136" s="1178"/>
    </row>
    <row r="137" spans="2:12" ht="13.5">
      <c r="B137" s="1162">
        <v>129</v>
      </c>
      <c r="C137" s="1203"/>
      <c r="D137" s="1173"/>
      <c r="E137" s="1174"/>
      <c r="F137" s="1175"/>
      <c r="G137" s="1174"/>
      <c r="H137" s="1176"/>
      <c r="I137" s="1177"/>
      <c r="J137" s="1177"/>
      <c r="K137" s="1177">
        <f t="shared" si="2"/>
        <v>0</v>
      </c>
      <c r="L137" s="1178"/>
    </row>
    <row r="138" spans="2:12" ht="14.25" thickBot="1">
      <c r="B138" s="1171">
        <v>130</v>
      </c>
      <c r="C138" s="1203"/>
      <c r="D138" s="1173"/>
      <c r="E138" s="1174"/>
      <c r="F138" s="1175"/>
      <c r="G138" s="1174"/>
      <c r="H138" s="1176"/>
      <c r="I138" s="1177"/>
      <c r="J138" s="1177"/>
      <c r="K138" s="1177">
        <f aca="true" t="shared" si="3" ref="K138:K201">+J138*0.2</f>
        <v>0</v>
      </c>
      <c r="L138" s="1178"/>
    </row>
    <row r="139" spans="2:12" ht="13.5">
      <c r="B139" s="1162">
        <v>131</v>
      </c>
      <c r="C139" s="1203"/>
      <c r="D139" s="1173"/>
      <c r="E139" s="1174"/>
      <c r="F139" s="1175"/>
      <c r="G139" s="1174"/>
      <c r="H139" s="1176"/>
      <c r="I139" s="1177"/>
      <c r="J139" s="1177"/>
      <c r="K139" s="1177">
        <f t="shared" si="3"/>
        <v>0</v>
      </c>
      <c r="L139" s="1178"/>
    </row>
    <row r="140" spans="2:12" ht="14.25" thickBot="1">
      <c r="B140" s="1171">
        <v>132</v>
      </c>
      <c r="C140" s="1203"/>
      <c r="D140" s="1173"/>
      <c r="E140" s="1174"/>
      <c r="F140" s="1175"/>
      <c r="G140" s="1174"/>
      <c r="H140" s="1176"/>
      <c r="I140" s="1177"/>
      <c r="J140" s="1177"/>
      <c r="K140" s="1177">
        <f t="shared" si="3"/>
        <v>0</v>
      </c>
      <c r="L140" s="1178"/>
    </row>
    <row r="141" spans="2:12" ht="13.5">
      <c r="B141" s="1162">
        <v>133</v>
      </c>
      <c r="C141" s="1203"/>
      <c r="D141" s="1173"/>
      <c r="E141" s="1174"/>
      <c r="F141" s="1175"/>
      <c r="G141" s="1174"/>
      <c r="H141" s="1176"/>
      <c r="I141" s="1177"/>
      <c r="J141" s="1177"/>
      <c r="K141" s="1177">
        <f t="shared" si="3"/>
        <v>0</v>
      </c>
      <c r="L141" s="1178"/>
    </row>
    <row r="142" spans="2:12" ht="14.25" thickBot="1">
      <c r="B142" s="1171">
        <v>134</v>
      </c>
      <c r="C142" s="1203"/>
      <c r="D142" s="1173"/>
      <c r="E142" s="1174"/>
      <c r="F142" s="1175"/>
      <c r="G142" s="1174"/>
      <c r="H142" s="1176"/>
      <c r="I142" s="1177"/>
      <c r="J142" s="1177"/>
      <c r="K142" s="1177">
        <f t="shared" si="3"/>
        <v>0</v>
      </c>
      <c r="L142" s="1178"/>
    </row>
    <row r="143" spans="2:12" ht="13.5">
      <c r="B143" s="1162">
        <v>135</v>
      </c>
      <c r="C143" s="1203"/>
      <c r="D143" s="1173"/>
      <c r="E143" s="1174"/>
      <c r="F143" s="1175"/>
      <c r="G143" s="1174"/>
      <c r="H143" s="1176"/>
      <c r="I143" s="1177"/>
      <c r="J143" s="1177"/>
      <c r="K143" s="1177">
        <f t="shared" si="3"/>
        <v>0</v>
      </c>
      <c r="L143" s="1178"/>
    </row>
    <row r="144" spans="2:12" ht="14.25" thickBot="1">
      <c r="B144" s="1171">
        <v>136</v>
      </c>
      <c r="C144" s="1203"/>
      <c r="D144" s="1173"/>
      <c r="E144" s="1174"/>
      <c r="F144" s="1175"/>
      <c r="G144" s="1174"/>
      <c r="H144" s="1176"/>
      <c r="I144" s="1177"/>
      <c r="J144" s="1177"/>
      <c r="K144" s="1177">
        <f t="shared" si="3"/>
        <v>0</v>
      </c>
      <c r="L144" s="1178"/>
    </row>
    <row r="145" spans="2:12" ht="13.5">
      <c r="B145" s="1162">
        <v>137</v>
      </c>
      <c r="C145" s="1203"/>
      <c r="D145" s="1173"/>
      <c r="E145" s="1174"/>
      <c r="F145" s="1175"/>
      <c r="G145" s="1174"/>
      <c r="H145" s="1176"/>
      <c r="I145" s="1177"/>
      <c r="J145" s="1177"/>
      <c r="K145" s="1177">
        <f t="shared" si="3"/>
        <v>0</v>
      </c>
      <c r="L145" s="1178"/>
    </row>
    <row r="146" spans="2:12" ht="14.25" thickBot="1">
      <c r="B146" s="1171">
        <v>138</v>
      </c>
      <c r="C146" s="1203"/>
      <c r="D146" s="1173"/>
      <c r="E146" s="1174"/>
      <c r="F146" s="1175"/>
      <c r="G146" s="1174"/>
      <c r="H146" s="1176"/>
      <c r="I146" s="1177"/>
      <c r="J146" s="1177"/>
      <c r="K146" s="1177">
        <f t="shared" si="3"/>
        <v>0</v>
      </c>
      <c r="L146" s="1178"/>
    </row>
    <row r="147" spans="2:12" ht="13.5">
      <c r="B147" s="1162">
        <v>139</v>
      </c>
      <c r="C147" s="1203"/>
      <c r="D147" s="1173"/>
      <c r="E147" s="1174"/>
      <c r="F147" s="1175"/>
      <c r="G147" s="1174"/>
      <c r="H147" s="1176"/>
      <c r="I147" s="1177"/>
      <c r="J147" s="1177"/>
      <c r="K147" s="1177">
        <f t="shared" si="3"/>
        <v>0</v>
      </c>
      <c r="L147" s="1178"/>
    </row>
    <row r="148" spans="2:12" ht="14.25" thickBot="1">
      <c r="B148" s="1171">
        <v>140</v>
      </c>
      <c r="C148" s="1203"/>
      <c r="D148" s="1173"/>
      <c r="E148" s="1174"/>
      <c r="F148" s="1175"/>
      <c r="G148" s="1174"/>
      <c r="H148" s="1176"/>
      <c r="I148" s="1177"/>
      <c r="J148" s="1177"/>
      <c r="K148" s="1177">
        <f t="shared" si="3"/>
        <v>0</v>
      </c>
      <c r="L148" s="1178"/>
    </row>
    <row r="149" spans="2:12" ht="13.5">
      <c r="B149" s="1162">
        <v>141</v>
      </c>
      <c r="C149" s="1203"/>
      <c r="D149" s="1173"/>
      <c r="E149" s="1174"/>
      <c r="F149" s="1175"/>
      <c r="G149" s="1174"/>
      <c r="H149" s="1176"/>
      <c r="I149" s="1177"/>
      <c r="J149" s="1177"/>
      <c r="K149" s="1177">
        <f t="shared" si="3"/>
        <v>0</v>
      </c>
      <c r="L149" s="1178"/>
    </row>
    <row r="150" spans="2:12" ht="14.25" thickBot="1">
      <c r="B150" s="1171">
        <v>142</v>
      </c>
      <c r="C150" s="1203"/>
      <c r="D150" s="1173"/>
      <c r="E150" s="1174"/>
      <c r="F150" s="1175"/>
      <c r="G150" s="1174"/>
      <c r="H150" s="1176"/>
      <c r="I150" s="1177"/>
      <c r="J150" s="1177"/>
      <c r="K150" s="1177">
        <f t="shared" si="3"/>
        <v>0</v>
      </c>
      <c r="L150" s="1178"/>
    </row>
    <row r="151" spans="2:12" ht="13.5">
      <c r="B151" s="1162">
        <v>143</v>
      </c>
      <c r="C151" s="1203"/>
      <c r="D151" s="1173"/>
      <c r="E151" s="1174"/>
      <c r="F151" s="1175"/>
      <c r="G151" s="1174"/>
      <c r="H151" s="1176"/>
      <c r="I151" s="1177"/>
      <c r="J151" s="1177"/>
      <c r="K151" s="1177">
        <f t="shared" si="3"/>
        <v>0</v>
      </c>
      <c r="L151" s="1178"/>
    </row>
    <row r="152" spans="2:12" ht="14.25" thickBot="1">
      <c r="B152" s="1171">
        <v>144</v>
      </c>
      <c r="C152" s="1203"/>
      <c r="D152" s="1173"/>
      <c r="E152" s="1174"/>
      <c r="F152" s="1175"/>
      <c r="G152" s="1174"/>
      <c r="H152" s="1176"/>
      <c r="I152" s="1177"/>
      <c r="J152" s="1177"/>
      <c r="K152" s="1177">
        <f t="shared" si="3"/>
        <v>0</v>
      </c>
      <c r="L152" s="1178"/>
    </row>
    <row r="153" spans="2:12" ht="13.5">
      <c r="B153" s="1162">
        <v>145</v>
      </c>
      <c r="C153" s="1203"/>
      <c r="D153" s="1173"/>
      <c r="E153" s="1174"/>
      <c r="F153" s="1175"/>
      <c r="G153" s="1174"/>
      <c r="H153" s="1176"/>
      <c r="I153" s="1177"/>
      <c r="J153" s="1177"/>
      <c r="K153" s="1177">
        <f t="shared" si="3"/>
        <v>0</v>
      </c>
      <c r="L153" s="1178"/>
    </row>
    <row r="154" spans="2:12" ht="14.25" thickBot="1">
      <c r="B154" s="1171">
        <v>146</v>
      </c>
      <c r="C154" s="1203"/>
      <c r="D154" s="1173"/>
      <c r="E154" s="1174"/>
      <c r="F154" s="1175"/>
      <c r="G154" s="1174"/>
      <c r="H154" s="1176"/>
      <c r="I154" s="1177"/>
      <c r="J154" s="1177"/>
      <c r="K154" s="1177">
        <f t="shared" si="3"/>
        <v>0</v>
      </c>
      <c r="L154" s="1178"/>
    </row>
    <row r="155" spans="2:12" ht="13.5">
      <c r="B155" s="1162">
        <v>147</v>
      </c>
      <c r="C155" s="1203"/>
      <c r="D155" s="1173"/>
      <c r="E155" s="1174"/>
      <c r="F155" s="1175"/>
      <c r="G155" s="1174"/>
      <c r="H155" s="1176"/>
      <c r="I155" s="1177"/>
      <c r="J155" s="1177"/>
      <c r="K155" s="1177">
        <f t="shared" si="3"/>
        <v>0</v>
      </c>
      <c r="L155" s="1178"/>
    </row>
    <row r="156" spans="2:12" ht="14.25" thickBot="1">
      <c r="B156" s="1171">
        <v>148</v>
      </c>
      <c r="C156" s="1203"/>
      <c r="D156" s="1173"/>
      <c r="E156" s="1174"/>
      <c r="F156" s="1175"/>
      <c r="G156" s="1174"/>
      <c r="H156" s="1176"/>
      <c r="I156" s="1177"/>
      <c r="J156" s="1177"/>
      <c r="K156" s="1177">
        <f t="shared" si="3"/>
        <v>0</v>
      </c>
      <c r="L156" s="1178"/>
    </row>
    <row r="157" spans="2:12" ht="13.5">
      <c r="B157" s="1162">
        <v>149</v>
      </c>
      <c r="C157" s="1203"/>
      <c r="D157" s="1173"/>
      <c r="E157" s="1174"/>
      <c r="F157" s="1175"/>
      <c r="G157" s="1174"/>
      <c r="H157" s="1176"/>
      <c r="I157" s="1177"/>
      <c r="J157" s="1177"/>
      <c r="K157" s="1177">
        <f t="shared" si="3"/>
        <v>0</v>
      </c>
      <c r="L157" s="1178"/>
    </row>
    <row r="158" spans="2:12" ht="14.25" thickBot="1">
      <c r="B158" s="1171">
        <v>150</v>
      </c>
      <c r="C158" s="1203"/>
      <c r="D158" s="1173"/>
      <c r="E158" s="1174"/>
      <c r="F158" s="1175"/>
      <c r="G158" s="1174"/>
      <c r="H158" s="1176"/>
      <c r="I158" s="1177"/>
      <c r="J158" s="1177"/>
      <c r="K158" s="1177">
        <f t="shared" si="3"/>
        <v>0</v>
      </c>
      <c r="L158" s="1178"/>
    </row>
    <row r="159" spans="2:12" ht="13.5">
      <c r="B159" s="1162">
        <v>151</v>
      </c>
      <c r="C159" s="1203"/>
      <c r="D159" s="1173"/>
      <c r="E159" s="1174"/>
      <c r="F159" s="1175"/>
      <c r="G159" s="1174"/>
      <c r="H159" s="1176"/>
      <c r="I159" s="1177"/>
      <c r="J159" s="1177"/>
      <c r="K159" s="1177">
        <f t="shared" si="3"/>
        <v>0</v>
      </c>
      <c r="L159" s="1178"/>
    </row>
    <row r="160" spans="2:12" ht="14.25" thickBot="1">
      <c r="B160" s="1171">
        <v>152</v>
      </c>
      <c r="C160" s="1203"/>
      <c r="D160" s="1173"/>
      <c r="E160" s="1174"/>
      <c r="F160" s="1175"/>
      <c r="G160" s="1174"/>
      <c r="H160" s="1176"/>
      <c r="I160" s="1177"/>
      <c r="J160" s="1177"/>
      <c r="K160" s="1177">
        <f t="shared" si="3"/>
        <v>0</v>
      </c>
      <c r="L160" s="1178"/>
    </row>
    <row r="161" spans="2:12" ht="13.5">
      <c r="B161" s="1162">
        <v>153</v>
      </c>
      <c r="C161" s="1203"/>
      <c r="D161" s="1173"/>
      <c r="E161" s="1174"/>
      <c r="F161" s="1175"/>
      <c r="G161" s="1174"/>
      <c r="H161" s="1176"/>
      <c r="I161" s="1177"/>
      <c r="J161" s="1177"/>
      <c r="K161" s="1177">
        <f t="shared" si="3"/>
        <v>0</v>
      </c>
      <c r="L161" s="1178"/>
    </row>
    <row r="162" spans="2:12" ht="14.25" thickBot="1">
      <c r="B162" s="1171">
        <v>154</v>
      </c>
      <c r="C162" s="1203"/>
      <c r="D162" s="1173"/>
      <c r="E162" s="1174"/>
      <c r="F162" s="1175"/>
      <c r="G162" s="1174"/>
      <c r="H162" s="1176"/>
      <c r="I162" s="1177"/>
      <c r="J162" s="1177"/>
      <c r="K162" s="1177">
        <f t="shared" si="3"/>
        <v>0</v>
      </c>
      <c r="L162" s="1178"/>
    </row>
    <row r="163" spans="2:12" ht="13.5">
      <c r="B163" s="1162">
        <v>155</v>
      </c>
      <c r="C163" s="1203"/>
      <c r="D163" s="1173"/>
      <c r="E163" s="1174"/>
      <c r="F163" s="1175"/>
      <c r="G163" s="1174"/>
      <c r="H163" s="1176"/>
      <c r="I163" s="1177"/>
      <c r="J163" s="1177"/>
      <c r="K163" s="1177">
        <f t="shared" si="3"/>
        <v>0</v>
      </c>
      <c r="L163" s="1178"/>
    </row>
    <row r="164" spans="2:12" ht="14.25" thickBot="1">
      <c r="B164" s="1171">
        <v>156</v>
      </c>
      <c r="C164" s="1203"/>
      <c r="D164" s="1173"/>
      <c r="E164" s="1174"/>
      <c r="F164" s="1175"/>
      <c r="G164" s="1174"/>
      <c r="H164" s="1176"/>
      <c r="I164" s="1177"/>
      <c r="J164" s="1177"/>
      <c r="K164" s="1177">
        <f t="shared" si="3"/>
        <v>0</v>
      </c>
      <c r="L164" s="1178"/>
    </row>
    <row r="165" spans="2:12" ht="13.5">
      <c r="B165" s="1162">
        <v>157</v>
      </c>
      <c r="C165" s="1203"/>
      <c r="D165" s="1173"/>
      <c r="E165" s="1174"/>
      <c r="F165" s="1175"/>
      <c r="G165" s="1174"/>
      <c r="H165" s="1176"/>
      <c r="I165" s="1177"/>
      <c r="J165" s="1177"/>
      <c r="K165" s="1177">
        <f t="shared" si="3"/>
        <v>0</v>
      </c>
      <c r="L165" s="1178"/>
    </row>
    <row r="166" spans="2:12" ht="14.25" thickBot="1">
      <c r="B166" s="1171">
        <v>158</v>
      </c>
      <c r="C166" s="1203"/>
      <c r="D166" s="1173"/>
      <c r="E166" s="1174"/>
      <c r="F166" s="1175"/>
      <c r="G166" s="1174"/>
      <c r="H166" s="1176"/>
      <c r="I166" s="1177"/>
      <c r="J166" s="1177"/>
      <c r="K166" s="1177">
        <f t="shared" si="3"/>
        <v>0</v>
      </c>
      <c r="L166" s="1178"/>
    </row>
    <row r="167" spans="2:12" ht="13.5">
      <c r="B167" s="1162">
        <v>159</v>
      </c>
      <c r="C167" s="1203"/>
      <c r="D167" s="1173"/>
      <c r="E167" s="1174"/>
      <c r="F167" s="1175"/>
      <c r="G167" s="1174"/>
      <c r="H167" s="1176"/>
      <c r="I167" s="1177"/>
      <c r="J167" s="1177"/>
      <c r="K167" s="1177">
        <f t="shared" si="3"/>
        <v>0</v>
      </c>
      <c r="L167" s="1178"/>
    </row>
    <row r="168" spans="2:12" ht="14.25" thickBot="1">
      <c r="B168" s="1171">
        <v>160</v>
      </c>
      <c r="C168" s="1203"/>
      <c r="D168" s="1173"/>
      <c r="E168" s="1174"/>
      <c r="F168" s="1175"/>
      <c r="G168" s="1174"/>
      <c r="H168" s="1176"/>
      <c r="I168" s="1177"/>
      <c r="J168" s="1177"/>
      <c r="K168" s="1177">
        <f t="shared" si="3"/>
        <v>0</v>
      </c>
      <c r="L168" s="1178"/>
    </row>
    <row r="169" spans="2:12" ht="13.5">
      <c r="B169" s="1162">
        <v>161</v>
      </c>
      <c r="C169" s="1203"/>
      <c r="D169" s="1173"/>
      <c r="E169" s="1174"/>
      <c r="F169" s="1175"/>
      <c r="G169" s="1174"/>
      <c r="H169" s="1176"/>
      <c r="I169" s="1177"/>
      <c r="J169" s="1177"/>
      <c r="K169" s="1177">
        <f t="shared" si="3"/>
        <v>0</v>
      </c>
      <c r="L169" s="1178"/>
    </row>
    <row r="170" spans="2:12" ht="14.25" thickBot="1">
      <c r="B170" s="1171">
        <v>162</v>
      </c>
      <c r="C170" s="1203"/>
      <c r="D170" s="1173"/>
      <c r="E170" s="1174"/>
      <c r="F170" s="1175"/>
      <c r="G170" s="1174"/>
      <c r="H170" s="1176"/>
      <c r="I170" s="1177"/>
      <c r="J170" s="1177"/>
      <c r="K170" s="1177">
        <f t="shared" si="3"/>
        <v>0</v>
      </c>
      <c r="L170" s="1178"/>
    </row>
    <row r="171" spans="2:12" ht="13.5">
      <c r="B171" s="1162">
        <v>163</v>
      </c>
      <c r="C171" s="1203"/>
      <c r="D171" s="1173"/>
      <c r="E171" s="1174"/>
      <c r="F171" s="1175"/>
      <c r="G171" s="1174"/>
      <c r="H171" s="1176"/>
      <c r="I171" s="1177"/>
      <c r="J171" s="1177"/>
      <c r="K171" s="1177">
        <f t="shared" si="3"/>
        <v>0</v>
      </c>
      <c r="L171" s="1178"/>
    </row>
    <row r="172" spans="2:12" ht="14.25" thickBot="1">
      <c r="B172" s="1171">
        <v>164</v>
      </c>
      <c r="C172" s="1203"/>
      <c r="D172" s="1173"/>
      <c r="E172" s="1174"/>
      <c r="F172" s="1175"/>
      <c r="G172" s="1174"/>
      <c r="H172" s="1176"/>
      <c r="I172" s="1177"/>
      <c r="J172" s="1177"/>
      <c r="K172" s="1177">
        <f t="shared" si="3"/>
        <v>0</v>
      </c>
      <c r="L172" s="1178"/>
    </row>
    <row r="173" spans="2:12" ht="13.5">
      <c r="B173" s="1162">
        <v>165</v>
      </c>
      <c r="C173" s="1203"/>
      <c r="D173" s="1173"/>
      <c r="E173" s="1174"/>
      <c r="F173" s="1175"/>
      <c r="G173" s="1174"/>
      <c r="H173" s="1176"/>
      <c r="I173" s="1177"/>
      <c r="J173" s="1177"/>
      <c r="K173" s="1177">
        <f t="shared" si="3"/>
        <v>0</v>
      </c>
      <c r="L173" s="1178"/>
    </row>
    <row r="174" spans="2:12" ht="14.25" thickBot="1">
      <c r="B174" s="1171">
        <v>166</v>
      </c>
      <c r="C174" s="1203"/>
      <c r="D174" s="1173"/>
      <c r="E174" s="1174"/>
      <c r="F174" s="1175"/>
      <c r="G174" s="1174"/>
      <c r="H174" s="1176"/>
      <c r="I174" s="1177"/>
      <c r="J174" s="1177"/>
      <c r="K174" s="1177">
        <f t="shared" si="3"/>
        <v>0</v>
      </c>
      <c r="L174" s="1178"/>
    </row>
    <row r="175" spans="2:12" ht="13.5">
      <c r="B175" s="1162">
        <v>167</v>
      </c>
      <c r="C175" s="1203"/>
      <c r="D175" s="1173"/>
      <c r="E175" s="1174"/>
      <c r="F175" s="1175"/>
      <c r="G175" s="1174"/>
      <c r="H175" s="1176"/>
      <c r="I175" s="1177"/>
      <c r="J175" s="1177"/>
      <c r="K175" s="1177">
        <f t="shared" si="3"/>
        <v>0</v>
      </c>
      <c r="L175" s="1178"/>
    </row>
    <row r="176" spans="2:12" ht="14.25" thickBot="1">
      <c r="B176" s="1171">
        <v>168</v>
      </c>
      <c r="C176" s="1203"/>
      <c r="D176" s="1173"/>
      <c r="E176" s="1174"/>
      <c r="F176" s="1175"/>
      <c r="G176" s="1174"/>
      <c r="H176" s="1176"/>
      <c r="I176" s="1177"/>
      <c r="J176" s="1177"/>
      <c r="K176" s="1177">
        <f t="shared" si="3"/>
        <v>0</v>
      </c>
      <c r="L176" s="1178"/>
    </row>
    <row r="177" spans="2:12" ht="13.5">
      <c r="B177" s="1162">
        <v>169</v>
      </c>
      <c r="C177" s="1203"/>
      <c r="D177" s="1173"/>
      <c r="E177" s="1174"/>
      <c r="F177" s="1175"/>
      <c r="G177" s="1174"/>
      <c r="H177" s="1176"/>
      <c r="I177" s="1177"/>
      <c r="J177" s="1177"/>
      <c r="K177" s="1177">
        <f t="shared" si="3"/>
        <v>0</v>
      </c>
      <c r="L177" s="1178"/>
    </row>
    <row r="178" spans="2:12" ht="14.25" thickBot="1">
      <c r="B178" s="1171">
        <v>170</v>
      </c>
      <c r="C178" s="1203"/>
      <c r="D178" s="1173"/>
      <c r="E178" s="1174"/>
      <c r="F178" s="1175"/>
      <c r="G178" s="1174"/>
      <c r="H178" s="1176"/>
      <c r="I178" s="1177"/>
      <c r="J178" s="1177"/>
      <c r="K178" s="1177">
        <f t="shared" si="3"/>
        <v>0</v>
      </c>
      <c r="L178" s="1178"/>
    </row>
    <row r="179" spans="2:12" ht="13.5">
      <c r="B179" s="1162">
        <v>171</v>
      </c>
      <c r="C179" s="1203"/>
      <c r="D179" s="1173"/>
      <c r="E179" s="1174"/>
      <c r="F179" s="1175"/>
      <c r="G179" s="1174"/>
      <c r="H179" s="1176"/>
      <c r="I179" s="1177"/>
      <c r="J179" s="1177"/>
      <c r="K179" s="1177">
        <f t="shared" si="3"/>
        <v>0</v>
      </c>
      <c r="L179" s="1178"/>
    </row>
    <row r="180" spans="2:12" ht="14.25" thickBot="1">
      <c r="B180" s="1171">
        <v>172</v>
      </c>
      <c r="C180" s="1203"/>
      <c r="D180" s="1173"/>
      <c r="E180" s="1174"/>
      <c r="F180" s="1175"/>
      <c r="G180" s="1174"/>
      <c r="H180" s="1176"/>
      <c r="I180" s="1177"/>
      <c r="J180" s="1177"/>
      <c r="K180" s="1177">
        <f t="shared" si="3"/>
        <v>0</v>
      </c>
      <c r="L180" s="1178"/>
    </row>
    <row r="181" spans="2:12" ht="13.5">
      <c r="B181" s="1162">
        <v>173</v>
      </c>
      <c r="C181" s="1203"/>
      <c r="D181" s="1173"/>
      <c r="E181" s="1174"/>
      <c r="F181" s="1175"/>
      <c r="G181" s="1174"/>
      <c r="H181" s="1176"/>
      <c r="I181" s="1177"/>
      <c r="J181" s="1177"/>
      <c r="K181" s="1177">
        <f t="shared" si="3"/>
        <v>0</v>
      </c>
      <c r="L181" s="1178"/>
    </row>
    <row r="182" spans="2:12" ht="14.25" thickBot="1">
      <c r="B182" s="1171">
        <v>174</v>
      </c>
      <c r="C182" s="1203"/>
      <c r="D182" s="1173"/>
      <c r="E182" s="1174"/>
      <c r="F182" s="1175"/>
      <c r="G182" s="1174"/>
      <c r="H182" s="1176"/>
      <c r="I182" s="1177"/>
      <c r="J182" s="1177"/>
      <c r="K182" s="1177">
        <f t="shared" si="3"/>
        <v>0</v>
      </c>
      <c r="L182" s="1178"/>
    </row>
    <row r="183" spans="2:12" ht="13.5">
      <c r="B183" s="1162">
        <v>175</v>
      </c>
      <c r="C183" s="1203"/>
      <c r="D183" s="1173"/>
      <c r="E183" s="1174"/>
      <c r="F183" s="1175"/>
      <c r="G183" s="1174"/>
      <c r="H183" s="1176"/>
      <c r="I183" s="1177"/>
      <c r="J183" s="1177"/>
      <c r="K183" s="1177">
        <f t="shared" si="3"/>
        <v>0</v>
      </c>
      <c r="L183" s="1178"/>
    </row>
    <row r="184" spans="2:12" ht="14.25" thickBot="1">
      <c r="B184" s="1171">
        <v>176</v>
      </c>
      <c r="C184" s="1203"/>
      <c r="D184" s="1173"/>
      <c r="E184" s="1174"/>
      <c r="F184" s="1175"/>
      <c r="G184" s="1174"/>
      <c r="H184" s="1176"/>
      <c r="I184" s="1177"/>
      <c r="J184" s="1177"/>
      <c r="K184" s="1177">
        <f t="shared" si="3"/>
        <v>0</v>
      </c>
      <c r="L184" s="1178"/>
    </row>
    <row r="185" spans="2:12" ht="13.5">
      <c r="B185" s="1162">
        <v>177</v>
      </c>
      <c r="C185" s="1203"/>
      <c r="D185" s="1173"/>
      <c r="E185" s="1174"/>
      <c r="F185" s="1175"/>
      <c r="G185" s="1174"/>
      <c r="H185" s="1176"/>
      <c r="I185" s="1177"/>
      <c r="J185" s="1177"/>
      <c r="K185" s="1177">
        <f t="shared" si="3"/>
        <v>0</v>
      </c>
      <c r="L185" s="1178"/>
    </row>
    <row r="186" spans="2:12" ht="14.25" thickBot="1">
      <c r="B186" s="1171">
        <v>178</v>
      </c>
      <c r="C186" s="1203"/>
      <c r="D186" s="1173"/>
      <c r="E186" s="1174"/>
      <c r="F186" s="1175"/>
      <c r="G186" s="1174"/>
      <c r="H186" s="1176"/>
      <c r="I186" s="1177"/>
      <c r="J186" s="1177"/>
      <c r="K186" s="1177">
        <f t="shared" si="3"/>
        <v>0</v>
      </c>
      <c r="L186" s="1178"/>
    </row>
    <row r="187" spans="2:12" ht="13.5">
      <c r="B187" s="1162">
        <v>179</v>
      </c>
      <c r="C187" s="1203"/>
      <c r="D187" s="1173"/>
      <c r="E187" s="1174"/>
      <c r="F187" s="1175"/>
      <c r="G187" s="1174"/>
      <c r="H187" s="1176"/>
      <c r="I187" s="1177"/>
      <c r="J187" s="1177"/>
      <c r="K187" s="1177">
        <f t="shared" si="3"/>
        <v>0</v>
      </c>
      <c r="L187" s="1178"/>
    </row>
    <row r="188" spans="2:12" ht="14.25" thickBot="1">
      <c r="B188" s="1171">
        <v>180</v>
      </c>
      <c r="C188" s="1203"/>
      <c r="D188" s="1173"/>
      <c r="E188" s="1174"/>
      <c r="F188" s="1175"/>
      <c r="G188" s="1174"/>
      <c r="H188" s="1176"/>
      <c r="I188" s="1177"/>
      <c r="J188" s="1177"/>
      <c r="K188" s="1177">
        <f t="shared" si="3"/>
        <v>0</v>
      </c>
      <c r="L188" s="1178"/>
    </row>
    <row r="189" spans="2:12" ht="13.5">
      <c r="B189" s="1162">
        <v>181</v>
      </c>
      <c r="C189" s="1203"/>
      <c r="D189" s="1173"/>
      <c r="E189" s="1174"/>
      <c r="F189" s="1175"/>
      <c r="G189" s="1174"/>
      <c r="H189" s="1176"/>
      <c r="I189" s="1177"/>
      <c r="J189" s="1177"/>
      <c r="K189" s="1177">
        <f t="shared" si="3"/>
        <v>0</v>
      </c>
      <c r="L189" s="1178"/>
    </row>
    <row r="190" spans="2:12" ht="14.25" thickBot="1">
      <c r="B190" s="1171">
        <v>182</v>
      </c>
      <c r="C190" s="1203"/>
      <c r="D190" s="1173"/>
      <c r="E190" s="1174"/>
      <c r="F190" s="1175"/>
      <c r="G190" s="1174"/>
      <c r="H190" s="1176"/>
      <c r="I190" s="1177"/>
      <c r="J190" s="1177"/>
      <c r="K190" s="1177">
        <f t="shared" si="3"/>
        <v>0</v>
      </c>
      <c r="L190" s="1178"/>
    </row>
    <row r="191" spans="2:12" ht="13.5">
      <c r="B191" s="1162">
        <v>183</v>
      </c>
      <c r="C191" s="1203"/>
      <c r="D191" s="1173"/>
      <c r="E191" s="1174"/>
      <c r="F191" s="1175"/>
      <c r="G191" s="1174"/>
      <c r="H191" s="1176"/>
      <c r="I191" s="1177"/>
      <c r="J191" s="1177"/>
      <c r="K191" s="1177">
        <f t="shared" si="3"/>
        <v>0</v>
      </c>
      <c r="L191" s="1178"/>
    </row>
    <row r="192" spans="2:12" ht="14.25" thickBot="1">
      <c r="B192" s="1171">
        <v>184</v>
      </c>
      <c r="C192" s="1203"/>
      <c r="D192" s="1173"/>
      <c r="E192" s="1174"/>
      <c r="F192" s="1175"/>
      <c r="G192" s="1174"/>
      <c r="H192" s="1176"/>
      <c r="I192" s="1177"/>
      <c r="J192" s="1177"/>
      <c r="K192" s="1177">
        <f t="shared" si="3"/>
        <v>0</v>
      </c>
      <c r="L192" s="1178"/>
    </row>
    <row r="193" spans="2:12" ht="13.5">
      <c r="B193" s="1162">
        <v>185</v>
      </c>
      <c r="C193" s="1203"/>
      <c r="D193" s="1173"/>
      <c r="E193" s="1174"/>
      <c r="F193" s="1175"/>
      <c r="G193" s="1174"/>
      <c r="H193" s="1176"/>
      <c r="I193" s="1177"/>
      <c r="J193" s="1177"/>
      <c r="K193" s="1177">
        <f t="shared" si="3"/>
        <v>0</v>
      </c>
      <c r="L193" s="1178"/>
    </row>
    <row r="194" spans="2:12" ht="14.25" thickBot="1">
      <c r="B194" s="1171">
        <v>186</v>
      </c>
      <c r="C194" s="1203"/>
      <c r="D194" s="1173"/>
      <c r="E194" s="1174"/>
      <c r="F194" s="1175"/>
      <c r="G194" s="1174"/>
      <c r="H194" s="1176"/>
      <c r="I194" s="1177"/>
      <c r="J194" s="1177"/>
      <c r="K194" s="1177">
        <f t="shared" si="3"/>
        <v>0</v>
      </c>
      <c r="L194" s="1178"/>
    </row>
    <row r="195" spans="2:12" ht="13.5">
      <c r="B195" s="1162">
        <v>187</v>
      </c>
      <c r="C195" s="1203"/>
      <c r="D195" s="1173"/>
      <c r="E195" s="1174"/>
      <c r="F195" s="1175"/>
      <c r="G195" s="1174"/>
      <c r="H195" s="1176"/>
      <c r="I195" s="1177"/>
      <c r="J195" s="1177"/>
      <c r="K195" s="1177">
        <f t="shared" si="3"/>
        <v>0</v>
      </c>
      <c r="L195" s="1178"/>
    </row>
    <row r="196" spans="2:12" ht="14.25" thickBot="1">
      <c r="B196" s="1171">
        <v>188</v>
      </c>
      <c r="C196" s="1203"/>
      <c r="D196" s="1173"/>
      <c r="E196" s="1174"/>
      <c r="F196" s="1175"/>
      <c r="G196" s="1174"/>
      <c r="H196" s="1176"/>
      <c r="I196" s="1177"/>
      <c r="J196" s="1177"/>
      <c r="K196" s="1177">
        <f t="shared" si="3"/>
        <v>0</v>
      </c>
      <c r="L196" s="1178"/>
    </row>
    <row r="197" spans="2:12" ht="13.5">
      <c r="B197" s="1162">
        <v>189</v>
      </c>
      <c r="C197" s="1203"/>
      <c r="D197" s="1204"/>
      <c r="E197" s="1174"/>
      <c r="F197" s="1175"/>
      <c r="G197" s="1174"/>
      <c r="H197" s="1176"/>
      <c r="I197" s="1177"/>
      <c r="J197" s="1177"/>
      <c r="K197" s="1177">
        <f t="shared" si="3"/>
        <v>0</v>
      </c>
      <c r="L197" s="1178"/>
    </row>
    <row r="198" spans="2:12" ht="14.25" thickBot="1">
      <c r="B198" s="1171">
        <v>190</v>
      </c>
      <c r="C198" s="1203"/>
      <c r="D198" s="1173"/>
      <c r="E198" s="1174"/>
      <c r="F198" s="1175"/>
      <c r="G198" s="1174"/>
      <c r="H198" s="1176"/>
      <c r="I198" s="1177"/>
      <c r="J198" s="1177"/>
      <c r="K198" s="1177">
        <f t="shared" si="3"/>
        <v>0</v>
      </c>
      <c r="L198" s="1178"/>
    </row>
    <row r="199" spans="2:12" ht="13.5">
      <c r="B199" s="1162">
        <v>191</v>
      </c>
      <c r="C199" s="1203"/>
      <c r="D199" s="1204"/>
      <c r="E199" s="1174"/>
      <c r="F199" s="1175"/>
      <c r="G199" s="1174"/>
      <c r="H199" s="1176"/>
      <c r="I199" s="1177"/>
      <c r="J199" s="1177"/>
      <c r="K199" s="1177">
        <f t="shared" si="3"/>
        <v>0</v>
      </c>
      <c r="L199" s="1178"/>
    </row>
    <row r="200" spans="2:12" ht="14.25" thickBot="1">
      <c r="B200" s="1171">
        <v>192</v>
      </c>
      <c r="C200" s="1203"/>
      <c r="D200" s="1173"/>
      <c r="E200" s="1174"/>
      <c r="F200" s="1175"/>
      <c r="G200" s="1174"/>
      <c r="H200" s="1176"/>
      <c r="I200" s="1177"/>
      <c r="J200" s="1177"/>
      <c r="K200" s="1177">
        <f t="shared" si="3"/>
        <v>0</v>
      </c>
      <c r="L200" s="1178"/>
    </row>
    <row r="201" spans="2:12" ht="13.5">
      <c r="B201" s="1162">
        <v>193</v>
      </c>
      <c r="C201" s="1203"/>
      <c r="D201" s="1204"/>
      <c r="E201" s="1174"/>
      <c r="F201" s="1175"/>
      <c r="G201" s="1174"/>
      <c r="H201" s="1176"/>
      <c r="I201" s="1177"/>
      <c r="J201" s="1177"/>
      <c r="K201" s="1177">
        <f t="shared" si="3"/>
        <v>0</v>
      </c>
      <c r="L201" s="1178"/>
    </row>
    <row r="202" spans="2:12" ht="14.25" thickBot="1">
      <c r="B202" s="1171">
        <v>194</v>
      </c>
      <c r="C202" s="1203"/>
      <c r="D202" s="1173"/>
      <c r="E202" s="1174"/>
      <c r="F202" s="1175"/>
      <c r="G202" s="1174"/>
      <c r="H202" s="1176"/>
      <c r="I202" s="1177"/>
      <c r="J202" s="1177"/>
      <c r="K202" s="1177">
        <f aca="true" t="shared" si="4" ref="K202:K265">+J202*0.2</f>
        <v>0</v>
      </c>
      <c r="L202" s="1178"/>
    </row>
    <row r="203" spans="2:12" ht="13.5">
      <c r="B203" s="1162">
        <v>195</v>
      </c>
      <c r="C203" s="1203"/>
      <c r="D203" s="1204"/>
      <c r="E203" s="1174"/>
      <c r="F203" s="1175"/>
      <c r="G203" s="1174"/>
      <c r="H203" s="1176"/>
      <c r="I203" s="1177"/>
      <c r="J203" s="1177"/>
      <c r="K203" s="1177">
        <f t="shared" si="4"/>
        <v>0</v>
      </c>
      <c r="L203" s="1178"/>
    </row>
    <row r="204" spans="2:12" ht="14.25" thickBot="1">
      <c r="B204" s="1171">
        <v>196</v>
      </c>
      <c r="C204" s="1203"/>
      <c r="D204" s="1173"/>
      <c r="E204" s="1174"/>
      <c r="F204" s="1175"/>
      <c r="G204" s="1174"/>
      <c r="H204" s="1176"/>
      <c r="I204" s="1177"/>
      <c r="J204" s="1177"/>
      <c r="K204" s="1177">
        <f t="shared" si="4"/>
        <v>0</v>
      </c>
      <c r="L204" s="1178"/>
    </row>
    <row r="205" spans="2:12" ht="13.5">
      <c r="B205" s="1162">
        <v>197</v>
      </c>
      <c r="C205" s="1203"/>
      <c r="D205" s="1204"/>
      <c r="E205" s="1174"/>
      <c r="F205" s="1175"/>
      <c r="G205" s="1174"/>
      <c r="H205" s="1176"/>
      <c r="I205" s="1177"/>
      <c r="J205" s="1177"/>
      <c r="K205" s="1177">
        <f t="shared" si="4"/>
        <v>0</v>
      </c>
      <c r="L205" s="1178"/>
    </row>
    <row r="206" spans="2:12" ht="14.25" thickBot="1">
      <c r="B206" s="1171">
        <v>198</v>
      </c>
      <c r="C206" s="1203"/>
      <c r="D206" s="1173"/>
      <c r="E206" s="1174"/>
      <c r="F206" s="1175"/>
      <c r="G206" s="1174"/>
      <c r="H206" s="1176"/>
      <c r="I206" s="1177"/>
      <c r="J206" s="1177"/>
      <c r="K206" s="1177">
        <f t="shared" si="4"/>
        <v>0</v>
      </c>
      <c r="L206" s="1178"/>
    </row>
    <row r="207" spans="2:12" ht="13.5">
      <c r="B207" s="1162">
        <v>199</v>
      </c>
      <c r="C207" s="1203"/>
      <c r="D207" s="1204"/>
      <c r="E207" s="1174"/>
      <c r="F207" s="1175"/>
      <c r="G207" s="1174"/>
      <c r="H207" s="1176"/>
      <c r="I207" s="1177"/>
      <c r="J207" s="1177"/>
      <c r="K207" s="1177">
        <f t="shared" si="4"/>
        <v>0</v>
      </c>
      <c r="L207" s="1178"/>
    </row>
    <row r="208" spans="2:12" ht="14.25" thickBot="1">
      <c r="B208" s="1171">
        <v>200</v>
      </c>
      <c r="C208" s="1203"/>
      <c r="D208" s="1173"/>
      <c r="E208" s="1174"/>
      <c r="F208" s="1175"/>
      <c r="G208" s="1174"/>
      <c r="H208" s="1176"/>
      <c r="I208" s="1177"/>
      <c r="J208" s="1177"/>
      <c r="K208" s="1177">
        <f t="shared" si="4"/>
        <v>0</v>
      </c>
      <c r="L208" s="1178"/>
    </row>
    <row r="209" spans="2:12" ht="13.5">
      <c r="B209" s="1162">
        <v>201</v>
      </c>
      <c r="C209" s="1203"/>
      <c r="D209" s="1204"/>
      <c r="E209" s="1174"/>
      <c r="F209" s="1175"/>
      <c r="G209" s="1174"/>
      <c r="H209" s="1176"/>
      <c r="I209" s="1177"/>
      <c r="J209" s="1177"/>
      <c r="K209" s="1177">
        <f t="shared" si="4"/>
        <v>0</v>
      </c>
      <c r="L209" s="1178"/>
    </row>
    <row r="210" spans="2:12" ht="14.25" thickBot="1">
      <c r="B210" s="1171">
        <v>202</v>
      </c>
      <c r="C210" s="1203"/>
      <c r="D210" s="1204"/>
      <c r="E210" s="1174"/>
      <c r="F210" s="1175"/>
      <c r="G210" s="1174"/>
      <c r="H210" s="1176"/>
      <c r="I210" s="1177"/>
      <c r="J210" s="1177"/>
      <c r="K210" s="1177">
        <f t="shared" si="4"/>
        <v>0</v>
      </c>
      <c r="L210" s="1178"/>
    </row>
    <row r="211" spans="2:12" ht="13.5">
      <c r="B211" s="1162">
        <v>203</v>
      </c>
      <c r="C211" s="1203"/>
      <c r="D211" s="1204"/>
      <c r="E211" s="1174"/>
      <c r="F211" s="1175"/>
      <c r="G211" s="1174"/>
      <c r="H211" s="1176"/>
      <c r="I211" s="1177"/>
      <c r="J211" s="1177"/>
      <c r="K211" s="1177">
        <f t="shared" si="4"/>
        <v>0</v>
      </c>
      <c r="L211" s="1178"/>
    </row>
    <row r="212" spans="2:12" ht="14.25" thickBot="1">
      <c r="B212" s="1171">
        <v>204</v>
      </c>
      <c r="C212" s="1203"/>
      <c r="D212" s="1204"/>
      <c r="E212" s="1174"/>
      <c r="F212" s="1175"/>
      <c r="G212" s="1174"/>
      <c r="H212" s="1176"/>
      <c r="I212" s="1177"/>
      <c r="J212" s="1177"/>
      <c r="K212" s="1177">
        <f t="shared" si="4"/>
        <v>0</v>
      </c>
      <c r="L212" s="1178"/>
    </row>
    <row r="213" spans="2:12" ht="13.5">
      <c r="B213" s="1162">
        <v>205</v>
      </c>
      <c r="C213" s="1203"/>
      <c r="D213" s="1204"/>
      <c r="E213" s="1174"/>
      <c r="F213" s="1175"/>
      <c r="G213" s="1174"/>
      <c r="H213" s="1176"/>
      <c r="I213" s="1177"/>
      <c r="J213" s="1177"/>
      <c r="K213" s="1177">
        <f t="shared" si="4"/>
        <v>0</v>
      </c>
      <c r="L213" s="1178"/>
    </row>
    <row r="214" spans="2:12" ht="14.25" thickBot="1">
      <c r="B214" s="1171">
        <v>206</v>
      </c>
      <c r="C214" s="1203"/>
      <c r="D214" s="1204"/>
      <c r="E214" s="1174"/>
      <c r="F214" s="1175"/>
      <c r="G214" s="1174"/>
      <c r="H214" s="1176"/>
      <c r="I214" s="1177"/>
      <c r="J214" s="1177"/>
      <c r="K214" s="1177">
        <f t="shared" si="4"/>
        <v>0</v>
      </c>
      <c r="L214" s="1178"/>
    </row>
    <row r="215" spans="2:12" ht="13.5">
      <c r="B215" s="1162">
        <v>207</v>
      </c>
      <c r="C215" s="1203"/>
      <c r="D215" s="1204"/>
      <c r="E215" s="1174"/>
      <c r="F215" s="1175"/>
      <c r="G215" s="1174"/>
      <c r="H215" s="1176"/>
      <c r="I215" s="1177"/>
      <c r="J215" s="1177"/>
      <c r="K215" s="1177">
        <f t="shared" si="4"/>
        <v>0</v>
      </c>
      <c r="L215" s="1178"/>
    </row>
    <row r="216" spans="2:12" ht="14.25" thickBot="1">
      <c r="B216" s="1171">
        <v>208</v>
      </c>
      <c r="C216" s="1203"/>
      <c r="D216" s="1204"/>
      <c r="E216" s="1174"/>
      <c r="F216" s="1175"/>
      <c r="G216" s="1174"/>
      <c r="H216" s="1176"/>
      <c r="I216" s="1177"/>
      <c r="J216" s="1177"/>
      <c r="K216" s="1177">
        <f t="shared" si="4"/>
        <v>0</v>
      </c>
      <c r="L216" s="1178"/>
    </row>
    <row r="217" spans="2:12" ht="13.5">
      <c r="B217" s="1162">
        <v>209</v>
      </c>
      <c r="C217" s="1203"/>
      <c r="D217" s="1204"/>
      <c r="E217" s="1174"/>
      <c r="F217" s="1175"/>
      <c r="G217" s="1174"/>
      <c r="H217" s="1176"/>
      <c r="I217" s="1177"/>
      <c r="J217" s="1177"/>
      <c r="K217" s="1177">
        <f t="shared" si="4"/>
        <v>0</v>
      </c>
      <c r="L217" s="1178"/>
    </row>
    <row r="218" spans="2:12" ht="14.25" thickBot="1">
      <c r="B218" s="1171">
        <v>210</v>
      </c>
      <c r="C218" s="1203"/>
      <c r="D218" s="1204"/>
      <c r="E218" s="1174"/>
      <c r="F218" s="1175"/>
      <c r="G218" s="1174"/>
      <c r="H218" s="1176"/>
      <c r="I218" s="1177"/>
      <c r="J218" s="1177"/>
      <c r="K218" s="1177">
        <f t="shared" si="4"/>
        <v>0</v>
      </c>
      <c r="L218" s="1178"/>
    </row>
    <row r="219" spans="2:12" ht="13.5">
      <c r="B219" s="1162">
        <v>211</v>
      </c>
      <c r="C219" s="1203"/>
      <c r="D219" s="1204"/>
      <c r="E219" s="1174"/>
      <c r="F219" s="1175"/>
      <c r="G219" s="1174"/>
      <c r="H219" s="1176"/>
      <c r="I219" s="1177"/>
      <c r="J219" s="1177"/>
      <c r="K219" s="1177">
        <f t="shared" si="4"/>
        <v>0</v>
      </c>
      <c r="L219" s="1178"/>
    </row>
    <row r="220" spans="2:12" ht="14.25" thickBot="1">
      <c r="B220" s="1171">
        <v>212</v>
      </c>
      <c r="C220" s="1203"/>
      <c r="D220" s="1204"/>
      <c r="E220" s="1174"/>
      <c r="F220" s="1175"/>
      <c r="G220" s="1174"/>
      <c r="H220" s="1176"/>
      <c r="I220" s="1177"/>
      <c r="J220" s="1177"/>
      <c r="K220" s="1177">
        <f t="shared" si="4"/>
        <v>0</v>
      </c>
      <c r="L220" s="1178"/>
    </row>
    <row r="221" spans="2:12" ht="13.5">
      <c r="B221" s="1162">
        <v>213</v>
      </c>
      <c r="C221" s="1203"/>
      <c r="D221" s="1204"/>
      <c r="E221" s="1174"/>
      <c r="F221" s="1175"/>
      <c r="G221" s="1174"/>
      <c r="H221" s="1176"/>
      <c r="I221" s="1177"/>
      <c r="J221" s="1177"/>
      <c r="K221" s="1177">
        <f t="shared" si="4"/>
        <v>0</v>
      </c>
      <c r="L221" s="1178"/>
    </row>
    <row r="222" spans="2:12" ht="14.25" thickBot="1">
      <c r="B222" s="1171">
        <v>214</v>
      </c>
      <c r="C222" s="1203"/>
      <c r="D222" s="1204"/>
      <c r="E222" s="1174"/>
      <c r="F222" s="1175"/>
      <c r="G222" s="1174"/>
      <c r="H222" s="1176"/>
      <c r="I222" s="1177"/>
      <c r="J222" s="1177"/>
      <c r="K222" s="1177">
        <f t="shared" si="4"/>
        <v>0</v>
      </c>
      <c r="L222" s="1178"/>
    </row>
    <row r="223" spans="2:12" ht="13.5">
      <c r="B223" s="1162">
        <v>215</v>
      </c>
      <c r="C223" s="1203"/>
      <c r="D223" s="1204"/>
      <c r="E223" s="1174"/>
      <c r="F223" s="1175"/>
      <c r="G223" s="1174"/>
      <c r="H223" s="1176"/>
      <c r="I223" s="1177"/>
      <c r="J223" s="1177"/>
      <c r="K223" s="1177">
        <f t="shared" si="4"/>
        <v>0</v>
      </c>
      <c r="L223" s="1178"/>
    </row>
    <row r="224" spans="2:12" ht="14.25" thickBot="1">
      <c r="B224" s="1171">
        <v>216</v>
      </c>
      <c r="C224" s="1203"/>
      <c r="D224" s="1204"/>
      <c r="E224" s="1174"/>
      <c r="F224" s="1175"/>
      <c r="G224" s="1174"/>
      <c r="H224" s="1176"/>
      <c r="I224" s="1177"/>
      <c r="J224" s="1177"/>
      <c r="K224" s="1177">
        <f t="shared" si="4"/>
        <v>0</v>
      </c>
      <c r="L224" s="1178"/>
    </row>
    <row r="225" spans="2:12" ht="13.5">
      <c r="B225" s="1162">
        <v>217</v>
      </c>
      <c r="C225" s="1203"/>
      <c r="D225" s="1204"/>
      <c r="E225" s="1174"/>
      <c r="F225" s="1175"/>
      <c r="G225" s="1174"/>
      <c r="H225" s="1176"/>
      <c r="I225" s="1177"/>
      <c r="J225" s="1177"/>
      <c r="K225" s="1177">
        <f t="shared" si="4"/>
        <v>0</v>
      </c>
      <c r="L225" s="1178"/>
    </row>
    <row r="226" spans="2:12" ht="14.25" thickBot="1">
      <c r="B226" s="1171">
        <v>218</v>
      </c>
      <c r="C226" s="1203"/>
      <c r="D226" s="1204"/>
      <c r="E226" s="1174"/>
      <c r="F226" s="1175"/>
      <c r="G226" s="1174"/>
      <c r="H226" s="1176"/>
      <c r="I226" s="1177"/>
      <c r="J226" s="1177"/>
      <c r="K226" s="1177">
        <f t="shared" si="4"/>
        <v>0</v>
      </c>
      <c r="L226" s="1178"/>
    </row>
    <row r="227" spans="2:12" ht="13.5">
      <c r="B227" s="1162">
        <v>219</v>
      </c>
      <c r="C227" s="1203"/>
      <c r="D227" s="1204"/>
      <c r="E227" s="1174"/>
      <c r="F227" s="1175"/>
      <c r="G227" s="1174"/>
      <c r="H227" s="1176"/>
      <c r="I227" s="1177"/>
      <c r="J227" s="1177"/>
      <c r="K227" s="1177">
        <f t="shared" si="4"/>
        <v>0</v>
      </c>
      <c r="L227" s="1178"/>
    </row>
    <row r="228" spans="2:12" ht="14.25" thickBot="1">
      <c r="B228" s="1171">
        <v>220</v>
      </c>
      <c r="C228" s="1203"/>
      <c r="D228" s="1204"/>
      <c r="E228" s="1174"/>
      <c r="F228" s="1175"/>
      <c r="G228" s="1174"/>
      <c r="H228" s="1176"/>
      <c r="I228" s="1177"/>
      <c r="J228" s="1177"/>
      <c r="K228" s="1177">
        <f t="shared" si="4"/>
        <v>0</v>
      </c>
      <c r="L228" s="1178"/>
    </row>
    <row r="229" spans="2:12" ht="13.5">
      <c r="B229" s="1162">
        <v>221</v>
      </c>
      <c r="C229" s="1203"/>
      <c r="D229" s="1204"/>
      <c r="E229" s="1174"/>
      <c r="F229" s="1175"/>
      <c r="G229" s="1174"/>
      <c r="H229" s="1176"/>
      <c r="I229" s="1177"/>
      <c r="J229" s="1177"/>
      <c r="K229" s="1177">
        <f t="shared" si="4"/>
        <v>0</v>
      </c>
      <c r="L229" s="1178"/>
    </row>
    <row r="230" spans="2:12" ht="14.25" thickBot="1">
      <c r="B230" s="1171">
        <v>222</v>
      </c>
      <c r="C230" s="1203"/>
      <c r="D230" s="1204"/>
      <c r="E230" s="1174"/>
      <c r="F230" s="1175"/>
      <c r="G230" s="1174"/>
      <c r="H230" s="1176"/>
      <c r="I230" s="1177"/>
      <c r="J230" s="1177"/>
      <c r="K230" s="1177">
        <f t="shared" si="4"/>
        <v>0</v>
      </c>
      <c r="L230" s="1178"/>
    </row>
    <row r="231" spans="2:12" ht="13.5">
      <c r="B231" s="1162">
        <v>223</v>
      </c>
      <c r="C231" s="1203"/>
      <c r="D231" s="1204"/>
      <c r="E231" s="1174"/>
      <c r="F231" s="1175"/>
      <c r="G231" s="1174"/>
      <c r="H231" s="1176"/>
      <c r="I231" s="1177"/>
      <c r="J231" s="1177"/>
      <c r="K231" s="1177">
        <f t="shared" si="4"/>
        <v>0</v>
      </c>
      <c r="L231" s="1178"/>
    </row>
    <row r="232" spans="2:12" ht="14.25" thickBot="1">
      <c r="B232" s="1171">
        <v>224</v>
      </c>
      <c r="C232" s="1203"/>
      <c r="D232" s="1204"/>
      <c r="E232" s="1174"/>
      <c r="F232" s="1175"/>
      <c r="G232" s="1174"/>
      <c r="H232" s="1176"/>
      <c r="I232" s="1177"/>
      <c r="J232" s="1177"/>
      <c r="K232" s="1177">
        <f t="shared" si="4"/>
        <v>0</v>
      </c>
      <c r="L232" s="1178"/>
    </row>
    <row r="233" spans="2:12" ht="13.5">
      <c r="B233" s="1162">
        <v>225</v>
      </c>
      <c r="C233" s="1203"/>
      <c r="D233" s="1204"/>
      <c r="E233" s="1174"/>
      <c r="F233" s="1175"/>
      <c r="G233" s="1174"/>
      <c r="H233" s="1176"/>
      <c r="I233" s="1177"/>
      <c r="J233" s="1177"/>
      <c r="K233" s="1177">
        <f t="shared" si="4"/>
        <v>0</v>
      </c>
      <c r="L233" s="1178"/>
    </row>
    <row r="234" spans="2:12" ht="14.25" thickBot="1">
      <c r="B234" s="1171">
        <v>226</v>
      </c>
      <c r="C234" s="1203"/>
      <c r="D234" s="1204"/>
      <c r="E234" s="1174"/>
      <c r="F234" s="1175"/>
      <c r="G234" s="1174"/>
      <c r="H234" s="1176"/>
      <c r="I234" s="1177"/>
      <c r="J234" s="1177"/>
      <c r="K234" s="1177">
        <f t="shared" si="4"/>
        <v>0</v>
      </c>
      <c r="L234" s="1178"/>
    </row>
    <row r="235" spans="2:12" ht="13.5">
      <c r="B235" s="1162">
        <v>227</v>
      </c>
      <c r="C235" s="1203"/>
      <c r="D235" s="1204"/>
      <c r="E235" s="1174"/>
      <c r="F235" s="1175"/>
      <c r="G235" s="1174"/>
      <c r="H235" s="1176"/>
      <c r="I235" s="1177"/>
      <c r="J235" s="1177"/>
      <c r="K235" s="1177">
        <f t="shared" si="4"/>
        <v>0</v>
      </c>
      <c r="L235" s="1178"/>
    </row>
    <row r="236" spans="2:12" ht="14.25" thickBot="1">
      <c r="B236" s="1171">
        <v>228</v>
      </c>
      <c r="C236" s="1203"/>
      <c r="D236" s="1204"/>
      <c r="E236" s="1174"/>
      <c r="F236" s="1175"/>
      <c r="G236" s="1174"/>
      <c r="H236" s="1176"/>
      <c r="I236" s="1177"/>
      <c r="J236" s="1177"/>
      <c r="K236" s="1177">
        <f t="shared" si="4"/>
        <v>0</v>
      </c>
      <c r="L236" s="1178"/>
    </row>
    <row r="237" spans="2:12" ht="13.5">
      <c r="B237" s="1162">
        <v>229</v>
      </c>
      <c r="C237" s="1203"/>
      <c r="D237" s="1204"/>
      <c r="E237" s="1174"/>
      <c r="F237" s="1175"/>
      <c r="G237" s="1174"/>
      <c r="H237" s="1176"/>
      <c r="I237" s="1177"/>
      <c r="J237" s="1177"/>
      <c r="K237" s="1177">
        <f t="shared" si="4"/>
        <v>0</v>
      </c>
      <c r="L237" s="1178"/>
    </row>
    <row r="238" spans="2:12" ht="14.25" thickBot="1">
      <c r="B238" s="1171">
        <v>230</v>
      </c>
      <c r="C238" s="1203"/>
      <c r="D238" s="1204"/>
      <c r="E238" s="1174"/>
      <c r="F238" s="1175"/>
      <c r="G238" s="1174"/>
      <c r="H238" s="1176"/>
      <c r="I238" s="1177"/>
      <c r="J238" s="1177"/>
      <c r="K238" s="1177">
        <f t="shared" si="4"/>
        <v>0</v>
      </c>
      <c r="L238" s="1178"/>
    </row>
    <row r="239" spans="2:12" ht="13.5">
      <c r="B239" s="1162">
        <v>231</v>
      </c>
      <c r="C239" s="1203"/>
      <c r="D239" s="1204"/>
      <c r="E239" s="1174"/>
      <c r="F239" s="1175"/>
      <c r="G239" s="1174"/>
      <c r="H239" s="1176"/>
      <c r="I239" s="1177"/>
      <c r="J239" s="1177"/>
      <c r="K239" s="1177">
        <f t="shared" si="4"/>
        <v>0</v>
      </c>
      <c r="L239" s="1178"/>
    </row>
    <row r="240" spans="2:12" ht="14.25" thickBot="1">
      <c r="B240" s="1171">
        <v>232</v>
      </c>
      <c r="C240" s="1203"/>
      <c r="D240" s="1204"/>
      <c r="E240" s="1174"/>
      <c r="F240" s="1175"/>
      <c r="G240" s="1174"/>
      <c r="H240" s="1176"/>
      <c r="I240" s="1177"/>
      <c r="J240" s="1177"/>
      <c r="K240" s="1177">
        <f t="shared" si="4"/>
        <v>0</v>
      </c>
      <c r="L240" s="1178"/>
    </row>
    <row r="241" spans="2:12" ht="13.5">
      <c r="B241" s="1162">
        <v>233</v>
      </c>
      <c r="C241" s="1203"/>
      <c r="D241" s="1204"/>
      <c r="E241" s="1174"/>
      <c r="F241" s="1175"/>
      <c r="G241" s="1174"/>
      <c r="H241" s="1176"/>
      <c r="I241" s="1177"/>
      <c r="J241" s="1177"/>
      <c r="K241" s="1177">
        <f t="shared" si="4"/>
        <v>0</v>
      </c>
      <c r="L241" s="1178"/>
    </row>
    <row r="242" spans="2:12" ht="14.25" thickBot="1">
      <c r="B242" s="1171">
        <v>234</v>
      </c>
      <c r="C242" s="1203"/>
      <c r="D242" s="1204"/>
      <c r="E242" s="1174"/>
      <c r="F242" s="1175"/>
      <c r="G242" s="1174"/>
      <c r="H242" s="1176"/>
      <c r="I242" s="1177"/>
      <c r="J242" s="1177"/>
      <c r="K242" s="1177">
        <f t="shared" si="4"/>
        <v>0</v>
      </c>
      <c r="L242" s="1178"/>
    </row>
    <row r="243" spans="2:12" ht="13.5">
      <c r="B243" s="1162">
        <v>235</v>
      </c>
      <c r="C243" s="1203"/>
      <c r="D243" s="1204"/>
      <c r="E243" s="1174"/>
      <c r="F243" s="1175"/>
      <c r="G243" s="1174"/>
      <c r="H243" s="1176"/>
      <c r="I243" s="1177"/>
      <c r="J243" s="1177"/>
      <c r="K243" s="1177">
        <f t="shared" si="4"/>
        <v>0</v>
      </c>
      <c r="L243" s="1178"/>
    </row>
    <row r="244" spans="2:12" ht="14.25" thickBot="1">
      <c r="B244" s="1171">
        <v>236</v>
      </c>
      <c r="C244" s="1203"/>
      <c r="D244" s="1204"/>
      <c r="E244" s="1174"/>
      <c r="F244" s="1175"/>
      <c r="G244" s="1174"/>
      <c r="H244" s="1176"/>
      <c r="I244" s="1177"/>
      <c r="J244" s="1177"/>
      <c r="K244" s="1177">
        <f t="shared" si="4"/>
        <v>0</v>
      </c>
      <c r="L244" s="1178"/>
    </row>
    <row r="245" spans="2:12" ht="13.5">
      <c r="B245" s="1162">
        <v>237</v>
      </c>
      <c r="C245" s="1203"/>
      <c r="D245" s="1204"/>
      <c r="E245" s="1174"/>
      <c r="F245" s="1175"/>
      <c r="G245" s="1174"/>
      <c r="H245" s="1176"/>
      <c r="I245" s="1177"/>
      <c r="J245" s="1177"/>
      <c r="K245" s="1177">
        <f t="shared" si="4"/>
        <v>0</v>
      </c>
      <c r="L245" s="1178"/>
    </row>
    <row r="246" spans="2:12" ht="14.25" thickBot="1">
      <c r="B246" s="1171">
        <v>238</v>
      </c>
      <c r="C246" s="1203"/>
      <c r="D246" s="1204"/>
      <c r="E246" s="1174"/>
      <c r="F246" s="1175"/>
      <c r="G246" s="1174"/>
      <c r="H246" s="1176"/>
      <c r="I246" s="1177"/>
      <c r="J246" s="1177"/>
      <c r="K246" s="1177">
        <f t="shared" si="4"/>
        <v>0</v>
      </c>
      <c r="L246" s="1178"/>
    </row>
    <row r="247" spans="2:12" ht="13.5">
      <c r="B247" s="1162">
        <v>239</v>
      </c>
      <c r="C247" s="1203"/>
      <c r="D247" s="1204"/>
      <c r="E247" s="1174"/>
      <c r="F247" s="1175"/>
      <c r="G247" s="1174"/>
      <c r="H247" s="1176"/>
      <c r="I247" s="1177"/>
      <c r="J247" s="1177"/>
      <c r="K247" s="1177">
        <f t="shared" si="4"/>
        <v>0</v>
      </c>
      <c r="L247" s="1178"/>
    </row>
    <row r="248" spans="2:12" ht="14.25" thickBot="1">
      <c r="B248" s="1171">
        <v>240</v>
      </c>
      <c r="C248" s="1203"/>
      <c r="D248" s="1204"/>
      <c r="E248" s="1174"/>
      <c r="F248" s="1175"/>
      <c r="G248" s="1174"/>
      <c r="H248" s="1176"/>
      <c r="I248" s="1177"/>
      <c r="J248" s="1177"/>
      <c r="K248" s="1177">
        <f t="shared" si="4"/>
        <v>0</v>
      </c>
      <c r="L248" s="1178"/>
    </row>
    <row r="249" spans="2:12" ht="13.5">
      <c r="B249" s="1162">
        <v>241</v>
      </c>
      <c r="C249" s="1203"/>
      <c r="D249" s="1204"/>
      <c r="E249" s="1174"/>
      <c r="F249" s="1175"/>
      <c r="G249" s="1174"/>
      <c r="H249" s="1176"/>
      <c r="I249" s="1177"/>
      <c r="J249" s="1177"/>
      <c r="K249" s="1177">
        <f t="shared" si="4"/>
        <v>0</v>
      </c>
      <c r="L249" s="1178"/>
    </row>
    <row r="250" spans="2:12" ht="14.25" thickBot="1">
      <c r="B250" s="1171">
        <v>242</v>
      </c>
      <c r="C250" s="1203"/>
      <c r="D250" s="1204"/>
      <c r="E250" s="1174"/>
      <c r="F250" s="1175"/>
      <c r="G250" s="1174"/>
      <c r="H250" s="1176"/>
      <c r="I250" s="1177"/>
      <c r="J250" s="1177"/>
      <c r="K250" s="1177">
        <f t="shared" si="4"/>
        <v>0</v>
      </c>
      <c r="L250" s="1178"/>
    </row>
    <row r="251" spans="2:12" ht="13.5">
      <c r="B251" s="1162">
        <v>243</v>
      </c>
      <c r="C251" s="1203"/>
      <c r="D251" s="1204"/>
      <c r="E251" s="1174"/>
      <c r="F251" s="1175"/>
      <c r="G251" s="1174"/>
      <c r="H251" s="1176"/>
      <c r="I251" s="1177"/>
      <c r="J251" s="1177"/>
      <c r="K251" s="1177">
        <f t="shared" si="4"/>
        <v>0</v>
      </c>
      <c r="L251" s="1178"/>
    </row>
    <row r="252" spans="2:12" ht="14.25" thickBot="1">
      <c r="B252" s="1171">
        <v>244</v>
      </c>
      <c r="C252" s="1203"/>
      <c r="D252" s="1204"/>
      <c r="E252" s="1174"/>
      <c r="F252" s="1175"/>
      <c r="G252" s="1174"/>
      <c r="H252" s="1176"/>
      <c r="I252" s="1177"/>
      <c r="J252" s="1177"/>
      <c r="K252" s="1177">
        <f t="shared" si="4"/>
        <v>0</v>
      </c>
      <c r="L252" s="1178"/>
    </row>
    <row r="253" spans="2:12" ht="13.5">
      <c r="B253" s="1162">
        <v>245</v>
      </c>
      <c r="C253" s="1203"/>
      <c r="D253" s="1204"/>
      <c r="E253" s="1174"/>
      <c r="F253" s="1175"/>
      <c r="G253" s="1174"/>
      <c r="H253" s="1176"/>
      <c r="I253" s="1177"/>
      <c r="J253" s="1177"/>
      <c r="K253" s="1177">
        <f t="shared" si="4"/>
        <v>0</v>
      </c>
      <c r="L253" s="1178"/>
    </row>
    <row r="254" spans="2:12" ht="14.25" thickBot="1">
      <c r="B254" s="1171">
        <v>246</v>
      </c>
      <c r="C254" s="1203"/>
      <c r="D254" s="1204"/>
      <c r="E254" s="1174"/>
      <c r="F254" s="1175"/>
      <c r="G254" s="1174"/>
      <c r="H254" s="1176"/>
      <c r="I254" s="1177"/>
      <c r="J254" s="1177"/>
      <c r="K254" s="1177">
        <f t="shared" si="4"/>
        <v>0</v>
      </c>
      <c r="L254" s="1178"/>
    </row>
    <row r="255" spans="2:12" ht="13.5">
      <c r="B255" s="1162">
        <v>247</v>
      </c>
      <c r="C255" s="1203"/>
      <c r="D255" s="1204"/>
      <c r="E255" s="1174"/>
      <c r="F255" s="1175"/>
      <c r="G255" s="1174"/>
      <c r="H255" s="1176"/>
      <c r="I255" s="1177"/>
      <c r="J255" s="1177"/>
      <c r="K255" s="1177">
        <f t="shared" si="4"/>
        <v>0</v>
      </c>
      <c r="L255" s="1178"/>
    </row>
    <row r="256" spans="2:12" ht="14.25" thickBot="1">
      <c r="B256" s="1171">
        <v>248</v>
      </c>
      <c r="C256" s="1203"/>
      <c r="D256" s="1204"/>
      <c r="E256" s="1174"/>
      <c r="F256" s="1175"/>
      <c r="G256" s="1174"/>
      <c r="H256" s="1176"/>
      <c r="I256" s="1177"/>
      <c r="J256" s="1177"/>
      <c r="K256" s="1177">
        <f t="shared" si="4"/>
        <v>0</v>
      </c>
      <c r="L256" s="1178"/>
    </row>
    <row r="257" spans="2:12" ht="13.5">
      <c r="B257" s="1162">
        <v>249</v>
      </c>
      <c r="C257" s="1203"/>
      <c r="D257" s="1204"/>
      <c r="E257" s="1174"/>
      <c r="F257" s="1175"/>
      <c r="G257" s="1174"/>
      <c r="H257" s="1176"/>
      <c r="I257" s="1177"/>
      <c r="J257" s="1177"/>
      <c r="K257" s="1177">
        <f t="shared" si="4"/>
        <v>0</v>
      </c>
      <c r="L257" s="1178"/>
    </row>
    <row r="258" spans="2:12" ht="14.25" thickBot="1">
      <c r="B258" s="1171">
        <v>250</v>
      </c>
      <c r="C258" s="1203"/>
      <c r="D258" s="1204"/>
      <c r="E258" s="1174"/>
      <c r="F258" s="1175"/>
      <c r="G258" s="1174"/>
      <c r="H258" s="1176"/>
      <c r="I258" s="1177"/>
      <c r="J258" s="1177"/>
      <c r="K258" s="1177">
        <f t="shared" si="4"/>
        <v>0</v>
      </c>
      <c r="L258" s="1178"/>
    </row>
    <row r="259" spans="2:12" ht="13.5">
      <c r="B259" s="1162">
        <v>251</v>
      </c>
      <c r="C259" s="1203"/>
      <c r="D259" s="1204"/>
      <c r="E259" s="1174"/>
      <c r="F259" s="1175"/>
      <c r="G259" s="1174"/>
      <c r="H259" s="1176"/>
      <c r="I259" s="1177"/>
      <c r="J259" s="1177"/>
      <c r="K259" s="1177">
        <f t="shared" si="4"/>
        <v>0</v>
      </c>
      <c r="L259" s="1178"/>
    </row>
    <row r="260" spans="2:12" ht="14.25" thickBot="1">
      <c r="B260" s="1171">
        <v>252</v>
      </c>
      <c r="C260" s="1203"/>
      <c r="D260" s="1204"/>
      <c r="E260" s="1174"/>
      <c r="F260" s="1175"/>
      <c r="G260" s="1174"/>
      <c r="H260" s="1176"/>
      <c r="I260" s="1177"/>
      <c r="J260" s="1177"/>
      <c r="K260" s="1177">
        <f t="shared" si="4"/>
        <v>0</v>
      </c>
      <c r="L260" s="1178"/>
    </row>
    <row r="261" spans="2:12" ht="13.5">
      <c r="B261" s="1162">
        <v>253</v>
      </c>
      <c r="C261" s="1203"/>
      <c r="D261" s="1204"/>
      <c r="E261" s="1174"/>
      <c r="F261" s="1175"/>
      <c r="G261" s="1174"/>
      <c r="H261" s="1176"/>
      <c r="I261" s="1177"/>
      <c r="J261" s="1177"/>
      <c r="K261" s="1177">
        <f t="shared" si="4"/>
        <v>0</v>
      </c>
      <c r="L261" s="1178"/>
    </row>
    <row r="262" spans="2:12" ht="14.25" thickBot="1">
      <c r="B262" s="1171">
        <v>254</v>
      </c>
      <c r="C262" s="1203"/>
      <c r="D262" s="1204"/>
      <c r="E262" s="1174"/>
      <c r="F262" s="1175"/>
      <c r="G262" s="1174"/>
      <c r="H262" s="1176"/>
      <c r="I262" s="1177"/>
      <c r="J262" s="1177"/>
      <c r="K262" s="1177">
        <f t="shared" si="4"/>
        <v>0</v>
      </c>
      <c r="L262" s="1178"/>
    </row>
    <row r="263" spans="2:12" ht="13.5">
      <c r="B263" s="1162">
        <v>255</v>
      </c>
      <c r="C263" s="1203"/>
      <c r="D263" s="1204"/>
      <c r="E263" s="1174"/>
      <c r="F263" s="1175"/>
      <c r="G263" s="1174"/>
      <c r="H263" s="1176"/>
      <c r="I263" s="1177"/>
      <c r="J263" s="1177"/>
      <c r="K263" s="1177">
        <f t="shared" si="4"/>
        <v>0</v>
      </c>
      <c r="L263" s="1178"/>
    </row>
    <row r="264" spans="2:12" ht="14.25" thickBot="1">
      <c r="B264" s="1171">
        <v>256</v>
      </c>
      <c r="C264" s="1203"/>
      <c r="D264" s="1204"/>
      <c r="E264" s="1174"/>
      <c r="F264" s="1175"/>
      <c r="G264" s="1174"/>
      <c r="H264" s="1176"/>
      <c r="I264" s="1177"/>
      <c r="J264" s="1177"/>
      <c r="K264" s="1177">
        <f t="shared" si="4"/>
        <v>0</v>
      </c>
      <c r="L264" s="1178"/>
    </row>
    <row r="265" spans="2:12" ht="13.5">
      <c r="B265" s="1162">
        <v>257</v>
      </c>
      <c r="C265" s="1203"/>
      <c r="D265" s="1204"/>
      <c r="E265" s="1174"/>
      <c r="F265" s="1175"/>
      <c r="G265" s="1174"/>
      <c r="H265" s="1176"/>
      <c r="I265" s="1177"/>
      <c r="J265" s="1177"/>
      <c r="K265" s="1177">
        <f t="shared" si="4"/>
        <v>0</v>
      </c>
      <c r="L265" s="1178"/>
    </row>
    <row r="266" spans="2:12" ht="14.25" thickBot="1">
      <c r="B266" s="1171">
        <v>258</v>
      </c>
      <c r="C266" s="1203"/>
      <c r="D266" s="1204"/>
      <c r="E266" s="1174"/>
      <c r="F266" s="1175"/>
      <c r="G266" s="1174"/>
      <c r="H266" s="1176"/>
      <c r="I266" s="1177"/>
      <c r="J266" s="1177"/>
      <c r="K266" s="1177">
        <f aca="true" t="shared" si="5" ref="K266:K329">+J266*0.2</f>
        <v>0</v>
      </c>
      <c r="L266" s="1178"/>
    </row>
    <row r="267" spans="2:12" ht="13.5">
      <c r="B267" s="1162">
        <v>259</v>
      </c>
      <c r="C267" s="1203"/>
      <c r="D267" s="1204"/>
      <c r="E267" s="1174"/>
      <c r="F267" s="1175"/>
      <c r="G267" s="1174"/>
      <c r="H267" s="1176"/>
      <c r="I267" s="1177"/>
      <c r="J267" s="1177"/>
      <c r="K267" s="1177">
        <f t="shared" si="5"/>
        <v>0</v>
      </c>
      <c r="L267" s="1178"/>
    </row>
    <row r="268" spans="2:12" ht="14.25" thickBot="1">
      <c r="B268" s="1171">
        <v>260</v>
      </c>
      <c r="C268" s="1203"/>
      <c r="D268" s="1204"/>
      <c r="E268" s="1174"/>
      <c r="F268" s="1175"/>
      <c r="G268" s="1174"/>
      <c r="H268" s="1176"/>
      <c r="I268" s="1177"/>
      <c r="J268" s="1177"/>
      <c r="K268" s="1177">
        <f t="shared" si="5"/>
        <v>0</v>
      </c>
      <c r="L268" s="1178"/>
    </row>
    <row r="269" spans="2:12" ht="13.5">
      <c r="B269" s="1162">
        <v>261</v>
      </c>
      <c r="C269" s="1203"/>
      <c r="D269" s="1204"/>
      <c r="E269" s="1174"/>
      <c r="F269" s="1175"/>
      <c r="G269" s="1174"/>
      <c r="H269" s="1176"/>
      <c r="I269" s="1177"/>
      <c r="J269" s="1177"/>
      <c r="K269" s="1177">
        <f t="shared" si="5"/>
        <v>0</v>
      </c>
      <c r="L269" s="1178"/>
    </row>
    <row r="270" spans="2:12" ht="14.25" thickBot="1">
      <c r="B270" s="1171">
        <v>262</v>
      </c>
      <c r="C270" s="1203"/>
      <c r="D270" s="1204"/>
      <c r="E270" s="1174"/>
      <c r="F270" s="1175"/>
      <c r="G270" s="1174"/>
      <c r="H270" s="1176"/>
      <c r="I270" s="1177"/>
      <c r="J270" s="1177"/>
      <c r="K270" s="1177">
        <f t="shared" si="5"/>
        <v>0</v>
      </c>
      <c r="L270" s="1178"/>
    </row>
    <row r="271" spans="2:12" ht="13.5">
      <c r="B271" s="1162">
        <v>263</v>
      </c>
      <c r="C271" s="1203"/>
      <c r="D271" s="1204"/>
      <c r="E271" s="1174"/>
      <c r="F271" s="1175"/>
      <c r="G271" s="1174"/>
      <c r="H271" s="1176"/>
      <c r="I271" s="1177"/>
      <c r="J271" s="1177"/>
      <c r="K271" s="1177">
        <f t="shared" si="5"/>
        <v>0</v>
      </c>
      <c r="L271" s="1178"/>
    </row>
    <row r="272" spans="2:12" ht="14.25" thickBot="1">
      <c r="B272" s="1171">
        <v>264</v>
      </c>
      <c r="C272" s="1203"/>
      <c r="D272" s="1204"/>
      <c r="E272" s="1174"/>
      <c r="F272" s="1175"/>
      <c r="G272" s="1174"/>
      <c r="H272" s="1176"/>
      <c r="I272" s="1177"/>
      <c r="J272" s="1177"/>
      <c r="K272" s="1177">
        <f t="shared" si="5"/>
        <v>0</v>
      </c>
      <c r="L272" s="1178"/>
    </row>
    <row r="273" spans="2:12" ht="13.5">
      <c r="B273" s="1162">
        <v>265</v>
      </c>
      <c r="C273" s="1203"/>
      <c r="D273" s="1204"/>
      <c r="E273" s="1174"/>
      <c r="F273" s="1175"/>
      <c r="G273" s="1174"/>
      <c r="H273" s="1176"/>
      <c r="I273" s="1177"/>
      <c r="J273" s="1177"/>
      <c r="K273" s="1177">
        <f t="shared" si="5"/>
        <v>0</v>
      </c>
      <c r="L273" s="1178"/>
    </row>
    <row r="274" spans="2:12" ht="14.25" thickBot="1">
      <c r="B274" s="1171">
        <v>266</v>
      </c>
      <c r="C274" s="1203"/>
      <c r="D274" s="1204"/>
      <c r="E274" s="1174"/>
      <c r="F274" s="1175"/>
      <c r="G274" s="1174"/>
      <c r="H274" s="1176"/>
      <c r="I274" s="1177"/>
      <c r="J274" s="1177"/>
      <c r="K274" s="1177">
        <f t="shared" si="5"/>
        <v>0</v>
      </c>
      <c r="L274" s="1178"/>
    </row>
    <row r="275" spans="2:12" ht="13.5">
      <c r="B275" s="1162">
        <v>267</v>
      </c>
      <c r="C275" s="1203"/>
      <c r="D275" s="1204"/>
      <c r="E275" s="1174"/>
      <c r="F275" s="1175"/>
      <c r="G275" s="1174"/>
      <c r="H275" s="1176"/>
      <c r="I275" s="1177"/>
      <c r="J275" s="1177"/>
      <c r="K275" s="1177">
        <f t="shared" si="5"/>
        <v>0</v>
      </c>
      <c r="L275" s="1178"/>
    </row>
    <row r="276" spans="2:12" ht="14.25" thickBot="1">
      <c r="B276" s="1171">
        <v>268</v>
      </c>
      <c r="C276" s="1203"/>
      <c r="D276" s="1204"/>
      <c r="E276" s="1174"/>
      <c r="F276" s="1175"/>
      <c r="G276" s="1174"/>
      <c r="H276" s="1176"/>
      <c r="I276" s="1177"/>
      <c r="J276" s="1177"/>
      <c r="K276" s="1177">
        <f t="shared" si="5"/>
        <v>0</v>
      </c>
      <c r="L276" s="1178"/>
    </row>
    <row r="277" spans="2:12" ht="13.5">
      <c r="B277" s="1162">
        <v>269</v>
      </c>
      <c r="C277" s="1203"/>
      <c r="D277" s="1204"/>
      <c r="E277" s="1174"/>
      <c r="F277" s="1175"/>
      <c r="G277" s="1174"/>
      <c r="H277" s="1176"/>
      <c r="I277" s="1177"/>
      <c r="J277" s="1177"/>
      <c r="K277" s="1177">
        <f t="shared" si="5"/>
        <v>0</v>
      </c>
      <c r="L277" s="1178"/>
    </row>
    <row r="278" spans="2:12" ht="14.25" thickBot="1">
      <c r="B278" s="1171">
        <v>270</v>
      </c>
      <c r="C278" s="1203"/>
      <c r="D278" s="1204"/>
      <c r="E278" s="1174"/>
      <c r="F278" s="1175"/>
      <c r="G278" s="1174"/>
      <c r="H278" s="1176"/>
      <c r="I278" s="1177"/>
      <c r="J278" s="1177"/>
      <c r="K278" s="1177">
        <f t="shared" si="5"/>
        <v>0</v>
      </c>
      <c r="L278" s="1178"/>
    </row>
    <row r="279" spans="2:12" ht="13.5">
      <c r="B279" s="1162">
        <v>271</v>
      </c>
      <c r="C279" s="1203"/>
      <c r="D279" s="1204"/>
      <c r="E279" s="1174"/>
      <c r="F279" s="1175"/>
      <c r="G279" s="1174"/>
      <c r="H279" s="1176"/>
      <c r="I279" s="1177"/>
      <c r="J279" s="1177"/>
      <c r="K279" s="1177">
        <f t="shared" si="5"/>
        <v>0</v>
      </c>
      <c r="L279" s="1178"/>
    </row>
    <row r="280" spans="2:12" ht="14.25" thickBot="1">
      <c r="B280" s="1171">
        <v>272</v>
      </c>
      <c r="C280" s="1203"/>
      <c r="D280" s="1204"/>
      <c r="E280" s="1174"/>
      <c r="F280" s="1175"/>
      <c r="G280" s="1174"/>
      <c r="H280" s="1176"/>
      <c r="I280" s="1177"/>
      <c r="J280" s="1177"/>
      <c r="K280" s="1177">
        <f t="shared" si="5"/>
        <v>0</v>
      </c>
      <c r="L280" s="1178"/>
    </row>
    <row r="281" spans="2:12" ht="13.5">
      <c r="B281" s="1162">
        <v>273</v>
      </c>
      <c r="C281" s="1203"/>
      <c r="D281" s="1204"/>
      <c r="E281" s="1174"/>
      <c r="F281" s="1175"/>
      <c r="G281" s="1174"/>
      <c r="H281" s="1176"/>
      <c r="I281" s="1177"/>
      <c r="J281" s="1177"/>
      <c r="K281" s="1177">
        <f t="shared" si="5"/>
        <v>0</v>
      </c>
      <c r="L281" s="1178"/>
    </row>
    <row r="282" spans="2:12" ht="14.25" thickBot="1">
      <c r="B282" s="1171">
        <v>274</v>
      </c>
      <c r="C282" s="1203"/>
      <c r="D282" s="1204"/>
      <c r="E282" s="1174"/>
      <c r="F282" s="1175"/>
      <c r="G282" s="1174"/>
      <c r="H282" s="1176"/>
      <c r="I282" s="1177"/>
      <c r="J282" s="1177"/>
      <c r="K282" s="1177">
        <f t="shared" si="5"/>
        <v>0</v>
      </c>
      <c r="L282" s="1178"/>
    </row>
    <row r="283" spans="2:12" ht="13.5">
      <c r="B283" s="1162">
        <v>275</v>
      </c>
      <c r="C283" s="1203"/>
      <c r="D283" s="1204"/>
      <c r="E283" s="1174"/>
      <c r="F283" s="1175"/>
      <c r="G283" s="1174"/>
      <c r="H283" s="1176"/>
      <c r="I283" s="1177"/>
      <c r="J283" s="1177"/>
      <c r="K283" s="1177">
        <f t="shared" si="5"/>
        <v>0</v>
      </c>
      <c r="L283" s="1178"/>
    </row>
    <row r="284" spans="2:12" ht="14.25" thickBot="1">
      <c r="B284" s="1171">
        <v>276</v>
      </c>
      <c r="C284" s="1203"/>
      <c r="D284" s="1204"/>
      <c r="E284" s="1174"/>
      <c r="F284" s="1175"/>
      <c r="G284" s="1174"/>
      <c r="H284" s="1176"/>
      <c r="I284" s="1177"/>
      <c r="J284" s="1177"/>
      <c r="K284" s="1177">
        <f t="shared" si="5"/>
        <v>0</v>
      </c>
      <c r="L284" s="1178"/>
    </row>
    <row r="285" spans="2:12" ht="13.5">
      <c r="B285" s="1162">
        <v>277</v>
      </c>
      <c r="C285" s="1203"/>
      <c r="D285" s="1204"/>
      <c r="E285" s="1174"/>
      <c r="F285" s="1175"/>
      <c r="G285" s="1174"/>
      <c r="H285" s="1176"/>
      <c r="I285" s="1177"/>
      <c r="J285" s="1177"/>
      <c r="K285" s="1177">
        <f t="shared" si="5"/>
        <v>0</v>
      </c>
      <c r="L285" s="1178"/>
    </row>
    <row r="286" spans="2:12" ht="14.25" thickBot="1">
      <c r="B286" s="1171">
        <v>278</v>
      </c>
      <c r="C286" s="1203"/>
      <c r="D286" s="1204"/>
      <c r="E286" s="1174"/>
      <c r="F286" s="1175"/>
      <c r="G286" s="1174"/>
      <c r="H286" s="1176"/>
      <c r="I286" s="1177"/>
      <c r="J286" s="1177"/>
      <c r="K286" s="1177">
        <f t="shared" si="5"/>
        <v>0</v>
      </c>
      <c r="L286" s="1178"/>
    </row>
    <row r="287" spans="2:12" ht="13.5">
      <c r="B287" s="1162">
        <v>279</v>
      </c>
      <c r="C287" s="1203"/>
      <c r="D287" s="1204"/>
      <c r="E287" s="1174"/>
      <c r="F287" s="1175"/>
      <c r="G287" s="1174"/>
      <c r="H287" s="1176"/>
      <c r="I287" s="1177"/>
      <c r="J287" s="1177"/>
      <c r="K287" s="1177">
        <f t="shared" si="5"/>
        <v>0</v>
      </c>
      <c r="L287" s="1178"/>
    </row>
    <row r="288" spans="2:12" ht="14.25" thickBot="1">
      <c r="B288" s="1171">
        <v>280</v>
      </c>
      <c r="C288" s="1203"/>
      <c r="D288" s="1204"/>
      <c r="E288" s="1174"/>
      <c r="F288" s="1175"/>
      <c r="G288" s="1174"/>
      <c r="H288" s="1176"/>
      <c r="I288" s="1177"/>
      <c r="J288" s="1177"/>
      <c r="K288" s="1177">
        <f t="shared" si="5"/>
        <v>0</v>
      </c>
      <c r="L288" s="1178"/>
    </row>
    <row r="289" spans="2:12" ht="13.5">
      <c r="B289" s="1162">
        <v>281</v>
      </c>
      <c r="C289" s="1203"/>
      <c r="D289" s="1204"/>
      <c r="E289" s="1174"/>
      <c r="F289" s="1175"/>
      <c r="G289" s="1174"/>
      <c r="H289" s="1176"/>
      <c r="I289" s="1177"/>
      <c r="J289" s="1177"/>
      <c r="K289" s="1177">
        <f t="shared" si="5"/>
        <v>0</v>
      </c>
      <c r="L289" s="1178"/>
    </row>
    <row r="290" spans="2:12" ht="14.25" thickBot="1">
      <c r="B290" s="1171">
        <v>282</v>
      </c>
      <c r="C290" s="1203"/>
      <c r="D290" s="1204"/>
      <c r="E290" s="1174"/>
      <c r="F290" s="1175"/>
      <c r="G290" s="1174"/>
      <c r="H290" s="1176"/>
      <c r="I290" s="1177"/>
      <c r="J290" s="1177"/>
      <c r="K290" s="1177">
        <f t="shared" si="5"/>
        <v>0</v>
      </c>
      <c r="L290" s="1178"/>
    </row>
    <row r="291" spans="2:12" ht="13.5">
      <c r="B291" s="1162">
        <v>283</v>
      </c>
      <c r="C291" s="1203"/>
      <c r="D291" s="1204"/>
      <c r="E291" s="1174"/>
      <c r="F291" s="1175"/>
      <c r="G291" s="1174"/>
      <c r="H291" s="1176"/>
      <c r="I291" s="1177"/>
      <c r="J291" s="1177"/>
      <c r="K291" s="1177">
        <f t="shared" si="5"/>
        <v>0</v>
      </c>
      <c r="L291" s="1178"/>
    </row>
    <row r="292" spans="2:12" ht="14.25" thickBot="1">
      <c r="B292" s="1171">
        <v>284</v>
      </c>
      <c r="C292" s="1203"/>
      <c r="D292" s="1204"/>
      <c r="E292" s="1174"/>
      <c r="F292" s="1175"/>
      <c r="G292" s="1174"/>
      <c r="H292" s="1176"/>
      <c r="I292" s="1177"/>
      <c r="J292" s="1177"/>
      <c r="K292" s="1177">
        <f t="shared" si="5"/>
        <v>0</v>
      </c>
      <c r="L292" s="1178"/>
    </row>
    <row r="293" spans="2:12" ht="13.5">
      <c r="B293" s="1162">
        <v>285</v>
      </c>
      <c r="C293" s="1203"/>
      <c r="D293" s="1204"/>
      <c r="E293" s="1174"/>
      <c r="F293" s="1175"/>
      <c r="G293" s="1174"/>
      <c r="H293" s="1176"/>
      <c r="I293" s="1177"/>
      <c r="J293" s="1177"/>
      <c r="K293" s="1177">
        <f t="shared" si="5"/>
        <v>0</v>
      </c>
      <c r="L293" s="1178"/>
    </row>
    <row r="294" spans="2:12" ht="14.25" thickBot="1">
      <c r="B294" s="1171">
        <v>286</v>
      </c>
      <c r="C294" s="1203"/>
      <c r="D294" s="1173"/>
      <c r="E294" s="1174"/>
      <c r="F294" s="1175"/>
      <c r="G294" s="1174"/>
      <c r="H294" s="1176"/>
      <c r="I294" s="1177"/>
      <c r="J294" s="1177"/>
      <c r="K294" s="1177">
        <f t="shared" si="5"/>
        <v>0</v>
      </c>
      <c r="L294" s="1178"/>
    </row>
    <row r="295" spans="2:12" ht="13.5">
      <c r="B295" s="1162">
        <v>287</v>
      </c>
      <c r="C295" s="1203"/>
      <c r="D295" s="1173"/>
      <c r="E295" s="1174"/>
      <c r="F295" s="1175"/>
      <c r="G295" s="1174"/>
      <c r="H295" s="1176"/>
      <c r="I295" s="1177"/>
      <c r="J295" s="1177"/>
      <c r="K295" s="1177">
        <f t="shared" si="5"/>
        <v>0</v>
      </c>
      <c r="L295" s="1178"/>
    </row>
    <row r="296" spans="2:12" ht="14.25" thickBot="1">
      <c r="B296" s="1171">
        <v>288</v>
      </c>
      <c r="C296" s="1203"/>
      <c r="D296" s="1173"/>
      <c r="E296" s="1174"/>
      <c r="F296" s="1175"/>
      <c r="G296" s="1174"/>
      <c r="H296" s="1176"/>
      <c r="I296" s="1177"/>
      <c r="J296" s="1177"/>
      <c r="K296" s="1177">
        <f t="shared" si="5"/>
        <v>0</v>
      </c>
      <c r="L296" s="1178"/>
    </row>
    <row r="297" spans="2:12" ht="13.5">
      <c r="B297" s="1162">
        <v>289</v>
      </c>
      <c r="C297" s="1203"/>
      <c r="D297" s="1173"/>
      <c r="E297" s="1174"/>
      <c r="F297" s="1175"/>
      <c r="G297" s="1174"/>
      <c r="H297" s="1176"/>
      <c r="I297" s="1177"/>
      <c r="J297" s="1177"/>
      <c r="K297" s="1177">
        <f t="shared" si="5"/>
        <v>0</v>
      </c>
      <c r="L297" s="1178"/>
    </row>
    <row r="298" spans="2:12" ht="14.25" thickBot="1">
      <c r="B298" s="1171">
        <v>290</v>
      </c>
      <c r="C298" s="1203"/>
      <c r="D298" s="1173"/>
      <c r="E298" s="1174"/>
      <c r="F298" s="1175"/>
      <c r="G298" s="1174"/>
      <c r="H298" s="1176"/>
      <c r="I298" s="1177"/>
      <c r="J298" s="1177"/>
      <c r="K298" s="1177">
        <f t="shared" si="5"/>
        <v>0</v>
      </c>
      <c r="L298" s="1178"/>
    </row>
    <row r="299" spans="2:12" ht="13.5">
      <c r="B299" s="1162">
        <v>291</v>
      </c>
      <c r="C299" s="1203"/>
      <c r="D299" s="1173"/>
      <c r="E299" s="1174"/>
      <c r="F299" s="1175"/>
      <c r="G299" s="1174"/>
      <c r="H299" s="1176"/>
      <c r="I299" s="1177"/>
      <c r="J299" s="1177"/>
      <c r="K299" s="1177">
        <f t="shared" si="5"/>
        <v>0</v>
      </c>
      <c r="L299" s="1178"/>
    </row>
    <row r="300" spans="2:12" ht="14.25" thickBot="1">
      <c r="B300" s="1171">
        <v>292</v>
      </c>
      <c r="C300" s="1203"/>
      <c r="D300" s="1173"/>
      <c r="E300" s="1174"/>
      <c r="F300" s="1175"/>
      <c r="G300" s="1174"/>
      <c r="H300" s="1176"/>
      <c r="I300" s="1177"/>
      <c r="J300" s="1177"/>
      <c r="K300" s="1177">
        <f t="shared" si="5"/>
        <v>0</v>
      </c>
      <c r="L300" s="1178"/>
    </row>
    <row r="301" spans="2:12" ht="13.5">
      <c r="B301" s="1162">
        <v>293</v>
      </c>
      <c r="C301" s="1203"/>
      <c r="D301" s="1173"/>
      <c r="E301" s="1174"/>
      <c r="F301" s="1175"/>
      <c r="G301" s="1174"/>
      <c r="H301" s="1176"/>
      <c r="I301" s="1177"/>
      <c r="J301" s="1177"/>
      <c r="K301" s="1177">
        <f t="shared" si="5"/>
        <v>0</v>
      </c>
      <c r="L301" s="1178"/>
    </row>
    <row r="302" spans="2:12" ht="14.25" thickBot="1">
      <c r="B302" s="1171">
        <v>294</v>
      </c>
      <c r="C302" s="1203"/>
      <c r="D302" s="1173"/>
      <c r="E302" s="1174"/>
      <c r="F302" s="1175"/>
      <c r="G302" s="1174"/>
      <c r="H302" s="1176"/>
      <c r="I302" s="1177"/>
      <c r="J302" s="1177"/>
      <c r="K302" s="1177">
        <f t="shared" si="5"/>
        <v>0</v>
      </c>
      <c r="L302" s="1178"/>
    </row>
    <row r="303" spans="2:12" ht="13.5">
      <c r="B303" s="1162">
        <v>295</v>
      </c>
      <c r="C303" s="1203"/>
      <c r="D303" s="1173"/>
      <c r="E303" s="1174"/>
      <c r="F303" s="1175"/>
      <c r="G303" s="1174"/>
      <c r="H303" s="1176"/>
      <c r="I303" s="1177"/>
      <c r="J303" s="1177"/>
      <c r="K303" s="1177">
        <f t="shared" si="5"/>
        <v>0</v>
      </c>
      <c r="L303" s="1178"/>
    </row>
    <row r="304" spans="2:12" ht="14.25" thickBot="1">
      <c r="B304" s="1171">
        <v>296</v>
      </c>
      <c r="C304" s="1203"/>
      <c r="D304" s="1173"/>
      <c r="E304" s="1174"/>
      <c r="F304" s="1175"/>
      <c r="G304" s="1174"/>
      <c r="H304" s="1176"/>
      <c r="I304" s="1177"/>
      <c r="J304" s="1177"/>
      <c r="K304" s="1177">
        <f t="shared" si="5"/>
        <v>0</v>
      </c>
      <c r="L304" s="1178"/>
    </row>
    <row r="305" spans="2:12" ht="13.5">
      <c r="B305" s="1162">
        <v>297</v>
      </c>
      <c r="C305" s="1203"/>
      <c r="D305" s="1173"/>
      <c r="E305" s="1174"/>
      <c r="F305" s="1175"/>
      <c r="G305" s="1174"/>
      <c r="H305" s="1176"/>
      <c r="I305" s="1177"/>
      <c r="J305" s="1177"/>
      <c r="K305" s="1177">
        <f t="shared" si="5"/>
        <v>0</v>
      </c>
      <c r="L305" s="1178"/>
    </row>
    <row r="306" spans="2:12" ht="14.25" thickBot="1">
      <c r="B306" s="1171">
        <v>298</v>
      </c>
      <c r="C306" s="1203"/>
      <c r="D306" s="1173"/>
      <c r="E306" s="1174"/>
      <c r="F306" s="1175"/>
      <c r="G306" s="1174"/>
      <c r="H306" s="1176"/>
      <c r="I306" s="1177"/>
      <c r="J306" s="1177"/>
      <c r="K306" s="1177">
        <f t="shared" si="5"/>
        <v>0</v>
      </c>
      <c r="L306" s="1178"/>
    </row>
    <row r="307" spans="2:12" ht="13.5">
      <c r="B307" s="1162">
        <v>299</v>
      </c>
      <c r="C307" s="1203"/>
      <c r="D307" s="1173"/>
      <c r="E307" s="1174"/>
      <c r="F307" s="1175"/>
      <c r="G307" s="1174"/>
      <c r="H307" s="1176"/>
      <c r="I307" s="1177"/>
      <c r="J307" s="1177"/>
      <c r="K307" s="1177">
        <f t="shared" si="5"/>
        <v>0</v>
      </c>
      <c r="L307" s="1178"/>
    </row>
    <row r="308" spans="2:12" ht="14.25" thickBot="1">
      <c r="B308" s="1171">
        <v>300</v>
      </c>
      <c r="C308" s="1203"/>
      <c r="D308" s="1173"/>
      <c r="E308" s="1174"/>
      <c r="F308" s="1175"/>
      <c r="G308" s="1174"/>
      <c r="H308" s="1176"/>
      <c r="I308" s="1177"/>
      <c r="J308" s="1177"/>
      <c r="K308" s="1177">
        <f t="shared" si="5"/>
        <v>0</v>
      </c>
      <c r="L308" s="1178"/>
    </row>
    <row r="309" spans="2:12" ht="13.5">
      <c r="B309" s="1162">
        <v>301</v>
      </c>
      <c r="C309" s="1203"/>
      <c r="D309" s="1173"/>
      <c r="E309" s="1174"/>
      <c r="F309" s="1175"/>
      <c r="G309" s="1174"/>
      <c r="H309" s="1176"/>
      <c r="I309" s="1177"/>
      <c r="J309" s="1177"/>
      <c r="K309" s="1177">
        <f t="shared" si="5"/>
        <v>0</v>
      </c>
      <c r="L309" s="1178"/>
    </row>
    <row r="310" spans="2:12" ht="14.25" thickBot="1">
      <c r="B310" s="1171">
        <v>302</v>
      </c>
      <c r="C310" s="1203"/>
      <c r="D310" s="1173"/>
      <c r="E310" s="1174"/>
      <c r="F310" s="1175"/>
      <c r="G310" s="1174"/>
      <c r="H310" s="1176"/>
      <c r="I310" s="1177"/>
      <c r="J310" s="1177"/>
      <c r="K310" s="1177">
        <f t="shared" si="5"/>
        <v>0</v>
      </c>
      <c r="L310" s="1178"/>
    </row>
    <row r="311" spans="2:12" ht="13.5">
      <c r="B311" s="1162">
        <v>303</v>
      </c>
      <c r="C311" s="1203"/>
      <c r="D311" s="1173"/>
      <c r="E311" s="1174"/>
      <c r="F311" s="1175"/>
      <c r="G311" s="1174"/>
      <c r="H311" s="1176"/>
      <c r="I311" s="1177"/>
      <c r="J311" s="1177"/>
      <c r="K311" s="1177">
        <f t="shared" si="5"/>
        <v>0</v>
      </c>
      <c r="L311" s="1178"/>
    </row>
    <row r="312" spans="2:12" ht="14.25" thickBot="1">
      <c r="B312" s="1171">
        <v>304</v>
      </c>
      <c r="C312" s="1203"/>
      <c r="D312" s="1173"/>
      <c r="E312" s="1174"/>
      <c r="F312" s="1175"/>
      <c r="G312" s="1174"/>
      <c r="H312" s="1176"/>
      <c r="I312" s="1177"/>
      <c r="J312" s="1177"/>
      <c r="K312" s="1177">
        <f t="shared" si="5"/>
        <v>0</v>
      </c>
      <c r="L312" s="1178"/>
    </row>
    <row r="313" spans="2:12" ht="13.5">
      <c r="B313" s="1162">
        <v>305</v>
      </c>
      <c r="C313" s="1203"/>
      <c r="D313" s="1173"/>
      <c r="E313" s="1174"/>
      <c r="F313" s="1175"/>
      <c r="G313" s="1174"/>
      <c r="H313" s="1176"/>
      <c r="I313" s="1177"/>
      <c r="J313" s="1177"/>
      <c r="K313" s="1177">
        <f t="shared" si="5"/>
        <v>0</v>
      </c>
      <c r="L313" s="1178"/>
    </row>
    <row r="314" spans="2:12" ht="14.25" thickBot="1">
      <c r="B314" s="1171">
        <v>306</v>
      </c>
      <c r="C314" s="1203"/>
      <c r="D314" s="1173"/>
      <c r="E314" s="1174"/>
      <c r="F314" s="1175"/>
      <c r="G314" s="1174"/>
      <c r="H314" s="1176"/>
      <c r="I314" s="1177"/>
      <c r="J314" s="1177"/>
      <c r="K314" s="1177">
        <f t="shared" si="5"/>
        <v>0</v>
      </c>
      <c r="L314" s="1178"/>
    </row>
    <row r="315" spans="2:12" ht="13.5">
      <c r="B315" s="1162">
        <v>307</v>
      </c>
      <c r="C315" s="1203"/>
      <c r="D315" s="1173"/>
      <c r="E315" s="1174"/>
      <c r="F315" s="1175"/>
      <c r="G315" s="1174"/>
      <c r="H315" s="1176"/>
      <c r="I315" s="1177"/>
      <c r="J315" s="1177"/>
      <c r="K315" s="1177">
        <f t="shared" si="5"/>
        <v>0</v>
      </c>
      <c r="L315" s="1178"/>
    </row>
    <row r="316" spans="2:12" ht="14.25" thickBot="1">
      <c r="B316" s="1171">
        <v>308</v>
      </c>
      <c r="C316" s="1203"/>
      <c r="D316" s="1173"/>
      <c r="E316" s="1174"/>
      <c r="F316" s="1175"/>
      <c r="G316" s="1174"/>
      <c r="H316" s="1176"/>
      <c r="I316" s="1177"/>
      <c r="J316" s="1177"/>
      <c r="K316" s="1177">
        <f t="shared" si="5"/>
        <v>0</v>
      </c>
      <c r="L316" s="1178"/>
    </row>
    <row r="317" spans="2:12" ht="13.5">
      <c r="B317" s="1162">
        <v>309</v>
      </c>
      <c r="C317" s="1203"/>
      <c r="D317" s="1173"/>
      <c r="E317" s="1174"/>
      <c r="F317" s="1175"/>
      <c r="G317" s="1174"/>
      <c r="H317" s="1176"/>
      <c r="I317" s="1177"/>
      <c r="J317" s="1177"/>
      <c r="K317" s="1177">
        <f t="shared" si="5"/>
        <v>0</v>
      </c>
      <c r="L317" s="1178"/>
    </row>
    <row r="318" spans="2:12" ht="14.25" thickBot="1">
      <c r="B318" s="1171">
        <v>310</v>
      </c>
      <c r="C318" s="1203"/>
      <c r="D318" s="1173"/>
      <c r="E318" s="1174"/>
      <c r="F318" s="1175"/>
      <c r="G318" s="1174"/>
      <c r="H318" s="1176"/>
      <c r="I318" s="1177"/>
      <c r="J318" s="1177"/>
      <c r="K318" s="1177">
        <f t="shared" si="5"/>
        <v>0</v>
      </c>
      <c r="L318" s="1178"/>
    </row>
    <row r="319" spans="2:12" ht="13.5">
      <c r="B319" s="1162">
        <v>311</v>
      </c>
      <c r="C319" s="1203"/>
      <c r="D319" s="1173"/>
      <c r="E319" s="1174"/>
      <c r="F319" s="1175"/>
      <c r="G319" s="1174"/>
      <c r="H319" s="1176"/>
      <c r="I319" s="1177"/>
      <c r="J319" s="1177"/>
      <c r="K319" s="1177">
        <f t="shared" si="5"/>
        <v>0</v>
      </c>
      <c r="L319" s="1178"/>
    </row>
    <row r="320" spans="2:12" ht="14.25" thickBot="1">
      <c r="B320" s="1171">
        <v>312</v>
      </c>
      <c r="C320" s="1203"/>
      <c r="D320" s="1173"/>
      <c r="E320" s="1174"/>
      <c r="F320" s="1175"/>
      <c r="G320" s="1174"/>
      <c r="H320" s="1176"/>
      <c r="I320" s="1177"/>
      <c r="J320" s="1177"/>
      <c r="K320" s="1177">
        <f t="shared" si="5"/>
        <v>0</v>
      </c>
      <c r="L320" s="1178"/>
    </row>
    <row r="321" spans="2:12" ht="13.5">
      <c r="B321" s="1162">
        <v>313</v>
      </c>
      <c r="C321" s="1203"/>
      <c r="D321" s="1173"/>
      <c r="E321" s="1174"/>
      <c r="F321" s="1175"/>
      <c r="G321" s="1174"/>
      <c r="H321" s="1176"/>
      <c r="I321" s="1177"/>
      <c r="J321" s="1177"/>
      <c r="K321" s="1177">
        <f t="shared" si="5"/>
        <v>0</v>
      </c>
      <c r="L321" s="1178"/>
    </row>
    <row r="322" spans="2:12" ht="14.25" thickBot="1">
      <c r="B322" s="1171">
        <v>314</v>
      </c>
      <c r="C322" s="1203"/>
      <c r="D322" s="1173"/>
      <c r="E322" s="1174"/>
      <c r="F322" s="1175"/>
      <c r="G322" s="1174"/>
      <c r="H322" s="1176"/>
      <c r="I322" s="1177"/>
      <c r="J322" s="1177"/>
      <c r="K322" s="1177">
        <f t="shared" si="5"/>
        <v>0</v>
      </c>
      <c r="L322" s="1178"/>
    </row>
    <row r="323" spans="2:12" ht="13.5">
      <c r="B323" s="1162">
        <v>315</v>
      </c>
      <c r="C323" s="1203"/>
      <c r="D323" s="1173"/>
      <c r="E323" s="1174"/>
      <c r="F323" s="1175"/>
      <c r="G323" s="1174"/>
      <c r="H323" s="1176"/>
      <c r="I323" s="1177"/>
      <c r="J323" s="1177"/>
      <c r="K323" s="1177">
        <f t="shared" si="5"/>
        <v>0</v>
      </c>
      <c r="L323" s="1178"/>
    </row>
    <row r="324" spans="2:12" ht="14.25" thickBot="1">
      <c r="B324" s="1171">
        <v>316</v>
      </c>
      <c r="C324" s="1203"/>
      <c r="D324" s="1173"/>
      <c r="E324" s="1174"/>
      <c r="F324" s="1175"/>
      <c r="G324" s="1174"/>
      <c r="H324" s="1176"/>
      <c r="I324" s="1177"/>
      <c r="J324" s="1177"/>
      <c r="K324" s="1177">
        <f t="shared" si="5"/>
        <v>0</v>
      </c>
      <c r="L324" s="1178"/>
    </row>
    <row r="325" spans="2:12" ht="13.5">
      <c r="B325" s="1162">
        <v>317</v>
      </c>
      <c r="C325" s="1203"/>
      <c r="D325" s="1173"/>
      <c r="E325" s="1174"/>
      <c r="F325" s="1175"/>
      <c r="G325" s="1174"/>
      <c r="H325" s="1176"/>
      <c r="I325" s="1177"/>
      <c r="J325" s="1177"/>
      <c r="K325" s="1177">
        <f t="shared" si="5"/>
        <v>0</v>
      </c>
      <c r="L325" s="1178"/>
    </row>
    <row r="326" spans="2:12" ht="14.25" thickBot="1">
      <c r="B326" s="1171">
        <v>318</v>
      </c>
      <c r="C326" s="1203"/>
      <c r="D326" s="1173"/>
      <c r="E326" s="1174"/>
      <c r="F326" s="1175"/>
      <c r="G326" s="1174"/>
      <c r="H326" s="1176"/>
      <c r="I326" s="1177"/>
      <c r="J326" s="1177"/>
      <c r="K326" s="1177">
        <f t="shared" si="5"/>
        <v>0</v>
      </c>
      <c r="L326" s="1178"/>
    </row>
    <row r="327" spans="2:12" ht="13.5">
      <c r="B327" s="1162">
        <v>319</v>
      </c>
      <c r="C327" s="1203"/>
      <c r="D327" s="1173"/>
      <c r="E327" s="1174"/>
      <c r="F327" s="1175"/>
      <c r="G327" s="1174"/>
      <c r="H327" s="1176"/>
      <c r="I327" s="1177"/>
      <c r="J327" s="1177"/>
      <c r="K327" s="1177">
        <f t="shared" si="5"/>
        <v>0</v>
      </c>
      <c r="L327" s="1178"/>
    </row>
    <row r="328" spans="2:12" ht="14.25" thickBot="1">
      <c r="B328" s="1171">
        <v>320</v>
      </c>
      <c r="C328" s="1203"/>
      <c r="D328" s="1173"/>
      <c r="E328" s="1174"/>
      <c r="F328" s="1175"/>
      <c r="G328" s="1174"/>
      <c r="H328" s="1176"/>
      <c r="I328" s="1177"/>
      <c r="J328" s="1177"/>
      <c r="K328" s="1177">
        <f t="shared" si="5"/>
        <v>0</v>
      </c>
      <c r="L328" s="1178"/>
    </row>
    <row r="329" spans="2:12" ht="13.5">
      <c r="B329" s="1162">
        <v>321</v>
      </c>
      <c r="C329" s="1203"/>
      <c r="D329" s="1173"/>
      <c r="E329" s="1174"/>
      <c r="F329" s="1175"/>
      <c r="G329" s="1174"/>
      <c r="H329" s="1176"/>
      <c r="I329" s="1177"/>
      <c r="J329" s="1177"/>
      <c r="K329" s="1177">
        <f t="shared" si="5"/>
        <v>0</v>
      </c>
      <c r="L329" s="1178"/>
    </row>
    <row r="330" spans="2:12" ht="14.25" thickBot="1">
      <c r="B330" s="1171">
        <v>322</v>
      </c>
      <c r="C330" s="1203"/>
      <c r="D330" s="1173"/>
      <c r="E330" s="1174"/>
      <c r="F330" s="1175"/>
      <c r="G330" s="1174"/>
      <c r="H330" s="1176"/>
      <c r="I330" s="1177"/>
      <c r="J330" s="1177"/>
      <c r="K330" s="1177">
        <f aca="true" t="shared" si="6" ref="K330:K393">+J330*0.2</f>
        <v>0</v>
      </c>
      <c r="L330" s="1178"/>
    </row>
    <row r="331" spans="2:12" ht="13.5">
      <c r="B331" s="1162">
        <v>323</v>
      </c>
      <c r="C331" s="1203"/>
      <c r="D331" s="1173"/>
      <c r="E331" s="1174"/>
      <c r="F331" s="1175"/>
      <c r="G331" s="1174"/>
      <c r="H331" s="1176"/>
      <c r="I331" s="1177"/>
      <c r="J331" s="1177"/>
      <c r="K331" s="1177">
        <f t="shared" si="6"/>
        <v>0</v>
      </c>
      <c r="L331" s="1178"/>
    </row>
    <row r="332" spans="2:12" ht="14.25" thickBot="1">
      <c r="B332" s="1171">
        <v>324</v>
      </c>
      <c r="C332" s="1203"/>
      <c r="D332" s="1173"/>
      <c r="E332" s="1174"/>
      <c r="F332" s="1175"/>
      <c r="G332" s="1174"/>
      <c r="H332" s="1176"/>
      <c r="I332" s="1177"/>
      <c r="J332" s="1177"/>
      <c r="K332" s="1177">
        <f t="shared" si="6"/>
        <v>0</v>
      </c>
      <c r="L332" s="1178"/>
    </row>
    <row r="333" spans="2:12" ht="13.5">
      <c r="B333" s="1162">
        <v>325</v>
      </c>
      <c r="C333" s="1203"/>
      <c r="D333" s="1173"/>
      <c r="E333" s="1174"/>
      <c r="F333" s="1175"/>
      <c r="G333" s="1174"/>
      <c r="H333" s="1176"/>
      <c r="I333" s="1177"/>
      <c r="J333" s="1177"/>
      <c r="K333" s="1177">
        <f t="shared" si="6"/>
        <v>0</v>
      </c>
      <c r="L333" s="1178"/>
    </row>
    <row r="334" spans="2:12" ht="14.25" thickBot="1">
      <c r="B334" s="1171">
        <v>326</v>
      </c>
      <c r="C334" s="1203"/>
      <c r="D334" s="1173"/>
      <c r="E334" s="1174"/>
      <c r="F334" s="1175"/>
      <c r="G334" s="1174"/>
      <c r="H334" s="1176"/>
      <c r="I334" s="1177"/>
      <c r="J334" s="1177"/>
      <c r="K334" s="1177">
        <f t="shared" si="6"/>
        <v>0</v>
      </c>
      <c r="L334" s="1178"/>
    </row>
    <row r="335" spans="2:12" ht="13.5">
      <c r="B335" s="1162">
        <v>327</v>
      </c>
      <c r="C335" s="1203"/>
      <c r="D335" s="1173"/>
      <c r="E335" s="1174"/>
      <c r="F335" s="1175"/>
      <c r="G335" s="1174"/>
      <c r="H335" s="1176"/>
      <c r="I335" s="1177"/>
      <c r="J335" s="1177"/>
      <c r="K335" s="1177">
        <f t="shared" si="6"/>
        <v>0</v>
      </c>
      <c r="L335" s="1178"/>
    </row>
    <row r="336" spans="2:12" ht="14.25" thickBot="1">
      <c r="B336" s="1171">
        <v>328</v>
      </c>
      <c r="C336" s="1203"/>
      <c r="D336" s="1173"/>
      <c r="E336" s="1174"/>
      <c r="F336" s="1175"/>
      <c r="G336" s="1174"/>
      <c r="H336" s="1176"/>
      <c r="I336" s="1177"/>
      <c r="J336" s="1177"/>
      <c r="K336" s="1177">
        <f t="shared" si="6"/>
        <v>0</v>
      </c>
      <c r="L336" s="1178"/>
    </row>
    <row r="337" spans="2:12" ht="13.5">
      <c r="B337" s="1162">
        <v>329</v>
      </c>
      <c r="C337" s="1203"/>
      <c r="D337" s="1173"/>
      <c r="E337" s="1174"/>
      <c r="F337" s="1175"/>
      <c r="G337" s="1174"/>
      <c r="H337" s="1176"/>
      <c r="I337" s="1177"/>
      <c r="J337" s="1177"/>
      <c r="K337" s="1177">
        <f t="shared" si="6"/>
        <v>0</v>
      </c>
      <c r="L337" s="1178"/>
    </row>
    <row r="338" spans="2:12" ht="14.25" thickBot="1">
      <c r="B338" s="1171">
        <v>330</v>
      </c>
      <c r="C338" s="1203"/>
      <c r="D338" s="1173"/>
      <c r="E338" s="1174"/>
      <c r="F338" s="1175"/>
      <c r="G338" s="1174"/>
      <c r="H338" s="1176"/>
      <c r="I338" s="1177"/>
      <c r="J338" s="1177"/>
      <c r="K338" s="1177">
        <f t="shared" si="6"/>
        <v>0</v>
      </c>
      <c r="L338" s="1178"/>
    </row>
    <row r="339" spans="2:12" ht="13.5">
      <c r="B339" s="1162">
        <v>331</v>
      </c>
      <c r="C339" s="1203"/>
      <c r="D339" s="1173"/>
      <c r="E339" s="1174"/>
      <c r="F339" s="1175"/>
      <c r="G339" s="1174"/>
      <c r="H339" s="1176"/>
      <c r="I339" s="1177"/>
      <c r="J339" s="1177"/>
      <c r="K339" s="1177">
        <f t="shared" si="6"/>
        <v>0</v>
      </c>
      <c r="L339" s="1178"/>
    </row>
    <row r="340" spans="2:12" ht="14.25" thickBot="1">
      <c r="B340" s="1171">
        <v>332</v>
      </c>
      <c r="C340" s="1203"/>
      <c r="D340" s="1173"/>
      <c r="E340" s="1174"/>
      <c r="F340" s="1175"/>
      <c r="G340" s="1174"/>
      <c r="H340" s="1176"/>
      <c r="I340" s="1177"/>
      <c r="J340" s="1177"/>
      <c r="K340" s="1177">
        <f t="shared" si="6"/>
        <v>0</v>
      </c>
      <c r="L340" s="1178"/>
    </row>
    <row r="341" spans="2:12" ht="13.5">
      <c r="B341" s="1162">
        <v>333</v>
      </c>
      <c r="C341" s="1203"/>
      <c r="D341" s="1173"/>
      <c r="E341" s="1174"/>
      <c r="F341" s="1175"/>
      <c r="G341" s="1174"/>
      <c r="H341" s="1176"/>
      <c r="I341" s="1177"/>
      <c r="J341" s="1177"/>
      <c r="K341" s="1177">
        <f t="shared" si="6"/>
        <v>0</v>
      </c>
      <c r="L341" s="1178"/>
    </row>
    <row r="342" spans="2:12" ht="14.25" thickBot="1">
      <c r="B342" s="1171">
        <v>334</v>
      </c>
      <c r="C342" s="1203"/>
      <c r="D342" s="1173"/>
      <c r="E342" s="1174"/>
      <c r="F342" s="1175"/>
      <c r="G342" s="1174"/>
      <c r="H342" s="1176"/>
      <c r="I342" s="1177"/>
      <c r="J342" s="1177"/>
      <c r="K342" s="1177">
        <f t="shared" si="6"/>
        <v>0</v>
      </c>
      <c r="L342" s="1178"/>
    </row>
    <row r="343" spans="2:12" ht="13.5">
      <c r="B343" s="1162">
        <v>335</v>
      </c>
      <c r="C343" s="1203"/>
      <c r="D343" s="1173"/>
      <c r="E343" s="1174"/>
      <c r="F343" s="1175"/>
      <c r="G343" s="1174"/>
      <c r="H343" s="1176"/>
      <c r="I343" s="1177"/>
      <c r="J343" s="1177"/>
      <c r="K343" s="1177">
        <f t="shared" si="6"/>
        <v>0</v>
      </c>
      <c r="L343" s="1178"/>
    </row>
    <row r="344" spans="2:12" ht="14.25" thickBot="1">
      <c r="B344" s="1171">
        <v>336</v>
      </c>
      <c r="C344" s="1203"/>
      <c r="D344" s="1173"/>
      <c r="E344" s="1174"/>
      <c r="F344" s="1175"/>
      <c r="G344" s="1174"/>
      <c r="H344" s="1176"/>
      <c r="I344" s="1177"/>
      <c r="J344" s="1177"/>
      <c r="K344" s="1177">
        <f t="shared" si="6"/>
        <v>0</v>
      </c>
      <c r="L344" s="1178"/>
    </row>
    <row r="345" spans="2:12" ht="13.5">
      <c r="B345" s="1162">
        <v>337</v>
      </c>
      <c r="C345" s="1203"/>
      <c r="D345" s="1173"/>
      <c r="E345" s="1174"/>
      <c r="F345" s="1175"/>
      <c r="G345" s="1174"/>
      <c r="H345" s="1176"/>
      <c r="I345" s="1177"/>
      <c r="J345" s="1177"/>
      <c r="K345" s="1177">
        <f t="shared" si="6"/>
        <v>0</v>
      </c>
      <c r="L345" s="1178"/>
    </row>
    <row r="346" spans="2:12" ht="14.25" thickBot="1">
      <c r="B346" s="1171">
        <v>338</v>
      </c>
      <c r="C346" s="1203"/>
      <c r="D346" s="1173"/>
      <c r="E346" s="1174"/>
      <c r="F346" s="1175"/>
      <c r="G346" s="1174"/>
      <c r="H346" s="1176"/>
      <c r="I346" s="1177"/>
      <c r="J346" s="1177"/>
      <c r="K346" s="1177">
        <f t="shared" si="6"/>
        <v>0</v>
      </c>
      <c r="L346" s="1178"/>
    </row>
    <row r="347" spans="2:12" ht="13.5">
      <c r="B347" s="1162">
        <v>339</v>
      </c>
      <c r="C347" s="1203"/>
      <c r="D347" s="1173"/>
      <c r="E347" s="1174"/>
      <c r="F347" s="1175"/>
      <c r="G347" s="1174"/>
      <c r="H347" s="1176"/>
      <c r="I347" s="1177"/>
      <c r="J347" s="1177"/>
      <c r="K347" s="1177">
        <f t="shared" si="6"/>
        <v>0</v>
      </c>
      <c r="L347" s="1178"/>
    </row>
    <row r="348" spans="2:12" ht="14.25" thickBot="1">
      <c r="B348" s="1171">
        <v>340</v>
      </c>
      <c r="C348" s="1203"/>
      <c r="D348" s="1173"/>
      <c r="E348" s="1174"/>
      <c r="F348" s="1175"/>
      <c r="G348" s="1174"/>
      <c r="H348" s="1176"/>
      <c r="I348" s="1177"/>
      <c r="J348" s="1177"/>
      <c r="K348" s="1177">
        <f t="shared" si="6"/>
        <v>0</v>
      </c>
      <c r="L348" s="1178"/>
    </row>
    <row r="349" spans="2:12" ht="13.5">
      <c r="B349" s="1162">
        <v>341</v>
      </c>
      <c r="C349" s="1203"/>
      <c r="D349" s="1173"/>
      <c r="E349" s="1174"/>
      <c r="F349" s="1175"/>
      <c r="G349" s="1174"/>
      <c r="H349" s="1176"/>
      <c r="I349" s="1177"/>
      <c r="J349" s="1177"/>
      <c r="K349" s="1177">
        <f t="shared" si="6"/>
        <v>0</v>
      </c>
      <c r="L349" s="1178"/>
    </row>
    <row r="350" spans="2:12" ht="14.25" thickBot="1">
      <c r="B350" s="1171">
        <v>342</v>
      </c>
      <c r="C350" s="1203"/>
      <c r="D350" s="1173"/>
      <c r="E350" s="1174"/>
      <c r="F350" s="1175"/>
      <c r="G350" s="1174"/>
      <c r="H350" s="1176"/>
      <c r="I350" s="1177"/>
      <c r="J350" s="1177"/>
      <c r="K350" s="1177">
        <f t="shared" si="6"/>
        <v>0</v>
      </c>
      <c r="L350" s="1178"/>
    </row>
    <row r="351" spans="2:12" ht="13.5">
      <c r="B351" s="1162">
        <v>343</v>
      </c>
      <c r="C351" s="1203"/>
      <c r="D351" s="1173"/>
      <c r="E351" s="1174"/>
      <c r="F351" s="1175"/>
      <c r="G351" s="1174"/>
      <c r="H351" s="1176"/>
      <c r="I351" s="1177"/>
      <c r="J351" s="1177"/>
      <c r="K351" s="1177">
        <f t="shared" si="6"/>
        <v>0</v>
      </c>
      <c r="L351" s="1178"/>
    </row>
    <row r="352" spans="2:12" ht="14.25" thickBot="1">
      <c r="B352" s="1171">
        <v>344</v>
      </c>
      <c r="C352" s="1203"/>
      <c r="D352" s="1173"/>
      <c r="E352" s="1174"/>
      <c r="F352" s="1175"/>
      <c r="G352" s="1174"/>
      <c r="H352" s="1176"/>
      <c r="I352" s="1177"/>
      <c r="J352" s="1177"/>
      <c r="K352" s="1177">
        <f t="shared" si="6"/>
        <v>0</v>
      </c>
      <c r="L352" s="1178"/>
    </row>
    <row r="353" spans="2:12" ht="13.5">
      <c r="B353" s="1162">
        <v>345</v>
      </c>
      <c r="C353" s="1203"/>
      <c r="D353" s="1173"/>
      <c r="E353" s="1174"/>
      <c r="F353" s="1175"/>
      <c r="G353" s="1174"/>
      <c r="H353" s="1176"/>
      <c r="I353" s="1177"/>
      <c r="J353" s="1177"/>
      <c r="K353" s="1177">
        <f t="shared" si="6"/>
        <v>0</v>
      </c>
      <c r="L353" s="1178"/>
    </row>
    <row r="354" spans="2:12" ht="14.25" thickBot="1">
      <c r="B354" s="1171">
        <v>346</v>
      </c>
      <c r="C354" s="1203"/>
      <c r="D354" s="1173"/>
      <c r="E354" s="1174"/>
      <c r="F354" s="1175"/>
      <c r="G354" s="1174"/>
      <c r="H354" s="1176"/>
      <c r="I354" s="1177"/>
      <c r="J354" s="1177"/>
      <c r="K354" s="1177">
        <f t="shared" si="6"/>
        <v>0</v>
      </c>
      <c r="L354" s="1178"/>
    </row>
    <row r="355" spans="2:12" ht="13.5">
      <c r="B355" s="1162">
        <v>347</v>
      </c>
      <c r="C355" s="1203"/>
      <c r="D355" s="1173"/>
      <c r="E355" s="1174"/>
      <c r="F355" s="1175"/>
      <c r="G355" s="1174"/>
      <c r="H355" s="1176"/>
      <c r="I355" s="1177"/>
      <c r="J355" s="1177"/>
      <c r="K355" s="1177">
        <f t="shared" si="6"/>
        <v>0</v>
      </c>
      <c r="L355" s="1178"/>
    </row>
    <row r="356" spans="2:12" ht="14.25" thickBot="1">
      <c r="B356" s="1171">
        <v>348</v>
      </c>
      <c r="C356" s="1203"/>
      <c r="D356" s="1173"/>
      <c r="E356" s="1174"/>
      <c r="F356" s="1175"/>
      <c r="G356" s="1174"/>
      <c r="H356" s="1176"/>
      <c r="I356" s="1177"/>
      <c r="J356" s="1177"/>
      <c r="K356" s="1177">
        <f t="shared" si="6"/>
        <v>0</v>
      </c>
      <c r="L356" s="1178"/>
    </row>
    <row r="357" spans="2:12" ht="13.5">
      <c r="B357" s="1162">
        <v>349</v>
      </c>
      <c r="C357" s="1203"/>
      <c r="D357" s="1173"/>
      <c r="E357" s="1174"/>
      <c r="F357" s="1175"/>
      <c r="G357" s="1174"/>
      <c r="H357" s="1176"/>
      <c r="I357" s="1177"/>
      <c r="J357" s="1177"/>
      <c r="K357" s="1177">
        <f t="shared" si="6"/>
        <v>0</v>
      </c>
      <c r="L357" s="1178"/>
    </row>
    <row r="358" spans="2:12" ht="14.25" thickBot="1">
      <c r="B358" s="1171">
        <v>350</v>
      </c>
      <c r="C358" s="1203"/>
      <c r="D358" s="1173"/>
      <c r="E358" s="1174"/>
      <c r="F358" s="1175"/>
      <c r="G358" s="1174"/>
      <c r="H358" s="1176"/>
      <c r="I358" s="1177"/>
      <c r="J358" s="1177"/>
      <c r="K358" s="1177">
        <f t="shared" si="6"/>
        <v>0</v>
      </c>
      <c r="L358" s="1178"/>
    </row>
    <row r="359" spans="2:12" ht="13.5">
      <c r="B359" s="1162">
        <v>351</v>
      </c>
      <c r="C359" s="1203"/>
      <c r="D359" s="1173"/>
      <c r="E359" s="1174"/>
      <c r="F359" s="1175"/>
      <c r="G359" s="1174"/>
      <c r="H359" s="1176"/>
      <c r="I359" s="1177"/>
      <c r="J359" s="1177"/>
      <c r="K359" s="1177">
        <f t="shared" si="6"/>
        <v>0</v>
      </c>
      <c r="L359" s="1178"/>
    </row>
    <row r="360" spans="2:12" ht="14.25" thickBot="1">
      <c r="B360" s="1171">
        <v>352</v>
      </c>
      <c r="C360" s="1203"/>
      <c r="D360" s="1173"/>
      <c r="E360" s="1174"/>
      <c r="F360" s="1175"/>
      <c r="G360" s="1174"/>
      <c r="H360" s="1176"/>
      <c r="I360" s="1177"/>
      <c r="J360" s="1177"/>
      <c r="K360" s="1177">
        <f t="shared" si="6"/>
        <v>0</v>
      </c>
      <c r="L360" s="1178"/>
    </row>
    <row r="361" spans="2:12" ht="13.5">
      <c r="B361" s="1162">
        <v>353</v>
      </c>
      <c r="C361" s="1203"/>
      <c r="D361" s="1173"/>
      <c r="E361" s="1174"/>
      <c r="F361" s="1175"/>
      <c r="G361" s="1174"/>
      <c r="H361" s="1176"/>
      <c r="I361" s="1177"/>
      <c r="J361" s="1177"/>
      <c r="K361" s="1177">
        <f t="shared" si="6"/>
        <v>0</v>
      </c>
      <c r="L361" s="1178"/>
    </row>
    <row r="362" spans="2:12" ht="14.25" thickBot="1">
      <c r="B362" s="1171">
        <v>354</v>
      </c>
      <c r="C362" s="1203"/>
      <c r="D362" s="1173"/>
      <c r="E362" s="1174"/>
      <c r="F362" s="1175"/>
      <c r="G362" s="1174"/>
      <c r="H362" s="1176"/>
      <c r="I362" s="1177"/>
      <c r="J362" s="1177"/>
      <c r="K362" s="1177">
        <f t="shared" si="6"/>
        <v>0</v>
      </c>
      <c r="L362" s="1178"/>
    </row>
    <row r="363" spans="2:12" ht="13.5">
      <c r="B363" s="1162">
        <v>355</v>
      </c>
      <c r="C363" s="1203"/>
      <c r="D363" s="1173"/>
      <c r="E363" s="1174"/>
      <c r="F363" s="1175"/>
      <c r="G363" s="1174"/>
      <c r="H363" s="1176"/>
      <c r="I363" s="1177"/>
      <c r="J363" s="1177"/>
      <c r="K363" s="1177">
        <f t="shared" si="6"/>
        <v>0</v>
      </c>
      <c r="L363" s="1178"/>
    </row>
    <row r="364" spans="2:12" ht="14.25" thickBot="1">
      <c r="B364" s="1171">
        <v>356</v>
      </c>
      <c r="C364" s="1203"/>
      <c r="D364" s="1173"/>
      <c r="E364" s="1174"/>
      <c r="F364" s="1175"/>
      <c r="G364" s="1174"/>
      <c r="H364" s="1176"/>
      <c r="I364" s="1177"/>
      <c r="J364" s="1177"/>
      <c r="K364" s="1177">
        <f t="shared" si="6"/>
        <v>0</v>
      </c>
      <c r="L364" s="1178"/>
    </row>
    <row r="365" spans="2:12" ht="13.5">
      <c r="B365" s="1162">
        <v>357</v>
      </c>
      <c r="C365" s="1205"/>
      <c r="D365" s="1183"/>
      <c r="E365" s="1184"/>
      <c r="F365" s="1556"/>
      <c r="G365" s="1557"/>
      <c r="H365" s="1176"/>
      <c r="I365" s="1177"/>
      <c r="J365" s="1177"/>
      <c r="K365" s="1177">
        <f t="shared" si="6"/>
        <v>0</v>
      </c>
      <c r="L365" s="1178"/>
    </row>
    <row r="366" spans="2:12" ht="14.25" thickBot="1">
      <c r="B366" s="1171">
        <v>358</v>
      </c>
      <c r="C366" s="1205"/>
      <c r="D366" s="1183"/>
      <c r="E366" s="1184"/>
      <c r="F366" s="1556"/>
      <c r="G366" s="1557"/>
      <c r="H366" s="1176"/>
      <c r="I366" s="1177"/>
      <c r="J366" s="1177"/>
      <c r="K366" s="1177">
        <f t="shared" si="6"/>
        <v>0</v>
      </c>
      <c r="L366" s="1178"/>
    </row>
    <row r="367" spans="2:12" ht="13.5">
      <c r="B367" s="1162">
        <v>359</v>
      </c>
      <c r="C367" s="1203"/>
      <c r="D367" s="1173"/>
      <c r="E367" s="1174"/>
      <c r="F367" s="1175"/>
      <c r="G367" s="1174"/>
      <c r="H367" s="1176"/>
      <c r="I367" s="1177"/>
      <c r="J367" s="1177"/>
      <c r="K367" s="1177">
        <f t="shared" si="6"/>
        <v>0</v>
      </c>
      <c r="L367" s="1178"/>
    </row>
    <row r="368" spans="2:12" ht="14.25" thickBot="1">
      <c r="B368" s="1171">
        <v>360</v>
      </c>
      <c r="C368" s="1203"/>
      <c r="D368" s="1173"/>
      <c r="E368" s="1174"/>
      <c r="F368" s="1175"/>
      <c r="G368" s="1174"/>
      <c r="H368" s="1176"/>
      <c r="I368" s="1177"/>
      <c r="J368" s="1177"/>
      <c r="K368" s="1177">
        <f t="shared" si="6"/>
        <v>0</v>
      </c>
      <c r="L368" s="1178"/>
    </row>
    <row r="369" spans="2:12" ht="13.5">
      <c r="B369" s="1162">
        <v>361</v>
      </c>
      <c r="C369" s="1203"/>
      <c r="D369" s="1173"/>
      <c r="E369" s="1174"/>
      <c r="F369" s="1175"/>
      <c r="G369" s="1174"/>
      <c r="H369" s="1176"/>
      <c r="I369" s="1177"/>
      <c r="J369" s="1177"/>
      <c r="K369" s="1177">
        <f t="shared" si="6"/>
        <v>0</v>
      </c>
      <c r="L369" s="1178"/>
    </row>
    <row r="370" spans="2:12" ht="14.25" thickBot="1">
      <c r="B370" s="1171">
        <v>362</v>
      </c>
      <c r="C370" s="1203"/>
      <c r="D370" s="1173"/>
      <c r="E370" s="1174"/>
      <c r="F370" s="1175"/>
      <c r="G370" s="1174"/>
      <c r="H370" s="1176"/>
      <c r="I370" s="1177"/>
      <c r="J370" s="1177"/>
      <c r="K370" s="1177">
        <f t="shared" si="6"/>
        <v>0</v>
      </c>
      <c r="L370" s="1178"/>
    </row>
    <row r="371" spans="2:12" ht="13.5">
      <c r="B371" s="1162">
        <v>363</v>
      </c>
      <c r="C371" s="1203"/>
      <c r="D371" s="1173"/>
      <c r="E371" s="1174"/>
      <c r="F371" s="1175"/>
      <c r="G371" s="1174"/>
      <c r="H371" s="1176"/>
      <c r="I371" s="1177"/>
      <c r="J371" s="1177"/>
      <c r="K371" s="1177">
        <f t="shared" si="6"/>
        <v>0</v>
      </c>
      <c r="L371" s="1178"/>
    </row>
    <row r="372" spans="2:12" ht="14.25" thickBot="1">
      <c r="B372" s="1171">
        <v>364</v>
      </c>
      <c r="C372" s="1203"/>
      <c r="D372" s="1173"/>
      <c r="E372" s="1174"/>
      <c r="F372" s="1175"/>
      <c r="G372" s="1174"/>
      <c r="H372" s="1176"/>
      <c r="I372" s="1177"/>
      <c r="J372" s="1177"/>
      <c r="K372" s="1177">
        <f t="shared" si="6"/>
        <v>0</v>
      </c>
      <c r="L372" s="1178"/>
    </row>
    <row r="373" spans="2:12" ht="13.5">
      <c r="B373" s="1162">
        <v>365</v>
      </c>
      <c r="C373" s="1203"/>
      <c r="D373" s="1173"/>
      <c r="E373" s="1174"/>
      <c r="F373" s="1175"/>
      <c r="G373" s="1174"/>
      <c r="H373" s="1176"/>
      <c r="I373" s="1177"/>
      <c r="J373" s="1177"/>
      <c r="K373" s="1177">
        <f t="shared" si="6"/>
        <v>0</v>
      </c>
      <c r="L373" s="1178"/>
    </row>
    <row r="374" spans="2:12" ht="14.25" thickBot="1">
      <c r="B374" s="1171">
        <v>366</v>
      </c>
      <c r="C374" s="1203"/>
      <c r="D374" s="1173"/>
      <c r="E374" s="1174"/>
      <c r="F374" s="1175"/>
      <c r="G374" s="1174"/>
      <c r="H374" s="1176"/>
      <c r="I374" s="1177"/>
      <c r="J374" s="1177"/>
      <c r="K374" s="1177">
        <f t="shared" si="6"/>
        <v>0</v>
      </c>
      <c r="L374" s="1178"/>
    </row>
    <row r="375" spans="2:12" ht="13.5">
      <c r="B375" s="1162">
        <v>367</v>
      </c>
      <c r="C375" s="1203"/>
      <c r="D375" s="1173"/>
      <c r="E375" s="1174"/>
      <c r="F375" s="1175"/>
      <c r="G375" s="1174"/>
      <c r="H375" s="1176"/>
      <c r="I375" s="1177"/>
      <c r="J375" s="1177"/>
      <c r="K375" s="1177">
        <f t="shared" si="6"/>
        <v>0</v>
      </c>
      <c r="L375" s="1178"/>
    </row>
    <row r="376" spans="2:12" ht="14.25" thickBot="1">
      <c r="B376" s="1171">
        <v>368</v>
      </c>
      <c r="C376" s="1203"/>
      <c r="D376" s="1173"/>
      <c r="E376" s="1174"/>
      <c r="F376" s="1175"/>
      <c r="G376" s="1174"/>
      <c r="H376" s="1176"/>
      <c r="I376" s="1177"/>
      <c r="J376" s="1177"/>
      <c r="K376" s="1177">
        <f t="shared" si="6"/>
        <v>0</v>
      </c>
      <c r="L376" s="1178"/>
    </row>
    <row r="377" spans="2:12" ht="13.5">
      <c r="B377" s="1162">
        <v>369</v>
      </c>
      <c r="C377" s="1203"/>
      <c r="D377" s="1173"/>
      <c r="E377" s="1174"/>
      <c r="F377" s="1175"/>
      <c r="G377" s="1174"/>
      <c r="H377" s="1176"/>
      <c r="I377" s="1177"/>
      <c r="J377" s="1177"/>
      <c r="K377" s="1177">
        <f t="shared" si="6"/>
        <v>0</v>
      </c>
      <c r="L377" s="1178"/>
    </row>
    <row r="378" spans="2:12" ht="14.25" thickBot="1">
      <c r="B378" s="1171">
        <v>370</v>
      </c>
      <c r="C378" s="1203"/>
      <c r="D378" s="1173"/>
      <c r="E378" s="1174"/>
      <c r="F378" s="1175"/>
      <c r="G378" s="1174"/>
      <c r="H378" s="1176"/>
      <c r="I378" s="1177"/>
      <c r="J378" s="1177"/>
      <c r="K378" s="1177">
        <f t="shared" si="6"/>
        <v>0</v>
      </c>
      <c r="L378" s="1178"/>
    </row>
    <row r="379" spans="2:12" ht="13.5">
      <c r="B379" s="1162">
        <v>371</v>
      </c>
      <c r="C379" s="1203"/>
      <c r="D379" s="1173"/>
      <c r="E379" s="1174"/>
      <c r="F379" s="1175"/>
      <c r="G379" s="1174"/>
      <c r="H379" s="1176"/>
      <c r="I379" s="1177"/>
      <c r="J379" s="1177"/>
      <c r="K379" s="1177">
        <f t="shared" si="6"/>
        <v>0</v>
      </c>
      <c r="L379" s="1178"/>
    </row>
    <row r="380" spans="2:12" ht="14.25" thickBot="1">
      <c r="B380" s="1171">
        <v>372</v>
      </c>
      <c r="C380" s="1203"/>
      <c r="D380" s="1173"/>
      <c r="E380" s="1174"/>
      <c r="F380" s="1175"/>
      <c r="G380" s="1174"/>
      <c r="H380" s="1176"/>
      <c r="I380" s="1177"/>
      <c r="J380" s="1177"/>
      <c r="K380" s="1177">
        <f t="shared" si="6"/>
        <v>0</v>
      </c>
      <c r="L380" s="1178"/>
    </row>
    <row r="381" spans="2:12" ht="13.5">
      <c r="B381" s="1162">
        <v>373</v>
      </c>
      <c r="C381" s="1203"/>
      <c r="D381" s="1173"/>
      <c r="E381" s="1174"/>
      <c r="F381" s="1175"/>
      <c r="G381" s="1174"/>
      <c r="H381" s="1176"/>
      <c r="I381" s="1177"/>
      <c r="J381" s="1177"/>
      <c r="K381" s="1177">
        <f t="shared" si="6"/>
        <v>0</v>
      </c>
      <c r="L381" s="1178"/>
    </row>
    <row r="382" spans="2:12" ht="14.25" thickBot="1">
      <c r="B382" s="1171">
        <v>374</v>
      </c>
      <c r="C382" s="1206"/>
      <c r="D382" s="1188"/>
      <c r="E382" s="1558"/>
      <c r="F382" s="1559"/>
      <c r="G382" s="1560"/>
      <c r="H382" s="1191"/>
      <c r="I382" s="1192"/>
      <c r="J382" s="1192"/>
      <c r="K382" s="1177">
        <f t="shared" si="6"/>
        <v>0</v>
      </c>
      <c r="L382" s="1193"/>
    </row>
    <row r="383" spans="2:12" ht="14.25" thickBot="1">
      <c r="B383" s="1162">
        <v>375</v>
      </c>
      <c r="C383" s="1561"/>
      <c r="D383" s="1562"/>
      <c r="E383" s="1562"/>
      <c r="F383" s="1562"/>
      <c r="G383" s="1563"/>
      <c r="H383" s="1194"/>
      <c r="I383" s="1194"/>
      <c r="J383" s="1194"/>
      <c r="K383" s="1177">
        <f t="shared" si="6"/>
        <v>0</v>
      </c>
      <c r="L383" s="1195"/>
    </row>
    <row r="384" spans="2:12" ht="14.25" thickBot="1">
      <c r="B384" s="1171">
        <v>376</v>
      </c>
      <c r="C384" s="1207"/>
      <c r="D384" s="1197"/>
      <c r="E384" s="1198"/>
      <c r="F384" s="1199"/>
      <c r="G384" s="1198"/>
      <c r="H384" s="1200"/>
      <c r="I384" s="1201"/>
      <c r="J384" s="1201"/>
      <c r="K384" s="1177">
        <f t="shared" si="6"/>
        <v>0</v>
      </c>
      <c r="L384" s="1202"/>
    </row>
    <row r="385" spans="2:12" ht="13.5">
      <c r="B385" s="1162">
        <v>377</v>
      </c>
      <c r="C385" s="1203"/>
      <c r="D385" s="1173"/>
      <c r="E385" s="1174"/>
      <c r="F385" s="1175"/>
      <c r="G385" s="1174"/>
      <c r="H385" s="1176"/>
      <c r="I385" s="1177"/>
      <c r="J385" s="1177"/>
      <c r="K385" s="1177">
        <f t="shared" si="6"/>
        <v>0</v>
      </c>
      <c r="L385" s="1178"/>
    </row>
    <row r="386" spans="2:12" ht="14.25" thickBot="1">
      <c r="B386" s="1171">
        <v>378</v>
      </c>
      <c r="C386" s="1203"/>
      <c r="D386" s="1173"/>
      <c r="E386" s="1174"/>
      <c r="F386" s="1175"/>
      <c r="G386" s="1174"/>
      <c r="H386" s="1176"/>
      <c r="I386" s="1177"/>
      <c r="J386" s="1177"/>
      <c r="K386" s="1177">
        <f t="shared" si="6"/>
        <v>0</v>
      </c>
      <c r="L386" s="1178"/>
    </row>
    <row r="387" spans="2:12" ht="13.5">
      <c r="B387" s="1162">
        <v>379</v>
      </c>
      <c r="C387" s="1203"/>
      <c r="D387" s="1173"/>
      <c r="E387" s="1174"/>
      <c r="F387" s="1175"/>
      <c r="G387" s="1174"/>
      <c r="H387" s="1176"/>
      <c r="I387" s="1177"/>
      <c r="J387" s="1177"/>
      <c r="K387" s="1177">
        <f t="shared" si="6"/>
        <v>0</v>
      </c>
      <c r="L387" s="1178"/>
    </row>
    <row r="388" spans="2:12" ht="14.25" thickBot="1">
      <c r="B388" s="1171">
        <v>380</v>
      </c>
      <c r="C388" s="1203"/>
      <c r="D388" s="1173"/>
      <c r="E388" s="1174"/>
      <c r="F388" s="1175"/>
      <c r="G388" s="1174"/>
      <c r="H388" s="1176"/>
      <c r="I388" s="1177"/>
      <c r="J388" s="1177"/>
      <c r="K388" s="1177">
        <f t="shared" si="6"/>
        <v>0</v>
      </c>
      <c r="L388" s="1178"/>
    </row>
    <row r="389" spans="2:12" ht="13.5">
      <c r="B389" s="1162">
        <v>381</v>
      </c>
      <c r="C389" s="1203"/>
      <c r="D389" s="1173"/>
      <c r="E389" s="1174"/>
      <c r="F389" s="1175"/>
      <c r="G389" s="1174"/>
      <c r="H389" s="1176"/>
      <c r="I389" s="1176"/>
      <c r="J389" s="1177"/>
      <c r="K389" s="1177">
        <f t="shared" si="6"/>
        <v>0</v>
      </c>
      <c r="L389" s="1178"/>
    </row>
    <row r="390" spans="2:12" ht="14.25" thickBot="1">
      <c r="B390" s="1171">
        <v>382</v>
      </c>
      <c r="C390" s="1203"/>
      <c r="D390" s="1173"/>
      <c r="E390" s="1174"/>
      <c r="F390" s="1175"/>
      <c r="G390" s="1174"/>
      <c r="H390" s="1176"/>
      <c r="I390" s="1177"/>
      <c r="J390" s="1177"/>
      <c r="K390" s="1177">
        <f t="shared" si="6"/>
        <v>0</v>
      </c>
      <c r="L390" s="1178"/>
    </row>
    <row r="391" spans="2:12" ht="13.5">
      <c r="B391" s="1162">
        <v>383</v>
      </c>
      <c r="C391" s="1203"/>
      <c r="D391" s="1173"/>
      <c r="E391" s="1174"/>
      <c r="F391" s="1175"/>
      <c r="G391" s="1174"/>
      <c r="H391" s="1176"/>
      <c r="I391" s="1177"/>
      <c r="J391" s="1177"/>
      <c r="K391" s="1177">
        <f t="shared" si="6"/>
        <v>0</v>
      </c>
      <c r="L391" s="1178"/>
    </row>
    <row r="392" spans="2:12" ht="14.25" thickBot="1">
      <c r="B392" s="1171">
        <v>384</v>
      </c>
      <c r="C392" s="1203"/>
      <c r="D392" s="1173"/>
      <c r="E392" s="1174"/>
      <c r="F392" s="1175"/>
      <c r="G392" s="1174"/>
      <c r="H392" s="1176"/>
      <c r="I392" s="1177"/>
      <c r="J392" s="1177"/>
      <c r="K392" s="1177">
        <f t="shared" si="6"/>
        <v>0</v>
      </c>
      <c r="L392" s="1178"/>
    </row>
    <row r="393" spans="2:12" ht="13.5">
      <c r="B393" s="1162">
        <v>385</v>
      </c>
      <c r="C393" s="1203"/>
      <c r="D393" s="1173"/>
      <c r="E393" s="1174"/>
      <c r="F393" s="1175"/>
      <c r="G393" s="1174"/>
      <c r="H393" s="1176"/>
      <c r="I393" s="1177"/>
      <c r="J393" s="1177"/>
      <c r="K393" s="1177">
        <f t="shared" si="6"/>
        <v>0</v>
      </c>
      <c r="L393" s="1178"/>
    </row>
    <row r="394" spans="2:12" ht="14.25" thickBot="1">
      <c r="B394" s="1171">
        <v>386</v>
      </c>
      <c r="C394" s="1203"/>
      <c r="D394" s="1173"/>
      <c r="E394" s="1174"/>
      <c r="F394" s="1175"/>
      <c r="G394" s="1174"/>
      <c r="H394" s="1176"/>
      <c r="I394" s="1177"/>
      <c r="J394" s="1177"/>
      <c r="K394" s="1177">
        <f aca="true" t="shared" si="7" ref="K394:K457">+J394*0.2</f>
        <v>0</v>
      </c>
      <c r="L394" s="1178"/>
    </row>
    <row r="395" spans="2:12" ht="13.5">
      <c r="B395" s="1162">
        <v>387</v>
      </c>
      <c r="C395" s="1203"/>
      <c r="D395" s="1173"/>
      <c r="E395" s="1174"/>
      <c r="F395" s="1175"/>
      <c r="G395" s="1174"/>
      <c r="H395" s="1176"/>
      <c r="I395" s="1177"/>
      <c r="J395" s="1177"/>
      <c r="K395" s="1177">
        <f t="shared" si="7"/>
        <v>0</v>
      </c>
      <c r="L395" s="1178"/>
    </row>
    <row r="396" spans="2:12" ht="14.25" thickBot="1">
      <c r="B396" s="1171">
        <v>388</v>
      </c>
      <c r="C396" s="1203"/>
      <c r="D396" s="1173"/>
      <c r="E396" s="1174"/>
      <c r="F396" s="1175"/>
      <c r="G396" s="1174"/>
      <c r="H396" s="1176"/>
      <c r="I396" s="1177"/>
      <c r="J396" s="1177"/>
      <c r="K396" s="1177">
        <f t="shared" si="7"/>
        <v>0</v>
      </c>
      <c r="L396" s="1178"/>
    </row>
    <row r="397" spans="2:12" ht="13.5">
      <c r="B397" s="1162">
        <v>389</v>
      </c>
      <c r="C397" s="1203"/>
      <c r="D397" s="1173"/>
      <c r="E397" s="1174"/>
      <c r="F397" s="1175"/>
      <c r="G397" s="1174"/>
      <c r="H397" s="1176"/>
      <c r="I397" s="1177"/>
      <c r="J397" s="1177"/>
      <c r="K397" s="1177">
        <f t="shared" si="7"/>
        <v>0</v>
      </c>
      <c r="L397" s="1178"/>
    </row>
    <row r="398" spans="2:12" ht="14.25" thickBot="1">
      <c r="B398" s="1171">
        <v>390</v>
      </c>
      <c r="C398" s="1203"/>
      <c r="D398" s="1173"/>
      <c r="E398" s="1174"/>
      <c r="F398" s="1175"/>
      <c r="G398" s="1174"/>
      <c r="H398" s="1176"/>
      <c r="I398" s="1177"/>
      <c r="J398" s="1177"/>
      <c r="K398" s="1177">
        <f t="shared" si="7"/>
        <v>0</v>
      </c>
      <c r="L398" s="1178"/>
    </row>
    <row r="399" spans="2:12" ht="13.5">
      <c r="B399" s="1162">
        <v>391</v>
      </c>
      <c r="C399" s="1203"/>
      <c r="D399" s="1173"/>
      <c r="E399" s="1174"/>
      <c r="F399" s="1175"/>
      <c r="G399" s="1174"/>
      <c r="H399" s="1176"/>
      <c r="I399" s="1177"/>
      <c r="J399" s="1177"/>
      <c r="K399" s="1177">
        <f t="shared" si="7"/>
        <v>0</v>
      </c>
      <c r="L399" s="1178"/>
    </row>
    <row r="400" spans="2:12" ht="14.25" thickBot="1">
      <c r="B400" s="1171">
        <v>392</v>
      </c>
      <c r="C400" s="1203"/>
      <c r="D400" s="1173"/>
      <c r="E400" s="1174"/>
      <c r="F400" s="1175"/>
      <c r="G400" s="1174"/>
      <c r="H400" s="1176"/>
      <c r="I400" s="1177"/>
      <c r="J400" s="1177"/>
      <c r="K400" s="1177">
        <f t="shared" si="7"/>
        <v>0</v>
      </c>
      <c r="L400" s="1178"/>
    </row>
    <row r="401" spans="2:12" ht="13.5">
      <c r="B401" s="1162">
        <v>393</v>
      </c>
      <c r="C401" s="1203"/>
      <c r="D401" s="1173"/>
      <c r="E401" s="1174"/>
      <c r="F401" s="1175"/>
      <c r="G401" s="1174"/>
      <c r="H401" s="1176"/>
      <c r="I401" s="1177"/>
      <c r="J401" s="1177"/>
      <c r="K401" s="1177">
        <f t="shared" si="7"/>
        <v>0</v>
      </c>
      <c r="L401" s="1178"/>
    </row>
    <row r="402" spans="2:12" ht="14.25" thickBot="1">
      <c r="B402" s="1171">
        <v>394</v>
      </c>
      <c r="C402" s="1203"/>
      <c r="D402" s="1173"/>
      <c r="E402" s="1174"/>
      <c r="F402" s="1175"/>
      <c r="G402" s="1174"/>
      <c r="H402" s="1176"/>
      <c r="I402" s="1177"/>
      <c r="J402" s="1177"/>
      <c r="K402" s="1177">
        <f t="shared" si="7"/>
        <v>0</v>
      </c>
      <c r="L402" s="1178"/>
    </row>
    <row r="403" spans="2:12" ht="13.5">
      <c r="B403" s="1162">
        <v>395</v>
      </c>
      <c r="C403" s="1203"/>
      <c r="D403" s="1173"/>
      <c r="E403" s="1174"/>
      <c r="F403" s="1175"/>
      <c r="G403" s="1174"/>
      <c r="H403" s="1176"/>
      <c r="I403" s="1177"/>
      <c r="J403" s="1177"/>
      <c r="K403" s="1177">
        <f t="shared" si="7"/>
        <v>0</v>
      </c>
      <c r="L403" s="1178"/>
    </row>
    <row r="404" spans="2:12" ht="14.25" thickBot="1">
      <c r="B404" s="1171">
        <v>396</v>
      </c>
      <c r="C404" s="1203"/>
      <c r="D404" s="1173"/>
      <c r="E404" s="1174"/>
      <c r="F404" s="1175"/>
      <c r="G404" s="1174"/>
      <c r="H404" s="1176"/>
      <c r="I404" s="1177"/>
      <c r="J404" s="1177"/>
      <c r="K404" s="1177">
        <f t="shared" si="7"/>
        <v>0</v>
      </c>
      <c r="L404" s="1178"/>
    </row>
    <row r="405" spans="2:12" ht="13.5">
      <c r="B405" s="1162">
        <v>397</v>
      </c>
      <c r="C405" s="1203"/>
      <c r="D405" s="1173"/>
      <c r="E405" s="1174"/>
      <c r="F405" s="1175"/>
      <c r="G405" s="1174"/>
      <c r="H405" s="1176"/>
      <c r="I405" s="1177"/>
      <c r="J405" s="1177"/>
      <c r="K405" s="1177">
        <f t="shared" si="7"/>
        <v>0</v>
      </c>
      <c r="L405" s="1178"/>
    </row>
    <row r="406" spans="2:12" ht="14.25" thickBot="1">
      <c r="B406" s="1171">
        <v>398</v>
      </c>
      <c r="C406" s="1203"/>
      <c r="D406" s="1173"/>
      <c r="E406" s="1174"/>
      <c r="F406" s="1175"/>
      <c r="G406" s="1174"/>
      <c r="H406" s="1176"/>
      <c r="I406" s="1177"/>
      <c r="J406" s="1177"/>
      <c r="K406" s="1177">
        <f t="shared" si="7"/>
        <v>0</v>
      </c>
      <c r="L406" s="1178"/>
    </row>
    <row r="407" spans="2:12" ht="13.5">
      <c r="B407" s="1162">
        <v>399</v>
      </c>
      <c r="C407" s="1203"/>
      <c r="D407" s="1173"/>
      <c r="E407" s="1174"/>
      <c r="F407" s="1175"/>
      <c r="G407" s="1174"/>
      <c r="H407" s="1176"/>
      <c r="I407" s="1177"/>
      <c r="J407" s="1177"/>
      <c r="K407" s="1177">
        <f t="shared" si="7"/>
        <v>0</v>
      </c>
      <c r="L407" s="1178"/>
    </row>
    <row r="408" spans="2:12" ht="14.25" thickBot="1">
      <c r="B408" s="1171">
        <v>400</v>
      </c>
      <c r="C408" s="1203"/>
      <c r="D408" s="1173"/>
      <c r="E408" s="1174"/>
      <c r="F408" s="1175"/>
      <c r="G408" s="1174"/>
      <c r="H408" s="1176"/>
      <c r="I408" s="1177"/>
      <c r="J408" s="1177"/>
      <c r="K408" s="1177">
        <f t="shared" si="7"/>
        <v>0</v>
      </c>
      <c r="L408" s="1178"/>
    </row>
    <row r="409" spans="2:12" ht="13.5">
      <c r="B409" s="1162">
        <v>401</v>
      </c>
      <c r="C409" s="1203"/>
      <c r="D409" s="1173"/>
      <c r="E409" s="1174"/>
      <c r="F409" s="1175"/>
      <c r="G409" s="1174"/>
      <c r="H409" s="1176"/>
      <c r="I409" s="1177"/>
      <c r="J409" s="1177"/>
      <c r="K409" s="1177">
        <f t="shared" si="7"/>
        <v>0</v>
      </c>
      <c r="L409" s="1178"/>
    </row>
    <row r="410" spans="2:12" ht="14.25" thickBot="1">
      <c r="B410" s="1171">
        <v>402</v>
      </c>
      <c r="C410" s="1203"/>
      <c r="D410" s="1173"/>
      <c r="E410" s="1174"/>
      <c r="F410" s="1175"/>
      <c r="G410" s="1174"/>
      <c r="H410" s="1176"/>
      <c r="I410" s="1177"/>
      <c r="J410" s="1177"/>
      <c r="K410" s="1177">
        <f t="shared" si="7"/>
        <v>0</v>
      </c>
      <c r="L410" s="1178"/>
    </row>
    <row r="411" spans="2:12" ht="13.5">
      <c r="B411" s="1162">
        <v>403</v>
      </c>
      <c r="C411" s="1203"/>
      <c r="D411" s="1173"/>
      <c r="E411" s="1174"/>
      <c r="F411" s="1175"/>
      <c r="G411" s="1174"/>
      <c r="H411" s="1176"/>
      <c r="I411" s="1177"/>
      <c r="J411" s="1177"/>
      <c r="K411" s="1177">
        <f t="shared" si="7"/>
        <v>0</v>
      </c>
      <c r="L411" s="1178"/>
    </row>
    <row r="412" spans="2:12" ht="14.25" thickBot="1">
      <c r="B412" s="1171">
        <v>404</v>
      </c>
      <c r="C412" s="1203"/>
      <c r="D412" s="1173"/>
      <c r="E412" s="1174"/>
      <c r="F412" s="1175"/>
      <c r="G412" s="1174"/>
      <c r="H412" s="1176"/>
      <c r="I412" s="1177"/>
      <c r="J412" s="1177"/>
      <c r="K412" s="1177">
        <f t="shared" si="7"/>
        <v>0</v>
      </c>
      <c r="L412" s="1178"/>
    </row>
    <row r="413" spans="2:12" ht="13.5">
      <c r="B413" s="1162">
        <v>405</v>
      </c>
      <c r="C413" s="1203"/>
      <c r="D413" s="1173"/>
      <c r="E413" s="1174"/>
      <c r="F413" s="1175"/>
      <c r="G413" s="1174"/>
      <c r="H413" s="1176"/>
      <c r="I413" s="1177"/>
      <c r="J413" s="1177"/>
      <c r="K413" s="1177">
        <f t="shared" si="7"/>
        <v>0</v>
      </c>
      <c r="L413" s="1178"/>
    </row>
    <row r="414" spans="2:12" ht="14.25" thickBot="1">
      <c r="B414" s="1171">
        <v>406</v>
      </c>
      <c r="C414" s="1203"/>
      <c r="D414" s="1173"/>
      <c r="E414" s="1174"/>
      <c r="F414" s="1175"/>
      <c r="G414" s="1174"/>
      <c r="H414" s="1176"/>
      <c r="I414" s="1177"/>
      <c r="J414" s="1177"/>
      <c r="K414" s="1177">
        <f t="shared" si="7"/>
        <v>0</v>
      </c>
      <c r="L414" s="1178"/>
    </row>
    <row r="415" spans="2:12" ht="13.5">
      <c r="B415" s="1162">
        <v>407</v>
      </c>
      <c r="C415" s="1203"/>
      <c r="D415" s="1173"/>
      <c r="E415" s="1174"/>
      <c r="F415" s="1175"/>
      <c r="G415" s="1174"/>
      <c r="H415" s="1176"/>
      <c r="I415" s="1177"/>
      <c r="J415" s="1177"/>
      <c r="K415" s="1177">
        <f t="shared" si="7"/>
        <v>0</v>
      </c>
      <c r="L415" s="1178"/>
    </row>
    <row r="416" spans="2:12" ht="14.25" thickBot="1">
      <c r="B416" s="1171">
        <v>408</v>
      </c>
      <c r="C416" s="1203"/>
      <c r="D416" s="1173"/>
      <c r="E416" s="1174"/>
      <c r="F416" s="1175"/>
      <c r="G416" s="1174"/>
      <c r="H416" s="1176"/>
      <c r="I416" s="1177"/>
      <c r="J416" s="1177"/>
      <c r="K416" s="1177">
        <f t="shared" si="7"/>
        <v>0</v>
      </c>
      <c r="L416" s="1178"/>
    </row>
    <row r="417" spans="2:12" ht="13.5">
      <c r="B417" s="1162">
        <v>409</v>
      </c>
      <c r="C417" s="1203"/>
      <c r="D417" s="1173"/>
      <c r="E417" s="1174"/>
      <c r="F417" s="1175"/>
      <c r="G417" s="1174"/>
      <c r="H417" s="1176"/>
      <c r="I417" s="1177"/>
      <c r="J417" s="1177"/>
      <c r="K417" s="1177">
        <f t="shared" si="7"/>
        <v>0</v>
      </c>
      <c r="L417" s="1178"/>
    </row>
    <row r="418" spans="2:12" ht="14.25" thickBot="1">
      <c r="B418" s="1171">
        <v>410</v>
      </c>
      <c r="C418" s="1203"/>
      <c r="D418" s="1173"/>
      <c r="E418" s="1174"/>
      <c r="F418" s="1175"/>
      <c r="G418" s="1174"/>
      <c r="H418" s="1176"/>
      <c r="I418" s="1177"/>
      <c r="J418" s="1177"/>
      <c r="K418" s="1177">
        <f t="shared" si="7"/>
        <v>0</v>
      </c>
      <c r="L418" s="1178"/>
    </row>
    <row r="419" spans="2:12" ht="13.5">
      <c r="B419" s="1162">
        <v>411</v>
      </c>
      <c r="C419" s="1203"/>
      <c r="D419" s="1173"/>
      <c r="E419" s="1174"/>
      <c r="F419" s="1175"/>
      <c r="G419" s="1174"/>
      <c r="H419" s="1176"/>
      <c r="I419" s="1177"/>
      <c r="J419" s="1177"/>
      <c r="K419" s="1177">
        <f t="shared" si="7"/>
        <v>0</v>
      </c>
      <c r="L419" s="1178"/>
    </row>
    <row r="420" spans="2:12" ht="14.25" thickBot="1">
      <c r="B420" s="1171">
        <v>412</v>
      </c>
      <c r="C420" s="1203"/>
      <c r="D420" s="1173"/>
      <c r="E420" s="1174"/>
      <c r="F420" s="1175"/>
      <c r="G420" s="1174"/>
      <c r="H420" s="1176"/>
      <c r="I420" s="1177"/>
      <c r="J420" s="1177"/>
      <c r="K420" s="1177">
        <f t="shared" si="7"/>
        <v>0</v>
      </c>
      <c r="L420" s="1178"/>
    </row>
    <row r="421" spans="2:12" ht="13.5">
      <c r="B421" s="1162">
        <v>413</v>
      </c>
      <c r="C421" s="1203"/>
      <c r="D421" s="1173"/>
      <c r="E421" s="1174"/>
      <c r="F421" s="1175"/>
      <c r="G421" s="1174"/>
      <c r="H421" s="1176"/>
      <c r="I421" s="1177"/>
      <c r="J421" s="1177"/>
      <c r="K421" s="1177">
        <f t="shared" si="7"/>
        <v>0</v>
      </c>
      <c r="L421" s="1178"/>
    </row>
    <row r="422" spans="2:12" ht="14.25" thickBot="1">
      <c r="B422" s="1171">
        <v>414</v>
      </c>
      <c r="C422" s="1203"/>
      <c r="D422" s="1173"/>
      <c r="E422" s="1174"/>
      <c r="F422" s="1175"/>
      <c r="G422" s="1174"/>
      <c r="H422" s="1176"/>
      <c r="I422" s="1177"/>
      <c r="J422" s="1177"/>
      <c r="K422" s="1177">
        <f t="shared" si="7"/>
        <v>0</v>
      </c>
      <c r="L422" s="1178"/>
    </row>
    <row r="423" spans="2:12" ht="13.5">
      <c r="B423" s="1162">
        <v>415</v>
      </c>
      <c r="C423" s="1203"/>
      <c r="D423" s="1173"/>
      <c r="E423" s="1174"/>
      <c r="F423" s="1175"/>
      <c r="G423" s="1174"/>
      <c r="H423" s="1176"/>
      <c r="I423" s="1177"/>
      <c r="J423" s="1177"/>
      <c r="K423" s="1177">
        <f t="shared" si="7"/>
        <v>0</v>
      </c>
      <c r="L423" s="1178"/>
    </row>
    <row r="424" spans="2:12" ht="14.25" thickBot="1">
      <c r="B424" s="1171">
        <v>416</v>
      </c>
      <c r="C424" s="1203"/>
      <c r="D424" s="1173"/>
      <c r="E424" s="1174"/>
      <c r="F424" s="1175"/>
      <c r="G424" s="1174"/>
      <c r="H424" s="1176"/>
      <c r="I424" s="1177"/>
      <c r="J424" s="1177"/>
      <c r="K424" s="1177">
        <f t="shared" si="7"/>
        <v>0</v>
      </c>
      <c r="L424" s="1178"/>
    </row>
    <row r="425" spans="2:12" ht="13.5">
      <c r="B425" s="1162">
        <v>417</v>
      </c>
      <c r="C425" s="1203"/>
      <c r="D425" s="1173"/>
      <c r="E425" s="1174"/>
      <c r="F425" s="1175"/>
      <c r="G425" s="1174"/>
      <c r="H425" s="1176"/>
      <c r="I425" s="1177"/>
      <c r="J425" s="1177"/>
      <c r="K425" s="1177">
        <f t="shared" si="7"/>
        <v>0</v>
      </c>
      <c r="L425" s="1178"/>
    </row>
    <row r="426" spans="2:12" ht="14.25" thickBot="1">
      <c r="B426" s="1171">
        <v>418</v>
      </c>
      <c r="C426" s="1203"/>
      <c r="D426" s="1173"/>
      <c r="E426" s="1174"/>
      <c r="F426" s="1175"/>
      <c r="G426" s="1174"/>
      <c r="H426" s="1176"/>
      <c r="I426" s="1177"/>
      <c r="J426" s="1177"/>
      <c r="K426" s="1177">
        <f t="shared" si="7"/>
        <v>0</v>
      </c>
      <c r="L426" s="1178"/>
    </row>
    <row r="427" spans="2:12" ht="13.5">
      <c r="B427" s="1162">
        <v>419</v>
      </c>
      <c r="C427" s="1203"/>
      <c r="D427" s="1173"/>
      <c r="E427" s="1174"/>
      <c r="F427" s="1175"/>
      <c r="G427" s="1174"/>
      <c r="H427" s="1176"/>
      <c r="I427" s="1177"/>
      <c r="J427" s="1177"/>
      <c r="K427" s="1177">
        <f t="shared" si="7"/>
        <v>0</v>
      </c>
      <c r="L427" s="1178"/>
    </row>
    <row r="428" spans="2:12" ht="14.25" thickBot="1">
      <c r="B428" s="1171">
        <v>420</v>
      </c>
      <c r="C428" s="1203"/>
      <c r="D428" s="1173"/>
      <c r="E428" s="1174"/>
      <c r="F428" s="1175"/>
      <c r="G428" s="1174"/>
      <c r="H428" s="1176"/>
      <c r="I428" s="1177"/>
      <c r="J428" s="1177"/>
      <c r="K428" s="1177">
        <f t="shared" si="7"/>
        <v>0</v>
      </c>
      <c r="L428" s="1178"/>
    </row>
    <row r="429" spans="2:12" ht="13.5">
      <c r="B429" s="1162">
        <v>421</v>
      </c>
      <c r="C429" s="1203"/>
      <c r="D429" s="1173"/>
      <c r="E429" s="1174"/>
      <c r="F429" s="1175"/>
      <c r="G429" s="1174"/>
      <c r="H429" s="1176"/>
      <c r="I429" s="1177"/>
      <c r="J429" s="1177"/>
      <c r="K429" s="1177">
        <f t="shared" si="7"/>
        <v>0</v>
      </c>
      <c r="L429" s="1178"/>
    </row>
    <row r="430" spans="2:12" ht="14.25" thickBot="1">
      <c r="B430" s="1171">
        <v>422</v>
      </c>
      <c r="C430" s="1203"/>
      <c r="D430" s="1173"/>
      <c r="E430" s="1174"/>
      <c r="F430" s="1175"/>
      <c r="G430" s="1174"/>
      <c r="H430" s="1176"/>
      <c r="I430" s="1177"/>
      <c r="J430" s="1177"/>
      <c r="K430" s="1177">
        <f t="shared" si="7"/>
        <v>0</v>
      </c>
      <c r="L430" s="1178"/>
    </row>
    <row r="431" spans="2:12" ht="13.5">
      <c r="B431" s="1162">
        <v>423</v>
      </c>
      <c r="C431" s="1203"/>
      <c r="D431" s="1173"/>
      <c r="E431" s="1174"/>
      <c r="F431" s="1175"/>
      <c r="G431" s="1174"/>
      <c r="H431" s="1176"/>
      <c r="I431" s="1177"/>
      <c r="J431" s="1177"/>
      <c r="K431" s="1177">
        <f t="shared" si="7"/>
        <v>0</v>
      </c>
      <c r="L431" s="1178"/>
    </row>
    <row r="432" spans="2:12" ht="14.25" thickBot="1">
      <c r="B432" s="1171">
        <v>424</v>
      </c>
      <c r="C432" s="1203"/>
      <c r="D432" s="1173"/>
      <c r="E432" s="1174"/>
      <c r="F432" s="1175"/>
      <c r="G432" s="1174"/>
      <c r="H432" s="1176"/>
      <c r="I432" s="1177"/>
      <c r="J432" s="1177"/>
      <c r="K432" s="1177">
        <f t="shared" si="7"/>
        <v>0</v>
      </c>
      <c r="L432" s="1178"/>
    </row>
    <row r="433" spans="2:12" ht="13.5">
      <c r="B433" s="1162">
        <v>425</v>
      </c>
      <c r="C433" s="1203"/>
      <c r="D433" s="1173"/>
      <c r="E433" s="1174"/>
      <c r="F433" s="1175"/>
      <c r="G433" s="1174"/>
      <c r="H433" s="1176"/>
      <c r="I433" s="1177"/>
      <c r="J433" s="1177"/>
      <c r="K433" s="1177">
        <f t="shared" si="7"/>
        <v>0</v>
      </c>
      <c r="L433" s="1178"/>
    </row>
    <row r="434" spans="2:12" ht="14.25" thickBot="1">
      <c r="B434" s="1171">
        <v>426</v>
      </c>
      <c r="C434" s="1203"/>
      <c r="D434" s="1173"/>
      <c r="E434" s="1174"/>
      <c r="F434" s="1175"/>
      <c r="G434" s="1174"/>
      <c r="H434" s="1176"/>
      <c r="I434" s="1177"/>
      <c r="J434" s="1177"/>
      <c r="K434" s="1177">
        <f t="shared" si="7"/>
        <v>0</v>
      </c>
      <c r="L434" s="1178"/>
    </row>
    <row r="435" spans="2:12" ht="13.5">
      <c r="B435" s="1162">
        <v>427</v>
      </c>
      <c r="C435" s="1203"/>
      <c r="D435" s="1173"/>
      <c r="E435" s="1174"/>
      <c r="F435" s="1175"/>
      <c r="G435" s="1174"/>
      <c r="H435" s="1176"/>
      <c r="I435" s="1177"/>
      <c r="J435" s="1177"/>
      <c r="K435" s="1177">
        <f t="shared" si="7"/>
        <v>0</v>
      </c>
      <c r="L435" s="1178"/>
    </row>
    <row r="436" spans="2:12" ht="14.25" thickBot="1">
      <c r="B436" s="1171">
        <v>428</v>
      </c>
      <c r="C436" s="1203"/>
      <c r="D436" s="1173"/>
      <c r="E436" s="1174"/>
      <c r="F436" s="1175"/>
      <c r="G436" s="1174"/>
      <c r="H436" s="1176"/>
      <c r="I436" s="1177"/>
      <c r="J436" s="1177"/>
      <c r="K436" s="1177">
        <f t="shared" si="7"/>
        <v>0</v>
      </c>
      <c r="L436" s="1178"/>
    </row>
    <row r="437" spans="2:12" ht="13.5">
      <c r="B437" s="1162">
        <v>429</v>
      </c>
      <c r="C437" s="1203"/>
      <c r="D437" s="1173"/>
      <c r="E437" s="1174"/>
      <c r="F437" s="1175"/>
      <c r="G437" s="1174"/>
      <c r="H437" s="1176"/>
      <c r="I437" s="1177"/>
      <c r="J437" s="1177"/>
      <c r="K437" s="1177">
        <f t="shared" si="7"/>
        <v>0</v>
      </c>
      <c r="L437" s="1178"/>
    </row>
    <row r="438" spans="2:12" ht="14.25" thickBot="1">
      <c r="B438" s="1171">
        <v>430</v>
      </c>
      <c r="C438" s="1203"/>
      <c r="D438" s="1173"/>
      <c r="E438" s="1174"/>
      <c r="F438" s="1175"/>
      <c r="G438" s="1174"/>
      <c r="H438" s="1176"/>
      <c r="I438" s="1177"/>
      <c r="J438" s="1177"/>
      <c r="K438" s="1177">
        <f t="shared" si="7"/>
        <v>0</v>
      </c>
      <c r="L438" s="1178"/>
    </row>
    <row r="439" spans="2:12" ht="13.5">
      <c r="B439" s="1162">
        <v>431</v>
      </c>
      <c r="C439" s="1203"/>
      <c r="D439" s="1173"/>
      <c r="E439" s="1174"/>
      <c r="F439" s="1175"/>
      <c r="G439" s="1174"/>
      <c r="H439" s="1176"/>
      <c r="I439" s="1177"/>
      <c r="J439" s="1177"/>
      <c r="K439" s="1177">
        <f t="shared" si="7"/>
        <v>0</v>
      </c>
      <c r="L439" s="1178"/>
    </row>
    <row r="440" spans="2:12" ht="14.25" thickBot="1">
      <c r="B440" s="1171">
        <v>432</v>
      </c>
      <c r="C440" s="1203"/>
      <c r="D440" s="1173"/>
      <c r="E440" s="1174"/>
      <c r="F440" s="1175"/>
      <c r="G440" s="1174"/>
      <c r="H440" s="1176"/>
      <c r="I440" s="1177"/>
      <c r="J440" s="1177"/>
      <c r="K440" s="1177">
        <f t="shared" si="7"/>
        <v>0</v>
      </c>
      <c r="L440" s="1178"/>
    </row>
    <row r="441" spans="2:12" ht="13.5">
      <c r="B441" s="1162">
        <v>433</v>
      </c>
      <c r="C441" s="1203"/>
      <c r="D441" s="1173"/>
      <c r="E441" s="1174"/>
      <c r="F441" s="1175"/>
      <c r="G441" s="1174"/>
      <c r="H441" s="1176"/>
      <c r="I441" s="1177"/>
      <c r="J441" s="1177"/>
      <c r="K441" s="1177">
        <f t="shared" si="7"/>
        <v>0</v>
      </c>
      <c r="L441" s="1178"/>
    </row>
    <row r="442" spans="2:12" ht="14.25" thickBot="1">
      <c r="B442" s="1171">
        <v>434</v>
      </c>
      <c r="C442" s="1203"/>
      <c r="D442" s="1173"/>
      <c r="E442" s="1174"/>
      <c r="F442" s="1175"/>
      <c r="G442" s="1174"/>
      <c r="H442" s="1176"/>
      <c r="I442" s="1177"/>
      <c r="J442" s="1177"/>
      <c r="K442" s="1177">
        <f t="shared" si="7"/>
        <v>0</v>
      </c>
      <c r="L442" s="1178"/>
    </row>
    <row r="443" spans="2:12" ht="13.5">
      <c r="B443" s="1162">
        <v>435</v>
      </c>
      <c r="C443" s="1203"/>
      <c r="D443" s="1173"/>
      <c r="E443" s="1174"/>
      <c r="F443" s="1175"/>
      <c r="G443" s="1174"/>
      <c r="H443" s="1176"/>
      <c r="I443" s="1177"/>
      <c r="J443" s="1177"/>
      <c r="K443" s="1177">
        <f t="shared" si="7"/>
        <v>0</v>
      </c>
      <c r="L443" s="1178"/>
    </row>
    <row r="444" spans="2:12" ht="14.25" thickBot="1">
      <c r="B444" s="1171">
        <v>436</v>
      </c>
      <c r="C444" s="1203"/>
      <c r="D444" s="1173"/>
      <c r="E444" s="1174"/>
      <c r="F444" s="1175"/>
      <c r="G444" s="1174"/>
      <c r="H444" s="1176"/>
      <c r="I444" s="1177"/>
      <c r="J444" s="1177"/>
      <c r="K444" s="1177">
        <f t="shared" si="7"/>
        <v>0</v>
      </c>
      <c r="L444" s="1178"/>
    </row>
    <row r="445" spans="2:12" ht="13.5">
      <c r="B445" s="1162">
        <v>437</v>
      </c>
      <c r="C445" s="1203"/>
      <c r="D445" s="1173"/>
      <c r="E445" s="1174"/>
      <c r="F445" s="1175"/>
      <c r="G445" s="1174"/>
      <c r="H445" s="1176"/>
      <c r="I445" s="1177"/>
      <c r="J445" s="1177"/>
      <c r="K445" s="1177">
        <f t="shared" si="7"/>
        <v>0</v>
      </c>
      <c r="L445" s="1178"/>
    </row>
    <row r="446" spans="2:12" ht="14.25" thickBot="1">
      <c r="B446" s="1171">
        <v>438</v>
      </c>
      <c r="C446" s="1203"/>
      <c r="D446" s="1173"/>
      <c r="E446" s="1174"/>
      <c r="F446" s="1175"/>
      <c r="G446" s="1174"/>
      <c r="H446" s="1176"/>
      <c r="I446" s="1177"/>
      <c r="J446" s="1177"/>
      <c r="K446" s="1177">
        <f t="shared" si="7"/>
        <v>0</v>
      </c>
      <c r="L446" s="1178"/>
    </row>
    <row r="447" spans="2:12" ht="13.5">
      <c r="B447" s="1162">
        <v>439</v>
      </c>
      <c r="C447" s="1203"/>
      <c r="D447" s="1173"/>
      <c r="E447" s="1174"/>
      <c r="F447" s="1175"/>
      <c r="G447" s="1174"/>
      <c r="H447" s="1176"/>
      <c r="I447" s="1177"/>
      <c r="J447" s="1177"/>
      <c r="K447" s="1177">
        <f t="shared" si="7"/>
        <v>0</v>
      </c>
      <c r="L447" s="1178"/>
    </row>
    <row r="448" spans="2:12" ht="14.25" thickBot="1">
      <c r="B448" s="1171">
        <v>440</v>
      </c>
      <c r="C448" s="1203"/>
      <c r="D448" s="1173"/>
      <c r="E448" s="1174"/>
      <c r="F448" s="1175"/>
      <c r="G448" s="1174"/>
      <c r="H448" s="1176"/>
      <c r="I448" s="1177"/>
      <c r="J448" s="1177"/>
      <c r="K448" s="1177">
        <f t="shared" si="7"/>
        <v>0</v>
      </c>
      <c r="L448" s="1178"/>
    </row>
    <row r="449" spans="2:12" ht="13.5">
      <c r="B449" s="1162">
        <v>441</v>
      </c>
      <c r="C449" s="1203"/>
      <c r="D449" s="1173"/>
      <c r="E449" s="1174"/>
      <c r="F449" s="1175"/>
      <c r="G449" s="1174"/>
      <c r="H449" s="1176"/>
      <c r="I449" s="1177"/>
      <c r="J449" s="1177"/>
      <c r="K449" s="1177">
        <f t="shared" si="7"/>
        <v>0</v>
      </c>
      <c r="L449" s="1178"/>
    </row>
    <row r="450" spans="2:12" ht="14.25" thickBot="1">
      <c r="B450" s="1171">
        <v>442</v>
      </c>
      <c r="C450" s="1203"/>
      <c r="D450" s="1173"/>
      <c r="E450" s="1174"/>
      <c r="F450" s="1175"/>
      <c r="G450" s="1174"/>
      <c r="H450" s="1176"/>
      <c r="I450" s="1177"/>
      <c r="J450" s="1177"/>
      <c r="K450" s="1177">
        <f t="shared" si="7"/>
        <v>0</v>
      </c>
      <c r="L450" s="1178"/>
    </row>
    <row r="451" spans="2:12" ht="13.5">
      <c r="B451" s="1162">
        <v>443</v>
      </c>
      <c r="C451" s="1203"/>
      <c r="D451" s="1173"/>
      <c r="E451" s="1174"/>
      <c r="F451" s="1175"/>
      <c r="G451" s="1174"/>
      <c r="H451" s="1176"/>
      <c r="I451" s="1177"/>
      <c r="J451" s="1177"/>
      <c r="K451" s="1177">
        <f t="shared" si="7"/>
        <v>0</v>
      </c>
      <c r="L451" s="1178"/>
    </row>
    <row r="452" spans="2:12" ht="14.25" thickBot="1">
      <c r="B452" s="1171">
        <v>444</v>
      </c>
      <c r="C452" s="1203"/>
      <c r="D452" s="1173"/>
      <c r="E452" s="1174"/>
      <c r="F452" s="1175"/>
      <c r="G452" s="1174"/>
      <c r="H452" s="1176"/>
      <c r="I452" s="1177"/>
      <c r="J452" s="1177"/>
      <c r="K452" s="1177">
        <f t="shared" si="7"/>
        <v>0</v>
      </c>
      <c r="L452" s="1178"/>
    </row>
    <row r="453" spans="2:12" ht="13.5">
      <c r="B453" s="1162">
        <v>445</v>
      </c>
      <c r="C453" s="1203"/>
      <c r="D453" s="1173"/>
      <c r="E453" s="1174"/>
      <c r="F453" s="1175"/>
      <c r="G453" s="1174"/>
      <c r="H453" s="1176"/>
      <c r="I453" s="1177"/>
      <c r="J453" s="1177"/>
      <c r="K453" s="1177">
        <f t="shared" si="7"/>
        <v>0</v>
      </c>
      <c r="L453" s="1178"/>
    </row>
    <row r="454" spans="2:12" ht="14.25" thickBot="1">
      <c r="B454" s="1171">
        <v>446</v>
      </c>
      <c r="C454" s="1203"/>
      <c r="D454" s="1173"/>
      <c r="E454" s="1174"/>
      <c r="F454" s="1175"/>
      <c r="G454" s="1174"/>
      <c r="H454" s="1176"/>
      <c r="I454" s="1177"/>
      <c r="J454" s="1177"/>
      <c r="K454" s="1177">
        <f t="shared" si="7"/>
        <v>0</v>
      </c>
      <c r="L454" s="1178"/>
    </row>
    <row r="455" spans="2:12" ht="13.5">
      <c r="B455" s="1162">
        <v>447</v>
      </c>
      <c r="C455" s="1203"/>
      <c r="D455" s="1173"/>
      <c r="E455" s="1174"/>
      <c r="F455" s="1175"/>
      <c r="G455" s="1174"/>
      <c r="H455" s="1176"/>
      <c r="I455" s="1177"/>
      <c r="J455" s="1177"/>
      <c r="K455" s="1177">
        <f t="shared" si="7"/>
        <v>0</v>
      </c>
      <c r="L455" s="1178"/>
    </row>
    <row r="456" spans="2:12" ht="14.25" thickBot="1">
      <c r="B456" s="1171">
        <v>448</v>
      </c>
      <c r="C456" s="1203"/>
      <c r="D456" s="1173"/>
      <c r="E456" s="1174"/>
      <c r="F456" s="1175"/>
      <c r="G456" s="1174"/>
      <c r="H456" s="1176"/>
      <c r="I456" s="1177"/>
      <c r="J456" s="1177"/>
      <c r="K456" s="1177">
        <f t="shared" si="7"/>
        <v>0</v>
      </c>
      <c r="L456" s="1178"/>
    </row>
    <row r="457" spans="2:12" ht="13.5">
      <c r="B457" s="1162">
        <v>449</v>
      </c>
      <c r="C457" s="1203"/>
      <c r="D457" s="1173"/>
      <c r="E457" s="1174"/>
      <c r="F457" s="1175"/>
      <c r="G457" s="1174"/>
      <c r="H457" s="1176"/>
      <c r="I457" s="1177"/>
      <c r="J457" s="1177"/>
      <c r="K457" s="1177">
        <f t="shared" si="7"/>
        <v>0</v>
      </c>
      <c r="L457" s="1178"/>
    </row>
    <row r="458" spans="2:12" ht="14.25" thickBot="1">
      <c r="B458" s="1171">
        <v>450</v>
      </c>
      <c r="C458" s="1203"/>
      <c r="D458" s="1173"/>
      <c r="E458" s="1174"/>
      <c r="F458" s="1175"/>
      <c r="G458" s="1174"/>
      <c r="H458" s="1176"/>
      <c r="I458" s="1177"/>
      <c r="J458" s="1177"/>
      <c r="K458" s="1177">
        <f aca="true" t="shared" si="8" ref="K458:K521">+J458*0.2</f>
        <v>0</v>
      </c>
      <c r="L458" s="1178"/>
    </row>
    <row r="459" spans="2:12" ht="13.5">
      <c r="B459" s="1162">
        <v>451</v>
      </c>
      <c r="C459" s="1203"/>
      <c r="D459" s="1173"/>
      <c r="E459" s="1174"/>
      <c r="F459" s="1175"/>
      <c r="G459" s="1174"/>
      <c r="H459" s="1176"/>
      <c r="I459" s="1177"/>
      <c r="J459" s="1177"/>
      <c r="K459" s="1177">
        <f t="shared" si="8"/>
        <v>0</v>
      </c>
      <c r="L459" s="1178"/>
    </row>
    <row r="460" spans="2:12" ht="14.25" thickBot="1">
      <c r="B460" s="1171">
        <v>452</v>
      </c>
      <c r="C460" s="1203"/>
      <c r="D460" s="1173"/>
      <c r="E460" s="1174"/>
      <c r="F460" s="1175"/>
      <c r="G460" s="1174"/>
      <c r="H460" s="1176"/>
      <c r="I460" s="1177"/>
      <c r="J460" s="1177"/>
      <c r="K460" s="1177">
        <f t="shared" si="8"/>
        <v>0</v>
      </c>
      <c r="L460" s="1178"/>
    </row>
    <row r="461" spans="2:12" ht="13.5">
      <c r="B461" s="1162">
        <v>453</v>
      </c>
      <c r="C461" s="1203"/>
      <c r="D461" s="1173"/>
      <c r="E461" s="1174"/>
      <c r="F461" s="1175"/>
      <c r="G461" s="1174"/>
      <c r="H461" s="1176"/>
      <c r="I461" s="1177"/>
      <c r="J461" s="1177"/>
      <c r="K461" s="1177">
        <f t="shared" si="8"/>
        <v>0</v>
      </c>
      <c r="L461" s="1178"/>
    </row>
    <row r="462" spans="2:12" ht="14.25" thickBot="1">
      <c r="B462" s="1171">
        <v>454</v>
      </c>
      <c r="C462" s="1203"/>
      <c r="D462" s="1173"/>
      <c r="E462" s="1174"/>
      <c r="F462" s="1175"/>
      <c r="G462" s="1174"/>
      <c r="H462" s="1176"/>
      <c r="I462" s="1177"/>
      <c r="J462" s="1177"/>
      <c r="K462" s="1177">
        <f t="shared" si="8"/>
        <v>0</v>
      </c>
      <c r="L462" s="1178"/>
    </row>
    <row r="463" spans="2:12" ht="13.5">
      <c r="B463" s="1162">
        <v>455</v>
      </c>
      <c r="C463" s="1203"/>
      <c r="D463" s="1173"/>
      <c r="E463" s="1174"/>
      <c r="F463" s="1175"/>
      <c r="G463" s="1174"/>
      <c r="H463" s="1176"/>
      <c r="I463" s="1177"/>
      <c r="J463" s="1177"/>
      <c r="K463" s="1177">
        <f t="shared" si="8"/>
        <v>0</v>
      </c>
      <c r="L463" s="1178"/>
    </row>
    <row r="464" spans="2:12" ht="14.25" thickBot="1">
      <c r="B464" s="1171">
        <v>456</v>
      </c>
      <c r="C464" s="1203"/>
      <c r="D464" s="1173"/>
      <c r="E464" s="1174"/>
      <c r="F464" s="1175"/>
      <c r="G464" s="1174"/>
      <c r="H464" s="1176"/>
      <c r="I464" s="1177"/>
      <c r="J464" s="1177"/>
      <c r="K464" s="1177">
        <f t="shared" si="8"/>
        <v>0</v>
      </c>
      <c r="L464" s="1178"/>
    </row>
    <row r="465" spans="2:12" ht="13.5">
      <c r="B465" s="1162">
        <v>457</v>
      </c>
      <c r="C465" s="1203"/>
      <c r="D465" s="1173"/>
      <c r="E465" s="1174"/>
      <c r="F465" s="1175"/>
      <c r="G465" s="1174"/>
      <c r="H465" s="1176"/>
      <c r="I465" s="1177"/>
      <c r="J465" s="1177"/>
      <c r="K465" s="1177">
        <f t="shared" si="8"/>
        <v>0</v>
      </c>
      <c r="L465" s="1178"/>
    </row>
    <row r="466" spans="2:12" ht="14.25" thickBot="1">
      <c r="B466" s="1171">
        <v>458</v>
      </c>
      <c r="C466" s="1203"/>
      <c r="D466" s="1173"/>
      <c r="E466" s="1174"/>
      <c r="F466" s="1175"/>
      <c r="G466" s="1174"/>
      <c r="H466" s="1176"/>
      <c r="I466" s="1177"/>
      <c r="J466" s="1177"/>
      <c r="K466" s="1177">
        <f t="shared" si="8"/>
        <v>0</v>
      </c>
      <c r="L466" s="1178"/>
    </row>
    <row r="467" spans="2:12" ht="13.5">
      <c r="B467" s="1162">
        <v>459</v>
      </c>
      <c r="C467" s="1203"/>
      <c r="D467" s="1173"/>
      <c r="E467" s="1174"/>
      <c r="F467" s="1175"/>
      <c r="G467" s="1174"/>
      <c r="H467" s="1176"/>
      <c r="I467" s="1177"/>
      <c r="J467" s="1177"/>
      <c r="K467" s="1177">
        <f t="shared" si="8"/>
        <v>0</v>
      </c>
      <c r="L467" s="1178"/>
    </row>
    <row r="468" spans="2:12" ht="14.25" thickBot="1">
      <c r="B468" s="1171">
        <v>460</v>
      </c>
      <c r="C468" s="1203"/>
      <c r="D468" s="1173"/>
      <c r="E468" s="1174"/>
      <c r="F468" s="1175"/>
      <c r="G468" s="1174"/>
      <c r="H468" s="1176"/>
      <c r="I468" s="1177"/>
      <c r="J468" s="1177"/>
      <c r="K468" s="1177">
        <f t="shared" si="8"/>
        <v>0</v>
      </c>
      <c r="L468" s="1178"/>
    </row>
    <row r="469" spans="2:12" ht="13.5">
      <c r="B469" s="1162">
        <v>461</v>
      </c>
      <c r="C469" s="1203"/>
      <c r="D469" s="1173"/>
      <c r="E469" s="1174"/>
      <c r="F469" s="1175"/>
      <c r="G469" s="1174"/>
      <c r="H469" s="1176"/>
      <c r="I469" s="1177"/>
      <c r="J469" s="1177"/>
      <c r="K469" s="1177">
        <f t="shared" si="8"/>
        <v>0</v>
      </c>
      <c r="L469" s="1178"/>
    </row>
    <row r="470" spans="2:12" ht="14.25" thickBot="1">
      <c r="B470" s="1171">
        <v>462</v>
      </c>
      <c r="C470" s="1203"/>
      <c r="D470" s="1173"/>
      <c r="E470" s="1174"/>
      <c r="F470" s="1175"/>
      <c r="G470" s="1174"/>
      <c r="H470" s="1176"/>
      <c r="I470" s="1177"/>
      <c r="J470" s="1177"/>
      <c r="K470" s="1177">
        <f t="shared" si="8"/>
        <v>0</v>
      </c>
      <c r="L470" s="1178"/>
    </row>
    <row r="471" spans="2:12" ht="13.5">
      <c r="B471" s="1162">
        <v>463</v>
      </c>
      <c r="C471" s="1203"/>
      <c r="D471" s="1173"/>
      <c r="E471" s="1174"/>
      <c r="F471" s="1175"/>
      <c r="G471" s="1174"/>
      <c r="H471" s="1176"/>
      <c r="I471" s="1177"/>
      <c r="J471" s="1177"/>
      <c r="K471" s="1177">
        <f t="shared" si="8"/>
        <v>0</v>
      </c>
      <c r="L471" s="1178"/>
    </row>
    <row r="472" spans="2:12" ht="14.25" thickBot="1">
      <c r="B472" s="1171">
        <v>464</v>
      </c>
      <c r="C472" s="1203"/>
      <c r="D472" s="1173"/>
      <c r="E472" s="1174"/>
      <c r="F472" s="1175"/>
      <c r="G472" s="1174"/>
      <c r="H472" s="1176"/>
      <c r="I472" s="1177"/>
      <c r="J472" s="1177"/>
      <c r="K472" s="1177">
        <f t="shared" si="8"/>
        <v>0</v>
      </c>
      <c r="L472" s="1178"/>
    </row>
    <row r="473" spans="2:12" ht="13.5">
      <c r="B473" s="1162">
        <v>465</v>
      </c>
      <c r="C473" s="1203"/>
      <c r="D473" s="1173"/>
      <c r="E473" s="1174"/>
      <c r="F473" s="1175"/>
      <c r="G473" s="1174"/>
      <c r="H473" s="1176"/>
      <c r="I473" s="1177"/>
      <c r="J473" s="1177"/>
      <c r="K473" s="1177">
        <f t="shared" si="8"/>
        <v>0</v>
      </c>
      <c r="L473" s="1178"/>
    </row>
    <row r="474" spans="2:12" ht="14.25" thickBot="1">
      <c r="B474" s="1171">
        <v>466</v>
      </c>
      <c r="C474" s="1203"/>
      <c r="D474" s="1173"/>
      <c r="E474" s="1174"/>
      <c r="F474" s="1175"/>
      <c r="G474" s="1174"/>
      <c r="H474" s="1176"/>
      <c r="I474" s="1177"/>
      <c r="J474" s="1177"/>
      <c r="K474" s="1177">
        <f t="shared" si="8"/>
        <v>0</v>
      </c>
      <c r="L474" s="1178"/>
    </row>
    <row r="475" spans="2:12" ht="13.5">
      <c r="B475" s="1162">
        <v>467</v>
      </c>
      <c r="C475" s="1203"/>
      <c r="D475" s="1173"/>
      <c r="E475" s="1174"/>
      <c r="F475" s="1175"/>
      <c r="G475" s="1174"/>
      <c r="H475" s="1176"/>
      <c r="I475" s="1177"/>
      <c r="J475" s="1177"/>
      <c r="K475" s="1177">
        <f t="shared" si="8"/>
        <v>0</v>
      </c>
      <c r="L475" s="1178"/>
    </row>
    <row r="476" spans="2:12" ht="14.25" thickBot="1">
      <c r="B476" s="1171">
        <v>468</v>
      </c>
      <c r="C476" s="1203"/>
      <c r="D476" s="1173"/>
      <c r="E476" s="1174"/>
      <c r="F476" s="1175"/>
      <c r="G476" s="1174"/>
      <c r="H476" s="1176"/>
      <c r="I476" s="1177"/>
      <c r="J476" s="1177"/>
      <c r="K476" s="1177">
        <f t="shared" si="8"/>
        <v>0</v>
      </c>
      <c r="L476" s="1178"/>
    </row>
    <row r="477" spans="2:12" ht="13.5">
      <c r="B477" s="1162">
        <v>469</v>
      </c>
      <c r="C477" s="1203"/>
      <c r="D477" s="1173"/>
      <c r="E477" s="1174"/>
      <c r="F477" s="1175"/>
      <c r="G477" s="1174"/>
      <c r="H477" s="1176"/>
      <c r="I477" s="1177"/>
      <c r="J477" s="1177"/>
      <c r="K477" s="1177">
        <f t="shared" si="8"/>
        <v>0</v>
      </c>
      <c r="L477" s="1178"/>
    </row>
    <row r="478" spans="2:12" ht="14.25" thickBot="1">
      <c r="B478" s="1171">
        <v>470</v>
      </c>
      <c r="C478" s="1203"/>
      <c r="D478" s="1173"/>
      <c r="E478" s="1174"/>
      <c r="F478" s="1175"/>
      <c r="G478" s="1174"/>
      <c r="H478" s="1176"/>
      <c r="I478" s="1177"/>
      <c r="J478" s="1177"/>
      <c r="K478" s="1177">
        <f t="shared" si="8"/>
        <v>0</v>
      </c>
      <c r="L478" s="1178"/>
    </row>
    <row r="479" spans="2:12" ht="13.5">
      <c r="B479" s="1162">
        <v>471</v>
      </c>
      <c r="C479" s="1203"/>
      <c r="D479" s="1173"/>
      <c r="E479" s="1174"/>
      <c r="F479" s="1175"/>
      <c r="G479" s="1174"/>
      <c r="H479" s="1176"/>
      <c r="I479" s="1177"/>
      <c r="J479" s="1177"/>
      <c r="K479" s="1177">
        <f t="shared" si="8"/>
        <v>0</v>
      </c>
      <c r="L479" s="1178"/>
    </row>
    <row r="480" spans="2:12" ht="14.25" thickBot="1">
      <c r="B480" s="1171">
        <v>472</v>
      </c>
      <c r="C480" s="1203"/>
      <c r="D480" s="1173"/>
      <c r="E480" s="1174"/>
      <c r="F480" s="1175"/>
      <c r="G480" s="1174"/>
      <c r="H480" s="1176"/>
      <c r="I480" s="1177"/>
      <c r="J480" s="1177"/>
      <c r="K480" s="1177">
        <f t="shared" si="8"/>
        <v>0</v>
      </c>
      <c r="L480" s="1178"/>
    </row>
    <row r="481" spans="2:12" ht="13.5">
      <c r="B481" s="1162">
        <v>473</v>
      </c>
      <c r="C481" s="1203"/>
      <c r="D481" s="1173"/>
      <c r="E481" s="1174"/>
      <c r="F481" s="1175"/>
      <c r="G481" s="1174"/>
      <c r="H481" s="1176"/>
      <c r="I481" s="1177"/>
      <c r="J481" s="1177"/>
      <c r="K481" s="1177">
        <f t="shared" si="8"/>
        <v>0</v>
      </c>
      <c r="L481" s="1178"/>
    </row>
    <row r="482" spans="2:12" ht="14.25" thickBot="1">
      <c r="B482" s="1171">
        <v>474</v>
      </c>
      <c r="C482" s="1203"/>
      <c r="D482" s="1173"/>
      <c r="E482" s="1174"/>
      <c r="F482" s="1175"/>
      <c r="G482" s="1174"/>
      <c r="H482" s="1176"/>
      <c r="I482" s="1177"/>
      <c r="J482" s="1177"/>
      <c r="K482" s="1177">
        <f t="shared" si="8"/>
        <v>0</v>
      </c>
      <c r="L482" s="1178"/>
    </row>
    <row r="483" spans="2:12" ht="13.5">
      <c r="B483" s="1162">
        <v>475</v>
      </c>
      <c r="C483" s="1203"/>
      <c r="D483" s="1173"/>
      <c r="E483" s="1174"/>
      <c r="F483" s="1175"/>
      <c r="G483" s="1174"/>
      <c r="H483" s="1176"/>
      <c r="I483" s="1177"/>
      <c r="J483" s="1177"/>
      <c r="K483" s="1177">
        <f t="shared" si="8"/>
        <v>0</v>
      </c>
      <c r="L483" s="1178"/>
    </row>
    <row r="484" spans="2:12" ht="14.25" thickBot="1">
      <c r="B484" s="1171">
        <v>476</v>
      </c>
      <c r="C484" s="1203"/>
      <c r="D484" s="1173"/>
      <c r="E484" s="1174"/>
      <c r="F484" s="1175"/>
      <c r="G484" s="1174"/>
      <c r="H484" s="1176"/>
      <c r="I484" s="1177"/>
      <c r="J484" s="1177"/>
      <c r="K484" s="1177">
        <f t="shared" si="8"/>
        <v>0</v>
      </c>
      <c r="L484" s="1178"/>
    </row>
    <row r="485" spans="2:12" ht="13.5">
      <c r="B485" s="1162">
        <v>477</v>
      </c>
      <c r="C485" s="1203"/>
      <c r="D485" s="1173"/>
      <c r="E485" s="1174"/>
      <c r="F485" s="1175"/>
      <c r="G485" s="1174"/>
      <c r="H485" s="1176"/>
      <c r="I485" s="1177"/>
      <c r="J485" s="1177"/>
      <c r="K485" s="1177">
        <f t="shared" si="8"/>
        <v>0</v>
      </c>
      <c r="L485" s="1178"/>
    </row>
    <row r="486" spans="2:12" ht="14.25" thickBot="1">
      <c r="B486" s="1171">
        <v>478</v>
      </c>
      <c r="C486" s="1203"/>
      <c r="D486" s="1173"/>
      <c r="E486" s="1174"/>
      <c r="F486" s="1175"/>
      <c r="G486" s="1174"/>
      <c r="H486" s="1176"/>
      <c r="I486" s="1177"/>
      <c r="J486" s="1177"/>
      <c r="K486" s="1177">
        <f t="shared" si="8"/>
        <v>0</v>
      </c>
      <c r="L486" s="1178"/>
    </row>
    <row r="487" spans="2:12" ht="13.5">
      <c r="B487" s="1162">
        <v>479</v>
      </c>
      <c r="C487" s="1203"/>
      <c r="D487" s="1173"/>
      <c r="E487" s="1174"/>
      <c r="F487" s="1175"/>
      <c r="G487" s="1174"/>
      <c r="H487" s="1176"/>
      <c r="I487" s="1177"/>
      <c r="J487" s="1177"/>
      <c r="K487" s="1177">
        <f t="shared" si="8"/>
        <v>0</v>
      </c>
      <c r="L487" s="1178"/>
    </row>
    <row r="488" spans="2:12" ht="14.25" thickBot="1">
      <c r="B488" s="1171">
        <v>480</v>
      </c>
      <c r="C488" s="1203"/>
      <c r="D488" s="1173"/>
      <c r="E488" s="1174"/>
      <c r="F488" s="1175"/>
      <c r="G488" s="1174"/>
      <c r="H488" s="1176"/>
      <c r="I488" s="1177"/>
      <c r="J488" s="1177"/>
      <c r="K488" s="1177">
        <f t="shared" si="8"/>
        <v>0</v>
      </c>
      <c r="L488" s="1178"/>
    </row>
    <row r="489" spans="2:12" ht="13.5">
      <c r="B489" s="1162">
        <v>481</v>
      </c>
      <c r="C489" s="1203"/>
      <c r="D489" s="1173"/>
      <c r="E489" s="1174"/>
      <c r="F489" s="1175"/>
      <c r="G489" s="1174"/>
      <c r="H489" s="1176"/>
      <c r="I489" s="1177"/>
      <c r="J489" s="1177"/>
      <c r="K489" s="1177">
        <f t="shared" si="8"/>
        <v>0</v>
      </c>
      <c r="L489" s="1178"/>
    </row>
    <row r="490" spans="2:12" ht="14.25" thickBot="1">
      <c r="B490" s="1171">
        <v>482</v>
      </c>
      <c r="C490" s="1203"/>
      <c r="D490" s="1173"/>
      <c r="E490" s="1174"/>
      <c r="F490" s="1175"/>
      <c r="G490" s="1174"/>
      <c r="H490" s="1176"/>
      <c r="I490" s="1177"/>
      <c r="J490" s="1177"/>
      <c r="K490" s="1177">
        <f t="shared" si="8"/>
        <v>0</v>
      </c>
      <c r="L490" s="1178"/>
    </row>
    <row r="491" spans="2:12" ht="13.5">
      <c r="B491" s="1162">
        <v>483</v>
      </c>
      <c r="C491" s="1203"/>
      <c r="D491" s="1173"/>
      <c r="E491" s="1174"/>
      <c r="F491" s="1175"/>
      <c r="G491" s="1174"/>
      <c r="H491" s="1176"/>
      <c r="I491" s="1177"/>
      <c r="J491" s="1177"/>
      <c r="K491" s="1177">
        <f t="shared" si="8"/>
        <v>0</v>
      </c>
      <c r="L491" s="1178"/>
    </row>
    <row r="492" spans="2:12" ht="14.25" thickBot="1">
      <c r="B492" s="1171">
        <v>484</v>
      </c>
      <c r="C492" s="1203"/>
      <c r="D492" s="1173"/>
      <c r="E492" s="1174"/>
      <c r="F492" s="1175"/>
      <c r="G492" s="1174"/>
      <c r="H492" s="1176"/>
      <c r="I492" s="1177"/>
      <c r="J492" s="1177"/>
      <c r="K492" s="1177">
        <f t="shared" si="8"/>
        <v>0</v>
      </c>
      <c r="L492" s="1178"/>
    </row>
    <row r="493" spans="2:12" ht="13.5">
      <c r="B493" s="1162">
        <v>485</v>
      </c>
      <c r="C493" s="1203"/>
      <c r="D493" s="1173"/>
      <c r="E493" s="1174"/>
      <c r="F493" s="1175"/>
      <c r="G493" s="1174"/>
      <c r="H493" s="1176"/>
      <c r="I493" s="1177"/>
      <c r="J493" s="1177"/>
      <c r="K493" s="1177">
        <f t="shared" si="8"/>
        <v>0</v>
      </c>
      <c r="L493" s="1178"/>
    </row>
    <row r="494" spans="2:12" ht="14.25" thickBot="1">
      <c r="B494" s="1171">
        <v>486</v>
      </c>
      <c r="C494" s="1203"/>
      <c r="D494" s="1173"/>
      <c r="E494" s="1174"/>
      <c r="F494" s="1175"/>
      <c r="G494" s="1174"/>
      <c r="H494" s="1176"/>
      <c r="I494" s="1177"/>
      <c r="J494" s="1177"/>
      <c r="K494" s="1177">
        <f t="shared" si="8"/>
        <v>0</v>
      </c>
      <c r="L494" s="1178"/>
    </row>
    <row r="495" spans="2:12" ht="13.5">
      <c r="B495" s="1162">
        <v>487</v>
      </c>
      <c r="C495" s="1203"/>
      <c r="D495" s="1173"/>
      <c r="E495" s="1174"/>
      <c r="F495" s="1175"/>
      <c r="G495" s="1174"/>
      <c r="H495" s="1176"/>
      <c r="I495" s="1177"/>
      <c r="J495" s="1177"/>
      <c r="K495" s="1177">
        <f t="shared" si="8"/>
        <v>0</v>
      </c>
      <c r="L495" s="1178"/>
    </row>
    <row r="496" spans="2:12" ht="14.25" thickBot="1">
      <c r="B496" s="1171">
        <v>488</v>
      </c>
      <c r="C496" s="1203"/>
      <c r="D496" s="1173"/>
      <c r="E496" s="1174"/>
      <c r="F496" s="1175"/>
      <c r="G496" s="1174"/>
      <c r="H496" s="1176"/>
      <c r="I496" s="1177"/>
      <c r="J496" s="1177"/>
      <c r="K496" s="1177">
        <f t="shared" si="8"/>
        <v>0</v>
      </c>
      <c r="L496" s="1178"/>
    </row>
    <row r="497" spans="2:12" ht="13.5">
      <c r="B497" s="1162">
        <v>489</v>
      </c>
      <c r="C497" s="1203"/>
      <c r="D497" s="1173"/>
      <c r="E497" s="1174"/>
      <c r="F497" s="1175"/>
      <c r="G497" s="1174"/>
      <c r="H497" s="1176"/>
      <c r="I497" s="1177"/>
      <c r="J497" s="1177"/>
      <c r="K497" s="1177">
        <f t="shared" si="8"/>
        <v>0</v>
      </c>
      <c r="L497" s="1178"/>
    </row>
    <row r="498" spans="2:12" ht="14.25" thickBot="1">
      <c r="B498" s="1171">
        <v>490</v>
      </c>
      <c r="C498" s="1203"/>
      <c r="D498" s="1173"/>
      <c r="E498" s="1174"/>
      <c r="F498" s="1175"/>
      <c r="G498" s="1174"/>
      <c r="H498" s="1176"/>
      <c r="I498" s="1177"/>
      <c r="J498" s="1177"/>
      <c r="K498" s="1177">
        <f t="shared" si="8"/>
        <v>0</v>
      </c>
      <c r="L498" s="1178"/>
    </row>
    <row r="499" spans="2:12" ht="13.5">
      <c r="B499" s="1162">
        <v>491</v>
      </c>
      <c r="C499" s="1203"/>
      <c r="D499" s="1173"/>
      <c r="E499" s="1174"/>
      <c r="F499" s="1175"/>
      <c r="G499" s="1174"/>
      <c r="H499" s="1176"/>
      <c r="I499" s="1177"/>
      <c r="J499" s="1177"/>
      <c r="K499" s="1177">
        <f t="shared" si="8"/>
        <v>0</v>
      </c>
      <c r="L499" s="1178"/>
    </row>
    <row r="500" spans="2:12" ht="14.25" thickBot="1">
      <c r="B500" s="1171">
        <v>492</v>
      </c>
      <c r="C500" s="1203"/>
      <c r="D500" s="1173"/>
      <c r="E500" s="1174"/>
      <c r="F500" s="1175"/>
      <c r="G500" s="1174"/>
      <c r="H500" s="1176"/>
      <c r="I500" s="1177"/>
      <c r="J500" s="1177"/>
      <c r="K500" s="1177">
        <f t="shared" si="8"/>
        <v>0</v>
      </c>
      <c r="L500" s="1178"/>
    </row>
    <row r="501" spans="2:12" ht="13.5">
      <c r="B501" s="1162">
        <v>493</v>
      </c>
      <c r="C501" s="1203"/>
      <c r="D501" s="1173"/>
      <c r="E501" s="1174"/>
      <c r="F501" s="1175"/>
      <c r="G501" s="1174"/>
      <c r="H501" s="1176"/>
      <c r="I501" s="1177"/>
      <c r="J501" s="1177"/>
      <c r="K501" s="1177">
        <f t="shared" si="8"/>
        <v>0</v>
      </c>
      <c r="L501" s="1178"/>
    </row>
    <row r="502" spans="2:12" ht="14.25" thickBot="1">
      <c r="B502" s="1171">
        <v>494</v>
      </c>
      <c r="C502" s="1203"/>
      <c r="D502" s="1173"/>
      <c r="E502" s="1174"/>
      <c r="F502" s="1175"/>
      <c r="G502" s="1174"/>
      <c r="H502" s="1176"/>
      <c r="I502" s="1177"/>
      <c r="J502" s="1177"/>
      <c r="K502" s="1177">
        <f t="shared" si="8"/>
        <v>0</v>
      </c>
      <c r="L502" s="1178"/>
    </row>
    <row r="503" spans="2:12" ht="13.5">
      <c r="B503" s="1162">
        <v>495</v>
      </c>
      <c r="C503" s="1203"/>
      <c r="D503" s="1173"/>
      <c r="E503" s="1174"/>
      <c r="F503" s="1175"/>
      <c r="G503" s="1174"/>
      <c r="H503" s="1176"/>
      <c r="I503" s="1177"/>
      <c r="J503" s="1177"/>
      <c r="K503" s="1177">
        <f t="shared" si="8"/>
        <v>0</v>
      </c>
      <c r="L503" s="1178"/>
    </row>
    <row r="504" spans="2:12" ht="14.25" thickBot="1">
      <c r="B504" s="1171">
        <v>496</v>
      </c>
      <c r="C504" s="1203"/>
      <c r="D504" s="1173"/>
      <c r="E504" s="1174"/>
      <c r="F504" s="1175"/>
      <c r="G504" s="1174"/>
      <c r="H504" s="1176"/>
      <c r="I504" s="1177"/>
      <c r="J504" s="1177"/>
      <c r="K504" s="1177">
        <f t="shared" si="8"/>
        <v>0</v>
      </c>
      <c r="L504" s="1178"/>
    </row>
    <row r="505" spans="2:12" ht="13.5">
      <c r="B505" s="1162">
        <v>497</v>
      </c>
      <c r="C505" s="1203"/>
      <c r="D505" s="1173"/>
      <c r="E505" s="1174"/>
      <c r="F505" s="1175"/>
      <c r="G505" s="1174"/>
      <c r="H505" s="1176"/>
      <c r="I505" s="1177"/>
      <c r="J505" s="1177"/>
      <c r="K505" s="1177">
        <f t="shared" si="8"/>
        <v>0</v>
      </c>
      <c r="L505" s="1178"/>
    </row>
    <row r="506" spans="2:12" ht="14.25" thickBot="1">
      <c r="B506" s="1171">
        <v>498</v>
      </c>
      <c r="C506" s="1203"/>
      <c r="D506" s="1173"/>
      <c r="E506" s="1174"/>
      <c r="F506" s="1175"/>
      <c r="G506" s="1174"/>
      <c r="H506" s="1176"/>
      <c r="I506" s="1177"/>
      <c r="J506" s="1177"/>
      <c r="K506" s="1177">
        <f t="shared" si="8"/>
        <v>0</v>
      </c>
      <c r="L506" s="1178"/>
    </row>
    <row r="507" spans="2:12" ht="13.5">
      <c r="B507" s="1162">
        <v>499</v>
      </c>
      <c r="C507" s="1203"/>
      <c r="D507" s="1173"/>
      <c r="E507" s="1174"/>
      <c r="F507" s="1175"/>
      <c r="G507" s="1174"/>
      <c r="H507" s="1176"/>
      <c r="I507" s="1177"/>
      <c r="J507" s="1177"/>
      <c r="K507" s="1177">
        <f t="shared" si="8"/>
        <v>0</v>
      </c>
      <c r="L507" s="1178"/>
    </row>
    <row r="508" spans="2:12" ht="14.25" thickBot="1">
      <c r="B508" s="1171">
        <v>500</v>
      </c>
      <c r="C508" s="1203"/>
      <c r="D508" s="1173"/>
      <c r="E508" s="1174"/>
      <c r="F508" s="1175"/>
      <c r="G508" s="1174"/>
      <c r="H508" s="1176"/>
      <c r="I508" s="1177"/>
      <c r="J508" s="1177"/>
      <c r="K508" s="1177">
        <f t="shared" si="8"/>
        <v>0</v>
      </c>
      <c r="L508" s="1178"/>
    </row>
    <row r="509" spans="2:12" ht="13.5">
      <c r="B509" s="1162">
        <v>501</v>
      </c>
      <c r="C509" s="1203"/>
      <c r="D509" s="1173"/>
      <c r="E509" s="1174"/>
      <c r="F509" s="1175"/>
      <c r="G509" s="1174"/>
      <c r="H509" s="1176"/>
      <c r="I509" s="1177"/>
      <c r="J509" s="1177"/>
      <c r="K509" s="1177">
        <f t="shared" si="8"/>
        <v>0</v>
      </c>
      <c r="L509" s="1178"/>
    </row>
    <row r="510" spans="2:12" ht="14.25" thickBot="1">
      <c r="B510" s="1171">
        <v>502</v>
      </c>
      <c r="C510" s="1203"/>
      <c r="D510" s="1173"/>
      <c r="E510" s="1174"/>
      <c r="F510" s="1175"/>
      <c r="G510" s="1174"/>
      <c r="H510" s="1176"/>
      <c r="I510" s="1177"/>
      <c r="J510" s="1177"/>
      <c r="K510" s="1177">
        <f t="shared" si="8"/>
        <v>0</v>
      </c>
      <c r="L510" s="1178"/>
    </row>
    <row r="511" spans="2:12" ht="13.5">
      <c r="B511" s="1162">
        <v>503</v>
      </c>
      <c r="C511" s="1203"/>
      <c r="D511" s="1173"/>
      <c r="E511" s="1174"/>
      <c r="F511" s="1175"/>
      <c r="G511" s="1174"/>
      <c r="H511" s="1176"/>
      <c r="I511" s="1177"/>
      <c r="J511" s="1177"/>
      <c r="K511" s="1177">
        <f t="shared" si="8"/>
        <v>0</v>
      </c>
      <c r="L511" s="1178"/>
    </row>
    <row r="512" spans="2:12" ht="14.25" thickBot="1">
      <c r="B512" s="1171">
        <v>504</v>
      </c>
      <c r="C512" s="1203"/>
      <c r="D512" s="1173"/>
      <c r="E512" s="1174"/>
      <c r="F512" s="1175"/>
      <c r="G512" s="1174"/>
      <c r="H512" s="1176"/>
      <c r="I512" s="1177"/>
      <c r="J512" s="1177"/>
      <c r="K512" s="1177">
        <f t="shared" si="8"/>
        <v>0</v>
      </c>
      <c r="L512" s="1178"/>
    </row>
    <row r="513" spans="2:12" ht="13.5">
      <c r="B513" s="1162">
        <v>505</v>
      </c>
      <c r="C513" s="1203"/>
      <c r="D513" s="1173"/>
      <c r="E513" s="1174"/>
      <c r="F513" s="1175"/>
      <c r="G513" s="1174"/>
      <c r="H513" s="1176"/>
      <c r="I513" s="1177"/>
      <c r="J513" s="1177"/>
      <c r="K513" s="1177">
        <f t="shared" si="8"/>
        <v>0</v>
      </c>
      <c r="L513" s="1178"/>
    </row>
    <row r="514" spans="2:12" ht="14.25" thickBot="1">
      <c r="B514" s="1171">
        <v>506</v>
      </c>
      <c r="C514" s="1203"/>
      <c r="D514" s="1173"/>
      <c r="E514" s="1174"/>
      <c r="F514" s="1175"/>
      <c r="G514" s="1174"/>
      <c r="H514" s="1176"/>
      <c r="I514" s="1177"/>
      <c r="J514" s="1177"/>
      <c r="K514" s="1177">
        <f t="shared" si="8"/>
        <v>0</v>
      </c>
      <c r="L514" s="1178"/>
    </row>
    <row r="515" spans="2:12" ht="13.5">
      <c r="B515" s="1162">
        <v>507</v>
      </c>
      <c r="C515" s="1203"/>
      <c r="D515" s="1173"/>
      <c r="E515" s="1174"/>
      <c r="F515" s="1175"/>
      <c r="G515" s="1174"/>
      <c r="H515" s="1176"/>
      <c r="I515" s="1177"/>
      <c r="J515" s="1177"/>
      <c r="K515" s="1177">
        <f t="shared" si="8"/>
        <v>0</v>
      </c>
      <c r="L515" s="1178"/>
    </row>
    <row r="516" spans="2:12" ht="14.25" thickBot="1">
      <c r="B516" s="1171">
        <v>508</v>
      </c>
      <c r="C516" s="1203"/>
      <c r="D516" s="1173"/>
      <c r="E516" s="1174"/>
      <c r="F516" s="1175"/>
      <c r="G516" s="1174"/>
      <c r="H516" s="1176"/>
      <c r="I516" s="1177"/>
      <c r="J516" s="1177"/>
      <c r="K516" s="1177">
        <f t="shared" si="8"/>
        <v>0</v>
      </c>
      <c r="L516" s="1178"/>
    </row>
    <row r="517" spans="2:12" ht="13.5">
      <c r="B517" s="1162">
        <v>509</v>
      </c>
      <c r="C517" s="1203"/>
      <c r="D517" s="1173"/>
      <c r="E517" s="1174"/>
      <c r="F517" s="1175"/>
      <c r="G517" s="1174"/>
      <c r="H517" s="1176"/>
      <c r="I517" s="1177"/>
      <c r="J517" s="1177"/>
      <c r="K517" s="1177">
        <f t="shared" si="8"/>
        <v>0</v>
      </c>
      <c r="L517" s="1178"/>
    </row>
    <row r="518" spans="2:12" ht="14.25" thickBot="1">
      <c r="B518" s="1171">
        <v>510</v>
      </c>
      <c r="C518" s="1203"/>
      <c r="D518" s="1173"/>
      <c r="E518" s="1174"/>
      <c r="F518" s="1175"/>
      <c r="G518" s="1174"/>
      <c r="H518" s="1176"/>
      <c r="I518" s="1177"/>
      <c r="J518" s="1177"/>
      <c r="K518" s="1177">
        <f t="shared" si="8"/>
        <v>0</v>
      </c>
      <c r="L518" s="1178"/>
    </row>
    <row r="519" spans="2:12" ht="13.5">
      <c r="B519" s="1162">
        <v>511</v>
      </c>
      <c r="C519" s="1203"/>
      <c r="D519" s="1173"/>
      <c r="E519" s="1174"/>
      <c r="F519" s="1175"/>
      <c r="G519" s="1174"/>
      <c r="H519" s="1176"/>
      <c r="I519" s="1177"/>
      <c r="J519" s="1177"/>
      <c r="K519" s="1177">
        <f t="shared" si="8"/>
        <v>0</v>
      </c>
      <c r="L519" s="1178"/>
    </row>
    <row r="520" spans="2:12" ht="14.25" thickBot="1">
      <c r="B520" s="1171">
        <v>512</v>
      </c>
      <c r="C520" s="1203"/>
      <c r="D520" s="1173"/>
      <c r="E520" s="1174"/>
      <c r="F520" s="1175"/>
      <c r="G520" s="1174"/>
      <c r="H520" s="1176"/>
      <c r="I520" s="1177"/>
      <c r="J520" s="1177"/>
      <c r="K520" s="1177">
        <f t="shared" si="8"/>
        <v>0</v>
      </c>
      <c r="L520" s="1178"/>
    </row>
    <row r="521" spans="2:12" ht="13.5">
      <c r="B521" s="1162">
        <v>513</v>
      </c>
      <c r="C521" s="1203"/>
      <c r="D521" s="1173"/>
      <c r="E521" s="1174"/>
      <c r="F521" s="1175"/>
      <c r="G521" s="1174"/>
      <c r="H521" s="1176"/>
      <c r="I521" s="1177"/>
      <c r="J521" s="1177"/>
      <c r="K521" s="1177">
        <f t="shared" si="8"/>
        <v>0</v>
      </c>
      <c r="L521" s="1178"/>
    </row>
    <row r="522" spans="2:12" ht="14.25" thickBot="1">
      <c r="B522" s="1171">
        <v>514</v>
      </c>
      <c r="C522" s="1203"/>
      <c r="D522" s="1173"/>
      <c r="E522" s="1174"/>
      <c r="F522" s="1175"/>
      <c r="G522" s="1174"/>
      <c r="H522" s="1176"/>
      <c r="I522" s="1177"/>
      <c r="J522" s="1177"/>
      <c r="K522" s="1177">
        <f aca="true" t="shared" si="9" ref="K522:K566">+J522*0.2</f>
        <v>0</v>
      </c>
      <c r="L522" s="1178"/>
    </row>
    <row r="523" spans="2:12" ht="13.5">
      <c r="B523" s="1162">
        <v>515</v>
      </c>
      <c r="C523" s="1203"/>
      <c r="D523" s="1173"/>
      <c r="E523" s="1174"/>
      <c r="F523" s="1175"/>
      <c r="G523" s="1174"/>
      <c r="H523" s="1176"/>
      <c r="I523" s="1177"/>
      <c r="J523" s="1177"/>
      <c r="K523" s="1177">
        <f t="shared" si="9"/>
        <v>0</v>
      </c>
      <c r="L523" s="1178"/>
    </row>
    <row r="524" spans="2:12" ht="14.25" thickBot="1">
      <c r="B524" s="1171">
        <v>516</v>
      </c>
      <c r="C524" s="1203"/>
      <c r="D524" s="1173"/>
      <c r="E524" s="1174"/>
      <c r="F524" s="1175"/>
      <c r="G524" s="1174"/>
      <c r="H524" s="1176"/>
      <c r="I524" s="1177"/>
      <c r="J524" s="1177"/>
      <c r="K524" s="1177">
        <f t="shared" si="9"/>
        <v>0</v>
      </c>
      <c r="L524" s="1178"/>
    </row>
    <row r="525" spans="2:12" ht="13.5">
      <c r="B525" s="1162">
        <v>517</v>
      </c>
      <c r="C525" s="1203"/>
      <c r="D525" s="1173"/>
      <c r="E525" s="1174"/>
      <c r="F525" s="1175"/>
      <c r="G525" s="1174"/>
      <c r="H525" s="1176"/>
      <c r="I525" s="1177"/>
      <c r="J525" s="1177"/>
      <c r="K525" s="1177">
        <f t="shared" si="9"/>
        <v>0</v>
      </c>
      <c r="L525" s="1178"/>
    </row>
    <row r="526" spans="2:12" ht="14.25" thickBot="1">
      <c r="B526" s="1171">
        <v>518</v>
      </c>
      <c r="C526" s="1203"/>
      <c r="D526" s="1173"/>
      <c r="E526" s="1174"/>
      <c r="F526" s="1175"/>
      <c r="G526" s="1174"/>
      <c r="H526" s="1176"/>
      <c r="I526" s="1177"/>
      <c r="J526" s="1177"/>
      <c r="K526" s="1177">
        <f t="shared" si="9"/>
        <v>0</v>
      </c>
      <c r="L526" s="1178"/>
    </row>
    <row r="527" spans="2:12" ht="13.5">
      <c r="B527" s="1162">
        <v>519</v>
      </c>
      <c r="C527" s="1203"/>
      <c r="D527" s="1173"/>
      <c r="E527" s="1174"/>
      <c r="F527" s="1175"/>
      <c r="G527" s="1174"/>
      <c r="H527" s="1176"/>
      <c r="I527" s="1177"/>
      <c r="J527" s="1177"/>
      <c r="K527" s="1177">
        <f t="shared" si="9"/>
        <v>0</v>
      </c>
      <c r="L527" s="1178"/>
    </row>
    <row r="528" spans="2:12" ht="14.25" thickBot="1">
      <c r="B528" s="1171">
        <v>520</v>
      </c>
      <c r="C528" s="1203"/>
      <c r="D528" s="1173"/>
      <c r="E528" s="1174"/>
      <c r="F528" s="1175"/>
      <c r="G528" s="1174"/>
      <c r="H528" s="1176"/>
      <c r="I528" s="1177"/>
      <c r="J528" s="1177"/>
      <c r="K528" s="1177">
        <f t="shared" si="9"/>
        <v>0</v>
      </c>
      <c r="L528" s="1178"/>
    </row>
    <row r="529" spans="2:12" ht="13.5">
      <c r="B529" s="1162">
        <v>521</v>
      </c>
      <c r="C529" s="1203"/>
      <c r="D529" s="1173"/>
      <c r="E529" s="1174"/>
      <c r="F529" s="1175"/>
      <c r="G529" s="1174"/>
      <c r="H529" s="1176"/>
      <c r="I529" s="1177"/>
      <c r="J529" s="1177"/>
      <c r="K529" s="1177">
        <f t="shared" si="9"/>
        <v>0</v>
      </c>
      <c r="L529" s="1178"/>
    </row>
    <row r="530" spans="2:12" ht="14.25" thickBot="1">
      <c r="B530" s="1171">
        <v>522</v>
      </c>
      <c r="C530" s="1203"/>
      <c r="D530" s="1173"/>
      <c r="E530" s="1174"/>
      <c r="F530" s="1175"/>
      <c r="G530" s="1174"/>
      <c r="H530" s="1176"/>
      <c r="I530" s="1177"/>
      <c r="J530" s="1177"/>
      <c r="K530" s="1177">
        <f t="shared" si="9"/>
        <v>0</v>
      </c>
      <c r="L530" s="1178"/>
    </row>
    <row r="531" spans="2:12" ht="13.5">
      <c r="B531" s="1162">
        <v>523</v>
      </c>
      <c r="C531" s="1203"/>
      <c r="D531" s="1173"/>
      <c r="E531" s="1174"/>
      <c r="F531" s="1175"/>
      <c r="G531" s="1174"/>
      <c r="H531" s="1176"/>
      <c r="I531" s="1177"/>
      <c r="J531" s="1177"/>
      <c r="K531" s="1177">
        <f t="shared" si="9"/>
        <v>0</v>
      </c>
      <c r="L531" s="1178"/>
    </row>
    <row r="532" spans="2:12" ht="14.25" thickBot="1">
      <c r="B532" s="1171">
        <v>524</v>
      </c>
      <c r="C532" s="1203"/>
      <c r="D532" s="1173"/>
      <c r="E532" s="1174"/>
      <c r="F532" s="1175"/>
      <c r="G532" s="1174"/>
      <c r="H532" s="1176"/>
      <c r="I532" s="1177"/>
      <c r="J532" s="1177"/>
      <c r="K532" s="1177">
        <f t="shared" si="9"/>
        <v>0</v>
      </c>
      <c r="L532" s="1178"/>
    </row>
    <row r="533" spans="2:12" ht="13.5">
      <c r="B533" s="1162">
        <v>525</v>
      </c>
      <c r="C533" s="1203"/>
      <c r="D533" s="1173"/>
      <c r="E533" s="1174"/>
      <c r="F533" s="1175"/>
      <c r="G533" s="1174"/>
      <c r="H533" s="1176"/>
      <c r="I533" s="1177"/>
      <c r="J533" s="1177"/>
      <c r="K533" s="1177">
        <f t="shared" si="9"/>
        <v>0</v>
      </c>
      <c r="L533" s="1178"/>
    </row>
    <row r="534" spans="2:12" ht="14.25" thickBot="1">
      <c r="B534" s="1171">
        <v>526</v>
      </c>
      <c r="C534" s="1203"/>
      <c r="D534" s="1173"/>
      <c r="E534" s="1174"/>
      <c r="F534" s="1175"/>
      <c r="G534" s="1174"/>
      <c r="H534" s="1176"/>
      <c r="I534" s="1177"/>
      <c r="J534" s="1177"/>
      <c r="K534" s="1177">
        <f t="shared" si="9"/>
        <v>0</v>
      </c>
      <c r="L534" s="1178"/>
    </row>
    <row r="535" spans="2:12" ht="13.5">
      <c r="B535" s="1162">
        <v>527</v>
      </c>
      <c r="C535" s="1203"/>
      <c r="D535" s="1173"/>
      <c r="E535" s="1174"/>
      <c r="F535" s="1175"/>
      <c r="G535" s="1174"/>
      <c r="H535" s="1176"/>
      <c r="I535" s="1177"/>
      <c r="J535" s="1177"/>
      <c r="K535" s="1177">
        <f t="shared" si="9"/>
        <v>0</v>
      </c>
      <c r="L535" s="1178"/>
    </row>
    <row r="536" spans="2:12" ht="14.25" thickBot="1">
      <c r="B536" s="1171">
        <v>528</v>
      </c>
      <c r="C536" s="1203"/>
      <c r="D536" s="1173"/>
      <c r="E536" s="1174"/>
      <c r="F536" s="1175"/>
      <c r="G536" s="1174"/>
      <c r="H536" s="1176"/>
      <c r="I536" s="1177"/>
      <c r="J536" s="1177"/>
      <c r="K536" s="1177">
        <f t="shared" si="9"/>
        <v>0</v>
      </c>
      <c r="L536" s="1178"/>
    </row>
    <row r="537" spans="2:12" ht="13.5">
      <c r="B537" s="1162">
        <v>529</v>
      </c>
      <c r="C537" s="1203"/>
      <c r="D537" s="1173"/>
      <c r="E537" s="1174"/>
      <c r="F537" s="1175"/>
      <c r="G537" s="1174"/>
      <c r="H537" s="1176"/>
      <c r="I537" s="1177"/>
      <c r="J537" s="1177"/>
      <c r="K537" s="1177">
        <f t="shared" si="9"/>
        <v>0</v>
      </c>
      <c r="L537" s="1178"/>
    </row>
    <row r="538" spans="2:12" ht="14.25" thickBot="1">
      <c r="B538" s="1171">
        <v>530</v>
      </c>
      <c r="C538" s="1203"/>
      <c r="D538" s="1173"/>
      <c r="E538" s="1174"/>
      <c r="F538" s="1175"/>
      <c r="G538" s="1174"/>
      <c r="H538" s="1208"/>
      <c r="I538" s="1177"/>
      <c r="J538" s="1177"/>
      <c r="K538" s="1177">
        <f t="shared" si="9"/>
        <v>0</v>
      </c>
      <c r="L538" s="1178"/>
    </row>
    <row r="539" spans="2:12" ht="13.5">
      <c r="B539" s="1162">
        <v>531</v>
      </c>
      <c r="C539" s="1203"/>
      <c r="D539" s="1173"/>
      <c r="E539" s="1174"/>
      <c r="F539" s="1175"/>
      <c r="G539" s="1174"/>
      <c r="H539" s="1176"/>
      <c r="I539" s="1177"/>
      <c r="J539" s="1179"/>
      <c r="K539" s="1177">
        <f t="shared" si="9"/>
        <v>0</v>
      </c>
      <c r="L539" s="1178"/>
    </row>
    <row r="540" spans="2:12" ht="14.25" thickBot="1">
      <c r="B540" s="1171">
        <v>532</v>
      </c>
      <c r="C540" s="1203"/>
      <c r="D540" s="1173"/>
      <c r="E540" s="1174"/>
      <c r="F540" s="1175"/>
      <c r="G540" s="1174"/>
      <c r="H540" s="1176"/>
      <c r="I540" s="1177"/>
      <c r="J540" s="1179"/>
      <c r="K540" s="1177">
        <f t="shared" si="9"/>
        <v>0</v>
      </c>
      <c r="L540" s="1178"/>
    </row>
    <row r="541" spans="2:12" ht="13.5">
      <c r="B541" s="1162">
        <v>533</v>
      </c>
      <c r="C541" s="1203"/>
      <c r="D541" s="1173"/>
      <c r="E541" s="1174"/>
      <c r="F541" s="1175"/>
      <c r="G541" s="1174"/>
      <c r="H541" s="1176"/>
      <c r="I541" s="1177"/>
      <c r="J541" s="1177"/>
      <c r="K541" s="1177">
        <f t="shared" si="9"/>
        <v>0</v>
      </c>
      <c r="L541" s="1178"/>
    </row>
    <row r="542" spans="2:12" ht="14.25" thickBot="1">
      <c r="B542" s="1171">
        <v>534</v>
      </c>
      <c r="C542" s="1206"/>
      <c r="D542" s="1188"/>
      <c r="E542" s="1189"/>
      <c r="F542" s="1564"/>
      <c r="G542" s="1565"/>
      <c r="H542" s="1566"/>
      <c r="I542" s="1192"/>
      <c r="J542" s="1209"/>
      <c r="K542" s="1177">
        <f t="shared" si="9"/>
        <v>0</v>
      </c>
      <c r="L542" s="1193"/>
    </row>
    <row r="543" spans="2:12" ht="14.25" thickBot="1">
      <c r="B543" s="1162">
        <v>535</v>
      </c>
      <c r="C543" s="1567"/>
      <c r="D543" s="1562"/>
      <c r="E543" s="1562"/>
      <c r="F543" s="1562"/>
      <c r="G543" s="1563"/>
      <c r="H543" s="1194"/>
      <c r="I543" s="1210"/>
      <c r="J543" s="1210"/>
      <c r="K543" s="1177">
        <f t="shared" si="9"/>
        <v>0</v>
      </c>
      <c r="L543" s="1210"/>
    </row>
    <row r="544" spans="2:12" ht="14.25" thickBot="1">
      <c r="B544" s="1171">
        <v>536</v>
      </c>
      <c r="C544" s="1207"/>
      <c r="D544" s="1197"/>
      <c r="E544" s="1198"/>
      <c r="F544" s="1199"/>
      <c r="G544" s="1198"/>
      <c r="H544" s="1200"/>
      <c r="I544" s="1201"/>
      <c r="J544" s="1201"/>
      <c r="K544" s="1177">
        <f t="shared" si="9"/>
        <v>0</v>
      </c>
      <c r="L544" s="1202"/>
    </row>
    <row r="545" spans="2:12" ht="13.5">
      <c r="B545" s="1162">
        <v>537</v>
      </c>
      <c r="C545" s="1203"/>
      <c r="D545" s="1173"/>
      <c r="E545" s="1174"/>
      <c r="F545" s="1175"/>
      <c r="G545" s="1174"/>
      <c r="H545" s="1176"/>
      <c r="I545" s="1177"/>
      <c r="J545" s="1177">
        <f aca="true" t="shared" si="10" ref="J545:J567">+I545*H545</f>
        <v>0</v>
      </c>
      <c r="K545" s="1177">
        <f t="shared" si="9"/>
        <v>0</v>
      </c>
      <c r="L545" s="1178">
        <f aca="true" t="shared" si="11" ref="L545:L567">K545+J545</f>
        <v>0</v>
      </c>
    </row>
    <row r="546" spans="2:12" ht="14.25" thickBot="1">
      <c r="B546" s="1171">
        <v>538</v>
      </c>
      <c r="C546" s="1203"/>
      <c r="D546" s="1173"/>
      <c r="E546" s="1174"/>
      <c r="F546" s="1175"/>
      <c r="G546" s="1174"/>
      <c r="H546" s="1176"/>
      <c r="I546" s="1177"/>
      <c r="J546" s="1177">
        <f t="shared" si="10"/>
        <v>0</v>
      </c>
      <c r="K546" s="1177">
        <f t="shared" si="9"/>
        <v>0</v>
      </c>
      <c r="L546" s="1178">
        <f t="shared" si="11"/>
        <v>0</v>
      </c>
    </row>
    <row r="547" spans="2:12" ht="13.5">
      <c r="B547" s="1162">
        <v>539</v>
      </c>
      <c r="C547" s="1203"/>
      <c r="D547" s="1173"/>
      <c r="E547" s="1174"/>
      <c r="F547" s="1175"/>
      <c r="G547" s="1174"/>
      <c r="H547" s="1176"/>
      <c r="I547" s="1177"/>
      <c r="J547" s="1177">
        <f t="shared" si="10"/>
        <v>0</v>
      </c>
      <c r="K547" s="1177">
        <f t="shared" si="9"/>
        <v>0</v>
      </c>
      <c r="L547" s="1178">
        <f t="shared" si="11"/>
        <v>0</v>
      </c>
    </row>
    <row r="548" spans="2:12" ht="14.25" thickBot="1">
      <c r="B548" s="1171">
        <v>540</v>
      </c>
      <c r="C548" s="1203"/>
      <c r="D548" s="1173"/>
      <c r="E548" s="1174"/>
      <c r="F548" s="1175"/>
      <c r="G548" s="1174"/>
      <c r="H548" s="1176"/>
      <c r="I548" s="1177"/>
      <c r="J548" s="1177">
        <f t="shared" si="10"/>
        <v>0</v>
      </c>
      <c r="K548" s="1177">
        <f t="shared" si="9"/>
        <v>0</v>
      </c>
      <c r="L548" s="1178">
        <f t="shared" si="11"/>
        <v>0</v>
      </c>
    </row>
    <row r="549" spans="2:12" ht="13.5">
      <c r="B549" s="1162">
        <v>541</v>
      </c>
      <c r="C549" s="1203"/>
      <c r="D549" s="1173"/>
      <c r="E549" s="1174"/>
      <c r="F549" s="1175"/>
      <c r="G549" s="1174"/>
      <c r="H549" s="1176"/>
      <c r="I549" s="1177"/>
      <c r="J549" s="1177">
        <f t="shared" si="10"/>
        <v>0</v>
      </c>
      <c r="K549" s="1177">
        <f t="shared" si="9"/>
        <v>0</v>
      </c>
      <c r="L549" s="1178">
        <f t="shared" si="11"/>
        <v>0</v>
      </c>
    </row>
    <row r="550" spans="2:12" ht="14.25" thickBot="1">
      <c r="B550" s="1171">
        <v>542</v>
      </c>
      <c r="C550" s="1203"/>
      <c r="D550" s="1173"/>
      <c r="E550" s="1174"/>
      <c r="F550" s="1175"/>
      <c r="G550" s="1174"/>
      <c r="H550" s="1176"/>
      <c r="I550" s="1177"/>
      <c r="J550" s="1177">
        <f t="shared" si="10"/>
        <v>0</v>
      </c>
      <c r="K550" s="1177">
        <f t="shared" si="9"/>
        <v>0</v>
      </c>
      <c r="L550" s="1178">
        <f t="shared" si="11"/>
        <v>0</v>
      </c>
    </row>
    <row r="551" spans="2:12" ht="13.5">
      <c r="B551" s="1162">
        <v>543</v>
      </c>
      <c r="C551" s="1203"/>
      <c r="D551" s="1173"/>
      <c r="E551" s="1174"/>
      <c r="F551" s="1175"/>
      <c r="G551" s="1174"/>
      <c r="H551" s="1176"/>
      <c r="I551" s="1177"/>
      <c r="J551" s="1177">
        <f t="shared" si="10"/>
        <v>0</v>
      </c>
      <c r="K551" s="1177">
        <f t="shared" si="9"/>
        <v>0</v>
      </c>
      <c r="L551" s="1178">
        <f t="shared" si="11"/>
        <v>0</v>
      </c>
    </row>
    <row r="552" spans="2:12" ht="14.25" thickBot="1">
      <c r="B552" s="1171">
        <v>544</v>
      </c>
      <c r="C552" s="1203"/>
      <c r="D552" s="1173"/>
      <c r="E552" s="1174"/>
      <c r="F552" s="1175"/>
      <c r="G552" s="1174"/>
      <c r="H552" s="1176"/>
      <c r="I552" s="1177"/>
      <c r="J552" s="1177">
        <f t="shared" si="10"/>
        <v>0</v>
      </c>
      <c r="K552" s="1177">
        <f t="shared" si="9"/>
        <v>0</v>
      </c>
      <c r="L552" s="1178">
        <f t="shared" si="11"/>
        <v>0</v>
      </c>
    </row>
    <row r="553" spans="2:12" ht="13.5">
      <c r="B553" s="1162">
        <v>545</v>
      </c>
      <c r="C553" s="1203"/>
      <c r="D553" s="1173"/>
      <c r="E553" s="1174"/>
      <c r="F553" s="1175"/>
      <c r="G553" s="1174"/>
      <c r="H553" s="1176"/>
      <c r="I553" s="1177"/>
      <c r="J553" s="1177">
        <f t="shared" si="10"/>
        <v>0</v>
      </c>
      <c r="K553" s="1177">
        <f t="shared" si="9"/>
        <v>0</v>
      </c>
      <c r="L553" s="1178">
        <f t="shared" si="11"/>
        <v>0</v>
      </c>
    </row>
    <row r="554" spans="2:12" ht="14.25" thickBot="1">
      <c r="B554" s="1171">
        <v>546</v>
      </c>
      <c r="C554" s="1203"/>
      <c r="D554" s="1173"/>
      <c r="E554" s="1174"/>
      <c r="F554" s="1175"/>
      <c r="G554" s="1174"/>
      <c r="H554" s="1176"/>
      <c r="I554" s="1177"/>
      <c r="J554" s="1177">
        <f t="shared" si="10"/>
        <v>0</v>
      </c>
      <c r="K554" s="1177">
        <f t="shared" si="9"/>
        <v>0</v>
      </c>
      <c r="L554" s="1178">
        <f t="shared" si="11"/>
        <v>0</v>
      </c>
    </row>
    <row r="555" spans="2:12" ht="13.5">
      <c r="B555" s="1162">
        <v>547</v>
      </c>
      <c r="C555" s="1203"/>
      <c r="D555" s="1173"/>
      <c r="E555" s="1174"/>
      <c r="F555" s="1175"/>
      <c r="G555" s="1174"/>
      <c r="H555" s="1176"/>
      <c r="I555" s="1177"/>
      <c r="J555" s="1177">
        <f t="shared" si="10"/>
        <v>0</v>
      </c>
      <c r="K555" s="1177">
        <f t="shared" si="9"/>
        <v>0</v>
      </c>
      <c r="L555" s="1178">
        <f t="shared" si="11"/>
        <v>0</v>
      </c>
    </row>
    <row r="556" spans="2:12" ht="14.25" thickBot="1">
      <c r="B556" s="1171">
        <v>548</v>
      </c>
      <c r="C556" s="1203"/>
      <c r="D556" s="1173"/>
      <c r="E556" s="1174"/>
      <c r="F556" s="1175"/>
      <c r="G556" s="1174"/>
      <c r="H556" s="1176"/>
      <c r="I556" s="1177"/>
      <c r="J556" s="1177">
        <f t="shared" si="10"/>
        <v>0</v>
      </c>
      <c r="K556" s="1177">
        <f t="shared" si="9"/>
        <v>0</v>
      </c>
      <c r="L556" s="1178">
        <f t="shared" si="11"/>
        <v>0</v>
      </c>
    </row>
    <row r="557" spans="2:12" ht="13.5">
      <c r="B557" s="1162">
        <v>549</v>
      </c>
      <c r="C557" s="1203"/>
      <c r="D557" s="1173"/>
      <c r="E557" s="1174"/>
      <c r="F557" s="1175"/>
      <c r="G557" s="1174"/>
      <c r="H557" s="1176"/>
      <c r="I557" s="1177"/>
      <c r="J557" s="1177">
        <f t="shared" si="10"/>
        <v>0</v>
      </c>
      <c r="K557" s="1177">
        <f t="shared" si="9"/>
        <v>0</v>
      </c>
      <c r="L557" s="1178">
        <f t="shared" si="11"/>
        <v>0</v>
      </c>
    </row>
    <row r="558" spans="2:12" ht="14.25" thickBot="1">
      <c r="B558" s="1171">
        <v>550</v>
      </c>
      <c r="C558" s="1203"/>
      <c r="D558" s="1173"/>
      <c r="E558" s="1174"/>
      <c r="F558" s="1175"/>
      <c r="G558" s="1174"/>
      <c r="H558" s="1176"/>
      <c r="I558" s="1177"/>
      <c r="J558" s="1177">
        <f t="shared" si="10"/>
        <v>0</v>
      </c>
      <c r="K558" s="1177">
        <f t="shared" si="9"/>
        <v>0</v>
      </c>
      <c r="L558" s="1178">
        <f t="shared" si="11"/>
        <v>0</v>
      </c>
    </row>
    <row r="559" spans="2:12" ht="13.5">
      <c r="B559" s="1162">
        <v>551</v>
      </c>
      <c r="C559" s="1203"/>
      <c r="D559" s="1173"/>
      <c r="E559" s="1174"/>
      <c r="F559" s="1175"/>
      <c r="G559" s="1174"/>
      <c r="H559" s="1176"/>
      <c r="I559" s="1177"/>
      <c r="J559" s="1177">
        <f t="shared" si="10"/>
        <v>0</v>
      </c>
      <c r="K559" s="1177">
        <f t="shared" si="9"/>
        <v>0</v>
      </c>
      <c r="L559" s="1178">
        <f t="shared" si="11"/>
        <v>0</v>
      </c>
    </row>
    <row r="560" spans="2:12" ht="14.25" thickBot="1">
      <c r="B560" s="1171">
        <v>552</v>
      </c>
      <c r="C560" s="1203"/>
      <c r="D560" s="1173"/>
      <c r="E560" s="1174"/>
      <c r="F560" s="1175"/>
      <c r="G560" s="1174"/>
      <c r="H560" s="1176"/>
      <c r="I560" s="1177"/>
      <c r="J560" s="1177">
        <f t="shared" si="10"/>
        <v>0</v>
      </c>
      <c r="K560" s="1177">
        <f t="shared" si="9"/>
        <v>0</v>
      </c>
      <c r="L560" s="1178">
        <f t="shared" si="11"/>
        <v>0</v>
      </c>
    </row>
    <row r="561" spans="2:12" ht="13.5">
      <c r="B561" s="1162">
        <v>553</v>
      </c>
      <c r="C561" s="1203"/>
      <c r="D561" s="1173"/>
      <c r="E561" s="1174"/>
      <c r="F561" s="1175"/>
      <c r="G561" s="1174"/>
      <c r="H561" s="1176"/>
      <c r="I561" s="1177"/>
      <c r="J561" s="1177">
        <f t="shared" si="10"/>
        <v>0</v>
      </c>
      <c r="K561" s="1177">
        <f t="shared" si="9"/>
        <v>0</v>
      </c>
      <c r="L561" s="1178">
        <f t="shared" si="11"/>
        <v>0</v>
      </c>
    </row>
    <row r="562" spans="2:12" ht="14.25" thickBot="1">
      <c r="B562" s="1171">
        <v>554</v>
      </c>
      <c r="C562" s="1203"/>
      <c r="D562" s="1173"/>
      <c r="E562" s="1174"/>
      <c r="F562" s="1175"/>
      <c r="G562" s="1174"/>
      <c r="H562" s="1176"/>
      <c r="I562" s="1177"/>
      <c r="J562" s="1177">
        <f t="shared" si="10"/>
        <v>0</v>
      </c>
      <c r="K562" s="1177">
        <f t="shared" si="9"/>
        <v>0</v>
      </c>
      <c r="L562" s="1178">
        <f t="shared" si="11"/>
        <v>0</v>
      </c>
    </row>
    <row r="563" spans="2:12" ht="13.5">
      <c r="B563" s="1162">
        <v>555</v>
      </c>
      <c r="C563" s="1203"/>
      <c r="D563" s="1173"/>
      <c r="E563" s="1174"/>
      <c r="F563" s="1175"/>
      <c r="G563" s="1174"/>
      <c r="H563" s="1176"/>
      <c r="I563" s="1177"/>
      <c r="J563" s="1177">
        <f t="shared" si="10"/>
        <v>0</v>
      </c>
      <c r="K563" s="1177">
        <f t="shared" si="9"/>
        <v>0</v>
      </c>
      <c r="L563" s="1178">
        <f t="shared" si="11"/>
        <v>0</v>
      </c>
    </row>
    <row r="564" spans="2:12" ht="14.25" thickBot="1">
      <c r="B564" s="1171">
        <v>556</v>
      </c>
      <c r="C564" s="1203"/>
      <c r="D564" s="1173"/>
      <c r="E564" s="1174"/>
      <c r="F564" s="1175"/>
      <c r="G564" s="1174"/>
      <c r="H564" s="1176"/>
      <c r="I564" s="1177"/>
      <c r="J564" s="1177">
        <f t="shared" si="10"/>
        <v>0</v>
      </c>
      <c r="K564" s="1177">
        <f t="shared" si="9"/>
        <v>0</v>
      </c>
      <c r="L564" s="1178">
        <f t="shared" si="11"/>
        <v>0</v>
      </c>
    </row>
    <row r="565" spans="2:12" ht="13.5">
      <c r="B565" s="1162">
        <v>557</v>
      </c>
      <c r="C565" s="1203"/>
      <c r="D565" s="1173"/>
      <c r="E565" s="1174"/>
      <c r="F565" s="1175"/>
      <c r="G565" s="1174"/>
      <c r="H565" s="1176"/>
      <c r="I565" s="1177"/>
      <c r="J565" s="1177">
        <f t="shared" si="10"/>
        <v>0</v>
      </c>
      <c r="K565" s="1177">
        <f t="shared" si="9"/>
        <v>0</v>
      </c>
      <c r="L565" s="1178">
        <f t="shared" si="11"/>
        <v>0</v>
      </c>
    </row>
    <row r="566" spans="2:12" ht="14.25" thickBot="1">
      <c r="B566" s="1171">
        <v>558</v>
      </c>
      <c r="C566" s="1203"/>
      <c r="D566" s="1173"/>
      <c r="E566" s="1174"/>
      <c r="F566" s="1175"/>
      <c r="G566" s="1174"/>
      <c r="H566" s="1176"/>
      <c r="I566" s="1177"/>
      <c r="J566" s="1177">
        <f t="shared" si="10"/>
        <v>0</v>
      </c>
      <c r="K566" s="1177">
        <f t="shared" si="9"/>
        <v>0</v>
      </c>
      <c r="L566" s="1178">
        <f t="shared" si="11"/>
        <v>0</v>
      </c>
    </row>
    <row r="567" spans="2:12" ht="13.5">
      <c r="B567" s="1162">
        <v>559</v>
      </c>
      <c r="C567" s="1203"/>
      <c r="D567" s="1173"/>
      <c r="E567" s="1174"/>
      <c r="F567" s="1175"/>
      <c r="G567" s="1174"/>
      <c r="H567" s="1176"/>
      <c r="I567" s="1177"/>
      <c r="J567" s="1177">
        <f t="shared" si="10"/>
        <v>0</v>
      </c>
      <c r="K567" s="1177">
        <f>+J567*0.2</f>
        <v>0</v>
      </c>
      <c r="L567" s="1178">
        <f t="shared" si="11"/>
        <v>0</v>
      </c>
    </row>
  </sheetData>
  <sheetProtection/>
  <mergeCells count="12">
    <mergeCell ref="C543:G543"/>
    <mergeCell ref="D4:L5"/>
    <mergeCell ref="C7:D7"/>
    <mergeCell ref="F7:F8"/>
    <mergeCell ref="G7:G8"/>
    <mergeCell ref="I7:I8"/>
    <mergeCell ref="M4:AD5"/>
    <mergeCell ref="F365:G365"/>
    <mergeCell ref="F366:G366"/>
    <mergeCell ref="E382:G382"/>
    <mergeCell ref="C383:G383"/>
    <mergeCell ref="F542:H542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281"/>
  <sheetViews>
    <sheetView zoomScalePageLayoutView="0" workbookViewId="0" topLeftCell="A76">
      <selection activeCell="P148" sqref="P148"/>
    </sheetView>
  </sheetViews>
  <sheetFormatPr defaultColWidth="9.140625" defaultRowHeight="12.75"/>
  <cols>
    <col min="1" max="1" width="4.28125" style="0" customWidth="1"/>
    <col min="2" max="2" width="11.8515625" style="0" customWidth="1"/>
    <col min="3" max="4" width="6.57421875" style="0" customWidth="1"/>
    <col min="5" max="5" width="7.00390625" style="0" customWidth="1"/>
    <col min="9" max="9" width="6.421875" style="0" customWidth="1"/>
    <col min="10" max="10" width="7.8515625" style="0" customWidth="1"/>
    <col min="13" max="13" width="10.28125" style="0" customWidth="1"/>
    <col min="14" max="14" width="9.421875" style="0" customWidth="1"/>
    <col min="16" max="16" width="10.7109375" style="0" customWidth="1"/>
  </cols>
  <sheetData>
    <row r="1" spans="1:2" ht="12.75">
      <c r="A1" t="s">
        <v>890</v>
      </c>
      <c r="B1" t="str">
        <f>'Kopertina '!F4</f>
        <v>FJORTES </v>
      </c>
    </row>
    <row r="2" spans="1:2" ht="12.75">
      <c r="A2" t="s">
        <v>891</v>
      </c>
      <c r="B2" t="str">
        <f>'Kopertina '!D44</f>
        <v>J97426201K</v>
      </c>
    </row>
    <row r="3" spans="2:15" ht="12.75">
      <c r="B3" s="1488" t="s">
        <v>892</v>
      </c>
      <c r="C3" s="1488"/>
      <c r="D3" s="1488"/>
      <c r="E3" s="1488"/>
      <c r="F3" s="1488"/>
      <c r="G3" s="1488"/>
      <c r="H3" s="1488"/>
      <c r="I3" s="1488"/>
      <c r="J3" s="1488"/>
      <c r="K3" s="1488"/>
      <c r="L3" s="1488"/>
      <c r="M3" s="1488"/>
      <c r="N3" s="1488"/>
      <c r="O3" s="1488"/>
    </row>
    <row r="5" spans="1:16" ht="12.75">
      <c r="A5" s="1577" t="s">
        <v>1</v>
      </c>
      <c r="B5" s="1580" t="s">
        <v>888</v>
      </c>
      <c r="C5" s="1577" t="s">
        <v>887</v>
      </c>
      <c r="D5" s="1577"/>
      <c r="E5" s="1577"/>
      <c r="F5" s="1577"/>
      <c r="G5" s="1577"/>
      <c r="H5" s="1577"/>
      <c r="I5" s="1577" t="s">
        <v>877</v>
      </c>
      <c r="J5" s="1577"/>
      <c r="K5" s="1577"/>
      <c r="L5" s="1577"/>
      <c r="M5" s="794"/>
      <c r="N5" s="1577" t="s">
        <v>878</v>
      </c>
      <c r="O5" s="1577"/>
      <c r="P5" s="1577"/>
    </row>
    <row r="6" spans="1:16" ht="12.75">
      <c r="A6" s="1577"/>
      <c r="B6" s="1580"/>
      <c r="C6" s="1578" t="s">
        <v>894</v>
      </c>
      <c r="D6" s="1579"/>
      <c r="E6" s="1581" t="s">
        <v>889</v>
      </c>
      <c r="F6" s="1577" t="s">
        <v>879</v>
      </c>
      <c r="G6" s="1577" t="s">
        <v>880</v>
      </c>
      <c r="H6" s="1577" t="s">
        <v>881</v>
      </c>
      <c r="I6" s="1578" t="s">
        <v>893</v>
      </c>
      <c r="J6" s="1579"/>
      <c r="K6" s="1577" t="s">
        <v>879</v>
      </c>
      <c r="L6" s="1577" t="s">
        <v>880</v>
      </c>
      <c r="M6" s="1577" t="s">
        <v>881</v>
      </c>
      <c r="N6" s="1577" t="s">
        <v>882</v>
      </c>
      <c r="O6" s="1577" t="s">
        <v>880</v>
      </c>
      <c r="P6" s="1577" t="s">
        <v>881</v>
      </c>
    </row>
    <row r="7" spans="1:16" ht="12.75">
      <c r="A7" s="1577"/>
      <c r="B7" s="1580"/>
      <c r="C7" s="794" t="s">
        <v>1</v>
      </c>
      <c r="D7" s="794" t="s">
        <v>883</v>
      </c>
      <c r="E7" s="1581"/>
      <c r="F7" s="1577"/>
      <c r="G7" s="1577"/>
      <c r="H7" s="1577"/>
      <c r="I7" s="794" t="s">
        <v>884</v>
      </c>
      <c r="J7" s="794" t="s">
        <v>885</v>
      </c>
      <c r="K7" s="1577"/>
      <c r="L7" s="1577"/>
      <c r="M7" s="1577"/>
      <c r="N7" s="1577"/>
      <c r="O7" s="1577"/>
      <c r="P7" s="1577"/>
    </row>
    <row r="8" spans="1:16" ht="12.75">
      <c r="A8" s="22">
        <v>1</v>
      </c>
      <c r="B8" s="27" t="s">
        <v>1080</v>
      </c>
      <c r="C8" s="22"/>
      <c r="D8" s="22"/>
      <c r="E8" s="22"/>
      <c r="F8" s="22"/>
      <c r="G8" s="22"/>
      <c r="H8" s="22" t="s">
        <v>886</v>
      </c>
      <c r="I8" s="22"/>
      <c r="J8" s="22"/>
      <c r="K8" s="22"/>
      <c r="L8" s="22"/>
      <c r="M8" s="22"/>
      <c r="N8" s="793">
        <v>6693</v>
      </c>
      <c r="O8" s="22">
        <v>136.1</v>
      </c>
      <c r="P8" s="617">
        <f>N8*O8</f>
        <v>910917.2999999999</v>
      </c>
    </row>
    <row r="9" spans="1:16" ht="12.75">
      <c r="A9" s="22">
        <v>2</v>
      </c>
      <c r="B9" s="81" t="s">
        <v>209</v>
      </c>
      <c r="C9" s="22"/>
      <c r="D9" s="22"/>
      <c r="E9" s="22" t="s">
        <v>1082</v>
      </c>
      <c r="F9" s="22">
        <v>18170</v>
      </c>
      <c r="G9" s="22">
        <f>H9/F9</f>
        <v>147.74347826086955</v>
      </c>
      <c r="H9" s="617">
        <v>2684499</v>
      </c>
      <c r="I9" s="22"/>
      <c r="J9" s="22"/>
      <c r="K9" s="617">
        <v>22855</v>
      </c>
      <c r="L9" s="22">
        <f>M9/K9</f>
        <v>151.66598118573617</v>
      </c>
      <c r="M9" s="617">
        <v>3466326</v>
      </c>
      <c r="N9" s="793">
        <f>N8+F9-K9</f>
        <v>2008</v>
      </c>
      <c r="O9" s="22">
        <f>(P8+H9)/(N8+F9)</f>
        <v>144.6091099223746</v>
      </c>
      <c r="P9" s="617">
        <f aca="true" t="shared" si="0" ref="P9:P37">N9*O9</f>
        <v>290375.0927241282</v>
      </c>
    </row>
    <row r="10" spans="1:16" ht="12.75">
      <c r="A10" s="22">
        <v>3</v>
      </c>
      <c r="B10" s="81" t="s">
        <v>1291</v>
      </c>
      <c r="C10" s="22"/>
      <c r="D10" s="22"/>
      <c r="E10" s="22" t="s">
        <v>1082</v>
      </c>
      <c r="F10" s="617">
        <v>24500</v>
      </c>
      <c r="G10" s="22">
        <f aca="true" t="shared" si="1" ref="G10:G37">H10/F10</f>
        <v>151.66673469387754</v>
      </c>
      <c r="H10" s="617">
        <v>3715835</v>
      </c>
      <c r="I10" s="22"/>
      <c r="J10" s="22"/>
      <c r="K10" s="617">
        <v>18596</v>
      </c>
      <c r="L10" s="22">
        <f>M10/K10</f>
        <v>151.66795762529574</v>
      </c>
      <c r="M10" s="617">
        <v>2820417.34</v>
      </c>
      <c r="N10" s="793">
        <f aca="true" t="shared" si="2" ref="N10:N37">N9+F10-K10</f>
        <v>7912</v>
      </c>
      <c r="O10" s="22">
        <f aca="true" t="shared" si="3" ref="O10:O37">(P9+H10)/(N9+F10)</f>
        <v>151.13211455877953</v>
      </c>
      <c r="P10" s="617">
        <f t="shared" si="0"/>
        <v>1195757.2903890638</v>
      </c>
    </row>
    <row r="11" spans="1:16" ht="12.75">
      <c r="A11" s="22">
        <v>4</v>
      </c>
      <c r="B11" s="81" t="s">
        <v>210</v>
      </c>
      <c r="C11" s="22"/>
      <c r="D11" s="22"/>
      <c r="E11" s="22" t="s">
        <v>1082</v>
      </c>
      <c r="F11" s="22">
        <v>24244</v>
      </c>
      <c r="G11" s="22">
        <f t="shared" si="1"/>
        <v>155.50486718363305</v>
      </c>
      <c r="H11" s="617">
        <v>3770060</v>
      </c>
      <c r="I11" s="22"/>
      <c r="J11" s="22"/>
      <c r="K11" s="22">
        <v>23599</v>
      </c>
      <c r="L11" s="22">
        <f>M11/K11</f>
        <v>151.66606424001017</v>
      </c>
      <c r="M11" s="617">
        <v>3579167.45</v>
      </c>
      <c r="N11" s="793">
        <f t="shared" si="2"/>
        <v>8557</v>
      </c>
      <c r="O11" s="22">
        <f t="shared" si="3"/>
        <v>154.4289491973213</v>
      </c>
      <c r="P11" s="617">
        <f t="shared" si="0"/>
        <v>1321448.5182814782</v>
      </c>
    </row>
    <row r="12" spans="1:16" ht="12.75">
      <c r="A12" s="22">
        <v>5</v>
      </c>
      <c r="B12" s="22" t="s">
        <v>211</v>
      </c>
      <c r="C12" s="22"/>
      <c r="D12" s="22"/>
      <c r="E12" s="22" t="s">
        <v>1082</v>
      </c>
      <c r="F12" s="22">
        <v>22820</v>
      </c>
      <c r="G12" s="22">
        <f t="shared" si="1"/>
        <v>156.22042068361085</v>
      </c>
      <c r="H12" s="617">
        <v>3564950</v>
      </c>
      <c r="I12" s="22"/>
      <c r="J12" s="22"/>
      <c r="K12" s="22">
        <v>27583</v>
      </c>
      <c r="L12" s="22">
        <f>M12/K12</f>
        <v>151.6660000725084</v>
      </c>
      <c r="M12" s="617">
        <v>4183403.28</v>
      </c>
      <c r="N12" s="793">
        <f t="shared" si="2"/>
        <v>3794</v>
      </c>
      <c r="O12" s="22">
        <f t="shared" si="3"/>
        <v>155.731858312824</v>
      </c>
      <c r="P12" s="617">
        <f t="shared" si="0"/>
        <v>590846.6704388543</v>
      </c>
    </row>
    <row r="13" spans="1:16" ht="12.75">
      <c r="A13" s="22">
        <v>6</v>
      </c>
      <c r="B13" s="22" t="s">
        <v>212</v>
      </c>
      <c r="C13" s="22">
        <v>2</v>
      </c>
      <c r="D13" s="22">
        <v>14.05</v>
      </c>
      <c r="E13" s="22" t="s">
        <v>1082</v>
      </c>
      <c r="F13" s="22">
        <v>12220</v>
      </c>
      <c r="G13" s="22">
        <f t="shared" si="1"/>
        <v>156.66661211129295</v>
      </c>
      <c r="H13" s="617">
        <v>1914466</v>
      </c>
      <c r="I13" s="22">
        <v>173</v>
      </c>
      <c r="J13" s="22">
        <v>1.05</v>
      </c>
      <c r="K13" s="22">
        <v>160</v>
      </c>
      <c r="L13" s="22">
        <v>156.2</v>
      </c>
      <c r="M13" s="617">
        <f aca="true" t="shared" si="4" ref="M13:M37">K13*L13</f>
        <v>24992</v>
      </c>
      <c r="N13" s="793">
        <f t="shared" si="2"/>
        <v>15854</v>
      </c>
      <c r="O13" s="22">
        <f t="shared" si="3"/>
        <v>156.44515239408355</v>
      </c>
      <c r="P13" s="617">
        <f t="shared" si="0"/>
        <v>2480281.4460558007</v>
      </c>
    </row>
    <row r="14" spans="1:16" ht="12.75">
      <c r="A14" s="22">
        <v>7</v>
      </c>
      <c r="B14" s="22"/>
      <c r="C14" s="22">
        <v>12</v>
      </c>
      <c r="D14" s="22">
        <v>21.05</v>
      </c>
      <c r="E14" s="22" t="s">
        <v>1082</v>
      </c>
      <c r="F14" s="22">
        <v>12000</v>
      </c>
      <c r="G14" s="22">
        <f t="shared" si="1"/>
        <v>150</v>
      </c>
      <c r="H14" s="617">
        <v>1800000</v>
      </c>
      <c r="I14" s="22">
        <v>174</v>
      </c>
      <c r="J14" s="22">
        <v>2.05</v>
      </c>
      <c r="K14" s="22">
        <v>150</v>
      </c>
      <c r="L14" s="22">
        <v>156.7</v>
      </c>
      <c r="M14" s="617">
        <f t="shared" si="4"/>
        <v>23505</v>
      </c>
      <c r="N14" s="793">
        <f t="shared" si="2"/>
        <v>27704</v>
      </c>
      <c r="O14" s="22">
        <f t="shared" si="3"/>
        <v>153.66846578788687</v>
      </c>
      <c r="P14" s="617">
        <f t="shared" si="0"/>
        <v>4257231.176187618</v>
      </c>
    </row>
    <row r="15" spans="1:16" ht="12.75">
      <c r="A15" s="22">
        <v>8</v>
      </c>
      <c r="B15" s="22" t="s">
        <v>213</v>
      </c>
      <c r="C15" s="22">
        <v>12</v>
      </c>
      <c r="D15" s="22">
        <v>2.06</v>
      </c>
      <c r="E15" s="22" t="s">
        <v>1082</v>
      </c>
      <c r="F15" s="22">
        <v>6276</v>
      </c>
      <c r="G15" s="1275">
        <f>+H15/F15</f>
        <v>148.33333333333334</v>
      </c>
      <c r="H15" s="617">
        <v>930940</v>
      </c>
      <c r="I15" s="22">
        <v>176</v>
      </c>
      <c r="J15" s="22">
        <v>3.05</v>
      </c>
      <c r="K15" s="22">
        <v>270</v>
      </c>
      <c r="L15" s="22">
        <v>155.8</v>
      </c>
      <c r="M15" s="617">
        <f t="shared" si="4"/>
        <v>42066</v>
      </c>
      <c r="N15" s="793">
        <f t="shared" si="2"/>
        <v>33710</v>
      </c>
      <c r="O15" s="22">
        <f t="shared" si="3"/>
        <v>152.68308346638074</v>
      </c>
      <c r="P15" s="617">
        <f t="shared" si="0"/>
        <v>5146946.743651695</v>
      </c>
    </row>
    <row r="16" spans="1:16" ht="12.75">
      <c r="A16" s="22">
        <v>9</v>
      </c>
      <c r="B16" s="22"/>
      <c r="C16" s="22">
        <v>522</v>
      </c>
      <c r="D16" s="22">
        <v>4.06</v>
      </c>
      <c r="E16" s="22" t="s">
        <v>1082</v>
      </c>
      <c r="F16" s="1274">
        <v>4962</v>
      </c>
      <c r="G16" s="1275">
        <f>+H16/F16</f>
        <v>145.83333333333334</v>
      </c>
      <c r="H16" s="617">
        <v>723625</v>
      </c>
      <c r="I16" s="22">
        <v>177</v>
      </c>
      <c r="J16" s="22">
        <v>3.05</v>
      </c>
      <c r="K16" s="617">
        <v>950</v>
      </c>
      <c r="L16" s="22">
        <v>156.6</v>
      </c>
      <c r="M16" s="617">
        <f t="shared" si="4"/>
        <v>148770</v>
      </c>
      <c r="N16" s="793">
        <f t="shared" si="2"/>
        <v>37722</v>
      </c>
      <c r="O16" s="22">
        <f t="shared" si="3"/>
        <v>151.8041927919863</v>
      </c>
      <c r="P16" s="617">
        <f t="shared" si="0"/>
        <v>5726357.760499308</v>
      </c>
    </row>
    <row r="17" spans="1:16" ht="12.75">
      <c r="A17" s="22">
        <v>10</v>
      </c>
      <c r="B17" s="22"/>
      <c r="C17" s="22">
        <v>54</v>
      </c>
      <c r="D17" s="22">
        <v>15.06</v>
      </c>
      <c r="E17" s="22" t="s">
        <v>1082</v>
      </c>
      <c r="F17" s="22">
        <v>5170</v>
      </c>
      <c r="G17" s="22">
        <f t="shared" si="1"/>
        <v>148.3333268858801</v>
      </c>
      <c r="H17" s="617">
        <v>766883.3</v>
      </c>
      <c r="I17" s="22">
        <v>178</v>
      </c>
      <c r="J17" s="22">
        <v>4.05</v>
      </c>
      <c r="K17" s="617">
        <v>500</v>
      </c>
      <c r="L17" s="22">
        <v>156.7</v>
      </c>
      <c r="M17" s="617">
        <f t="shared" si="4"/>
        <v>78350</v>
      </c>
      <c r="N17" s="793">
        <f t="shared" si="2"/>
        <v>42392</v>
      </c>
      <c r="O17" s="22">
        <f t="shared" si="3"/>
        <v>151.38583093582272</v>
      </c>
      <c r="P17" s="617">
        <f t="shared" si="0"/>
        <v>6417548.145031397</v>
      </c>
    </row>
    <row r="18" spans="1:16" ht="12.75">
      <c r="A18" s="22">
        <v>11</v>
      </c>
      <c r="B18" s="22"/>
      <c r="C18" s="22">
        <v>641</v>
      </c>
      <c r="D18" s="22">
        <v>20.06</v>
      </c>
      <c r="E18" s="22" t="s">
        <v>1082</v>
      </c>
      <c r="F18" s="22">
        <v>12346</v>
      </c>
      <c r="G18" s="22">
        <f t="shared" si="1"/>
        <v>145.83333063340353</v>
      </c>
      <c r="H18" s="617">
        <v>1800458.3</v>
      </c>
      <c r="I18" s="22">
        <v>179</v>
      </c>
      <c r="J18" s="22">
        <v>4.05</v>
      </c>
      <c r="K18" s="22">
        <v>600</v>
      </c>
      <c r="L18" s="22">
        <v>155.7</v>
      </c>
      <c r="M18" s="617">
        <f t="shared" si="4"/>
        <v>93420</v>
      </c>
      <c r="N18" s="793">
        <f t="shared" si="2"/>
        <v>54138</v>
      </c>
      <c r="O18" s="22">
        <f t="shared" si="3"/>
        <v>150.13348030675942</v>
      </c>
      <c r="P18" s="617">
        <f t="shared" si="0"/>
        <v>8127926.356847342</v>
      </c>
    </row>
    <row r="19" spans="1:16" ht="12.75">
      <c r="A19" s="22">
        <v>12</v>
      </c>
      <c r="B19" s="22"/>
      <c r="C19" s="22"/>
      <c r="D19" s="22"/>
      <c r="E19" s="22" t="s">
        <v>1082</v>
      </c>
      <c r="F19" s="22">
        <v>0</v>
      </c>
      <c r="G19" s="22" t="e">
        <f t="shared" si="1"/>
        <v>#DIV/0!</v>
      </c>
      <c r="H19" s="617">
        <v>0</v>
      </c>
      <c r="I19" s="22">
        <v>180</v>
      </c>
      <c r="J19" s="22">
        <v>5.05</v>
      </c>
      <c r="K19" s="22">
        <v>950</v>
      </c>
      <c r="L19" s="22">
        <v>156.7</v>
      </c>
      <c r="M19" s="617">
        <f t="shared" si="4"/>
        <v>148865</v>
      </c>
      <c r="N19" s="793">
        <f t="shared" si="2"/>
        <v>53188</v>
      </c>
      <c r="O19" s="22">
        <f t="shared" si="3"/>
        <v>150.13348030675942</v>
      </c>
      <c r="P19" s="617">
        <f t="shared" si="0"/>
        <v>7985299.55055592</v>
      </c>
    </row>
    <row r="20" spans="1:16" ht="12.75">
      <c r="A20" s="22">
        <v>13</v>
      </c>
      <c r="B20" s="81" t="s">
        <v>214</v>
      </c>
      <c r="C20" s="22">
        <v>10</v>
      </c>
      <c r="D20" s="22">
        <v>17.07</v>
      </c>
      <c r="E20" s="22" t="s">
        <v>1082</v>
      </c>
      <c r="F20" s="22">
        <v>6398</v>
      </c>
      <c r="G20" s="22">
        <f t="shared" si="1"/>
        <v>148.3333854329478</v>
      </c>
      <c r="H20" s="617">
        <v>949037</v>
      </c>
      <c r="I20" s="22">
        <v>181</v>
      </c>
      <c r="J20" s="22">
        <v>7.05</v>
      </c>
      <c r="K20" s="22">
        <v>200</v>
      </c>
      <c r="L20" s="22">
        <v>156.7</v>
      </c>
      <c r="M20" s="617">
        <f t="shared" si="4"/>
        <v>31339.999999999996</v>
      </c>
      <c r="N20" s="793">
        <f t="shared" si="2"/>
        <v>59386</v>
      </c>
      <c r="O20" s="22">
        <f t="shared" si="3"/>
        <v>149.94019653200283</v>
      </c>
      <c r="P20" s="617">
        <f t="shared" si="0"/>
        <v>8904348.51124952</v>
      </c>
    </row>
    <row r="21" spans="1:16" ht="12.75">
      <c r="A21" s="22">
        <v>14</v>
      </c>
      <c r="B21" s="22"/>
      <c r="C21" s="22">
        <v>20</v>
      </c>
      <c r="D21" s="22">
        <v>10.07</v>
      </c>
      <c r="E21" s="22" t="s">
        <v>1082</v>
      </c>
      <c r="F21" s="22">
        <v>12234</v>
      </c>
      <c r="G21" s="22">
        <f t="shared" si="1"/>
        <v>14.499754781755763</v>
      </c>
      <c r="H21" s="617">
        <v>177390</v>
      </c>
      <c r="I21" s="22">
        <v>183</v>
      </c>
      <c r="J21" s="22">
        <v>8.05</v>
      </c>
      <c r="K21" s="22">
        <v>940</v>
      </c>
      <c r="L21" s="22">
        <v>156.7</v>
      </c>
      <c r="M21" s="617">
        <f>+L21*K21</f>
        <v>147298</v>
      </c>
      <c r="N21" s="793">
        <f t="shared" si="2"/>
        <v>70680</v>
      </c>
      <c r="O21" s="22">
        <f t="shared" si="3"/>
        <v>126.80450308921418</v>
      </c>
      <c r="P21" s="617">
        <f t="shared" si="0"/>
        <v>8962542.278345658</v>
      </c>
    </row>
    <row r="22" spans="1:16" ht="12.75">
      <c r="A22" s="22">
        <v>15</v>
      </c>
      <c r="B22" s="22"/>
      <c r="C22" s="22">
        <v>24.07</v>
      </c>
      <c r="D22" s="22">
        <v>3</v>
      </c>
      <c r="E22" s="22" t="s">
        <v>1082</v>
      </c>
      <c r="F22" s="617">
        <v>13012</v>
      </c>
      <c r="G22" s="22">
        <f t="shared" si="1"/>
        <v>145.8333077159545</v>
      </c>
      <c r="H22" s="617">
        <v>1897583</v>
      </c>
      <c r="I22" s="22">
        <v>184</v>
      </c>
      <c r="J22" s="22">
        <v>8.05</v>
      </c>
      <c r="K22" s="22">
        <v>150</v>
      </c>
      <c r="L22" s="22">
        <v>156.7</v>
      </c>
      <c r="M22" s="617">
        <f>K22*L22</f>
        <v>23505</v>
      </c>
      <c r="N22" s="793">
        <f t="shared" si="2"/>
        <v>83542</v>
      </c>
      <c r="O22" s="22">
        <f t="shared" si="3"/>
        <v>129.76300337362778</v>
      </c>
      <c r="P22" s="617">
        <f t="shared" si="0"/>
        <v>10840660.827839613</v>
      </c>
    </row>
    <row r="23" spans="1:16" ht="12.75">
      <c r="A23" s="22">
        <v>16</v>
      </c>
      <c r="B23" s="22"/>
      <c r="C23" s="22"/>
      <c r="D23" s="22"/>
      <c r="E23" s="22" t="s">
        <v>1082</v>
      </c>
      <c r="F23" s="22">
        <v>0</v>
      </c>
      <c r="G23" s="22" t="e">
        <f t="shared" si="1"/>
        <v>#DIV/0!</v>
      </c>
      <c r="H23" s="617">
        <v>0</v>
      </c>
      <c r="I23" s="22">
        <v>185</v>
      </c>
      <c r="J23" s="22">
        <v>9.05</v>
      </c>
      <c r="K23" s="22">
        <v>900</v>
      </c>
      <c r="L23" s="22">
        <v>156</v>
      </c>
      <c r="M23" s="617">
        <f t="shared" si="4"/>
        <v>140400</v>
      </c>
      <c r="N23" s="793">
        <f t="shared" si="2"/>
        <v>82642</v>
      </c>
      <c r="O23" s="22">
        <f t="shared" si="3"/>
        <v>129.76300337362778</v>
      </c>
      <c r="P23" s="617">
        <f t="shared" si="0"/>
        <v>10723874.124803348</v>
      </c>
    </row>
    <row r="24" spans="1:16" ht="12.75">
      <c r="A24" s="22">
        <v>17</v>
      </c>
      <c r="B24" s="22"/>
      <c r="C24" s="22"/>
      <c r="D24" s="22"/>
      <c r="E24" s="22" t="s">
        <v>1082</v>
      </c>
      <c r="F24" s="22">
        <v>0</v>
      </c>
      <c r="G24" s="22" t="e">
        <f t="shared" si="1"/>
        <v>#DIV/0!</v>
      </c>
      <c r="H24" s="617">
        <v>0</v>
      </c>
      <c r="I24" s="22">
        <v>187</v>
      </c>
      <c r="J24" s="22">
        <v>10.05</v>
      </c>
      <c r="K24" s="22">
        <v>80</v>
      </c>
      <c r="L24" s="22">
        <v>156.2</v>
      </c>
      <c r="M24" s="617">
        <f t="shared" si="4"/>
        <v>12496</v>
      </c>
      <c r="N24" s="793">
        <f t="shared" si="2"/>
        <v>82562</v>
      </c>
      <c r="O24" s="22">
        <f t="shared" si="3"/>
        <v>129.76300337362778</v>
      </c>
      <c r="P24" s="617">
        <f t="shared" si="0"/>
        <v>10713493.084533457</v>
      </c>
    </row>
    <row r="25" spans="1:16" ht="12.75">
      <c r="A25" s="22">
        <v>18</v>
      </c>
      <c r="B25" s="22"/>
      <c r="C25" s="22"/>
      <c r="D25" s="22"/>
      <c r="E25" s="22" t="s">
        <v>1082</v>
      </c>
      <c r="F25" s="22">
        <v>0</v>
      </c>
      <c r="G25" s="22" t="e">
        <f t="shared" si="1"/>
        <v>#DIV/0!</v>
      </c>
      <c r="H25" s="617">
        <v>0</v>
      </c>
      <c r="I25" s="22">
        <v>188</v>
      </c>
      <c r="J25" s="22">
        <v>11.05</v>
      </c>
      <c r="K25" s="22">
        <v>955</v>
      </c>
      <c r="L25" s="22">
        <v>156.6</v>
      </c>
      <c r="M25" s="617">
        <f t="shared" si="4"/>
        <v>149553</v>
      </c>
      <c r="N25" s="793">
        <f t="shared" si="2"/>
        <v>81607</v>
      </c>
      <c r="O25" s="22">
        <f t="shared" si="3"/>
        <v>129.76300337362778</v>
      </c>
      <c r="P25" s="617">
        <f t="shared" si="0"/>
        <v>10589569.416311642</v>
      </c>
    </row>
    <row r="26" spans="1:16" ht="12.75">
      <c r="A26" s="22">
        <v>19</v>
      </c>
      <c r="B26" s="22"/>
      <c r="C26" s="22"/>
      <c r="D26" s="22"/>
      <c r="E26" s="22" t="s">
        <v>1082</v>
      </c>
      <c r="F26" s="22">
        <v>0</v>
      </c>
      <c r="G26" s="22" t="e">
        <f t="shared" si="1"/>
        <v>#DIV/0!</v>
      </c>
      <c r="H26" s="617">
        <v>0</v>
      </c>
      <c r="I26" s="22">
        <v>189</v>
      </c>
      <c r="J26" s="22">
        <v>13.05</v>
      </c>
      <c r="K26" s="22">
        <v>319</v>
      </c>
      <c r="L26" s="22">
        <v>156.7</v>
      </c>
      <c r="M26" s="617">
        <f t="shared" si="4"/>
        <v>49987.299999999996</v>
      </c>
      <c r="N26" s="793">
        <f t="shared" si="2"/>
        <v>81288</v>
      </c>
      <c r="O26" s="22">
        <f t="shared" si="3"/>
        <v>129.76300337362778</v>
      </c>
      <c r="P26" s="617">
        <f t="shared" si="0"/>
        <v>10548175.018235454</v>
      </c>
    </row>
    <row r="27" spans="1:16" ht="12.75">
      <c r="A27" s="22">
        <v>20</v>
      </c>
      <c r="B27" s="22"/>
      <c r="C27" s="22"/>
      <c r="D27" s="22"/>
      <c r="E27" s="22" t="s">
        <v>1082</v>
      </c>
      <c r="F27" s="22">
        <v>0</v>
      </c>
      <c r="G27" s="22" t="e">
        <f t="shared" si="1"/>
        <v>#DIV/0!</v>
      </c>
      <c r="H27" s="617">
        <v>0</v>
      </c>
      <c r="I27" s="22">
        <v>190</v>
      </c>
      <c r="J27" s="22">
        <v>14.05</v>
      </c>
      <c r="K27" s="22">
        <v>1230</v>
      </c>
      <c r="L27" s="22">
        <v>155.8</v>
      </c>
      <c r="M27" s="617">
        <f t="shared" si="4"/>
        <v>191634</v>
      </c>
      <c r="N27" s="793">
        <f t="shared" si="2"/>
        <v>80058</v>
      </c>
      <c r="O27" s="22">
        <f t="shared" si="3"/>
        <v>129.76300337362778</v>
      </c>
      <c r="P27" s="617">
        <f t="shared" si="0"/>
        <v>10388566.524085892</v>
      </c>
    </row>
    <row r="28" spans="1:16" ht="12.75">
      <c r="A28" s="22">
        <v>21</v>
      </c>
      <c r="B28" s="22"/>
      <c r="C28" s="22"/>
      <c r="D28" s="22"/>
      <c r="E28" s="22" t="s">
        <v>1082</v>
      </c>
      <c r="F28" s="617">
        <v>0</v>
      </c>
      <c r="G28" s="22" t="e">
        <f t="shared" si="1"/>
        <v>#DIV/0!</v>
      </c>
      <c r="H28" s="617">
        <v>0</v>
      </c>
      <c r="I28" s="22">
        <v>191</v>
      </c>
      <c r="J28" s="22">
        <v>15.05</v>
      </c>
      <c r="K28" s="22">
        <v>400</v>
      </c>
      <c r="L28" s="22">
        <v>156.5</v>
      </c>
      <c r="M28" s="617">
        <f t="shared" si="4"/>
        <v>62600</v>
      </c>
      <c r="N28" s="793">
        <f t="shared" si="2"/>
        <v>79658</v>
      </c>
      <c r="O28" s="22">
        <f t="shared" si="3"/>
        <v>129.76300337362778</v>
      </c>
      <c r="P28" s="617">
        <f t="shared" si="0"/>
        <v>10336661.322736442</v>
      </c>
    </row>
    <row r="29" spans="1:16" ht="12.75">
      <c r="A29" s="22">
        <v>22</v>
      </c>
      <c r="B29" s="22"/>
      <c r="C29" s="22"/>
      <c r="D29" s="22"/>
      <c r="E29" s="22" t="s">
        <v>1082</v>
      </c>
      <c r="F29" s="22">
        <v>0</v>
      </c>
      <c r="G29" s="22" t="e">
        <f t="shared" si="1"/>
        <v>#DIV/0!</v>
      </c>
      <c r="H29" s="617">
        <v>0</v>
      </c>
      <c r="I29" s="22">
        <v>192</v>
      </c>
      <c r="J29" s="22">
        <v>16.05</v>
      </c>
      <c r="K29" s="22">
        <v>40</v>
      </c>
      <c r="L29" s="22">
        <v>153.3</v>
      </c>
      <c r="M29" s="617">
        <f t="shared" si="4"/>
        <v>6132</v>
      </c>
      <c r="N29" s="793">
        <f t="shared" si="2"/>
        <v>79618</v>
      </c>
      <c r="O29" s="22">
        <f t="shared" si="3"/>
        <v>129.76300337362778</v>
      </c>
      <c r="P29" s="617">
        <f t="shared" si="0"/>
        <v>10331470.802601498</v>
      </c>
    </row>
    <row r="30" spans="1:16" ht="12.75">
      <c r="A30" s="22">
        <v>23</v>
      </c>
      <c r="B30" s="22"/>
      <c r="C30" s="22"/>
      <c r="D30" s="22"/>
      <c r="E30" s="22" t="s">
        <v>1082</v>
      </c>
      <c r="F30" s="22">
        <v>0</v>
      </c>
      <c r="G30" s="22" t="e">
        <f t="shared" si="1"/>
        <v>#DIV/0!</v>
      </c>
      <c r="H30" s="617">
        <v>0</v>
      </c>
      <c r="I30" s="22">
        <v>194</v>
      </c>
      <c r="J30" s="22">
        <v>17.05</v>
      </c>
      <c r="K30" s="22">
        <v>140</v>
      </c>
      <c r="L30" s="22">
        <v>156.66</v>
      </c>
      <c r="M30" s="617">
        <f t="shared" si="4"/>
        <v>21932.399999999998</v>
      </c>
      <c r="N30" s="793">
        <f t="shared" si="2"/>
        <v>79478</v>
      </c>
      <c r="O30" s="22">
        <f t="shared" si="3"/>
        <v>129.76300337362778</v>
      </c>
      <c r="P30" s="617">
        <f t="shared" si="0"/>
        <v>10313303.982129188</v>
      </c>
    </row>
    <row r="31" spans="1:16" ht="12.75">
      <c r="A31" s="22">
        <v>24</v>
      </c>
      <c r="B31" s="22"/>
      <c r="C31" s="22"/>
      <c r="D31" s="22"/>
      <c r="E31" s="22" t="s">
        <v>1082</v>
      </c>
      <c r="F31" s="22">
        <v>0</v>
      </c>
      <c r="G31" s="22" t="e">
        <f t="shared" si="1"/>
        <v>#DIV/0!</v>
      </c>
      <c r="H31" s="617">
        <v>0</v>
      </c>
      <c r="I31" s="22">
        <v>196</v>
      </c>
      <c r="J31" s="22">
        <v>17.05</v>
      </c>
      <c r="K31" s="22">
        <v>300</v>
      </c>
      <c r="L31" s="22">
        <v>156.7</v>
      </c>
      <c r="M31" s="617">
        <f t="shared" si="4"/>
        <v>47010</v>
      </c>
      <c r="N31" s="793">
        <f t="shared" si="2"/>
        <v>79178</v>
      </c>
      <c r="O31" s="22">
        <f t="shared" si="3"/>
        <v>129.76300337362778</v>
      </c>
      <c r="P31" s="617">
        <f t="shared" si="0"/>
        <v>10274375.081117101</v>
      </c>
    </row>
    <row r="32" spans="1:16" ht="12.75">
      <c r="A32" s="22">
        <v>25</v>
      </c>
      <c r="B32" s="22"/>
      <c r="C32" s="22"/>
      <c r="D32" s="22"/>
      <c r="E32" s="22" t="s">
        <v>1082</v>
      </c>
      <c r="F32" s="22">
        <v>0</v>
      </c>
      <c r="G32" s="22" t="e">
        <f t="shared" si="1"/>
        <v>#DIV/0!</v>
      </c>
      <c r="H32" s="617">
        <v>0</v>
      </c>
      <c r="I32" s="22">
        <v>197</v>
      </c>
      <c r="J32" s="22">
        <v>18.05</v>
      </c>
      <c r="K32" s="22">
        <v>760</v>
      </c>
      <c r="L32" s="22">
        <v>153.3</v>
      </c>
      <c r="M32" s="617">
        <f t="shared" si="4"/>
        <v>116508.00000000001</v>
      </c>
      <c r="N32" s="793">
        <f t="shared" si="2"/>
        <v>78418</v>
      </c>
      <c r="O32" s="22">
        <f t="shared" si="3"/>
        <v>129.76300337362778</v>
      </c>
      <c r="P32" s="617">
        <f t="shared" si="0"/>
        <v>10175755.198553143</v>
      </c>
    </row>
    <row r="33" spans="1:16" ht="12.75">
      <c r="A33" s="22">
        <v>26</v>
      </c>
      <c r="B33" s="22"/>
      <c r="C33" s="22"/>
      <c r="D33" s="22"/>
      <c r="E33" s="22" t="s">
        <v>1082</v>
      </c>
      <c r="F33" s="22">
        <v>0</v>
      </c>
      <c r="G33" s="22" t="e">
        <f t="shared" si="1"/>
        <v>#DIV/0!</v>
      </c>
      <c r="H33" s="617">
        <v>0</v>
      </c>
      <c r="I33" s="22">
        <v>198</v>
      </c>
      <c r="J33" s="22">
        <v>19.05</v>
      </c>
      <c r="K33" s="22">
        <v>765</v>
      </c>
      <c r="L33" s="22">
        <v>153.3</v>
      </c>
      <c r="M33" s="617">
        <f t="shared" si="4"/>
        <v>117274.50000000001</v>
      </c>
      <c r="N33" s="793">
        <f t="shared" si="2"/>
        <v>77653</v>
      </c>
      <c r="O33" s="22">
        <f t="shared" si="3"/>
        <v>129.76300337362778</v>
      </c>
      <c r="P33" s="617">
        <f t="shared" si="0"/>
        <v>10076486.500972318</v>
      </c>
    </row>
    <row r="34" spans="1:16" ht="12.75">
      <c r="A34" s="22">
        <v>27</v>
      </c>
      <c r="B34" s="22"/>
      <c r="C34" s="22"/>
      <c r="D34" s="22"/>
      <c r="E34" s="22" t="s">
        <v>1082</v>
      </c>
      <c r="F34" s="617">
        <v>0</v>
      </c>
      <c r="G34" s="22" t="e">
        <f t="shared" si="1"/>
        <v>#DIV/0!</v>
      </c>
      <c r="H34" s="617">
        <v>0</v>
      </c>
      <c r="I34" s="22">
        <v>199</v>
      </c>
      <c r="J34" s="22">
        <v>20.05</v>
      </c>
      <c r="K34" s="22">
        <v>406</v>
      </c>
      <c r="L34" s="22">
        <v>153.3</v>
      </c>
      <c r="M34" s="617">
        <f t="shared" si="4"/>
        <v>62239.8</v>
      </c>
      <c r="N34" s="793">
        <f t="shared" si="2"/>
        <v>77247</v>
      </c>
      <c r="O34" s="22">
        <f t="shared" si="3"/>
        <v>129.76300337362778</v>
      </c>
      <c r="P34" s="617">
        <f t="shared" si="0"/>
        <v>10023802.721602626</v>
      </c>
    </row>
    <row r="35" spans="1:16" ht="12.75">
      <c r="A35" s="22">
        <v>28</v>
      </c>
      <c r="B35" s="22"/>
      <c r="C35" s="22"/>
      <c r="D35" s="22"/>
      <c r="E35" s="22" t="s">
        <v>1082</v>
      </c>
      <c r="F35" s="22">
        <v>0</v>
      </c>
      <c r="G35" s="22" t="e">
        <f t="shared" si="1"/>
        <v>#DIV/0!</v>
      </c>
      <c r="H35" s="617">
        <v>0</v>
      </c>
      <c r="I35" s="22">
        <v>200</v>
      </c>
      <c r="J35" s="22">
        <v>21.05</v>
      </c>
      <c r="K35" s="22">
        <v>563</v>
      </c>
      <c r="L35" s="22">
        <v>153.2</v>
      </c>
      <c r="M35" s="617">
        <f t="shared" si="4"/>
        <v>86251.59999999999</v>
      </c>
      <c r="N35" s="793">
        <f t="shared" si="2"/>
        <v>76684</v>
      </c>
      <c r="O35" s="22">
        <f t="shared" si="3"/>
        <v>129.76300337362778</v>
      </c>
      <c r="P35" s="617">
        <f t="shared" si="0"/>
        <v>9950746.150703274</v>
      </c>
    </row>
    <row r="36" spans="1:16" ht="12.75">
      <c r="A36" s="22">
        <v>29</v>
      </c>
      <c r="B36" s="22"/>
      <c r="C36" s="22"/>
      <c r="D36" s="22"/>
      <c r="E36" s="22" t="s">
        <v>1082</v>
      </c>
      <c r="F36" s="22">
        <v>0</v>
      </c>
      <c r="G36" s="22" t="e">
        <f t="shared" si="1"/>
        <v>#DIV/0!</v>
      </c>
      <c r="H36" s="617">
        <v>0</v>
      </c>
      <c r="I36" s="22">
        <v>201</v>
      </c>
      <c r="J36" s="22">
        <v>21.05</v>
      </c>
      <c r="K36" s="22">
        <v>543</v>
      </c>
      <c r="L36" s="22">
        <v>153.4</v>
      </c>
      <c r="M36" s="617">
        <f t="shared" si="4"/>
        <v>83296.2</v>
      </c>
      <c r="N36" s="793">
        <f t="shared" si="2"/>
        <v>76141</v>
      </c>
      <c r="O36" s="22">
        <f t="shared" si="3"/>
        <v>129.76300337362778</v>
      </c>
      <c r="P36" s="617">
        <f t="shared" si="0"/>
        <v>9880284.839871394</v>
      </c>
    </row>
    <row r="37" spans="1:16" ht="12.75">
      <c r="A37" s="22">
        <v>30</v>
      </c>
      <c r="B37" s="22"/>
      <c r="C37" s="22"/>
      <c r="D37" s="22"/>
      <c r="E37" s="22" t="s">
        <v>1082</v>
      </c>
      <c r="F37" s="22">
        <v>0</v>
      </c>
      <c r="G37" s="22" t="e">
        <f t="shared" si="1"/>
        <v>#DIV/0!</v>
      </c>
      <c r="H37" s="617">
        <v>0</v>
      </c>
      <c r="I37" s="22">
        <v>203</v>
      </c>
      <c r="J37" s="22">
        <v>23.05</v>
      </c>
      <c r="K37" s="22">
        <v>1340</v>
      </c>
      <c r="L37" s="22">
        <v>152.5</v>
      </c>
      <c r="M37" s="617">
        <f t="shared" si="4"/>
        <v>204350</v>
      </c>
      <c r="N37" s="793">
        <f t="shared" si="2"/>
        <v>74801</v>
      </c>
      <c r="O37" s="22">
        <f t="shared" si="3"/>
        <v>129.76300337362778</v>
      </c>
      <c r="P37" s="617">
        <f t="shared" si="0"/>
        <v>9706402.415350731</v>
      </c>
    </row>
    <row r="38" spans="1:16" ht="12.75">
      <c r="A38" s="22">
        <v>31</v>
      </c>
      <c r="B38" s="22"/>
      <c r="C38" s="22"/>
      <c r="D38" s="22"/>
      <c r="E38" s="22" t="s">
        <v>1082</v>
      </c>
      <c r="F38" s="22">
        <v>0</v>
      </c>
      <c r="G38" s="22" t="e">
        <f aca="true" t="shared" si="5" ref="G38:G142">H38/F38</f>
        <v>#DIV/0!</v>
      </c>
      <c r="H38" s="617">
        <v>0</v>
      </c>
      <c r="I38" s="22">
        <v>204</v>
      </c>
      <c r="J38" s="22">
        <v>23.05</v>
      </c>
      <c r="K38" s="22">
        <v>150</v>
      </c>
      <c r="L38" s="22">
        <v>152.5</v>
      </c>
      <c r="M38" s="617">
        <f aca="true" t="shared" si="6" ref="M38:M142">K38*L38</f>
        <v>22875</v>
      </c>
      <c r="N38" s="793">
        <f>N14+F38-K38</f>
        <v>27554</v>
      </c>
      <c r="O38" s="22">
        <f>(P14+H38)/(N14+F38)</f>
        <v>153.66846578788687</v>
      </c>
      <c r="P38" s="617">
        <f aca="true" t="shared" si="7" ref="P38:P142">N38*O38</f>
        <v>4234180.906319435</v>
      </c>
    </row>
    <row r="39" spans="1:16" ht="12.75">
      <c r="A39" s="22">
        <v>32</v>
      </c>
      <c r="B39" s="22"/>
      <c r="C39" s="22"/>
      <c r="D39" s="22"/>
      <c r="E39" s="22" t="s">
        <v>1082</v>
      </c>
      <c r="F39" s="22">
        <v>0</v>
      </c>
      <c r="G39" s="22" t="e">
        <f t="shared" si="5"/>
        <v>#DIV/0!</v>
      </c>
      <c r="H39" s="617">
        <v>0</v>
      </c>
      <c r="I39" s="22">
        <v>205</v>
      </c>
      <c r="J39" s="22">
        <v>25.05</v>
      </c>
      <c r="K39" s="22">
        <v>1213</v>
      </c>
      <c r="L39" s="22">
        <v>152.5</v>
      </c>
      <c r="M39" s="617">
        <f t="shared" si="6"/>
        <v>184982.5</v>
      </c>
      <c r="N39" s="793">
        <f aca="true" t="shared" si="8" ref="N39:N59">N38+F39-K39</f>
        <v>26341</v>
      </c>
      <c r="O39" s="22">
        <f aca="true" t="shared" si="9" ref="O39:O59">(P38+H39)/(N38+F39)</f>
        <v>153.66846578788687</v>
      </c>
      <c r="P39" s="617">
        <f t="shared" si="7"/>
        <v>4047781.057318728</v>
      </c>
    </row>
    <row r="40" spans="1:16" ht="12.75">
      <c r="A40" s="22">
        <v>33</v>
      </c>
      <c r="B40" s="22"/>
      <c r="C40" s="22"/>
      <c r="D40" s="22"/>
      <c r="E40" s="22" t="s">
        <v>1082</v>
      </c>
      <c r="F40" s="617">
        <v>0</v>
      </c>
      <c r="G40" s="22" t="e">
        <f t="shared" si="5"/>
        <v>#DIV/0!</v>
      </c>
      <c r="H40" s="617">
        <v>0</v>
      </c>
      <c r="I40" s="22">
        <v>207</v>
      </c>
      <c r="J40" s="22">
        <v>26.05</v>
      </c>
      <c r="K40" s="22">
        <v>300</v>
      </c>
      <c r="L40" s="22">
        <v>148.3</v>
      </c>
      <c r="M40" s="617">
        <f t="shared" si="6"/>
        <v>44490</v>
      </c>
      <c r="N40" s="793">
        <f t="shared" si="8"/>
        <v>26041</v>
      </c>
      <c r="O40" s="22">
        <f t="shared" si="9"/>
        <v>153.66846578788687</v>
      </c>
      <c r="P40" s="617">
        <f t="shared" si="7"/>
        <v>4001680.517582362</v>
      </c>
    </row>
    <row r="41" spans="1:16" ht="12.75">
      <c r="A41" s="22">
        <v>34</v>
      </c>
      <c r="B41" s="22"/>
      <c r="C41" s="22"/>
      <c r="D41" s="22"/>
      <c r="E41" s="22" t="s">
        <v>1082</v>
      </c>
      <c r="F41" s="22">
        <v>0</v>
      </c>
      <c r="G41" s="22" t="e">
        <f t="shared" si="5"/>
        <v>#DIV/0!</v>
      </c>
      <c r="H41" s="617">
        <v>0</v>
      </c>
      <c r="I41" s="22">
        <v>208</v>
      </c>
      <c r="J41" s="22">
        <v>26.05</v>
      </c>
      <c r="K41" s="22">
        <v>80</v>
      </c>
      <c r="L41" s="22">
        <v>156.6</v>
      </c>
      <c r="M41" s="617">
        <f t="shared" si="6"/>
        <v>12528</v>
      </c>
      <c r="N41" s="793">
        <f t="shared" si="8"/>
        <v>25961</v>
      </c>
      <c r="O41" s="22">
        <f t="shared" si="9"/>
        <v>153.66846578788687</v>
      </c>
      <c r="P41" s="617">
        <f t="shared" si="7"/>
        <v>3989387.040319331</v>
      </c>
    </row>
    <row r="42" spans="1:16" ht="12.75">
      <c r="A42" s="22">
        <v>35</v>
      </c>
      <c r="B42" s="22"/>
      <c r="C42" s="22"/>
      <c r="D42" s="22"/>
      <c r="E42" s="22" t="s">
        <v>1082</v>
      </c>
      <c r="F42" s="22">
        <v>0</v>
      </c>
      <c r="G42" s="22" t="e">
        <f t="shared" si="5"/>
        <v>#DIV/0!</v>
      </c>
      <c r="H42" s="617">
        <v>0</v>
      </c>
      <c r="I42" s="22">
        <v>209</v>
      </c>
      <c r="J42" s="22">
        <v>27.05</v>
      </c>
      <c r="K42" s="22">
        <v>1140</v>
      </c>
      <c r="L42" s="22">
        <v>148.3</v>
      </c>
      <c r="M42" s="617">
        <f t="shared" si="6"/>
        <v>169062</v>
      </c>
      <c r="N42" s="793">
        <f t="shared" si="8"/>
        <v>24821</v>
      </c>
      <c r="O42" s="22">
        <f t="shared" si="9"/>
        <v>153.66846578788687</v>
      </c>
      <c r="P42" s="617">
        <f t="shared" si="7"/>
        <v>3814204.98932114</v>
      </c>
    </row>
    <row r="43" spans="1:16" ht="12.75">
      <c r="A43" s="22">
        <v>36</v>
      </c>
      <c r="B43" s="22"/>
      <c r="C43" s="22"/>
      <c r="D43" s="22"/>
      <c r="E43" s="22" t="s">
        <v>1082</v>
      </c>
      <c r="F43" s="22">
        <v>0</v>
      </c>
      <c r="G43" s="22" t="e">
        <f t="shared" si="5"/>
        <v>#DIV/0!</v>
      </c>
      <c r="H43" s="22">
        <v>0</v>
      </c>
      <c r="I43" s="22">
        <v>211</v>
      </c>
      <c r="J43" s="22">
        <v>28.05</v>
      </c>
      <c r="K43" s="22">
        <v>1300</v>
      </c>
      <c r="L43" s="22">
        <v>151.9</v>
      </c>
      <c r="M43" s="617">
        <f t="shared" si="6"/>
        <v>197470</v>
      </c>
      <c r="N43" s="793">
        <f t="shared" si="8"/>
        <v>23521</v>
      </c>
      <c r="O43" s="22">
        <f t="shared" si="9"/>
        <v>153.66846578788687</v>
      </c>
      <c r="P43" s="617">
        <f t="shared" si="7"/>
        <v>3614435.983796887</v>
      </c>
    </row>
    <row r="44" spans="1:16" ht="12.75">
      <c r="A44" s="22">
        <v>37</v>
      </c>
      <c r="B44" s="22"/>
      <c r="C44" s="22"/>
      <c r="D44" s="22"/>
      <c r="E44" s="22" t="s">
        <v>1082</v>
      </c>
      <c r="F44" s="22">
        <v>0</v>
      </c>
      <c r="G44" s="22" t="e">
        <f t="shared" si="5"/>
        <v>#DIV/0!</v>
      </c>
      <c r="H44" s="22">
        <v>0</v>
      </c>
      <c r="I44" s="22">
        <v>212</v>
      </c>
      <c r="J44" s="22">
        <v>29.05</v>
      </c>
      <c r="K44" s="22">
        <v>2430</v>
      </c>
      <c r="L44" s="22">
        <v>148.3</v>
      </c>
      <c r="M44" s="617">
        <f t="shared" si="6"/>
        <v>360369</v>
      </c>
      <c r="N44" s="793">
        <f t="shared" si="8"/>
        <v>21091</v>
      </c>
      <c r="O44" s="22">
        <f t="shared" si="9"/>
        <v>153.66846578788687</v>
      </c>
      <c r="P44" s="617">
        <f t="shared" si="7"/>
        <v>3241021.611932322</v>
      </c>
    </row>
    <row r="45" spans="1:16" ht="12.75">
      <c r="A45" s="22">
        <v>38</v>
      </c>
      <c r="B45" s="22"/>
      <c r="C45" s="22"/>
      <c r="D45" s="22"/>
      <c r="E45" s="22" t="s">
        <v>1082</v>
      </c>
      <c r="F45" s="22">
        <v>0</v>
      </c>
      <c r="G45" s="22" t="e">
        <f t="shared" si="5"/>
        <v>#DIV/0!</v>
      </c>
      <c r="H45" s="22">
        <v>0</v>
      </c>
      <c r="I45" s="22">
        <v>214</v>
      </c>
      <c r="J45" s="22">
        <v>29.05</v>
      </c>
      <c r="K45" s="22">
        <v>3007</v>
      </c>
      <c r="L45" s="22">
        <v>148.3</v>
      </c>
      <c r="M45" s="617">
        <f t="shared" si="6"/>
        <v>445938.10000000003</v>
      </c>
      <c r="N45" s="793">
        <f t="shared" si="8"/>
        <v>18084</v>
      </c>
      <c r="O45" s="22">
        <f t="shared" si="9"/>
        <v>153.66846578788687</v>
      </c>
      <c r="P45" s="617">
        <f t="shared" si="7"/>
        <v>2778940.5353081464</v>
      </c>
    </row>
    <row r="46" spans="1:16" ht="12.75">
      <c r="A46" s="22">
        <v>39</v>
      </c>
      <c r="B46" s="22"/>
      <c r="C46" s="22"/>
      <c r="D46" s="22"/>
      <c r="E46" s="22" t="s">
        <v>1082</v>
      </c>
      <c r="F46" s="22">
        <v>0</v>
      </c>
      <c r="G46" s="22" t="e">
        <f t="shared" si="5"/>
        <v>#DIV/0!</v>
      </c>
      <c r="H46" s="22">
        <v>0</v>
      </c>
      <c r="I46" s="22">
        <v>215</v>
      </c>
      <c r="J46" s="22">
        <v>31.05</v>
      </c>
      <c r="K46" s="22">
        <v>791</v>
      </c>
      <c r="L46" s="22">
        <v>153.68</v>
      </c>
      <c r="M46" s="617">
        <f t="shared" si="6"/>
        <v>121560.88</v>
      </c>
      <c r="N46" s="793">
        <f t="shared" si="8"/>
        <v>17293</v>
      </c>
      <c r="O46" s="22">
        <f t="shared" si="9"/>
        <v>153.66846578788687</v>
      </c>
      <c r="P46" s="617">
        <f t="shared" si="7"/>
        <v>2657388.778869928</v>
      </c>
    </row>
    <row r="47" spans="1:16" ht="12.75">
      <c r="A47" s="22">
        <v>40</v>
      </c>
      <c r="B47" s="22"/>
      <c r="C47" s="22"/>
      <c r="D47" s="22"/>
      <c r="E47" s="22" t="s">
        <v>1082</v>
      </c>
      <c r="F47" s="22">
        <v>0</v>
      </c>
      <c r="G47" s="22" t="e">
        <f t="shared" si="5"/>
        <v>#DIV/0!</v>
      </c>
      <c r="H47" s="22">
        <v>0</v>
      </c>
      <c r="I47" s="22">
        <v>217</v>
      </c>
      <c r="J47" s="22">
        <v>31.05</v>
      </c>
      <c r="K47" s="22">
        <v>1670</v>
      </c>
      <c r="L47" s="22">
        <v>148.3</v>
      </c>
      <c r="M47" s="617">
        <f t="shared" si="6"/>
        <v>247661.00000000003</v>
      </c>
      <c r="N47" s="793">
        <f t="shared" si="8"/>
        <v>15623</v>
      </c>
      <c r="O47" s="22">
        <f t="shared" si="9"/>
        <v>153.66846578788687</v>
      </c>
      <c r="P47" s="617">
        <f t="shared" si="7"/>
        <v>2400762.4410041566</v>
      </c>
    </row>
    <row r="48" spans="1:16" ht="12.75">
      <c r="A48" s="22">
        <v>41</v>
      </c>
      <c r="B48" s="22"/>
      <c r="C48" s="22"/>
      <c r="D48" s="22"/>
      <c r="E48" s="22" t="s">
        <v>1082</v>
      </c>
      <c r="F48" s="22">
        <v>0</v>
      </c>
      <c r="G48" s="22" t="e">
        <f t="shared" si="5"/>
        <v>#DIV/0!</v>
      </c>
      <c r="H48" s="22">
        <v>0</v>
      </c>
      <c r="I48" s="22"/>
      <c r="J48" s="22"/>
      <c r="K48" s="22"/>
      <c r="L48" s="22"/>
      <c r="M48" s="617">
        <f t="shared" si="6"/>
        <v>0</v>
      </c>
      <c r="N48" s="793">
        <f t="shared" si="8"/>
        <v>15623</v>
      </c>
      <c r="O48" s="22">
        <f t="shared" si="9"/>
        <v>153.66846578788687</v>
      </c>
      <c r="P48" s="617">
        <f t="shared" si="7"/>
        <v>2400762.4410041566</v>
      </c>
    </row>
    <row r="49" spans="1:16" ht="12.75">
      <c r="A49" s="22">
        <v>42</v>
      </c>
      <c r="B49" s="22"/>
      <c r="C49" s="22"/>
      <c r="D49" s="22"/>
      <c r="E49" s="22" t="s">
        <v>1082</v>
      </c>
      <c r="F49" s="22">
        <v>0</v>
      </c>
      <c r="G49" s="22" t="e">
        <f t="shared" si="5"/>
        <v>#DIV/0!</v>
      </c>
      <c r="H49" s="22">
        <v>0</v>
      </c>
      <c r="I49" s="22">
        <v>219</v>
      </c>
      <c r="J49" s="22">
        <v>3.06</v>
      </c>
      <c r="K49" s="22">
        <v>540</v>
      </c>
      <c r="L49" s="22">
        <v>148.3</v>
      </c>
      <c r="M49" s="617">
        <f t="shared" si="6"/>
        <v>80082</v>
      </c>
      <c r="N49" s="793">
        <f t="shared" si="8"/>
        <v>15083</v>
      </c>
      <c r="O49" s="22">
        <f t="shared" si="9"/>
        <v>153.66846578788687</v>
      </c>
      <c r="P49" s="617">
        <f t="shared" si="7"/>
        <v>2317781.4694786975</v>
      </c>
    </row>
    <row r="50" spans="1:16" ht="12.75">
      <c r="A50" s="22">
        <v>43</v>
      </c>
      <c r="B50" s="22"/>
      <c r="C50" s="22"/>
      <c r="D50" s="22"/>
      <c r="E50" s="22" t="s">
        <v>1082</v>
      </c>
      <c r="F50" s="22">
        <v>0</v>
      </c>
      <c r="G50" s="22" t="e">
        <f t="shared" si="5"/>
        <v>#DIV/0!</v>
      </c>
      <c r="H50" s="22">
        <v>0</v>
      </c>
      <c r="I50" s="22">
        <v>221</v>
      </c>
      <c r="J50" s="22">
        <v>4.06</v>
      </c>
      <c r="K50" s="22">
        <v>298</v>
      </c>
      <c r="L50" s="22">
        <v>148.2</v>
      </c>
      <c r="M50" s="617">
        <f t="shared" si="6"/>
        <v>44163.6</v>
      </c>
      <c r="N50" s="793">
        <f t="shared" si="8"/>
        <v>14785</v>
      </c>
      <c r="O50" s="22">
        <f t="shared" si="9"/>
        <v>153.66846578788687</v>
      </c>
      <c r="P50" s="617">
        <f t="shared" si="7"/>
        <v>2271988.2666739076</v>
      </c>
    </row>
    <row r="51" spans="1:16" ht="12.75">
      <c r="A51" s="22">
        <v>44</v>
      </c>
      <c r="B51" s="22"/>
      <c r="C51" s="22"/>
      <c r="D51" s="22"/>
      <c r="E51" s="22" t="s">
        <v>1082</v>
      </c>
      <c r="F51" s="22">
        <v>0</v>
      </c>
      <c r="G51" s="22" t="e">
        <f t="shared" si="5"/>
        <v>#DIV/0!</v>
      </c>
      <c r="H51" s="22">
        <v>0</v>
      </c>
      <c r="I51" s="22">
        <v>222</v>
      </c>
      <c r="J51" s="22">
        <v>5.06</v>
      </c>
      <c r="K51" s="22">
        <v>200</v>
      </c>
      <c r="L51" s="22">
        <v>148.3</v>
      </c>
      <c r="M51" s="617">
        <f t="shared" si="6"/>
        <v>29660.000000000004</v>
      </c>
      <c r="N51" s="793">
        <f t="shared" si="8"/>
        <v>14585</v>
      </c>
      <c r="O51" s="22">
        <f t="shared" si="9"/>
        <v>153.6684657878869</v>
      </c>
      <c r="P51" s="617">
        <f t="shared" si="7"/>
        <v>2241254.5735163307</v>
      </c>
    </row>
    <row r="52" spans="1:16" ht="12.75">
      <c r="A52" s="22">
        <v>45</v>
      </c>
      <c r="B52" s="22"/>
      <c r="C52" s="22"/>
      <c r="D52" s="22"/>
      <c r="E52" s="22" t="s">
        <v>1082</v>
      </c>
      <c r="F52" s="22">
        <v>0</v>
      </c>
      <c r="G52" s="22" t="e">
        <f t="shared" si="5"/>
        <v>#DIV/0!</v>
      </c>
      <c r="H52" s="22">
        <v>0</v>
      </c>
      <c r="I52" s="22">
        <v>224</v>
      </c>
      <c r="J52" s="22">
        <v>5.06</v>
      </c>
      <c r="K52" s="22">
        <v>1080</v>
      </c>
      <c r="L52" s="22">
        <v>148.3</v>
      </c>
      <c r="M52" s="617">
        <f t="shared" si="6"/>
        <v>160164</v>
      </c>
      <c r="N52" s="793">
        <f t="shared" si="8"/>
        <v>13505</v>
      </c>
      <c r="O52" s="22">
        <f t="shared" si="9"/>
        <v>153.66846578788693</v>
      </c>
      <c r="P52" s="617">
        <f t="shared" si="7"/>
        <v>2075292.630465413</v>
      </c>
    </row>
    <row r="53" spans="1:16" ht="12.75">
      <c r="A53" s="22">
        <v>46</v>
      </c>
      <c r="B53" s="22"/>
      <c r="C53" s="22"/>
      <c r="D53" s="22"/>
      <c r="E53" s="22" t="s">
        <v>1082</v>
      </c>
      <c r="F53" s="22">
        <v>0</v>
      </c>
      <c r="G53" s="22" t="e">
        <f t="shared" si="5"/>
        <v>#DIV/0!</v>
      </c>
      <c r="H53" s="22">
        <v>0</v>
      </c>
      <c r="I53" s="22">
        <v>225</v>
      </c>
      <c r="J53" s="22">
        <v>7.06</v>
      </c>
      <c r="K53" s="22">
        <v>150</v>
      </c>
      <c r="L53" s="22">
        <v>148.3</v>
      </c>
      <c r="M53" s="617">
        <f t="shared" si="6"/>
        <v>22245</v>
      </c>
      <c r="N53" s="793">
        <f t="shared" si="8"/>
        <v>13355</v>
      </c>
      <c r="O53" s="22">
        <f t="shared" si="9"/>
        <v>153.66846578788693</v>
      </c>
      <c r="P53" s="617">
        <f t="shared" si="7"/>
        <v>2052242.36059723</v>
      </c>
    </row>
    <row r="54" spans="1:16" ht="12.75">
      <c r="A54" s="22">
        <v>47</v>
      </c>
      <c r="B54" s="22"/>
      <c r="C54" s="22"/>
      <c r="D54" s="22"/>
      <c r="E54" s="22" t="s">
        <v>1082</v>
      </c>
      <c r="F54" s="22">
        <v>0</v>
      </c>
      <c r="G54" s="22" t="e">
        <f t="shared" si="5"/>
        <v>#DIV/0!</v>
      </c>
      <c r="H54" s="22">
        <v>0</v>
      </c>
      <c r="I54" s="22">
        <v>227</v>
      </c>
      <c r="J54" s="22">
        <v>8.06</v>
      </c>
      <c r="K54" s="22">
        <v>950</v>
      </c>
      <c r="L54" s="22">
        <v>148.3</v>
      </c>
      <c r="M54" s="617">
        <f t="shared" si="6"/>
        <v>140885</v>
      </c>
      <c r="N54" s="793">
        <f t="shared" si="8"/>
        <v>12405</v>
      </c>
      <c r="O54" s="22">
        <f t="shared" si="9"/>
        <v>153.66846578788693</v>
      </c>
      <c r="P54" s="617">
        <f t="shared" si="7"/>
        <v>1906257.3180987374</v>
      </c>
    </row>
    <row r="55" spans="1:16" ht="12.75">
      <c r="A55" s="22">
        <v>48</v>
      </c>
      <c r="B55" s="22"/>
      <c r="C55" s="22"/>
      <c r="D55" s="22"/>
      <c r="E55" s="22" t="s">
        <v>1082</v>
      </c>
      <c r="F55" s="22">
        <v>0</v>
      </c>
      <c r="G55" s="22" t="e">
        <f t="shared" si="5"/>
        <v>#DIV/0!</v>
      </c>
      <c r="H55" s="22">
        <v>0</v>
      </c>
      <c r="I55" s="22">
        <v>228</v>
      </c>
      <c r="J55" s="22">
        <v>8.06</v>
      </c>
      <c r="K55" s="22">
        <v>2000</v>
      </c>
      <c r="L55" s="22">
        <v>147.5</v>
      </c>
      <c r="M55" s="617">
        <f t="shared" si="6"/>
        <v>295000</v>
      </c>
      <c r="N55" s="793">
        <f t="shared" si="8"/>
        <v>10405</v>
      </c>
      <c r="O55" s="22">
        <f t="shared" si="9"/>
        <v>153.66846578788693</v>
      </c>
      <c r="P55" s="617">
        <f t="shared" si="7"/>
        <v>1598920.3865229634</v>
      </c>
    </row>
    <row r="56" spans="1:16" ht="12.75">
      <c r="A56" s="22">
        <v>49</v>
      </c>
      <c r="B56" s="22"/>
      <c r="C56" s="22"/>
      <c r="D56" s="22"/>
      <c r="E56" s="22" t="s">
        <v>1082</v>
      </c>
      <c r="F56" s="22">
        <v>0</v>
      </c>
      <c r="G56" s="22" t="e">
        <f t="shared" si="5"/>
        <v>#DIV/0!</v>
      </c>
      <c r="H56" s="22">
        <v>0</v>
      </c>
      <c r="I56" s="22">
        <v>229</v>
      </c>
      <c r="J56" s="22">
        <v>8.06</v>
      </c>
      <c r="K56" s="22">
        <v>1000</v>
      </c>
      <c r="L56" s="22">
        <v>139.16</v>
      </c>
      <c r="M56" s="617">
        <f t="shared" si="6"/>
        <v>139160</v>
      </c>
      <c r="N56" s="793">
        <f t="shared" si="8"/>
        <v>9405</v>
      </c>
      <c r="O56" s="22">
        <f t="shared" si="9"/>
        <v>153.66846578788693</v>
      </c>
      <c r="P56" s="617">
        <f t="shared" si="7"/>
        <v>1445251.9207350765</v>
      </c>
    </row>
    <row r="57" spans="1:16" ht="12.75">
      <c r="A57" s="22">
        <v>50</v>
      </c>
      <c r="B57" s="22"/>
      <c r="C57" s="22"/>
      <c r="D57" s="22"/>
      <c r="E57" s="22" t="s">
        <v>1082</v>
      </c>
      <c r="F57" s="22">
        <v>0</v>
      </c>
      <c r="G57" s="22" t="e">
        <f t="shared" si="5"/>
        <v>#DIV/0!</v>
      </c>
      <c r="H57" s="22">
        <v>0</v>
      </c>
      <c r="I57" s="22">
        <v>230</v>
      </c>
      <c r="J57" s="22">
        <v>9.06</v>
      </c>
      <c r="K57" s="22">
        <v>460</v>
      </c>
      <c r="L57" s="22">
        <v>148.3</v>
      </c>
      <c r="M57" s="617">
        <f t="shared" si="6"/>
        <v>68218</v>
      </c>
      <c r="N57" s="793">
        <f t="shared" si="8"/>
        <v>8945</v>
      </c>
      <c r="O57" s="22">
        <f t="shared" si="9"/>
        <v>153.66846578788693</v>
      </c>
      <c r="P57" s="617">
        <f t="shared" si="7"/>
        <v>1374564.4264726485</v>
      </c>
    </row>
    <row r="58" spans="1:16" ht="12.75">
      <c r="A58" s="22">
        <v>51</v>
      </c>
      <c r="B58" s="22"/>
      <c r="C58" s="22"/>
      <c r="D58" s="22"/>
      <c r="E58" s="22" t="s">
        <v>1082</v>
      </c>
      <c r="F58" s="22">
        <v>0</v>
      </c>
      <c r="G58" s="22" t="e">
        <f t="shared" si="5"/>
        <v>#DIV/0!</v>
      </c>
      <c r="H58" s="22">
        <v>0</v>
      </c>
      <c r="I58" s="22">
        <v>231</v>
      </c>
      <c r="J58" s="22">
        <v>11.06</v>
      </c>
      <c r="K58" s="22">
        <v>564</v>
      </c>
      <c r="L58" s="22">
        <v>148.3</v>
      </c>
      <c r="M58" s="617">
        <f t="shared" si="6"/>
        <v>83641.20000000001</v>
      </c>
      <c r="N58" s="793">
        <f t="shared" si="8"/>
        <v>8381</v>
      </c>
      <c r="O58" s="22">
        <f t="shared" si="9"/>
        <v>153.66846578788693</v>
      </c>
      <c r="P58" s="617">
        <f t="shared" si="7"/>
        <v>1287895.4117682804</v>
      </c>
    </row>
    <row r="59" spans="1:16" ht="12.75">
      <c r="A59" s="22">
        <v>52</v>
      </c>
      <c r="B59" s="22"/>
      <c r="C59" s="22"/>
      <c r="D59" s="22"/>
      <c r="E59" s="22" t="s">
        <v>1082</v>
      </c>
      <c r="F59" s="22">
        <v>0</v>
      </c>
      <c r="G59" s="22" t="e">
        <f t="shared" si="5"/>
        <v>#DIV/0!</v>
      </c>
      <c r="H59" s="22">
        <v>0</v>
      </c>
      <c r="I59" s="22">
        <v>233</v>
      </c>
      <c r="J59" s="22">
        <v>12.06</v>
      </c>
      <c r="K59" s="22">
        <v>600</v>
      </c>
      <c r="L59" s="22">
        <v>149.5</v>
      </c>
      <c r="M59" s="617">
        <f t="shared" si="6"/>
        <v>89700</v>
      </c>
      <c r="N59" s="793">
        <f t="shared" si="8"/>
        <v>7781</v>
      </c>
      <c r="O59" s="22">
        <f t="shared" si="9"/>
        <v>153.66846578788693</v>
      </c>
      <c r="P59" s="617">
        <f t="shared" si="7"/>
        <v>1195694.3322955482</v>
      </c>
    </row>
    <row r="60" spans="1:16" ht="12.75">
      <c r="A60" s="22">
        <v>53</v>
      </c>
      <c r="B60" s="22"/>
      <c r="C60" s="22"/>
      <c r="D60" s="22"/>
      <c r="E60" s="22" t="s">
        <v>1082</v>
      </c>
      <c r="F60" s="22">
        <v>0</v>
      </c>
      <c r="G60" s="22" t="e">
        <f t="shared" si="5"/>
        <v>#DIV/0!</v>
      </c>
      <c r="H60" s="22">
        <v>0</v>
      </c>
      <c r="I60" s="22">
        <v>234</v>
      </c>
      <c r="J60" s="22">
        <v>12.06</v>
      </c>
      <c r="K60" s="22">
        <v>930</v>
      </c>
      <c r="L60" s="22">
        <v>148.3</v>
      </c>
      <c r="M60" s="617">
        <f>K60*L60</f>
        <v>137919</v>
      </c>
      <c r="N60" s="793">
        <f aca="true" t="shared" si="10" ref="N60:N143">N59</f>
        <v>7781</v>
      </c>
      <c r="O60" s="793">
        <f aca="true" t="shared" si="11" ref="O60:O143">O59</f>
        <v>153.66846578788693</v>
      </c>
      <c r="P60" s="617">
        <f t="shared" si="7"/>
        <v>1195694.3322955482</v>
      </c>
    </row>
    <row r="61" spans="1:16" ht="12.75">
      <c r="A61" s="22">
        <v>54</v>
      </c>
      <c r="B61" s="22"/>
      <c r="C61" s="22"/>
      <c r="D61" s="22"/>
      <c r="E61" s="22" t="s">
        <v>1082</v>
      </c>
      <c r="F61" s="22">
        <v>0</v>
      </c>
      <c r="G61" s="22" t="e">
        <f t="shared" si="5"/>
        <v>#DIV/0!</v>
      </c>
      <c r="H61" s="22">
        <v>0</v>
      </c>
      <c r="I61" s="22">
        <v>236</v>
      </c>
      <c r="J61" s="22">
        <v>14.06</v>
      </c>
      <c r="K61" s="22">
        <v>150</v>
      </c>
      <c r="L61" s="22">
        <v>147.6</v>
      </c>
      <c r="M61" s="617">
        <f t="shared" si="6"/>
        <v>22140</v>
      </c>
      <c r="N61" s="793">
        <f t="shared" si="10"/>
        <v>7781</v>
      </c>
      <c r="O61" s="793">
        <f t="shared" si="11"/>
        <v>153.66846578788693</v>
      </c>
      <c r="P61" s="617">
        <f t="shared" si="7"/>
        <v>1195694.3322955482</v>
      </c>
    </row>
    <row r="62" spans="1:16" ht="12.75">
      <c r="A62" s="22">
        <v>55</v>
      </c>
      <c r="B62" s="22"/>
      <c r="C62" s="22"/>
      <c r="D62" s="22"/>
      <c r="E62" s="22" t="s">
        <v>1082</v>
      </c>
      <c r="F62" s="22">
        <v>0</v>
      </c>
      <c r="G62" s="22" t="e">
        <f t="shared" si="5"/>
        <v>#DIV/0!</v>
      </c>
      <c r="H62" s="22">
        <v>0</v>
      </c>
      <c r="I62" s="22">
        <v>237</v>
      </c>
      <c r="J62" s="22">
        <v>14.06</v>
      </c>
      <c r="K62" s="22">
        <v>1000</v>
      </c>
      <c r="L62" s="22">
        <v>139.2</v>
      </c>
      <c r="M62" s="617">
        <f t="shared" si="6"/>
        <v>139200</v>
      </c>
      <c r="N62" s="793">
        <f t="shared" si="10"/>
        <v>7781</v>
      </c>
      <c r="O62" s="793">
        <f t="shared" si="11"/>
        <v>153.66846578788693</v>
      </c>
      <c r="P62" s="617">
        <f t="shared" si="7"/>
        <v>1195694.3322955482</v>
      </c>
    </row>
    <row r="63" spans="1:16" ht="12.75">
      <c r="A63" s="22">
        <v>56</v>
      </c>
      <c r="B63" s="22"/>
      <c r="C63" s="22"/>
      <c r="D63" s="22"/>
      <c r="E63" s="22" t="s">
        <v>1082</v>
      </c>
      <c r="F63" s="22">
        <v>0</v>
      </c>
      <c r="G63" s="22" t="e">
        <f t="shared" si="5"/>
        <v>#DIV/0!</v>
      </c>
      <c r="H63" s="22">
        <v>0</v>
      </c>
      <c r="I63" s="22">
        <v>239</v>
      </c>
      <c r="J63" s="22">
        <v>15.06</v>
      </c>
      <c r="K63" s="22">
        <v>200</v>
      </c>
      <c r="L63" s="22">
        <v>148.3</v>
      </c>
      <c r="M63" s="617">
        <f t="shared" si="6"/>
        <v>29660.000000000004</v>
      </c>
      <c r="N63" s="793">
        <f t="shared" si="10"/>
        <v>7781</v>
      </c>
      <c r="O63" s="793">
        <f t="shared" si="11"/>
        <v>153.66846578788693</v>
      </c>
      <c r="P63" s="617">
        <f t="shared" si="7"/>
        <v>1195694.3322955482</v>
      </c>
    </row>
    <row r="64" spans="1:16" ht="12.75">
      <c r="A64" s="22">
        <v>57</v>
      </c>
      <c r="B64" s="22"/>
      <c r="C64" s="22"/>
      <c r="D64" s="22"/>
      <c r="E64" s="22" t="s">
        <v>1082</v>
      </c>
      <c r="F64" s="22">
        <v>0</v>
      </c>
      <c r="G64" s="22" t="e">
        <f t="shared" si="5"/>
        <v>#DIV/0!</v>
      </c>
      <c r="H64" s="22">
        <v>0</v>
      </c>
      <c r="I64" s="22">
        <v>240</v>
      </c>
      <c r="J64" s="22">
        <v>15.06</v>
      </c>
      <c r="K64" s="22">
        <v>947</v>
      </c>
      <c r="L64" s="22">
        <v>148.4</v>
      </c>
      <c r="M64" s="617">
        <f t="shared" si="6"/>
        <v>140534.80000000002</v>
      </c>
      <c r="N64" s="793">
        <f t="shared" si="10"/>
        <v>7781</v>
      </c>
      <c r="O64" s="793">
        <f t="shared" si="11"/>
        <v>153.66846578788693</v>
      </c>
      <c r="P64" s="617">
        <f t="shared" si="7"/>
        <v>1195694.3322955482</v>
      </c>
    </row>
    <row r="65" spans="1:16" ht="12.75">
      <c r="A65" s="22">
        <v>58</v>
      </c>
      <c r="B65" s="22"/>
      <c r="C65" s="22"/>
      <c r="D65" s="22"/>
      <c r="E65" s="22" t="s">
        <v>1082</v>
      </c>
      <c r="F65" s="22">
        <v>0</v>
      </c>
      <c r="G65" s="22" t="e">
        <f t="shared" si="5"/>
        <v>#DIV/0!</v>
      </c>
      <c r="H65" s="22">
        <v>0</v>
      </c>
      <c r="I65" s="22">
        <v>241</v>
      </c>
      <c r="J65" s="22">
        <v>16.06</v>
      </c>
      <c r="K65" s="22">
        <v>1100</v>
      </c>
      <c r="L65" s="22">
        <v>148.3</v>
      </c>
      <c r="M65" s="617">
        <f t="shared" si="6"/>
        <v>163130</v>
      </c>
      <c r="N65" s="793">
        <f t="shared" si="10"/>
        <v>7781</v>
      </c>
      <c r="O65" s="793">
        <f t="shared" si="11"/>
        <v>153.66846578788693</v>
      </c>
      <c r="P65" s="617">
        <f t="shared" si="7"/>
        <v>1195694.3322955482</v>
      </c>
    </row>
    <row r="66" spans="1:16" ht="12.75">
      <c r="A66" s="22">
        <v>59</v>
      </c>
      <c r="B66" s="22"/>
      <c r="C66" s="22"/>
      <c r="D66" s="22"/>
      <c r="E66" s="22" t="s">
        <v>1082</v>
      </c>
      <c r="F66" s="22">
        <v>0</v>
      </c>
      <c r="G66" s="22" t="e">
        <f t="shared" si="5"/>
        <v>#DIV/0!</v>
      </c>
      <c r="H66" s="22">
        <v>0</v>
      </c>
      <c r="I66" s="22">
        <v>243</v>
      </c>
      <c r="J66" s="22">
        <v>18.06</v>
      </c>
      <c r="K66" s="22">
        <v>900</v>
      </c>
      <c r="L66" s="22">
        <v>148.3</v>
      </c>
      <c r="M66" s="617">
        <f t="shared" si="6"/>
        <v>133470</v>
      </c>
      <c r="N66" s="793">
        <f t="shared" si="10"/>
        <v>7781</v>
      </c>
      <c r="O66" s="793">
        <f t="shared" si="11"/>
        <v>153.66846578788693</v>
      </c>
      <c r="P66" s="617">
        <f t="shared" si="7"/>
        <v>1195694.3322955482</v>
      </c>
    </row>
    <row r="67" spans="1:16" ht="12.75">
      <c r="A67" s="22">
        <v>60</v>
      </c>
      <c r="B67" s="22"/>
      <c r="C67" s="22"/>
      <c r="D67" s="22"/>
      <c r="E67" s="22" t="s">
        <v>1082</v>
      </c>
      <c r="F67" s="22">
        <v>0</v>
      </c>
      <c r="G67" s="22" t="e">
        <f t="shared" si="5"/>
        <v>#DIV/0!</v>
      </c>
      <c r="H67" s="22">
        <v>0</v>
      </c>
      <c r="I67" s="22">
        <v>244</v>
      </c>
      <c r="J67" s="22">
        <v>19.06</v>
      </c>
      <c r="K67" s="22">
        <v>3900</v>
      </c>
      <c r="L67" s="22">
        <v>148.3</v>
      </c>
      <c r="M67" s="617">
        <f t="shared" si="6"/>
        <v>578370</v>
      </c>
      <c r="N67" s="793">
        <f t="shared" si="10"/>
        <v>7781</v>
      </c>
      <c r="O67" s="793">
        <f t="shared" si="11"/>
        <v>153.66846578788693</v>
      </c>
      <c r="P67" s="617">
        <f t="shared" si="7"/>
        <v>1195694.3322955482</v>
      </c>
    </row>
    <row r="68" spans="1:16" ht="12.75">
      <c r="A68" s="22">
        <v>61</v>
      </c>
      <c r="B68" s="22"/>
      <c r="C68" s="22"/>
      <c r="D68" s="22"/>
      <c r="E68" s="22" t="s">
        <v>1082</v>
      </c>
      <c r="F68" s="22">
        <v>0</v>
      </c>
      <c r="G68" s="22" t="e">
        <f t="shared" si="5"/>
        <v>#DIV/0!</v>
      </c>
      <c r="H68" s="22">
        <v>0</v>
      </c>
      <c r="I68" s="22">
        <v>245</v>
      </c>
      <c r="J68" s="22">
        <v>20.06</v>
      </c>
      <c r="K68" s="22">
        <v>760</v>
      </c>
      <c r="L68" s="22">
        <v>148.3</v>
      </c>
      <c r="M68" s="617">
        <f t="shared" si="6"/>
        <v>112708.00000000001</v>
      </c>
      <c r="N68" s="793">
        <f t="shared" si="10"/>
        <v>7781</v>
      </c>
      <c r="O68" s="793">
        <f t="shared" si="11"/>
        <v>153.66846578788693</v>
      </c>
      <c r="P68" s="617">
        <f t="shared" si="7"/>
        <v>1195694.3322955482</v>
      </c>
    </row>
    <row r="69" spans="1:16" ht="12.75">
      <c r="A69" s="22">
        <v>62</v>
      </c>
      <c r="B69" s="22"/>
      <c r="C69" s="22"/>
      <c r="D69" s="22"/>
      <c r="E69" s="22" t="s">
        <v>1082</v>
      </c>
      <c r="F69" s="22">
        <v>0</v>
      </c>
      <c r="G69" s="22" t="e">
        <f t="shared" si="5"/>
        <v>#DIV/0!</v>
      </c>
      <c r="H69" s="22">
        <v>0</v>
      </c>
      <c r="I69" s="22">
        <v>246</v>
      </c>
      <c r="J69" s="22">
        <v>21.06</v>
      </c>
      <c r="K69" s="22">
        <v>140</v>
      </c>
      <c r="L69" s="22">
        <v>148.3</v>
      </c>
      <c r="M69" s="617">
        <f t="shared" si="6"/>
        <v>20762</v>
      </c>
      <c r="N69" s="793">
        <f t="shared" si="10"/>
        <v>7781</v>
      </c>
      <c r="O69" s="793">
        <f t="shared" si="11"/>
        <v>153.66846578788693</v>
      </c>
      <c r="P69" s="617">
        <f t="shared" si="7"/>
        <v>1195694.3322955482</v>
      </c>
    </row>
    <row r="70" spans="1:16" ht="12.75">
      <c r="A70" s="22">
        <v>63</v>
      </c>
      <c r="B70" s="22"/>
      <c r="C70" s="22"/>
      <c r="D70" s="22"/>
      <c r="E70" s="22" t="s">
        <v>1082</v>
      </c>
      <c r="F70" s="22">
        <v>0</v>
      </c>
      <c r="G70" s="22" t="e">
        <f t="shared" si="5"/>
        <v>#DIV/0!</v>
      </c>
      <c r="H70" s="22">
        <v>0</v>
      </c>
      <c r="I70" s="22">
        <v>249</v>
      </c>
      <c r="J70" s="22">
        <v>22.06</v>
      </c>
      <c r="K70" s="22">
        <v>258.29</v>
      </c>
      <c r="L70" s="22">
        <v>145.8</v>
      </c>
      <c r="M70" s="617">
        <f t="shared" si="6"/>
        <v>37658.68200000001</v>
      </c>
      <c r="N70" s="793">
        <f t="shared" si="10"/>
        <v>7781</v>
      </c>
      <c r="O70" s="793">
        <f t="shared" si="11"/>
        <v>153.66846578788693</v>
      </c>
      <c r="P70" s="617">
        <f t="shared" si="7"/>
        <v>1195694.3322955482</v>
      </c>
    </row>
    <row r="71" spans="1:16" ht="12.75">
      <c r="A71" s="22">
        <v>64</v>
      </c>
      <c r="B71" s="22"/>
      <c r="C71" s="22"/>
      <c r="D71" s="22"/>
      <c r="E71" s="22" t="s">
        <v>1082</v>
      </c>
      <c r="F71" s="22">
        <v>0</v>
      </c>
      <c r="G71" s="22" t="e">
        <f t="shared" si="5"/>
        <v>#DIV/0!</v>
      </c>
      <c r="H71" s="22">
        <v>0</v>
      </c>
      <c r="I71" s="22">
        <v>250</v>
      </c>
      <c r="J71" s="22">
        <v>24.06</v>
      </c>
      <c r="K71" s="22">
        <v>890</v>
      </c>
      <c r="L71" s="22">
        <v>145.8</v>
      </c>
      <c r="M71" s="617">
        <f t="shared" si="6"/>
        <v>129762.00000000001</v>
      </c>
      <c r="N71" s="793">
        <f t="shared" si="10"/>
        <v>7781</v>
      </c>
      <c r="O71" s="793">
        <f t="shared" si="11"/>
        <v>153.66846578788693</v>
      </c>
      <c r="P71" s="617">
        <f t="shared" si="7"/>
        <v>1195694.3322955482</v>
      </c>
    </row>
    <row r="72" spans="1:16" ht="12.75">
      <c r="A72" s="22">
        <v>65</v>
      </c>
      <c r="B72" s="22"/>
      <c r="C72" s="22"/>
      <c r="D72" s="22"/>
      <c r="E72" s="22" t="s">
        <v>1082</v>
      </c>
      <c r="F72" s="22">
        <v>0</v>
      </c>
      <c r="G72" s="22" t="e">
        <f t="shared" si="5"/>
        <v>#DIV/0!</v>
      </c>
      <c r="H72" s="22">
        <v>0</v>
      </c>
      <c r="I72" s="22">
        <v>251</v>
      </c>
      <c r="J72" s="22">
        <v>25.06</v>
      </c>
      <c r="K72" s="22">
        <v>60</v>
      </c>
      <c r="L72" s="22">
        <v>145.8</v>
      </c>
      <c r="M72" s="617">
        <f t="shared" si="6"/>
        <v>8748</v>
      </c>
      <c r="N72" s="793">
        <f t="shared" si="10"/>
        <v>7781</v>
      </c>
      <c r="O72" s="793">
        <f t="shared" si="11"/>
        <v>153.66846578788693</v>
      </c>
      <c r="P72" s="617">
        <f t="shared" si="7"/>
        <v>1195694.3322955482</v>
      </c>
    </row>
    <row r="73" spans="1:16" ht="12.75">
      <c r="A73" s="22">
        <v>66</v>
      </c>
      <c r="B73" s="22"/>
      <c r="C73" s="22"/>
      <c r="D73" s="22"/>
      <c r="E73" s="22" t="s">
        <v>1082</v>
      </c>
      <c r="F73" s="22">
        <v>0</v>
      </c>
      <c r="G73" s="22" t="e">
        <f t="shared" si="5"/>
        <v>#DIV/0!</v>
      </c>
      <c r="H73" s="22">
        <v>0</v>
      </c>
      <c r="I73" s="22">
        <v>252</v>
      </c>
      <c r="J73" s="22">
        <v>26.06</v>
      </c>
      <c r="K73" s="22">
        <v>1500</v>
      </c>
      <c r="L73" s="22">
        <v>149</v>
      </c>
      <c r="M73" s="617">
        <f t="shared" si="6"/>
        <v>223500</v>
      </c>
      <c r="N73" s="793">
        <f t="shared" si="10"/>
        <v>7781</v>
      </c>
      <c r="O73" s="793">
        <f t="shared" si="11"/>
        <v>153.66846578788693</v>
      </c>
      <c r="P73" s="617">
        <f t="shared" si="7"/>
        <v>1195694.3322955482</v>
      </c>
    </row>
    <row r="74" spans="1:16" ht="12.75">
      <c r="A74" s="22">
        <v>67</v>
      </c>
      <c r="B74" s="22"/>
      <c r="C74" s="22"/>
      <c r="D74" s="22"/>
      <c r="E74" s="22" t="s">
        <v>1082</v>
      </c>
      <c r="F74" s="22">
        <v>0</v>
      </c>
      <c r="G74" s="22" t="e">
        <f t="shared" si="5"/>
        <v>#DIV/0!</v>
      </c>
      <c r="H74" s="22">
        <v>0</v>
      </c>
      <c r="I74" s="22">
        <v>254</v>
      </c>
      <c r="J74" s="22">
        <v>27.06</v>
      </c>
      <c r="K74" s="22">
        <v>500</v>
      </c>
      <c r="L74" s="22">
        <v>149.8</v>
      </c>
      <c r="M74" s="617">
        <f t="shared" si="6"/>
        <v>74900</v>
      </c>
      <c r="N74" s="793">
        <f t="shared" si="10"/>
        <v>7781</v>
      </c>
      <c r="O74" s="793">
        <f t="shared" si="11"/>
        <v>153.66846578788693</v>
      </c>
      <c r="P74" s="617">
        <f t="shared" si="7"/>
        <v>1195694.3322955482</v>
      </c>
    </row>
    <row r="75" spans="1:16" ht="12.75">
      <c r="A75" s="22">
        <v>68</v>
      </c>
      <c r="B75" s="22"/>
      <c r="C75" s="22"/>
      <c r="D75" s="22"/>
      <c r="E75" s="22" t="s">
        <v>1082</v>
      </c>
      <c r="F75" s="22">
        <v>0</v>
      </c>
      <c r="G75" s="22" t="e">
        <f t="shared" si="5"/>
        <v>#DIV/0!</v>
      </c>
      <c r="H75" s="22">
        <v>0</v>
      </c>
      <c r="I75" s="22">
        <v>255</v>
      </c>
      <c r="J75" s="22">
        <v>27.06</v>
      </c>
      <c r="K75" s="22">
        <v>1200</v>
      </c>
      <c r="L75" s="22">
        <v>145.8</v>
      </c>
      <c r="M75" s="617">
        <f t="shared" si="6"/>
        <v>174960</v>
      </c>
      <c r="N75" s="793">
        <f t="shared" si="10"/>
        <v>7781</v>
      </c>
      <c r="O75" s="793">
        <f t="shared" si="11"/>
        <v>153.66846578788693</v>
      </c>
      <c r="P75" s="617">
        <f t="shared" si="7"/>
        <v>1195694.3322955482</v>
      </c>
    </row>
    <row r="76" spans="1:16" ht="12.75">
      <c r="A76" s="22">
        <v>69</v>
      </c>
      <c r="B76" s="22"/>
      <c r="C76" s="22"/>
      <c r="D76" s="22"/>
      <c r="E76" s="22" t="s">
        <v>1082</v>
      </c>
      <c r="F76" s="22">
        <v>0</v>
      </c>
      <c r="G76" s="22" t="e">
        <f t="shared" si="5"/>
        <v>#DIV/0!</v>
      </c>
      <c r="H76" s="22">
        <v>0</v>
      </c>
      <c r="I76" s="22">
        <v>257</v>
      </c>
      <c r="J76" s="22">
        <v>28.06</v>
      </c>
      <c r="K76" s="22">
        <v>2685</v>
      </c>
      <c r="L76" s="22">
        <v>145</v>
      </c>
      <c r="M76" s="617">
        <f t="shared" si="6"/>
        <v>389325</v>
      </c>
      <c r="N76" s="793">
        <f t="shared" si="10"/>
        <v>7781</v>
      </c>
      <c r="O76" s="793">
        <f t="shared" si="11"/>
        <v>153.66846578788693</v>
      </c>
      <c r="P76" s="617">
        <f t="shared" si="7"/>
        <v>1195694.3322955482</v>
      </c>
    </row>
    <row r="77" spans="1:16" ht="12.75">
      <c r="A77" s="22">
        <v>70</v>
      </c>
      <c r="B77" s="22"/>
      <c r="C77" s="22"/>
      <c r="D77" s="22"/>
      <c r="E77" s="22" t="s">
        <v>1082</v>
      </c>
      <c r="F77" s="22">
        <v>0</v>
      </c>
      <c r="G77" s="22" t="e">
        <f t="shared" si="5"/>
        <v>#DIV/0!</v>
      </c>
      <c r="H77" s="22">
        <v>0</v>
      </c>
      <c r="I77" s="22">
        <v>258</v>
      </c>
      <c r="J77" s="22">
        <v>28.06</v>
      </c>
      <c r="K77" s="22">
        <v>362</v>
      </c>
      <c r="L77" s="22">
        <v>145</v>
      </c>
      <c r="M77" s="617">
        <f t="shared" si="6"/>
        <v>52490</v>
      </c>
      <c r="N77" s="793">
        <f t="shared" si="10"/>
        <v>7781</v>
      </c>
      <c r="O77" s="793">
        <f t="shared" si="11"/>
        <v>153.66846578788693</v>
      </c>
      <c r="P77" s="617">
        <f t="shared" si="7"/>
        <v>1195694.3322955482</v>
      </c>
    </row>
    <row r="78" spans="1:16" ht="12.75">
      <c r="A78" s="22">
        <v>71</v>
      </c>
      <c r="B78" s="22"/>
      <c r="C78" s="22"/>
      <c r="D78" s="22"/>
      <c r="E78" s="22" t="s">
        <v>1082</v>
      </c>
      <c r="F78" s="22">
        <v>0</v>
      </c>
      <c r="G78" s="22" t="e">
        <f t="shared" si="5"/>
        <v>#DIV/0!</v>
      </c>
      <c r="H78" s="22">
        <v>0</v>
      </c>
      <c r="I78" s="22">
        <v>260</v>
      </c>
      <c r="J78" s="22">
        <v>29.06</v>
      </c>
      <c r="K78" s="22">
        <v>960</v>
      </c>
      <c r="L78" s="22">
        <v>146.1</v>
      </c>
      <c r="M78" s="617">
        <f t="shared" si="6"/>
        <v>140256</v>
      </c>
      <c r="N78" s="793">
        <f t="shared" si="10"/>
        <v>7781</v>
      </c>
      <c r="O78" s="793">
        <f t="shared" si="11"/>
        <v>153.66846578788693</v>
      </c>
      <c r="P78" s="617">
        <f t="shared" si="7"/>
        <v>1195694.3322955482</v>
      </c>
    </row>
    <row r="79" spans="1:16" ht="12.75">
      <c r="A79" s="22">
        <v>72</v>
      </c>
      <c r="B79" s="22"/>
      <c r="C79" s="22"/>
      <c r="D79" s="22"/>
      <c r="E79" s="22" t="s">
        <v>1082</v>
      </c>
      <c r="F79" s="22">
        <v>0</v>
      </c>
      <c r="G79" s="22" t="e">
        <f t="shared" si="5"/>
        <v>#DIV/0!</v>
      </c>
      <c r="H79" s="22">
        <v>0</v>
      </c>
      <c r="I79" s="22">
        <v>261</v>
      </c>
      <c r="J79" s="22">
        <v>29.06</v>
      </c>
      <c r="K79" s="22">
        <v>575</v>
      </c>
      <c r="L79" s="22">
        <v>145</v>
      </c>
      <c r="M79" s="617">
        <f t="shared" si="6"/>
        <v>83375</v>
      </c>
      <c r="N79" s="793">
        <f t="shared" si="10"/>
        <v>7781</v>
      </c>
      <c r="O79" s="793">
        <f t="shared" si="11"/>
        <v>153.66846578788693</v>
      </c>
      <c r="P79" s="617">
        <f t="shared" si="7"/>
        <v>1195694.3322955482</v>
      </c>
    </row>
    <row r="80" spans="1:16" ht="12.75">
      <c r="A80" s="22">
        <v>73</v>
      </c>
      <c r="B80" s="22"/>
      <c r="C80" s="22"/>
      <c r="D80" s="22"/>
      <c r="E80" s="22" t="s">
        <v>1082</v>
      </c>
      <c r="F80" s="22">
        <v>0</v>
      </c>
      <c r="G80" s="22" t="e">
        <f t="shared" si="5"/>
        <v>#DIV/0!</v>
      </c>
      <c r="H80" s="22">
        <v>0</v>
      </c>
      <c r="I80" s="22">
        <v>262</v>
      </c>
      <c r="J80" s="22">
        <v>30.06</v>
      </c>
      <c r="K80" s="22">
        <v>810</v>
      </c>
      <c r="L80" s="22">
        <v>147</v>
      </c>
      <c r="M80" s="617">
        <f t="shared" si="6"/>
        <v>119070</v>
      </c>
      <c r="N80" s="793">
        <f t="shared" si="10"/>
        <v>7781</v>
      </c>
      <c r="O80" s="793">
        <f t="shared" si="11"/>
        <v>153.66846578788693</v>
      </c>
      <c r="P80" s="617">
        <f t="shared" si="7"/>
        <v>1195694.3322955482</v>
      </c>
    </row>
    <row r="81" spans="1:16" ht="12.75">
      <c r="A81" s="22">
        <v>74</v>
      </c>
      <c r="B81" s="22"/>
      <c r="C81" s="22"/>
      <c r="D81" s="22"/>
      <c r="E81" s="22" t="s">
        <v>1082</v>
      </c>
      <c r="F81" s="22">
        <v>0</v>
      </c>
      <c r="G81" s="22" t="e">
        <f t="shared" si="5"/>
        <v>#DIV/0!</v>
      </c>
      <c r="H81" s="22">
        <v>0</v>
      </c>
      <c r="I81" s="22">
        <v>264</v>
      </c>
      <c r="J81" s="22">
        <v>30.06</v>
      </c>
      <c r="K81" s="22">
        <v>960</v>
      </c>
      <c r="L81" s="22">
        <v>145</v>
      </c>
      <c r="M81" s="617">
        <f t="shared" si="6"/>
        <v>139200</v>
      </c>
      <c r="N81" s="793">
        <f t="shared" si="10"/>
        <v>7781</v>
      </c>
      <c r="O81" s="793">
        <f t="shared" si="11"/>
        <v>153.66846578788693</v>
      </c>
      <c r="P81" s="617">
        <f t="shared" si="7"/>
        <v>1195694.3322955482</v>
      </c>
    </row>
    <row r="82" spans="1:16" ht="12.75">
      <c r="A82" s="22">
        <v>75</v>
      </c>
      <c r="B82" s="22"/>
      <c r="C82" s="22"/>
      <c r="D82" s="22"/>
      <c r="E82" s="22" t="s">
        <v>1082</v>
      </c>
      <c r="F82" s="22">
        <v>0</v>
      </c>
      <c r="G82" s="22" t="e">
        <f t="shared" si="5"/>
        <v>#DIV/0!</v>
      </c>
      <c r="H82" s="22">
        <v>0</v>
      </c>
      <c r="I82" s="22"/>
      <c r="J82" s="22"/>
      <c r="K82" s="22"/>
      <c r="L82" s="22"/>
      <c r="M82" s="617">
        <f t="shared" si="6"/>
        <v>0</v>
      </c>
      <c r="N82" s="793">
        <f t="shared" si="10"/>
        <v>7781</v>
      </c>
      <c r="O82" s="793">
        <f t="shared" si="11"/>
        <v>153.66846578788693</v>
      </c>
      <c r="P82" s="617">
        <f t="shared" si="7"/>
        <v>1195694.3322955482</v>
      </c>
    </row>
    <row r="83" spans="1:16" ht="12.75">
      <c r="A83" s="22">
        <v>76</v>
      </c>
      <c r="B83" s="22"/>
      <c r="C83" s="22"/>
      <c r="D83" s="22"/>
      <c r="E83" s="22" t="s">
        <v>1082</v>
      </c>
      <c r="F83" s="22">
        <v>0</v>
      </c>
      <c r="G83" s="22" t="e">
        <f t="shared" si="5"/>
        <v>#DIV/0!</v>
      </c>
      <c r="H83" s="22">
        <v>0</v>
      </c>
      <c r="I83" s="22">
        <v>265</v>
      </c>
      <c r="J83" s="22">
        <v>1.07</v>
      </c>
      <c r="K83" s="22">
        <v>575</v>
      </c>
      <c r="L83" s="22">
        <v>145</v>
      </c>
      <c r="M83" s="617">
        <f t="shared" si="6"/>
        <v>83375</v>
      </c>
      <c r="N83" s="793">
        <f t="shared" si="10"/>
        <v>7781</v>
      </c>
      <c r="O83" s="793">
        <f t="shared" si="11"/>
        <v>153.66846578788693</v>
      </c>
      <c r="P83" s="617">
        <f t="shared" si="7"/>
        <v>1195694.3322955482</v>
      </c>
    </row>
    <row r="84" spans="1:16" ht="12.75">
      <c r="A84" s="22">
        <v>77</v>
      </c>
      <c r="B84" s="22"/>
      <c r="C84" s="22"/>
      <c r="D84" s="22"/>
      <c r="E84" s="22" t="s">
        <v>1082</v>
      </c>
      <c r="F84" s="22">
        <v>0</v>
      </c>
      <c r="G84" s="22" t="e">
        <f t="shared" si="5"/>
        <v>#DIV/0!</v>
      </c>
      <c r="H84" s="22">
        <v>0</v>
      </c>
      <c r="I84" s="22">
        <v>266</v>
      </c>
      <c r="J84" s="22">
        <v>2.07</v>
      </c>
      <c r="K84" s="22">
        <v>3000</v>
      </c>
      <c r="L84" s="22">
        <v>145</v>
      </c>
      <c r="M84" s="617">
        <f t="shared" si="6"/>
        <v>435000</v>
      </c>
      <c r="N84" s="793">
        <f t="shared" si="10"/>
        <v>7781</v>
      </c>
      <c r="O84" s="793">
        <f t="shared" si="11"/>
        <v>153.66846578788693</v>
      </c>
      <c r="P84" s="617">
        <f t="shared" si="7"/>
        <v>1195694.3322955482</v>
      </c>
    </row>
    <row r="85" spans="1:16" ht="12.75">
      <c r="A85" s="22">
        <v>78</v>
      </c>
      <c r="B85" s="22"/>
      <c r="C85" s="22"/>
      <c r="D85" s="22"/>
      <c r="E85" s="22" t="s">
        <v>1082</v>
      </c>
      <c r="F85" s="22">
        <v>0</v>
      </c>
      <c r="G85" s="22" t="e">
        <f t="shared" si="5"/>
        <v>#DIV/0!</v>
      </c>
      <c r="H85" s="22">
        <v>0</v>
      </c>
      <c r="I85" s="22">
        <v>268</v>
      </c>
      <c r="J85" s="22">
        <v>4.07</v>
      </c>
      <c r="K85" s="22">
        <v>600</v>
      </c>
      <c r="L85" s="22">
        <v>148.5</v>
      </c>
      <c r="M85" s="617">
        <f t="shared" si="6"/>
        <v>89100</v>
      </c>
      <c r="N85" s="793">
        <f t="shared" si="10"/>
        <v>7781</v>
      </c>
      <c r="O85" s="793">
        <f t="shared" si="11"/>
        <v>153.66846578788693</v>
      </c>
      <c r="P85" s="617">
        <f t="shared" si="7"/>
        <v>1195694.3322955482</v>
      </c>
    </row>
    <row r="86" spans="1:16" ht="12.75">
      <c r="A86" s="22">
        <v>79</v>
      </c>
      <c r="B86" s="22"/>
      <c r="C86" s="22"/>
      <c r="D86" s="22"/>
      <c r="E86" s="22" t="s">
        <v>1082</v>
      </c>
      <c r="F86" s="22">
        <v>0</v>
      </c>
      <c r="G86" s="22" t="e">
        <f t="shared" si="5"/>
        <v>#DIV/0!</v>
      </c>
      <c r="H86" s="22">
        <v>0</v>
      </c>
      <c r="I86" s="22">
        <v>269</v>
      </c>
      <c r="J86" s="22">
        <v>4.07</v>
      </c>
      <c r="K86" s="22">
        <v>650</v>
      </c>
      <c r="L86" s="22">
        <v>145</v>
      </c>
      <c r="M86" s="617">
        <f t="shared" si="6"/>
        <v>94250</v>
      </c>
      <c r="N86" s="793">
        <f t="shared" si="10"/>
        <v>7781</v>
      </c>
      <c r="O86" s="793">
        <f t="shared" si="11"/>
        <v>153.66846578788693</v>
      </c>
      <c r="P86" s="617">
        <f t="shared" si="7"/>
        <v>1195694.3322955482</v>
      </c>
    </row>
    <row r="87" spans="1:16" ht="12.75">
      <c r="A87" s="22">
        <v>80</v>
      </c>
      <c r="B87" s="22"/>
      <c r="C87" s="22"/>
      <c r="D87" s="22"/>
      <c r="E87" s="22" t="s">
        <v>1082</v>
      </c>
      <c r="F87" s="22">
        <v>0</v>
      </c>
      <c r="G87" s="22" t="e">
        <f t="shared" si="5"/>
        <v>#DIV/0!</v>
      </c>
      <c r="H87" s="22">
        <v>0</v>
      </c>
      <c r="I87" s="22">
        <v>270</v>
      </c>
      <c r="J87" s="22">
        <v>5.07</v>
      </c>
      <c r="K87" s="22">
        <v>2000</v>
      </c>
      <c r="L87" s="22">
        <v>145</v>
      </c>
      <c r="M87" s="617">
        <f t="shared" si="6"/>
        <v>290000</v>
      </c>
      <c r="N87" s="793">
        <f t="shared" si="10"/>
        <v>7781</v>
      </c>
      <c r="O87" s="793">
        <f t="shared" si="11"/>
        <v>153.66846578788693</v>
      </c>
      <c r="P87" s="617">
        <f t="shared" si="7"/>
        <v>1195694.3322955482</v>
      </c>
    </row>
    <row r="88" spans="1:16" ht="12.75">
      <c r="A88" s="22">
        <v>81</v>
      </c>
      <c r="B88" s="22"/>
      <c r="C88" s="22"/>
      <c r="D88" s="22"/>
      <c r="E88" s="22" t="s">
        <v>1082</v>
      </c>
      <c r="F88" s="22">
        <v>0</v>
      </c>
      <c r="G88" s="22" t="e">
        <f t="shared" si="5"/>
        <v>#DIV/0!</v>
      </c>
      <c r="H88" s="22">
        <v>0</v>
      </c>
      <c r="I88" s="22">
        <v>272</v>
      </c>
      <c r="J88" s="22">
        <v>6.07</v>
      </c>
      <c r="K88" s="22">
        <v>1500</v>
      </c>
      <c r="L88" s="22">
        <v>145</v>
      </c>
      <c r="M88" s="617">
        <f t="shared" si="6"/>
        <v>217500</v>
      </c>
      <c r="N88" s="793">
        <f t="shared" si="10"/>
        <v>7781</v>
      </c>
      <c r="O88" s="793">
        <f t="shared" si="11"/>
        <v>153.66846578788693</v>
      </c>
      <c r="P88" s="617">
        <f t="shared" si="7"/>
        <v>1195694.3322955482</v>
      </c>
    </row>
    <row r="89" spans="1:16" ht="12.75">
      <c r="A89" s="22">
        <v>82</v>
      </c>
      <c r="B89" s="22"/>
      <c r="C89" s="22"/>
      <c r="D89" s="22"/>
      <c r="E89" s="22" t="s">
        <v>1082</v>
      </c>
      <c r="F89" s="22">
        <v>0</v>
      </c>
      <c r="G89" s="22" t="e">
        <f t="shared" si="5"/>
        <v>#DIV/0!</v>
      </c>
      <c r="H89" s="22">
        <v>0</v>
      </c>
      <c r="I89" s="22">
        <v>273</v>
      </c>
      <c r="J89" s="22">
        <v>7.07</v>
      </c>
      <c r="K89" s="22">
        <v>850</v>
      </c>
      <c r="L89" s="22">
        <v>145</v>
      </c>
      <c r="M89" s="617">
        <f t="shared" si="6"/>
        <v>123250</v>
      </c>
      <c r="N89" s="793">
        <f t="shared" si="10"/>
        <v>7781</v>
      </c>
      <c r="O89" s="793">
        <f t="shared" si="11"/>
        <v>153.66846578788693</v>
      </c>
      <c r="P89" s="617">
        <f t="shared" si="7"/>
        <v>1195694.3322955482</v>
      </c>
    </row>
    <row r="90" spans="1:16" ht="12.75">
      <c r="A90" s="22">
        <v>83</v>
      </c>
      <c r="B90" s="22"/>
      <c r="C90" s="22"/>
      <c r="D90" s="22"/>
      <c r="E90" s="22" t="s">
        <v>1082</v>
      </c>
      <c r="F90" s="22">
        <v>0</v>
      </c>
      <c r="G90" s="22" t="e">
        <f t="shared" si="5"/>
        <v>#DIV/0!</v>
      </c>
      <c r="H90" s="22">
        <v>0</v>
      </c>
      <c r="I90" s="22">
        <v>274</v>
      </c>
      <c r="J90" s="22">
        <v>9.07</v>
      </c>
      <c r="K90" s="22">
        <v>150</v>
      </c>
      <c r="L90" s="22">
        <v>145</v>
      </c>
      <c r="M90" s="617">
        <f t="shared" si="6"/>
        <v>21750</v>
      </c>
      <c r="N90" s="793">
        <f t="shared" si="10"/>
        <v>7781</v>
      </c>
      <c r="O90" s="793">
        <f t="shared" si="11"/>
        <v>153.66846578788693</v>
      </c>
      <c r="P90" s="617">
        <f t="shared" si="7"/>
        <v>1195694.3322955482</v>
      </c>
    </row>
    <row r="91" spans="1:16" ht="12.75">
      <c r="A91" s="22">
        <v>84</v>
      </c>
      <c r="B91" s="22"/>
      <c r="C91" s="22"/>
      <c r="D91" s="22"/>
      <c r="E91" s="22" t="s">
        <v>1082</v>
      </c>
      <c r="F91" s="22">
        <v>0</v>
      </c>
      <c r="G91" s="22" t="e">
        <f t="shared" si="5"/>
        <v>#DIV/0!</v>
      </c>
      <c r="H91" s="22">
        <v>0</v>
      </c>
      <c r="I91" s="22">
        <v>275</v>
      </c>
      <c r="J91" s="22">
        <v>9.07</v>
      </c>
      <c r="K91" s="22">
        <v>200</v>
      </c>
      <c r="L91" s="22">
        <v>145</v>
      </c>
      <c r="M91" s="617">
        <f t="shared" si="6"/>
        <v>29000</v>
      </c>
      <c r="N91" s="793">
        <f t="shared" si="10"/>
        <v>7781</v>
      </c>
      <c r="O91" s="793">
        <f t="shared" si="11"/>
        <v>153.66846578788693</v>
      </c>
      <c r="P91" s="617">
        <f t="shared" si="7"/>
        <v>1195694.3322955482</v>
      </c>
    </row>
    <row r="92" spans="1:16" ht="12.75">
      <c r="A92" s="22">
        <v>85</v>
      </c>
      <c r="B92" s="22"/>
      <c r="C92" s="22"/>
      <c r="D92" s="22"/>
      <c r="E92" s="22" t="s">
        <v>1082</v>
      </c>
      <c r="F92" s="22">
        <v>0</v>
      </c>
      <c r="G92" s="22" t="e">
        <f t="shared" si="5"/>
        <v>#DIV/0!</v>
      </c>
      <c r="H92" s="22">
        <v>0</v>
      </c>
      <c r="I92" s="22">
        <v>276</v>
      </c>
      <c r="J92" s="22">
        <v>10.07</v>
      </c>
      <c r="K92" s="22">
        <v>950</v>
      </c>
      <c r="L92" s="22">
        <v>145.8</v>
      </c>
      <c r="M92" s="617">
        <f t="shared" si="6"/>
        <v>138510</v>
      </c>
      <c r="N92" s="793">
        <f t="shared" si="10"/>
        <v>7781</v>
      </c>
      <c r="O92" s="793">
        <f t="shared" si="11"/>
        <v>153.66846578788693</v>
      </c>
      <c r="P92" s="617">
        <f t="shared" si="7"/>
        <v>1195694.3322955482</v>
      </c>
    </row>
    <row r="93" spans="1:16" ht="12.75">
      <c r="A93" s="22">
        <v>86</v>
      </c>
      <c r="B93" s="22"/>
      <c r="C93" s="22"/>
      <c r="D93" s="22"/>
      <c r="E93" s="22" t="s">
        <v>1082</v>
      </c>
      <c r="F93" s="22">
        <v>0</v>
      </c>
      <c r="G93" s="22" t="e">
        <f t="shared" si="5"/>
        <v>#DIV/0!</v>
      </c>
      <c r="H93" s="22">
        <v>0</v>
      </c>
      <c r="I93" s="22">
        <v>278</v>
      </c>
      <c r="J93" s="22">
        <v>10.07</v>
      </c>
      <c r="K93" s="22">
        <v>100</v>
      </c>
      <c r="L93" s="22">
        <v>148.3</v>
      </c>
      <c r="M93" s="617">
        <f t="shared" si="6"/>
        <v>14830.000000000002</v>
      </c>
      <c r="N93" s="793">
        <f t="shared" si="10"/>
        <v>7781</v>
      </c>
      <c r="O93" s="793">
        <f t="shared" si="11"/>
        <v>153.66846578788693</v>
      </c>
      <c r="P93" s="617">
        <f t="shared" si="7"/>
        <v>1195694.3322955482</v>
      </c>
    </row>
    <row r="94" spans="1:16" ht="12.75">
      <c r="A94" s="22">
        <v>87</v>
      </c>
      <c r="B94" s="22"/>
      <c r="C94" s="22"/>
      <c r="D94" s="22"/>
      <c r="E94" s="22" t="s">
        <v>1082</v>
      </c>
      <c r="F94" s="22">
        <v>0</v>
      </c>
      <c r="G94" s="22" t="e">
        <f t="shared" si="5"/>
        <v>#DIV/0!</v>
      </c>
      <c r="H94" s="22">
        <v>0</v>
      </c>
      <c r="I94" s="22">
        <v>279</v>
      </c>
      <c r="J94" s="22">
        <v>10.07</v>
      </c>
      <c r="K94" s="22">
        <v>45</v>
      </c>
      <c r="L94" s="22">
        <v>148.3</v>
      </c>
      <c r="M94" s="617">
        <f t="shared" si="6"/>
        <v>6673.500000000001</v>
      </c>
      <c r="N94" s="793">
        <f t="shared" si="10"/>
        <v>7781</v>
      </c>
      <c r="O94" s="793">
        <f t="shared" si="11"/>
        <v>153.66846578788693</v>
      </c>
      <c r="P94" s="617">
        <f t="shared" si="7"/>
        <v>1195694.3322955482</v>
      </c>
    </row>
    <row r="95" spans="1:16" ht="12.75">
      <c r="A95" s="22">
        <v>88</v>
      </c>
      <c r="B95" s="22"/>
      <c r="C95" s="22"/>
      <c r="D95" s="22"/>
      <c r="E95" s="22" t="s">
        <v>1082</v>
      </c>
      <c r="F95" s="22">
        <v>0</v>
      </c>
      <c r="G95" s="22" t="e">
        <f t="shared" si="5"/>
        <v>#DIV/0!</v>
      </c>
      <c r="H95" s="22">
        <v>0</v>
      </c>
      <c r="I95" s="22">
        <v>280</v>
      </c>
      <c r="J95" s="22">
        <v>10.07</v>
      </c>
      <c r="K95" s="22">
        <v>100</v>
      </c>
      <c r="L95" s="22">
        <v>148.3</v>
      </c>
      <c r="M95" s="617">
        <f t="shared" si="6"/>
        <v>14830.000000000002</v>
      </c>
      <c r="N95" s="793">
        <f t="shared" si="10"/>
        <v>7781</v>
      </c>
      <c r="O95" s="793">
        <f t="shared" si="11"/>
        <v>153.66846578788693</v>
      </c>
      <c r="P95" s="617">
        <f t="shared" si="7"/>
        <v>1195694.3322955482</v>
      </c>
    </row>
    <row r="96" spans="1:16" ht="12.75">
      <c r="A96" s="22">
        <v>89</v>
      </c>
      <c r="B96" s="22"/>
      <c r="C96" s="22"/>
      <c r="D96" s="22"/>
      <c r="E96" s="22" t="s">
        <v>1082</v>
      </c>
      <c r="F96" s="22">
        <v>0</v>
      </c>
      <c r="G96" s="22" t="e">
        <f t="shared" si="5"/>
        <v>#DIV/0!</v>
      </c>
      <c r="H96" s="22">
        <v>0</v>
      </c>
      <c r="I96" s="22">
        <v>282</v>
      </c>
      <c r="J96" s="22">
        <v>10.07</v>
      </c>
      <c r="K96" s="22">
        <v>48</v>
      </c>
      <c r="L96" s="22">
        <v>148.3</v>
      </c>
      <c r="M96" s="617">
        <f t="shared" si="6"/>
        <v>7118.400000000001</v>
      </c>
      <c r="N96" s="793">
        <f t="shared" si="10"/>
        <v>7781</v>
      </c>
      <c r="O96" s="793">
        <f t="shared" si="11"/>
        <v>153.66846578788693</v>
      </c>
      <c r="P96" s="617">
        <f t="shared" si="7"/>
        <v>1195694.3322955482</v>
      </c>
    </row>
    <row r="97" spans="1:16" ht="12.75">
      <c r="A97" s="22">
        <v>90</v>
      </c>
      <c r="B97" s="22"/>
      <c r="C97" s="22"/>
      <c r="D97" s="22"/>
      <c r="E97" s="22" t="s">
        <v>1082</v>
      </c>
      <c r="F97" s="22">
        <v>0</v>
      </c>
      <c r="G97" s="22" t="e">
        <f t="shared" si="5"/>
        <v>#DIV/0!</v>
      </c>
      <c r="H97" s="22">
        <v>0</v>
      </c>
      <c r="I97" s="22">
        <v>283</v>
      </c>
      <c r="J97" s="22">
        <v>10.07</v>
      </c>
      <c r="K97" s="22">
        <v>130</v>
      </c>
      <c r="L97" s="22">
        <v>148.3</v>
      </c>
      <c r="M97" s="617">
        <f t="shared" si="6"/>
        <v>19279</v>
      </c>
      <c r="N97" s="793">
        <f t="shared" si="10"/>
        <v>7781</v>
      </c>
      <c r="O97" s="793">
        <f t="shared" si="11"/>
        <v>153.66846578788693</v>
      </c>
      <c r="P97" s="617">
        <f t="shared" si="7"/>
        <v>1195694.3322955482</v>
      </c>
    </row>
    <row r="98" spans="1:16" ht="12.75">
      <c r="A98" s="22">
        <v>91</v>
      </c>
      <c r="B98" s="22"/>
      <c r="C98" s="22"/>
      <c r="D98" s="22"/>
      <c r="E98" s="22" t="s">
        <v>1082</v>
      </c>
      <c r="F98" s="22">
        <v>0</v>
      </c>
      <c r="G98" s="22" t="e">
        <f t="shared" si="5"/>
        <v>#DIV/0!</v>
      </c>
      <c r="H98" s="22">
        <v>0</v>
      </c>
      <c r="I98" s="22">
        <v>285</v>
      </c>
      <c r="J98" s="22">
        <v>10.07</v>
      </c>
      <c r="K98" s="22">
        <v>90</v>
      </c>
      <c r="L98" s="22">
        <v>148.3</v>
      </c>
      <c r="M98" s="617">
        <f t="shared" si="6"/>
        <v>13347.000000000002</v>
      </c>
      <c r="N98" s="793">
        <f t="shared" si="10"/>
        <v>7781</v>
      </c>
      <c r="O98" s="793">
        <f t="shared" si="11"/>
        <v>153.66846578788693</v>
      </c>
      <c r="P98" s="617">
        <f t="shared" si="7"/>
        <v>1195694.3322955482</v>
      </c>
    </row>
    <row r="99" spans="1:16" ht="12.75">
      <c r="A99" s="22">
        <v>92</v>
      </c>
      <c r="B99" s="22"/>
      <c r="C99" s="22"/>
      <c r="D99" s="22"/>
      <c r="E99" s="22" t="s">
        <v>1082</v>
      </c>
      <c r="F99" s="22">
        <v>0</v>
      </c>
      <c r="G99" s="22" t="e">
        <f t="shared" si="5"/>
        <v>#DIV/0!</v>
      </c>
      <c r="H99" s="22">
        <v>0</v>
      </c>
      <c r="I99" s="22">
        <v>286</v>
      </c>
      <c r="J99" s="22">
        <v>10.07</v>
      </c>
      <c r="K99" s="22">
        <v>60</v>
      </c>
      <c r="L99" s="22">
        <v>148.3</v>
      </c>
      <c r="M99" s="617">
        <f t="shared" si="6"/>
        <v>8898</v>
      </c>
      <c r="N99" s="793">
        <f t="shared" si="10"/>
        <v>7781</v>
      </c>
      <c r="O99" s="793">
        <f t="shared" si="11"/>
        <v>153.66846578788693</v>
      </c>
      <c r="P99" s="617">
        <f t="shared" si="7"/>
        <v>1195694.3322955482</v>
      </c>
    </row>
    <row r="100" spans="1:16" ht="12.75">
      <c r="A100" s="22">
        <v>93</v>
      </c>
      <c r="B100" s="22"/>
      <c r="C100" s="22"/>
      <c r="D100" s="22"/>
      <c r="E100" s="22" t="s">
        <v>1082</v>
      </c>
      <c r="F100" s="22">
        <v>0</v>
      </c>
      <c r="G100" s="22" t="e">
        <f t="shared" si="5"/>
        <v>#DIV/0!</v>
      </c>
      <c r="H100" s="22">
        <v>0</v>
      </c>
      <c r="I100" s="22">
        <v>288</v>
      </c>
      <c r="J100" s="22">
        <v>10.07</v>
      </c>
      <c r="K100" s="22">
        <v>284</v>
      </c>
      <c r="L100" s="22">
        <v>144.9</v>
      </c>
      <c r="M100" s="617">
        <f t="shared" si="6"/>
        <v>41151.6</v>
      </c>
      <c r="N100" s="793">
        <f t="shared" si="10"/>
        <v>7781</v>
      </c>
      <c r="O100" s="793">
        <f t="shared" si="11"/>
        <v>153.66846578788693</v>
      </c>
      <c r="P100" s="617">
        <f t="shared" si="7"/>
        <v>1195694.3322955482</v>
      </c>
    </row>
    <row r="101" spans="1:16" ht="12.75">
      <c r="A101" s="22">
        <v>94</v>
      </c>
      <c r="B101" s="22"/>
      <c r="C101" s="22"/>
      <c r="D101" s="22"/>
      <c r="E101" s="22" t="s">
        <v>1082</v>
      </c>
      <c r="F101" s="22">
        <v>0</v>
      </c>
      <c r="G101" s="22" t="e">
        <f t="shared" si="5"/>
        <v>#DIV/0!</v>
      </c>
      <c r="H101" s="22">
        <v>0</v>
      </c>
      <c r="I101" s="22">
        <v>288</v>
      </c>
      <c r="J101" s="22">
        <v>10.07</v>
      </c>
      <c r="K101" s="22">
        <v>272.5</v>
      </c>
      <c r="L101" s="22">
        <v>148.3</v>
      </c>
      <c r="M101" s="617">
        <f t="shared" si="6"/>
        <v>40411.75</v>
      </c>
      <c r="N101" s="793">
        <f t="shared" si="10"/>
        <v>7781</v>
      </c>
      <c r="O101" s="793">
        <f t="shared" si="11"/>
        <v>153.66846578788693</v>
      </c>
      <c r="P101" s="617">
        <f t="shared" si="7"/>
        <v>1195694.3322955482</v>
      </c>
    </row>
    <row r="102" spans="1:16" ht="12.75">
      <c r="A102" s="22">
        <v>95</v>
      </c>
      <c r="B102" s="22"/>
      <c r="C102" s="22"/>
      <c r="D102" s="22"/>
      <c r="E102" s="22" t="s">
        <v>1082</v>
      </c>
      <c r="F102" s="22">
        <v>0</v>
      </c>
      <c r="G102" s="22" t="e">
        <f t="shared" si="5"/>
        <v>#DIV/0!</v>
      </c>
      <c r="H102" s="22">
        <v>0</v>
      </c>
      <c r="I102" s="22">
        <v>289</v>
      </c>
      <c r="J102" s="22">
        <v>11.07</v>
      </c>
      <c r="K102" s="22">
        <v>169</v>
      </c>
      <c r="L102" s="22">
        <v>148</v>
      </c>
      <c r="M102" s="617">
        <f t="shared" si="6"/>
        <v>25012</v>
      </c>
      <c r="N102" s="793">
        <f t="shared" si="10"/>
        <v>7781</v>
      </c>
      <c r="O102" s="793">
        <f t="shared" si="11"/>
        <v>153.66846578788693</v>
      </c>
      <c r="P102" s="617">
        <f t="shared" si="7"/>
        <v>1195694.3322955482</v>
      </c>
    </row>
    <row r="103" spans="1:16" ht="12.75">
      <c r="A103" s="22">
        <v>96</v>
      </c>
      <c r="B103" s="22"/>
      <c r="C103" s="22"/>
      <c r="D103" s="22"/>
      <c r="E103" s="22" t="s">
        <v>1082</v>
      </c>
      <c r="F103" s="22">
        <v>0</v>
      </c>
      <c r="G103" s="22" t="e">
        <f t="shared" si="5"/>
        <v>#DIV/0!</v>
      </c>
      <c r="H103" s="22">
        <v>0</v>
      </c>
      <c r="I103" s="22">
        <v>290</v>
      </c>
      <c r="J103" s="22">
        <v>12.07</v>
      </c>
      <c r="K103" s="22">
        <v>1500</v>
      </c>
      <c r="L103" s="22">
        <v>148.3</v>
      </c>
      <c r="M103" s="617">
        <f t="shared" si="6"/>
        <v>222450.00000000003</v>
      </c>
      <c r="N103" s="793">
        <f t="shared" si="10"/>
        <v>7781</v>
      </c>
      <c r="O103" s="793">
        <f t="shared" si="11"/>
        <v>153.66846578788693</v>
      </c>
      <c r="P103" s="617">
        <f t="shared" si="7"/>
        <v>1195694.3322955482</v>
      </c>
    </row>
    <row r="104" spans="1:16" ht="12.75">
      <c r="A104" s="22">
        <v>97</v>
      </c>
      <c r="B104" s="22"/>
      <c r="C104" s="22"/>
      <c r="D104" s="22"/>
      <c r="E104" s="22" t="s">
        <v>1082</v>
      </c>
      <c r="F104" s="22">
        <v>0</v>
      </c>
      <c r="G104" s="22" t="e">
        <f t="shared" si="5"/>
        <v>#DIV/0!</v>
      </c>
      <c r="H104" s="22">
        <v>0</v>
      </c>
      <c r="I104" s="22">
        <v>292</v>
      </c>
      <c r="J104" s="22">
        <v>13.07</v>
      </c>
      <c r="K104" s="22">
        <v>496</v>
      </c>
      <c r="L104" s="22">
        <v>148.1</v>
      </c>
      <c r="M104" s="617">
        <f t="shared" si="6"/>
        <v>73457.59999999999</v>
      </c>
      <c r="N104" s="793">
        <f t="shared" si="10"/>
        <v>7781</v>
      </c>
      <c r="O104" s="793">
        <f t="shared" si="11"/>
        <v>153.66846578788693</v>
      </c>
      <c r="P104" s="617">
        <f t="shared" si="7"/>
        <v>1195694.3322955482</v>
      </c>
    </row>
    <row r="105" spans="1:16" ht="12.75">
      <c r="A105" s="22">
        <v>98</v>
      </c>
      <c r="B105" s="22"/>
      <c r="C105" s="22"/>
      <c r="D105" s="22"/>
      <c r="E105" s="22" t="s">
        <v>1082</v>
      </c>
      <c r="F105" s="22">
        <v>0</v>
      </c>
      <c r="G105" s="22" t="e">
        <f t="shared" si="5"/>
        <v>#DIV/0!</v>
      </c>
      <c r="H105" s="22">
        <v>0</v>
      </c>
      <c r="I105" s="22">
        <v>293</v>
      </c>
      <c r="J105" s="22">
        <v>13.07</v>
      </c>
      <c r="K105" s="22">
        <v>75</v>
      </c>
      <c r="L105" s="22">
        <v>148.3</v>
      </c>
      <c r="M105" s="617">
        <f t="shared" si="6"/>
        <v>11122.5</v>
      </c>
      <c r="N105" s="793">
        <f t="shared" si="10"/>
        <v>7781</v>
      </c>
      <c r="O105" s="793">
        <f t="shared" si="11"/>
        <v>153.66846578788693</v>
      </c>
      <c r="P105" s="617">
        <f t="shared" si="7"/>
        <v>1195694.3322955482</v>
      </c>
    </row>
    <row r="106" spans="1:16" ht="12.75">
      <c r="A106" s="22">
        <v>99</v>
      </c>
      <c r="B106" s="22"/>
      <c r="C106" s="22"/>
      <c r="D106" s="22"/>
      <c r="E106" s="22" t="s">
        <v>1082</v>
      </c>
      <c r="F106" s="22">
        <v>0</v>
      </c>
      <c r="G106" s="22" t="e">
        <f t="shared" si="5"/>
        <v>#DIV/0!</v>
      </c>
      <c r="H106" s="22">
        <v>0</v>
      </c>
      <c r="I106" s="22">
        <v>295</v>
      </c>
      <c r="J106" s="22">
        <v>16.07</v>
      </c>
      <c r="K106" s="22">
        <v>150</v>
      </c>
      <c r="L106" s="22">
        <v>148.3</v>
      </c>
      <c r="M106" s="617">
        <f t="shared" si="6"/>
        <v>22245</v>
      </c>
      <c r="N106" s="793">
        <f t="shared" si="10"/>
        <v>7781</v>
      </c>
      <c r="O106" s="793">
        <f t="shared" si="11"/>
        <v>153.66846578788693</v>
      </c>
      <c r="P106" s="617">
        <f t="shared" si="7"/>
        <v>1195694.3322955482</v>
      </c>
    </row>
    <row r="107" spans="1:16" ht="12.75">
      <c r="A107" s="22">
        <v>100</v>
      </c>
      <c r="B107" s="22"/>
      <c r="C107" s="22"/>
      <c r="D107" s="22"/>
      <c r="E107" s="22" t="s">
        <v>1082</v>
      </c>
      <c r="F107" s="22">
        <v>0</v>
      </c>
      <c r="G107" s="22" t="e">
        <f t="shared" si="5"/>
        <v>#DIV/0!</v>
      </c>
      <c r="H107" s="22">
        <v>0</v>
      </c>
      <c r="I107" s="22">
        <v>297</v>
      </c>
      <c r="J107" s="22">
        <v>17.07</v>
      </c>
      <c r="K107" s="22">
        <v>950</v>
      </c>
      <c r="L107" s="22">
        <v>148.3</v>
      </c>
      <c r="M107" s="617">
        <f t="shared" si="6"/>
        <v>140885</v>
      </c>
      <c r="N107" s="793">
        <f t="shared" si="10"/>
        <v>7781</v>
      </c>
      <c r="O107" s="793">
        <f t="shared" si="11"/>
        <v>153.66846578788693</v>
      </c>
      <c r="P107" s="617">
        <f t="shared" si="7"/>
        <v>1195694.3322955482</v>
      </c>
    </row>
    <row r="108" spans="1:16" ht="12.75">
      <c r="A108" s="22">
        <v>101</v>
      </c>
      <c r="B108" s="22"/>
      <c r="C108" s="22"/>
      <c r="D108" s="22"/>
      <c r="E108" s="22" t="s">
        <v>1082</v>
      </c>
      <c r="F108" s="22">
        <v>0</v>
      </c>
      <c r="G108" s="22" t="e">
        <f t="shared" si="5"/>
        <v>#DIV/0!</v>
      </c>
      <c r="H108" s="22">
        <v>0</v>
      </c>
      <c r="I108" s="22">
        <v>298</v>
      </c>
      <c r="J108" s="22">
        <v>17.07</v>
      </c>
      <c r="K108" s="22">
        <v>4131</v>
      </c>
      <c r="L108" s="22">
        <v>143.7</v>
      </c>
      <c r="M108" s="617">
        <f t="shared" si="6"/>
        <v>593624.7</v>
      </c>
      <c r="N108" s="793">
        <f t="shared" si="10"/>
        <v>7781</v>
      </c>
      <c r="O108" s="793">
        <f t="shared" si="11"/>
        <v>153.66846578788693</v>
      </c>
      <c r="P108" s="617">
        <f t="shared" si="7"/>
        <v>1195694.3322955482</v>
      </c>
    </row>
    <row r="109" spans="1:16" ht="12.75">
      <c r="A109" s="22">
        <v>102</v>
      </c>
      <c r="B109" s="22"/>
      <c r="C109" s="22"/>
      <c r="D109" s="22"/>
      <c r="E109" s="22" t="s">
        <v>1082</v>
      </c>
      <c r="F109" s="22">
        <v>0</v>
      </c>
      <c r="G109" s="22" t="e">
        <f t="shared" si="5"/>
        <v>#DIV/0!</v>
      </c>
      <c r="H109" s="22">
        <v>0</v>
      </c>
      <c r="I109" s="22">
        <v>299</v>
      </c>
      <c r="J109" s="22">
        <v>18.07</v>
      </c>
      <c r="K109" s="22">
        <v>150</v>
      </c>
      <c r="L109" s="22">
        <v>151.7</v>
      </c>
      <c r="M109" s="617">
        <f t="shared" si="6"/>
        <v>22755</v>
      </c>
      <c r="N109" s="793">
        <f t="shared" si="10"/>
        <v>7781</v>
      </c>
      <c r="O109" s="793">
        <f t="shared" si="11"/>
        <v>153.66846578788693</v>
      </c>
      <c r="P109" s="617">
        <f t="shared" si="7"/>
        <v>1195694.3322955482</v>
      </c>
    </row>
    <row r="110" spans="1:16" ht="12.75">
      <c r="A110" s="22">
        <v>103</v>
      </c>
      <c r="B110" s="22"/>
      <c r="C110" s="22"/>
      <c r="D110" s="22"/>
      <c r="E110" s="22" t="s">
        <v>1082</v>
      </c>
      <c r="F110" s="22">
        <v>0</v>
      </c>
      <c r="G110" s="22" t="e">
        <f t="shared" si="5"/>
        <v>#DIV/0!</v>
      </c>
      <c r="H110" s="22">
        <v>0</v>
      </c>
      <c r="I110" s="22">
        <v>301</v>
      </c>
      <c r="J110" s="22">
        <v>19.07</v>
      </c>
      <c r="K110" s="22">
        <v>400</v>
      </c>
      <c r="L110" s="22">
        <v>151.7</v>
      </c>
      <c r="M110" s="617">
        <f t="shared" si="6"/>
        <v>60679.99999999999</v>
      </c>
      <c r="N110" s="793">
        <f t="shared" si="10"/>
        <v>7781</v>
      </c>
      <c r="O110" s="793">
        <f t="shared" si="11"/>
        <v>153.66846578788693</v>
      </c>
      <c r="P110" s="617">
        <f t="shared" si="7"/>
        <v>1195694.3322955482</v>
      </c>
    </row>
    <row r="111" spans="1:16" ht="12.75">
      <c r="A111" s="22">
        <v>104</v>
      </c>
      <c r="B111" s="22"/>
      <c r="C111" s="22"/>
      <c r="D111" s="22"/>
      <c r="E111" s="22" t="s">
        <v>1082</v>
      </c>
      <c r="F111" s="22">
        <v>0</v>
      </c>
      <c r="G111" s="22" t="e">
        <f t="shared" si="5"/>
        <v>#DIV/0!</v>
      </c>
      <c r="H111" s="22">
        <v>0</v>
      </c>
      <c r="I111" s="22">
        <v>302</v>
      </c>
      <c r="J111" s="22">
        <v>20.07</v>
      </c>
      <c r="K111" s="22">
        <v>200</v>
      </c>
      <c r="L111" s="22">
        <v>151.66</v>
      </c>
      <c r="M111" s="617">
        <f t="shared" si="6"/>
        <v>30332</v>
      </c>
      <c r="N111" s="793">
        <f t="shared" si="10"/>
        <v>7781</v>
      </c>
      <c r="O111" s="793">
        <f t="shared" si="11"/>
        <v>153.66846578788693</v>
      </c>
      <c r="P111" s="617">
        <f t="shared" si="7"/>
        <v>1195694.3322955482</v>
      </c>
    </row>
    <row r="112" spans="1:16" ht="12.75">
      <c r="A112" s="22">
        <v>105</v>
      </c>
      <c r="B112" s="22"/>
      <c r="C112" s="22"/>
      <c r="D112" s="22"/>
      <c r="E112" s="22" t="s">
        <v>1082</v>
      </c>
      <c r="F112" s="22">
        <v>0</v>
      </c>
      <c r="G112" s="22" t="e">
        <f t="shared" si="5"/>
        <v>#DIV/0!</v>
      </c>
      <c r="H112" s="22">
        <v>0</v>
      </c>
      <c r="I112" s="22">
        <v>304</v>
      </c>
      <c r="J112" s="22">
        <v>21.07</v>
      </c>
      <c r="K112" s="22">
        <v>270</v>
      </c>
      <c r="L112" s="22">
        <v>151.7</v>
      </c>
      <c r="M112" s="617">
        <f t="shared" si="6"/>
        <v>40959</v>
      </c>
      <c r="N112" s="793">
        <f t="shared" si="10"/>
        <v>7781</v>
      </c>
      <c r="O112" s="793">
        <f t="shared" si="11"/>
        <v>153.66846578788693</v>
      </c>
      <c r="P112" s="617">
        <f t="shared" si="7"/>
        <v>1195694.3322955482</v>
      </c>
    </row>
    <row r="113" spans="1:16" ht="12.75">
      <c r="A113" s="22">
        <v>106</v>
      </c>
      <c r="B113" s="22"/>
      <c r="C113" s="22"/>
      <c r="D113" s="22"/>
      <c r="E113" s="22" t="s">
        <v>1082</v>
      </c>
      <c r="F113" s="22">
        <v>0</v>
      </c>
      <c r="G113" s="22" t="e">
        <f t="shared" si="5"/>
        <v>#DIV/0!</v>
      </c>
      <c r="H113" s="22">
        <v>0</v>
      </c>
      <c r="I113" s="22">
        <v>306</v>
      </c>
      <c r="J113" s="22">
        <v>2307</v>
      </c>
      <c r="K113" s="22">
        <v>32</v>
      </c>
      <c r="L113" s="22">
        <v>151.66</v>
      </c>
      <c r="M113" s="617">
        <f t="shared" si="6"/>
        <v>4853.12</v>
      </c>
      <c r="N113" s="793">
        <f t="shared" si="10"/>
        <v>7781</v>
      </c>
      <c r="O113" s="793">
        <f t="shared" si="11"/>
        <v>153.66846578788693</v>
      </c>
      <c r="P113" s="617">
        <f t="shared" si="7"/>
        <v>1195694.3322955482</v>
      </c>
    </row>
    <row r="114" spans="1:16" ht="12.75">
      <c r="A114" s="22">
        <v>107</v>
      </c>
      <c r="B114" s="22"/>
      <c r="C114" s="22"/>
      <c r="D114" s="22"/>
      <c r="E114" s="22" t="s">
        <v>1082</v>
      </c>
      <c r="F114" s="22">
        <v>0</v>
      </c>
      <c r="G114" s="22" t="e">
        <f t="shared" si="5"/>
        <v>#DIV/0!</v>
      </c>
      <c r="H114" s="22">
        <v>0</v>
      </c>
      <c r="I114" s="22">
        <v>307</v>
      </c>
      <c r="J114" s="22">
        <v>24.07</v>
      </c>
      <c r="K114" s="22">
        <v>1400</v>
      </c>
      <c r="L114" s="22">
        <v>145.8</v>
      </c>
      <c r="M114" s="617">
        <f t="shared" si="6"/>
        <v>204120.00000000003</v>
      </c>
      <c r="N114" s="793">
        <f t="shared" si="10"/>
        <v>7781</v>
      </c>
      <c r="O114" s="793">
        <f t="shared" si="11"/>
        <v>153.66846578788693</v>
      </c>
      <c r="P114" s="617">
        <f t="shared" si="7"/>
        <v>1195694.3322955482</v>
      </c>
    </row>
    <row r="115" spans="1:16" ht="12.75">
      <c r="A115" s="22">
        <v>108</v>
      </c>
      <c r="B115" s="22"/>
      <c r="C115" s="22"/>
      <c r="D115" s="22"/>
      <c r="E115" s="22" t="s">
        <v>1082</v>
      </c>
      <c r="F115" s="22">
        <v>0</v>
      </c>
      <c r="G115" s="22" t="e">
        <f t="shared" si="5"/>
        <v>#DIV/0!</v>
      </c>
      <c r="H115" s="22">
        <v>0</v>
      </c>
      <c r="I115" s="22">
        <v>309</v>
      </c>
      <c r="J115" s="22">
        <v>25.07</v>
      </c>
      <c r="K115" s="22">
        <v>970</v>
      </c>
      <c r="L115" s="22">
        <v>155</v>
      </c>
      <c r="M115" s="617">
        <f t="shared" si="6"/>
        <v>150350</v>
      </c>
      <c r="N115" s="793">
        <f t="shared" si="10"/>
        <v>7781</v>
      </c>
      <c r="O115" s="793">
        <f t="shared" si="11"/>
        <v>153.66846578788693</v>
      </c>
      <c r="P115" s="617">
        <f t="shared" si="7"/>
        <v>1195694.3322955482</v>
      </c>
    </row>
    <row r="116" spans="1:16" ht="12.75">
      <c r="A116" s="22">
        <v>109</v>
      </c>
      <c r="B116" s="22"/>
      <c r="C116" s="22"/>
      <c r="D116" s="22"/>
      <c r="E116" s="22" t="s">
        <v>1082</v>
      </c>
      <c r="F116" s="22">
        <v>0</v>
      </c>
      <c r="G116" s="22" t="e">
        <f t="shared" si="5"/>
        <v>#DIV/0!</v>
      </c>
      <c r="H116" s="22">
        <v>0</v>
      </c>
      <c r="I116" s="22">
        <v>310</v>
      </c>
      <c r="J116" s="22">
        <v>25.07</v>
      </c>
      <c r="K116" s="22">
        <v>600</v>
      </c>
      <c r="L116" s="22">
        <v>150</v>
      </c>
      <c r="M116" s="617">
        <f t="shared" si="6"/>
        <v>90000</v>
      </c>
      <c r="N116" s="793">
        <f t="shared" si="10"/>
        <v>7781</v>
      </c>
      <c r="O116" s="793">
        <f t="shared" si="11"/>
        <v>153.66846578788693</v>
      </c>
      <c r="P116" s="617">
        <f t="shared" si="7"/>
        <v>1195694.3322955482</v>
      </c>
    </row>
    <row r="117" spans="1:16" ht="12.75">
      <c r="A117" s="22">
        <v>110</v>
      </c>
      <c r="B117" s="22"/>
      <c r="C117" s="22"/>
      <c r="D117" s="22"/>
      <c r="E117" s="22" t="s">
        <v>1082</v>
      </c>
      <c r="F117" s="22">
        <v>0</v>
      </c>
      <c r="G117" s="22" t="e">
        <f t="shared" si="5"/>
        <v>#DIV/0!</v>
      </c>
      <c r="H117" s="22">
        <v>0</v>
      </c>
      <c r="I117" s="22">
        <v>312</v>
      </c>
      <c r="J117" s="22">
        <v>26.07</v>
      </c>
      <c r="K117" s="22">
        <v>1100</v>
      </c>
      <c r="L117" s="22">
        <v>149.16</v>
      </c>
      <c r="M117" s="617">
        <f t="shared" si="6"/>
        <v>164076</v>
      </c>
      <c r="N117" s="793">
        <f t="shared" si="10"/>
        <v>7781</v>
      </c>
      <c r="O117" s="793">
        <f t="shared" si="11"/>
        <v>153.66846578788693</v>
      </c>
      <c r="P117" s="617">
        <f t="shared" si="7"/>
        <v>1195694.3322955482</v>
      </c>
    </row>
    <row r="118" spans="1:16" ht="12.75">
      <c r="A118" s="22">
        <v>111</v>
      </c>
      <c r="B118" s="22"/>
      <c r="C118" s="22"/>
      <c r="D118" s="22"/>
      <c r="E118" s="22" t="s">
        <v>1082</v>
      </c>
      <c r="F118" s="22">
        <v>0</v>
      </c>
      <c r="G118" s="22" t="e">
        <f t="shared" si="5"/>
        <v>#DIV/0!</v>
      </c>
      <c r="H118" s="22">
        <v>0</v>
      </c>
      <c r="I118" s="22">
        <v>316</v>
      </c>
      <c r="J118" s="22">
        <v>26.07</v>
      </c>
      <c r="K118" s="22">
        <v>54</v>
      </c>
      <c r="L118" s="22">
        <v>155</v>
      </c>
      <c r="M118" s="617">
        <f t="shared" si="6"/>
        <v>8370</v>
      </c>
      <c r="N118" s="793">
        <f t="shared" si="10"/>
        <v>7781</v>
      </c>
      <c r="O118" s="793">
        <f t="shared" si="11"/>
        <v>153.66846578788693</v>
      </c>
      <c r="P118" s="617">
        <f t="shared" si="7"/>
        <v>1195694.3322955482</v>
      </c>
    </row>
    <row r="119" spans="1:16" ht="12.75">
      <c r="A119" s="22">
        <v>112</v>
      </c>
      <c r="B119" s="22"/>
      <c r="C119" s="22"/>
      <c r="D119" s="22"/>
      <c r="E119" s="22" t="s">
        <v>1082</v>
      </c>
      <c r="F119" s="22">
        <v>0</v>
      </c>
      <c r="G119" s="22" t="e">
        <f t="shared" si="5"/>
        <v>#DIV/0!</v>
      </c>
      <c r="H119" s="22">
        <v>0</v>
      </c>
      <c r="I119" s="22">
        <v>317</v>
      </c>
      <c r="J119" s="22">
        <v>28.07</v>
      </c>
      <c r="K119" s="22">
        <v>216</v>
      </c>
      <c r="L119" s="22">
        <v>154.3</v>
      </c>
      <c r="M119" s="617">
        <f t="shared" si="6"/>
        <v>33328.8</v>
      </c>
      <c r="N119" s="793">
        <f t="shared" si="10"/>
        <v>7781</v>
      </c>
      <c r="O119" s="793">
        <f t="shared" si="11"/>
        <v>153.66846578788693</v>
      </c>
      <c r="P119" s="617">
        <f t="shared" si="7"/>
        <v>1195694.3322955482</v>
      </c>
    </row>
    <row r="120" spans="1:16" ht="12.75">
      <c r="A120" s="22">
        <v>113</v>
      </c>
      <c r="B120" s="22"/>
      <c r="C120" s="22"/>
      <c r="D120" s="22"/>
      <c r="E120" s="22" t="s">
        <v>1082</v>
      </c>
      <c r="F120" s="22">
        <v>0</v>
      </c>
      <c r="G120" s="22" t="e">
        <f t="shared" si="5"/>
        <v>#DIV/0!</v>
      </c>
      <c r="H120" s="22">
        <v>0</v>
      </c>
      <c r="I120" s="22">
        <v>318</v>
      </c>
      <c r="J120" s="22">
        <v>31.07</v>
      </c>
      <c r="K120" s="22">
        <v>818</v>
      </c>
      <c r="L120" s="22">
        <v>149.83</v>
      </c>
      <c r="M120" s="617">
        <f t="shared" si="6"/>
        <v>122560.94000000002</v>
      </c>
      <c r="N120" s="793">
        <f t="shared" si="10"/>
        <v>7781</v>
      </c>
      <c r="O120" s="793">
        <f t="shared" si="11"/>
        <v>153.66846578788693</v>
      </c>
      <c r="P120" s="617">
        <f t="shared" si="7"/>
        <v>1195694.3322955482</v>
      </c>
    </row>
    <row r="121" spans="1:16" ht="12.75">
      <c r="A121" s="22">
        <v>114</v>
      </c>
      <c r="B121" s="22"/>
      <c r="C121" s="22"/>
      <c r="D121" s="22"/>
      <c r="E121" s="22" t="s">
        <v>1082</v>
      </c>
      <c r="F121" s="22">
        <v>0</v>
      </c>
      <c r="G121" s="22" t="e">
        <f t="shared" si="5"/>
        <v>#DIV/0!</v>
      </c>
      <c r="H121" s="22">
        <v>0</v>
      </c>
      <c r="I121" s="22">
        <v>319</v>
      </c>
      <c r="J121" s="22">
        <v>31.07</v>
      </c>
      <c r="K121" s="22">
        <v>1625</v>
      </c>
      <c r="L121" s="22">
        <v>153.8</v>
      </c>
      <c r="M121" s="617">
        <f t="shared" si="6"/>
        <v>249925.00000000003</v>
      </c>
      <c r="N121" s="793">
        <f t="shared" si="10"/>
        <v>7781</v>
      </c>
      <c r="O121" s="793">
        <f t="shared" si="11"/>
        <v>153.66846578788693</v>
      </c>
      <c r="P121" s="617">
        <f t="shared" si="7"/>
        <v>1195694.3322955482</v>
      </c>
    </row>
    <row r="122" spans="1:16" ht="12.75">
      <c r="A122" s="22">
        <v>115</v>
      </c>
      <c r="B122" s="22"/>
      <c r="C122" s="22"/>
      <c r="D122" s="22"/>
      <c r="E122" s="22" t="s">
        <v>1082</v>
      </c>
      <c r="F122" s="22">
        <v>0</v>
      </c>
      <c r="G122" s="22" t="e">
        <f t="shared" si="5"/>
        <v>#DIV/0!</v>
      </c>
      <c r="H122" s="22">
        <v>0</v>
      </c>
      <c r="I122" s="22">
        <v>320</v>
      </c>
      <c r="J122" s="22">
        <v>31.07</v>
      </c>
      <c r="K122" s="22">
        <v>460</v>
      </c>
      <c r="L122" s="22">
        <v>155</v>
      </c>
      <c r="M122" s="617">
        <f t="shared" si="6"/>
        <v>71300</v>
      </c>
      <c r="N122" s="793">
        <f t="shared" si="10"/>
        <v>7781</v>
      </c>
      <c r="O122" s="793">
        <f t="shared" si="11"/>
        <v>153.66846578788693</v>
      </c>
      <c r="P122" s="617">
        <f t="shared" si="7"/>
        <v>1195694.3322955482</v>
      </c>
    </row>
    <row r="123" spans="1:16" ht="12.75">
      <c r="A123" s="22">
        <v>116</v>
      </c>
      <c r="B123" s="22"/>
      <c r="C123" s="22"/>
      <c r="D123" s="22"/>
      <c r="E123" s="22" t="s">
        <v>1082</v>
      </c>
      <c r="F123" s="22">
        <v>0</v>
      </c>
      <c r="G123" s="22" t="e">
        <f t="shared" si="5"/>
        <v>#DIV/0!</v>
      </c>
      <c r="H123" s="22">
        <v>0</v>
      </c>
      <c r="I123" s="22">
        <v>321</v>
      </c>
      <c r="J123" s="22">
        <v>31.07</v>
      </c>
      <c r="K123" s="22">
        <v>3000</v>
      </c>
      <c r="L123" s="22">
        <v>155</v>
      </c>
      <c r="M123" s="617">
        <f t="shared" si="6"/>
        <v>465000</v>
      </c>
      <c r="N123" s="793">
        <f t="shared" si="10"/>
        <v>7781</v>
      </c>
      <c r="O123" s="793">
        <f t="shared" si="11"/>
        <v>153.66846578788693</v>
      </c>
      <c r="P123" s="617">
        <f t="shared" si="7"/>
        <v>1195694.3322955482</v>
      </c>
    </row>
    <row r="124" spans="1:16" ht="12.75">
      <c r="A124" s="22">
        <v>117</v>
      </c>
      <c r="B124" s="22"/>
      <c r="C124" s="22"/>
      <c r="D124" s="22"/>
      <c r="E124" s="22" t="s">
        <v>1082</v>
      </c>
      <c r="F124" s="22">
        <v>0</v>
      </c>
      <c r="G124" s="22" t="e">
        <f t="shared" si="5"/>
        <v>#DIV/0!</v>
      </c>
      <c r="H124" s="22">
        <v>0</v>
      </c>
      <c r="I124" s="22"/>
      <c r="J124" s="22"/>
      <c r="K124" s="22"/>
      <c r="L124" s="22"/>
      <c r="M124" s="617">
        <f t="shared" si="6"/>
        <v>0</v>
      </c>
      <c r="N124" s="793">
        <f t="shared" si="10"/>
        <v>7781</v>
      </c>
      <c r="O124" s="793">
        <f t="shared" si="11"/>
        <v>153.66846578788693</v>
      </c>
      <c r="P124" s="617">
        <f t="shared" si="7"/>
        <v>1195694.3322955482</v>
      </c>
    </row>
    <row r="125" spans="1:16" ht="12.75">
      <c r="A125" s="22">
        <v>118</v>
      </c>
      <c r="B125" s="22"/>
      <c r="C125" s="22"/>
      <c r="D125" s="22"/>
      <c r="E125" s="22" t="s">
        <v>1082</v>
      </c>
      <c r="F125" s="22">
        <v>0</v>
      </c>
      <c r="G125" s="22" t="e">
        <f t="shared" si="5"/>
        <v>#DIV/0!</v>
      </c>
      <c r="H125" s="22">
        <v>0</v>
      </c>
      <c r="I125" s="22"/>
      <c r="J125" s="22"/>
      <c r="K125" s="22"/>
      <c r="L125" s="22"/>
      <c r="M125" s="617">
        <f t="shared" si="6"/>
        <v>0</v>
      </c>
      <c r="N125" s="793">
        <f t="shared" si="10"/>
        <v>7781</v>
      </c>
      <c r="O125" s="793">
        <f t="shared" si="11"/>
        <v>153.66846578788693</v>
      </c>
      <c r="P125" s="617">
        <f t="shared" si="7"/>
        <v>1195694.3322955482</v>
      </c>
    </row>
    <row r="126" spans="1:16" ht="12.75">
      <c r="A126" s="22">
        <v>119</v>
      </c>
      <c r="B126" s="22"/>
      <c r="C126" s="22"/>
      <c r="D126" s="22"/>
      <c r="E126" s="22" t="s">
        <v>1082</v>
      </c>
      <c r="F126" s="22">
        <v>0</v>
      </c>
      <c r="G126" s="22" t="e">
        <f t="shared" si="5"/>
        <v>#DIV/0!</v>
      </c>
      <c r="H126" s="22">
        <v>0</v>
      </c>
      <c r="I126" s="22"/>
      <c r="J126" s="22"/>
      <c r="K126" s="22"/>
      <c r="L126" s="22"/>
      <c r="M126" s="617">
        <f t="shared" si="6"/>
        <v>0</v>
      </c>
      <c r="N126" s="793">
        <f t="shared" si="10"/>
        <v>7781</v>
      </c>
      <c r="O126" s="793">
        <f t="shared" si="11"/>
        <v>153.66846578788693</v>
      </c>
      <c r="P126" s="617">
        <f t="shared" si="7"/>
        <v>1195694.3322955482</v>
      </c>
    </row>
    <row r="127" spans="1:16" ht="12.75">
      <c r="A127" s="22">
        <v>120</v>
      </c>
      <c r="B127" s="22"/>
      <c r="C127" s="22"/>
      <c r="D127" s="22"/>
      <c r="E127" s="22" t="s">
        <v>1082</v>
      </c>
      <c r="F127" s="22">
        <v>0</v>
      </c>
      <c r="G127" s="22" t="e">
        <f t="shared" si="5"/>
        <v>#DIV/0!</v>
      </c>
      <c r="H127" s="22">
        <v>0</v>
      </c>
      <c r="I127" s="22"/>
      <c r="J127" s="22"/>
      <c r="K127" s="22"/>
      <c r="L127" s="22"/>
      <c r="M127" s="617">
        <f t="shared" si="6"/>
        <v>0</v>
      </c>
      <c r="N127" s="793">
        <f t="shared" si="10"/>
        <v>7781</v>
      </c>
      <c r="O127" s="793">
        <f t="shared" si="11"/>
        <v>153.66846578788693</v>
      </c>
      <c r="P127" s="617">
        <f t="shared" si="7"/>
        <v>1195694.3322955482</v>
      </c>
    </row>
    <row r="128" spans="1:16" ht="12.75">
      <c r="A128" s="22">
        <v>121</v>
      </c>
      <c r="B128" s="22"/>
      <c r="C128" s="22"/>
      <c r="D128" s="22"/>
      <c r="E128" s="22" t="s">
        <v>1082</v>
      </c>
      <c r="F128" s="22">
        <v>0</v>
      </c>
      <c r="G128" s="22" t="e">
        <f t="shared" si="5"/>
        <v>#DIV/0!</v>
      </c>
      <c r="H128" s="22">
        <v>0</v>
      </c>
      <c r="I128" s="22"/>
      <c r="J128" s="22"/>
      <c r="K128" s="22"/>
      <c r="L128" s="22"/>
      <c r="M128" s="617">
        <f t="shared" si="6"/>
        <v>0</v>
      </c>
      <c r="N128" s="793">
        <f t="shared" si="10"/>
        <v>7781</v>
      </c>
      <c r="O128" s="793">
        <f t="shared" si="11"/>
        <v>153.66846578788693</v>
      </c>
      <c r="P128" s="617">
        <f t="shared" si="7"/>
        <v>1195694.3322955482</v>
      </c>
    </row>
    <row r="129" spans="1:16" ht="12.75">
      <c r="A129" s="22">
        <v>122</v>
      </c>
      <c r="B129" s="22"/>
      <c r="C129" s="22"/>
      <c r="D129" s="22"/>
      <c r="E129" s="22" t="s">
        <v>1082</v>
      </c>
      <c r="F129" s="22">
        <v>0</v>
      </c>
      <c r="G129" s="22" t="e">
        <f t="shared" si="5"/>
        <v>#DIV/0!</v>
      </c>
      <c r="H129" s="22">
        <v>0</v>
      </c>
      <c r="I129" s="22"/>
      <c r="J129" s="22"/>
      <c r="K129" s="22"/>
      <c r="L129" s="22"/>
      <c r="M129" s="617">
        <f t="shared" si="6"/>
        <v>0</v>
      </c>
      <c r="N129" s="793">
        <f t="shared" si="10"/>
        <v>7781</v>
      </c>
      <c r="O129" s="793">
        <f t="shared" si="11"/>
        <v>153.66846578788693</v>
      </c>
      <c r="P129" s="617">
        <f t="shared" si="7"/>
        <v>1195694.3322955482</v>
      </c>
    </row>
    <row r="130" spans="1:16" ht="12.75">
      <c r="A130" s="22">
        <v>123</v>
      </c>
      <c r="B130" s="22"/>
      <c r="C130" s="22"/>
      <c r="D130" s="22"/>
      <c r="E130" s="22" t="s">
        <v>1082</v>
      </c>
      <c r="F130" s="22">
        <v>0</v>
      </c>
      <c r="G130" s="22" t="e">
        <f t="shared" si="5"/>
        <v>#DIV/0!</v>
      </c>
      <c r="H130" s="22">
        <v>0</v>
      </c>
      <c r="I130" s="22"/>
      <c r="J130" s="22"/>
      <c r="K130" s="22"/>
      <c r="L130" s="22"/>
      <c r="M130" s="617">
        <f t="shared" si="6"/>
        <v>0</v>
      </c>
      <c r="N130" s="793">
        <f t="shared" si="10"/>
        <v>7781</v>
      </c>
      <c r="O130" s="793">
        <f t="shared" si="11"/>
        <v>153.66846578788693</v>
      </c>
      <c r="P130" s="617">
        <f t="shared" si="7"/>
        <v>1195694.3322955482</v>
      </c>
    </row>
    <row r="131" spans="1:16" ht="12.75">
      <c r="A131" s="22">
        <v>124</v>
      </c>
      <c r="B131" s="22"/>
      <c r="C131" s="22"/>
      <c r="D131" s="22"/>
      <c r="E131" s="22" t="s">
        <v>1082</v>
      </c>
      <c r="F131" s="22">
        <v>0</v>
      </c>
      <c r="G131" s="22" t="e">
        <f t="shared" si="5"/>
        <v>#DIV/0!</v>
      </c>
      <c r="H131" s="22">
        <v>0</v>
      </c>
      <c r="I131" s="22"/>
      <c r="J131" s="22"/>
      <c r="K131" s="22"/>
      <c r="L131" s="22"/>
      <c r="M131" s="617">
        <f t="shared" si="6"/>
        <v>0</v>
      </c>
      <c r="N131" s="793">
        <f t="shared" si="10"/>
        <v>7781</v>
      </c>
      <c r="O131" s="793">
        <f t="shared" si="11"/>
        <v>153.66846578788693</v>
      </c>
      <c r="P131" s="617">
        <f t="shared" si="7"/>
        <v>1195694.3322955482</v>
      </c>
    </row>
    <row r="132" spans="1:16" ht="12.75">
      <c r="A132" s="22">
        <v>125</v>
      </c>
      <c r="B132" s="22"/>
      <c r="C132" s="22"/>
      <c r="D132" s="22"/>
      <c r="E132" s="22" t="s">
        <v>1082</v>
      </c>
      <c r="F132" s="22">
        <v>0</v>
      </c>
      <c r="G132" s="22" t="e">
        <f t="shared" si="5"/>
        <v>#DIV/0!</v>
      </c>
      <c r="H132" s="22">
        <v>0</v>
      </c>
      <c r="I132" s="22"/>
      <c r="J132" s="22"/>
      <c r="K132" s="22"/>
      <c r="L132" s="22"/>
      <c r="M132" s="617">
        <f t="shared" si="6"/>
        <v>0</v>
      </c>
      <c r="N132" s="793">
        <f t="shared" si="10"/>
        <v>7781</v>
      </c>
      <c r="O132" s="793">
        <f t="shared" si="11"/>
        <v>153.66846578788693</v>
      </c>
      <c r="P132" s="617">
        <f t="shared" si="7"/>
        <v>1195694.3322955482</v>
      </c>
    </row>
    <row r="133" spans="1:16" ht="12.75">
      <c r="A133" s="22">
        <v>126</v>
      </c>
      <c r="B133" s="22"/>
      <c r="C133" s="22"/>
      <c r="D133" s="22"/>
      <c r="E133" s="22" t="s">
        <v>1082</v>
      </c>
      <c r="F133" s="22">
        <v>0</v>
      </c>
      <c r="G133" s="22" t="e">
        <f t="shared" si="5"/>
        <v>#DIV/0!</v>
      </c>
      <c r="H133" s="22">
        <v>0</v>
      </c>
      <c r="I133" s="22"/>
      <c r="J133" s="22"/>
      <c r="K133" s="22"/>
      <c r="L133" s="22"/>
      <c r="M133" s="617">
        <f t="shared" si="6"/>
        <v>0</v>
      </c>
      <c r="N133" s="793">
        <f t="shared" si="10"/>
        <v>7781</v>
      </c>
      <c r="O133" s="793">
        <f t="shared" si="11"/>
        <v>153.66846578788693</v>
      </c>
      <c r="P133" s="617">
        <f t="shared" si="7"/>
        <v>1195694.3322955482</v>
      </c>
    </row>
    <row r="134" spans="1:16" ht="12.75">
      <c r="A134" s="22">
        <v>127</v>
      </c>
      <c r="B134" s="22"/>
      <c r="C134" s="22"/>
      <c r="D134" s="22"/>
      <c r="E134" s="22" t="s">
        <v>1082</v>
      </c>
      <c r="F134" s="22">
        <v>0</v>
      </c>
      <c r="G134" s="22" t="e">
        <f t="shared" si="5"/>
        <v>#DIV/0!</v>
      </c>
      <c r="H134" s="22">
        <v>0</v>
      </c>
      <c r="I134" s="22"/>
      <c r="J134" s="22"/>
      <c r="K134" s="22"/>
      <c r="L134" s="22"/>
      <c r="M134" s="617">
        <f t="shared" si="6"/>
        <v>0</v>
      </c>
      <c r="N134" s="793">
        <f t="shared" si="10"/>
        <v>7781</v>
      </c>
      <c r="O134" s="793">
        <f t="shared" si="11"/>
        <v>153.66846578788693</v>
      </c>
      <c r="P134" s="617">
        <f t="shared" si="7"/>
        <v>1195694.3322955482</v>
      </c>
    </row>
    <row r="135" spans="1:16" ht="12.75">
      <c r="A135" s="22">
        <v>128</v>
      </c>
      <c r="B135" s="22"/>
      <c r="C135" s="22"/>
      <c r="D135" s="22"/>
      <c r="E135" s="22" t="s">
        <v>1082</v>
      </c>
      <c r="F135" s="22">
        <v>0</v>
      </c>
      <c r="G135" s="22" t="e">
        <f t="shared" si="5"/>
        <v>#DIV/0!</v>
      </c>
      <c r="H135" s="22">
        <v>0</v>
      </c>
      <c r="I135" s="22"/>
      <c r="J135" s="22"/>
      <c r="K135" s="22"/>
      <c r="L135" s="22"/>
      <c r="M135" s="617">
        <f t="shared" si="6"/>
        <v>0</v>
      </c>
      <c r="N135" s="793">
        <f t="shared" si="10"/>
        <v>7781</v>
      </c>
      <c r="O135" s="793">
        <f t="shared" si="11"/>
        <v>153.66846578788693</v>
      </c>
      <c r="P135" s="617">
        <f t="shared" si="7"/>
        <v>1195694.3322955482</v>
      </c>
    </row>
    <row r="136" spans="1:16" ht="12.75">
      <c r="A136" s="22">
        <v>129</v>
      </c>
      <c r="B136" s="22"/>
      <c r="C136" s="22"/>
      <c r="D136" s="22"/>
      <c r="E136" s="22" t="s">
        <v>1082</v>
      </c>
      <c r="F136" s="22">
        <v>0</v>
      </c>
      <c r="G136" s="22" t="e">
        <f t="shared" si="5"/>
        <v>#DIV/0!</v>
      </c>
      <c r="H136" s="22">
        <v>0</v>
      </c>
      <c r="I136" s="22"/>
      <c r="J136" s="22"/>
      <c r="K136" s="22"/>
      <c r="L136" s="22"/>
      <c r="M136" s="617">
        <f t="shared" si="6"/>
        <v>0</v>
      </c>
      <c r="N136" s="793">
        <f t="shared" si="10"/>
        <v>7781</v>
      </c>
      <c r="O136" s="793">
        <f t="shared" si="11"/>
        <v>153.66846578788693</v>
      </c>
      <c r="P136" s="617">
        <f t="shared" si="7"/>
        <v>1195694.3322955482</v>
      </c>
    </row>
    <row r="137" spans="1:16" ht="12.75">
      <c r="A137" s="22">
        <v>130</v>
      </c>
      <c r="B137" s="22"/>
      <c r="C137" s="22"/>
      <c r="D137" s="22"/>
      <c r="E137" s="22" t="s">
        <v>1082</v>
      </c>
      <c r="F137" s="22">
        <v>0</v>
      </c>
      <c r="G137" s="22" t="e">
        <f t="shared" si="5"/>
        <v>#DIV/0!</v>
      </c>
      <c r="H137" s="22">
        <v>0</v>
      </c>
      <c r="I137" s="22"/>
      <c r="J137" s="22"/>
      <c r="K137" s="22"/>
      <c r="L137" s="22"/>
      <c r="M137" s="617">
        <f t="shared" si="6"/>
        <v>0</v>
      </c>
      <c r="N137" s="793">
        <f t="shared" si="10"/>
        <v>7781</v>
      </c>
      <c r="O137" s="793">
        <f t="shared" si="11"/>
        <v>153.66846578788693</v>
      </c>
      <c r="P137" s="617">
        <f t="shared" si="7"/>
        <v>1195694.3322955482</v>
      </c>
    </row>
    <row r="138" spans="1:16" ht="12.75">
      <c r="A138" s="22">
        <v>131</v>
      </c>
      <c r="B138" s="22"/>
      <c r="C138" s="22"/>
      <c r="D138" s="22"/>
      <c r="E138" s="22" t="s">
        <v>1082</v>
      </c>
      <c r="F138" s="22">
        <v>0</v>
      </c>
      <c r="G138" s="22" t="e">
        <f t="shared" si="5"/>
        <v>#DIV/0!</v>
      </c>
      <c r="H138" s="22">
        <v>0</v>
      </c>
      <c r="I138" s="22"/>
      <c r="J138" s="22"/>
      <c r="K138" s="22"/>
      <c r="L138" s="22"/>
      <c r="M138" s="617">
        <f t="shared" si="6"/>
        <v>0</v>
      </c>
      <c r="N138" s="793">
        <f t="shared" si="10"/>
        <v>7781</v>
      </c>
      <c r="O138" s="793">
        <f t="shared" si="11"/>
        <v>153.66846578788693</v>
      </c>
      <c r="P138" s="617">
        <f t="shared" si="7"/>
        <v>1195694.3322955482</v>
      </c>
    </row>
    <row r="139" spans="1:16" ht="12.75">
      <c r="A139" s="22">
        <v>132</v>
      </c>
      <c r="B139" s="22"/>
      <c r="C139" s="22"/>
      <c r="D139" s="22"/>
      <c r="E139" s="22" t="s">
        <v>1082</v>
      </c>
      <c r="F139" s="22">
        <v>0</v>
      </c>
      <c r="G139" s="22" t="e">
        <f t="shared" si="5"/>
        <v>#DIV/0!</v>
      </c>
      <c r="H139" s="22">
        <v>0</v>
      </c>
      <c r="I139" s="22"/>
      <c r="J139" s="22"/>
      <c r="K139" s="22"/>
      <c r="L139" s="22"/>
      <c r="M139" s="617">
        <f t="shared" si="6"/>
        <v>0</v>
      </c>
      <c r="N139" s="793">
        <f t="shared" si="10"/>
        <v>7781</v>
      </c>
      <c r="O139" s="793">
        <f t="shared" si="11"/>
        <v>153.66846578788693</v>
      </c>
      <c r="P139" s="617">
        <f t="shared" si="7"/>
        <v>1195694.3322955482</v>
      </c>
    </row>
    <row r="140" spans="1:16" ht="12.75">
      <c r="A140" s="22">
        <v>133</v>
      </c>
      <c r="B140" s="22"/>
      <c r="C140" s="22"/>
      <c r="D140" s="22"/>
      <c r="E140" s="22" t="s">
        <v>1082</v>
      </c>
      <c r="F140" s="22">
        <v>0</v>
      </c>
      <c r="G140" s="22" t="e">
        <f t="shared" si="5"/>
        <v>#DIV/0!</v>
      </c>
      <c r="H140" s="22">
        <v>0</v>
      </c>
      <c r="I140" s="22"/>
      <c r="J140" s="22"/>
      <c r="K140" s="22"/>
      <c r="L140" s="22"/>
      <c r="M140" s="617">
        <f t="shared" si="6"/>
        <v>0</v>
      </c>
      <c r="N140" s="793">
        <f t="shared" si="10"/>
        <v>7781</v>
      </c>
      <c r="O140" s="793">
        <f t="shared" si="11"/>
        <v>153.66846578788693</v>
      </c>
      <c r="P140" s="617">
        <f t="shared" si="7"/>
        <v>1195694.3322955482</v>
      </c>
    </row>
    <row r="141" spans="1:16" ht="12.75">
      <c r="A141" s="22">
        <v>134</v>
      </c>
      <c r="B141" s="22"/>
      <c r="C141" s="22"/>
      <c r="D141" s="22"/>
      <c r="E141" s="22" t="s">
        <v>1082</v>
      </c>
      <c r="F141" s="22">
        <v>0</v>
      </c>
      <c r="G141" s="22" t="e">
        <f t="shared" si="5"/>
        <v>#DIV/0!</v>
      </c>
      <c r="H141" s="22">
        <v>0</v>
      </c>
      <c r="I141" s="22"/>
      <c r="J141" s="22"/>
      <c r="K141" s="22"/>
      <c r="L141" s="22"/>
      <c r="M141" s="617">
        <f t="shared" si="6"/>
        <v>0</v>
      </c>
      <c r="N141" s="793">
        <f t="shared" si="10"/>
        <v>7781</v>
      </c>
      <c r="O141" s="793">
        <f t="shared" si="11"/>
        <v>153.66846578788693</v>
      </c>
      <c r="P141" s="617">
        <f t="shared" si="7"/>
        <v>1195694.3322955482</v>
      </c>
    </row>
    <row r="142" spans="1:16" ht="12.75">
      <c r="A142" s="22">
        <v>135</v>
      </c>
      <c r="B142" s="22"/>
      <c r="C142" s="22"/>
      <c r="D142" s="22"/>
      <c r="E142" s="22" t="s">
        <v>1082</v>
      </c>
      <c r="F142" s="22">
        <v>0</v>
      </c>
      <c r="G142" s="22" t="e">
        <f t="shared" si="5"/>
        <v>#DIV/0!</v>
      </c>
      <c r="H142" s="22">
        <v>0</v>
      </c>
      <c r="I142" s="22"/>
      <c r="J142" s="22"/>
      <c r="K142" s="22"/>
      <c r="L142" s="22"/>
      <c r="M142" s="617">
        <f t="shared" si="6"/>
        <v>0</v>
      </c>
      <c r="N142" s="793">
        <f t="shared" si="10"/>
        <v>7781</v>
      </c>
      <c r="O142" s="793">
        <f t="shared" si="11"/>
        <v>153.66846578788693</v>
      </c>
      <c r="P142" s="617">
        <f t="shared" si="7"/>
        <v>1195694.3322955482</v>
      </c>
    </row>
    <row r="143" spans="1:16" ht="12.75">
      <c r="A143" s="22">
        <v>136</v>
      </c>
      <c r="B143" s="22"/>
      <c r="C143" s="22"/>
      <c r="D143" s="22"/>
      <c r="E143" s="22" t="s">
        <v>1082</v>
      </c>
      <c r="F143" s="22">
        <f>SUM(F9:F142)</f>
        <v>174352</v>
      </c>
      <c r="G143" s="22">
        <f>H143/F143</f>
        <v>0</v>
      </c>
      <c r="H143" s="22">
        <v>0</v>
      </c>
      <c r="I143" s="22">
        <f>SUM(I9:I142)</f>
        <v>26736</v>
      </c>
      <c r="J143" s="22">
        <f>SUM(J9:J142)</f>
        <v>4048.529999999998</v>
      </c>
      <c r="K143" s="22">
        <f>SUM(K9:K142)</f>
        <v>177324.79</v>
      </c>
      <c r="L143" s="22">
        <f>SUM(L9:L142)</f>
        <v>16954.076003123537</v>
      </c>
      <c r="M143" s="617">
        <f>K143*L143</f>
        <v>3006377966.8979206</v>
      </c>
      <c r="N143" s="793">
        <f t="shared" si="10"/>
        <v>7781</v>
      </c>
      <c r="O143" s="793">
        <f t="shared" si="11"/>
        <v>153.66846578788693</v>
      </c>
      <c r="P143" s="617">
        <f>N143*O143</f>
        <v>1195694.3322955482</v>
      </c>
    </row>
    <row r="144" spans="1:1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95"/>
      <c r="N144" s="1269"/>
      <c r="O144" s="1269"/>
      <c r="P144" s="1269"/>
    </row>
    <row r="145" spans="1:1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95"/>
      <c r="N145" s="1269"/>
      <c r="O145" s="1269"/>
      <c r="P145" s="1269"/>
    </row>
    <row r="146" spans="1:1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95"/>
      <c r="N146" s="1269"/>
      <c r="O146" s="1269"/>
      <c r="P146" s="1269"/>
    </row>
    <row r="147" spans="1:1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95"/>
      <c r="N147" s="1269"/>
      <c r="O147" s="1269"/>
      <c r="P147" s="1269"/>
    </row>
    <row r="148" spans="1:1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95"/>
      <c r="N148" s="1269"/>
      <c r="O148" s="1269"/>
      <c r="P148" s="1269"/>
    </row>
    <row r="149" spans="1:1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95"/>
      <c r="N149" s="1269"/>
      <c r="O149" s="1269"/>
      <c r="P149" s="1269"/>
    </row>
    <row r="150" spans="1:1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95"/>
      <c r="N150" s="1269"/>
      <c r="O150" s="1269"/>
      <c r="P150" s="1269"/>
    </row>
    <row r="151" spans="1:1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95"/>
      <c r="N151" s="1269"/>
      <c r="O151" s="1269"/>
      <c r="P151" s="1269"/>
    </row>
    <row r="152" spans="1:1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95"/>
      <c r="N152" s="1269"/>
      <c r="O152" s="1269"/>
      <c r="P152" s="1269"/>
    </row>
    <row r="153" spans="1:1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95"/>
      <c r="N153" s="1269"/>
      <c r="O153" s="1269"/>
      <c r="P153" s="1269"/>
    </row>
    <row r="154" spans="1:1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95"/>
      <c r="N154" s="1269"/>
      <c r="O154" s="1269"/>
      <c r="P154" s="1269"/>
    </row>
    <row r="155" spans="1:1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95"/>
      <c r="N155" s="1269"/>
      <c r="O155" s="1269"/>
      <c r="P155" s="1269"/>
    </row>
    <row r="156" spans="1:1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95"/>
      <c r="N156" s="1269"/>
      <c r="O156" s="1269"/>
      <c r="P156" s="1269"/>
    </row>
    <row r="157" spans="1:1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95"/>
      <c r="N157" s="1269"/>
      <c r="O157" s="1269"/>
      <c r="P157" s="1269"/>
    </row>
    <row r="158" spans="1:1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95"/>
      <c r="N158" s="1269"/>
      <c r="O158" s="1269"/>
      <c r="P158" s="1269"/>
    </row>
    <row r="163" spans="1:16" ht="12.75">
      <c r="A163" s="1577" t="s">
        <v>1</v>
      </c>
      <c r="B163" s="1580" t="s">
        <v>888</v>
      </c>
      <c r="C163" s="1577" t="s">
        <v>887</v>
      </c>
      <c r="D163" s="1577"/>
      <c r="E163" s="1577"/>
      <c r="F163" s="1577"/>
      <c r="G163" s="1577"/>
      <c r="H163" s="1577"/>
      <c r="I163" s="1577" t="s">
        <v>877</v>
      </c>
      <c r="J163" s="1577"/>
      <c r="K163" s="1577"/>
      <c r="L163" s="1577"/>
      <c r="M163" s="794"/>
      <c r="N163" s="1577" t="s">
        <v>878</v>
      </c>
      <c r="O163" s="1577"/>
      <c r="P163" s="1577"/>
    </row>
    <row r="164" spans="1:16" ht="12.75">
      <c r="A164" s="1577"/>
      <c r="B164" s="1580"/>
      <c r="C164" s="1578" t="s">
        <v>894</v>
      </c>
      <c r="D164" s="1579"/>
      <c r="E164" s="1581" t="s">
        <v>889</v>
      </c>
      <c r="F164" s="1577" t="s">
        <v>879</v>
      </c>
      <c r="G164" s="1577" t="s">
        <v>880</v>
      </c>
      <c r="H164" s="1577" t="s">
        <v>881</v>
      </c>
      <c r="I164" s="1578" t="s">
        <v>893</v>
      </c>
      <c r="J164" s="1579"/>
      <c r="K164" s="1577" t="s">
        <v>879</v>
      </c>
      <c r="L164" s="1577" t="s">
        <v>880</v>
      </c>
      <c r="M164" s="1577" t="s">
        <v>881</v>
      </c>
      <c r="N164" s="1577" t="s">
        <v>882</v>
      </c>
      <c r="O164" s="1577" t="s">
        <v>880</v>
      </c>
      <c r="P164" s="1577" t="s">
        <v>881</v>
      </c>
    </row>
    <row r="165" spans="1:16" ht="12.75">
      <c r="A165" s="1577"/>
      <c r="B165" s="1580"/>
      <c r="C165" s="794" t="s">
        <v>1</v>
      </c>
      <c r="D165" s="794" t="s">
        <v>883</v>
      </c>
      <c r="E165" s="1581"/>
      <c r="F165" s="1577"/>
      <c r="G165" s="1577"/>
      <c r="H165" s="1577"/>
      <c r="I165" s="794" t="s">
        <v>884</v>
      </c>
      <c r="J165" s="794" t="s">
        <v>885</v>
      </c>
      <c r="K165" s="1577"/>
      <c r="L165" s="1577"/>
      <c r="M165" s="1577"/>
      <c r="N165" s="1577"/>
      <c r="O165" s="1577"/>
      <c r="P165" s="1577"/>
    </row>
    <row r="166" spans="1:16" ht="12.75">
      <c r="A166" s="22">
        <v>1</v>
      </c>
      <c r="B166" s="27" t="s">
        <v>1081</v>
      </c>
      <c r="C166" s="22"/>
      <c r="D166" s="22"/>
      <c r="E166" s="22"/>
      <c r="F166" s="22"/>
      <c r="G166" s="22"/>
      <c r="H166" s="22" t="s">
        <v>886</v>
      </c>
      <c r="I166" s="22"/>
      <c r="J166" s="22"/>
      <c r="K166" s="22"/>
      <c r="L166" s="22"/>
      <c r="M166" s="22"/>
      <c r="N166" s="793">
        <v>8026</v>
      </c>
      <c r="O166" s="22">
        <v>136.7078</v>
      </c>
      <c r="P166" s="617">
        <f aca="true" t="shared" si="12" ref="P166:P182">N166*O166</f>
        <v>1097216.8028</v>
      </c>
    </row>
    <row r="167" spans="1:16" ht="12.75">
      <c r="A167" s="22">
        <v>2</v>
      </c>
      <c r="B167" s="81" t="s">
        <v>209</v>
      </c>
      <c r="C167" s="22"/>
      <c r="D167" s="22"/>
      <c r="E167" s="22" t="s">
        <v>1082</v>
      </c>
      <c r="F167" s="22">
        <v>22150</v>
      </c>
      <c r="G167" s="22">
        <f>H167/F167</f>
        <v>150.054927765237</v>
      </c>
      <c r="H167" s="617">
        <v>3323716.65</v>
      </c>
      <c r="I167" s="22"/>
      <c r="J167" s="22"/>
      <c r="K167" s="617">
        <v>23218.2</v>
      </c>
      <c r="L167" s="22">
        <f>M167/K167</f>
        <v>150</v>
      </c>
      <c r="M167" s="617">
        <v>3482730</v>
      </c>
      <c r="N167" s="793">
        <f aca="true" t="shared" si="13" ref="N167:N182">N166+F167-K167</f>
        <v>6957.799999999999</v>
      </c>
      <c r="O167" s="22">
        <f aca="true" t="shared" si="14" ref="O167:O182">(P166+H167)/(N166+F167)</f>
        <v>146.50495270413575</v>
      </c>
      <c r="P167" s="617">
        <f t="shared" si="12"/>
        <v>1019352.1599248355</v>
      </c>
    </row>
    <row r="168" spans="1:16" ht="12.75">
      <c r="A168" s="22">
        <v>3</v>
      </c>
      <c r="B168" s="81" t="s">
        <v>244</v>
      </c>
      <c r="C168" s="22"/>
      <c r="D168" s="22"/>
      <c r="E168" s="22" t="s">
        <v>1082</v>
      </c>
      <c r="F168" s="617">
        <v>19270</v>
      </c>
      <c r="G168" s="22">
        <f>H168/F168</f>
        <v>151.2026466009341</v>
      </c>
      <c r="H168" s="617">
        <v>2913675</v>
      </c>
      <c r="I168" s="22"/>
      <c r="J168" s="22"/>
      <c r="K168" s="617">
        <v>14384.8</v>
      </c>
      <c r="L168" s="22">
        <f>M168/K168</f>
        <v>150</v>
      </c>
      <c r="M168" s="617">
        <v>2157720</v>
      </c>
      <c r="N168" s="793">
        <f t="shared" si="13"/>
        <v>11843</v>
      </c>
      <c r="O168" s="22">
        <f t="shared" si="14"/>
        <v>149.95642638440265</v>
      </c>
      <c r="P168" s="617">
        <f t="shared" si="12"/>
        <v>1775933.9576704805</v>
      </c>
    </row>
    <row r="169" spans="1:16" ht="12.75">
      <c r="A169" s="22">
        <v>4</v>
      </c>
      <c r="B169" s="81" t="s">
        <v>210</v>
      </c>
      <c r="C169" s="22"/>
      <c r="D169" s="22"/>
      <c r="E169" s="22" t="s">
        <v>1082</v>
      </c>
      <c r="F169" s="22">
        <v>12870</v>
      </c>
      <c r="G169" s="22">
        <f>H169/F169</f>
        <v>154.93589743589743</v>
      </c>
      <c r="H169" s="617">
        <v>1994025</v>
      </c>
      <c r="I169" s="22"/>
      <c r="J169" s="22"/>
      <c r="K169" s="22">
        <v>15770.5</v>
      </c>
      <c r="L169" s="22">
        <f>M169/K169</f>
        <v>150</v>
      </c>
      <c r="M169" s="617">
        <v>2365575</v>
      </c>
      <c r="N169" s="793">
        <f t="shared" si="13"/>
        <v>8942.5</v>
      </c>
      <c r="O169" s="22">
        <f t="shared" si="14"/>
        <v>152.5496280366803</v>
      </c>
      <c r="P169" s="617">
        <f t="shared" si="12"/>
        <v>1364175.0487180136</v>
      </c>
    </row>
    <row r="170" spans="1:16" ht="12.75">
      <c r="A170" s="22">
        <v>5</v>
      </c>
      <c r="B170" s="81" t="s">
        <v>1292</v>
      </c>
      <c r="C170" s="22"/>
      <c r="D170" s="22"/>
      <c r="E170" s="22" t="s">
        <v>1082</v>
      </c>
      <c r="F170" s="22">
        <v>30010</v>
      </c>
      <c r="G170" s="22">
        <f>H170/F170</f>
        <v>158.80817460846384</v>
      </c>
      <c r="H170" s="617">
        <v>4765833.32</v>
      </c>
      <c r="I170" s="22"/>
      <c r="J170" s="22"/>
      <c r="K170" s="22">
        <v>22942</v>
      </c>
      <c r="L170" s="22">
        <f>M170/K170</f>
        <v>150</v>
      </c>
      <c r="M170" s="617">
        <v>3441300</v>
      </c>
      <c r="N170" s="793">
        <f t="shared" si="13"/>
        <v>16010.5</v>
      </c>
      <c r="O170" s="22">
        <f t="shared" si="14"/>
        <v>157.37137202279735</v>
      </c>
      <c r="P170" s="617">
        <f t="shared" si="12"/>
        <v>2519594.351770997</v>
      </c>
    </row>
    <row r="171" spans="1:16" ht="12.75">
      <c r="A171" s="22">
        <v>6</v>
      </c>
      <c r="B171" s="22" t="s">
        <v>212</v>
      </c>
      <c r="C171" s="22">
        <v>85</v>
      </c>
      <c r="D171" s="22">
        <v>2.05</v>
      </c>
      <c r="E171" s="22" t="s">
        <v>1082</v>
      </c>
      <c r="F171" s="22">
        <v>6400</v>
      </c>
      <c r="G171" s="22">
        <f aca="true" t="shared" si="15" ref="G171:G234">H171/F171</f>
        <v>160</v>
      </c>
      <c r="H171" s="617">
        <v>1024000</v>
      </c>
      <c r="I171" s="22">
        <v>175</v>
      </c>
      <c r="J171" s="22">
        <v>2.05</v>
      </c>
      <c r="K171" s="22">
        <v>28.66</v>
      </c>
      <c r="L171" s="22">
        <v>160</v>
      </c>
      <c r="M171" s="617">
        <f aca="true" t="shared" si="16" ref="M171:M233">K171*L171</f>
        <v>4585.6</v>
      </c>
      <c r="N171" s="793">
        <f t="shared" si="13"/>
        <v>22381.84</v>
      </c>
      <c r="O171" s="22">
        <f t="shared" si="14"/>
        <v>158.12205670426795</v>
      </c>
      <c r="P171" s="617">
        <f t="shared" si="12"/>
        <v>3539062.5736258524</v>
      </c>
    </row>
    <row r="172" spans="1:16" ht="12.75">
      <c r="A172" s="22">
        <v>7</v>
      </c>
      <c r="B172" s="22"/>
      <c r="C172" s="22">
        <v>97</v>
      </c>
      <c r="D172" s="22">
        <v>18.05</v>
      </c>
      <c r="E172" s="22" t="s">
        <v>1082</v>
      </c>
      <c r="F172" s="22">
        <v>7060</v>
      </c>
      <c r="G172" s="22">
        <f t="shared" si="15"/>
        <v>154.1666657223796</v>
      </c>
      <c r="H172" s="617">
        <v>1088416.66</v>
      </c>
      <c r="I172" s="22">
        <v>176</v>
      </c>
      <c r="J172" s="22">
        <v>3.05</v>
      </c>
      <c r="K172" s="22">
        <v>1420</v>
      </c>
      <c r="L172" s="22">
        <v>160</v>
      </c>
      <c r="M172" s="617">
        <f t="shared" si="16"/>
        <v>227200</v>
      </c>
      <c r="N172" s="793">
        <f t="shared" si="13"/>
        <v>28021.84</v>
      </c>
      <c r="O172" s="22">
        <f t="shared" si="14"/>
        <v>157.1735745329046</v>
      </c>
      <c r="P172" s="617">
        <f t="shared" si="12"/>
        <v>4404292.7577891275</v>
      </c>
    </row>
    <row r="173" spans="1:16" ht="12.75">
      <c r="A173" s="22">
        <v>8</v>
      </c>
      <c r="B173" s="22"/>
      <c r="C173" s="22">
        <v>36</v>
      </c>
      <c r="D173" s="22">
        <v>28.05</v>
      </c>
      <c r="E173" s="22" t="s">
        <v>1082</v>
      </c>
      <c r="F173" s="22">
        <v>5950</v>
      </c>
      <c r="G173" s="22">
        <f t="shared" si="15"/>
        <v>150</v>
      </c>
      <c r="H173" s="617">
        <v>892500</v>
      </c>
      <c r="I173" s="22">
        <v>183</v>
      </c>
      <c r="J173" s="22">
        <v>8.05</v>
      </c>
      <c r="K173" s="22">
        <v>3680</v>
      </c>
      <c r="L173" s="22">
        <v>160</v>
      </c>
      <c r="M173" s="617">
        <f t="shared" si="16"/>
        <v>588800</v>
      </c>
      <c r="N173" s="793">
        <f t="shared" si="13"/>
        <v>30291.839999999997</v>
      </c>
      <c r="O173" s="22">
        <f t="shared" si="14"/>
        <v>155.91715838144557</v>
      </c>
      <c r="P173" s="617">
        <f t="shared" si="12"/>
        <v>4723017.614945408</v>
      </c>
    </row>
    <row r="174" spans="1:16" ht="12.75">
      <c r="A174" s="22">
        <v>9</v>
      </c>
      <c r="B174" s="81" t="s">
        <v>213</v>
      </c>
      <c r="C174" s="22">
        <v>300</v>
      </c>
      <c r="D174" s="22">
        <v>7.06</v>
      </c>
      <c r="E174" s="22" t="s">
        <v>1082</v>
      </c>
      <c r="F174" s="1274">
        <v>5170</v>
      </c>
      <c r="G174" s="22">
        <f t="shared" si="15"/>
        <v>148.3333268858801</v>
      </c>
      <c r="H174" s="617">
        <v>766883.3</v>
      </c>
      <c r="I174" s="22">
        <v>186</v>
      </c>
      <c r="J174" s="22">
        <v>9.05</v>
      </c>
      <c r="K174" s="617">
        <v>100</v>
      </c>
      <c r="L174" s="22">
        <v>160</v>
      </c>
      <c r="M174" s="617">
        <f t="shared" si="16"/>
        <v>16000</v>
      </c>
      <c r="N174" s="793">
        <f t="shared" si="13"/>
        <v>35361.84</v>
      </c>
      <c r="O174" s="22">
        <f t="shared" si="14"/>
        <v>154.81150766416545</v>
      </c>
      <c r="P174" s="617">
        <f t="shared" si="12"/>
        <v>5474419.764178991</v>
      </c>
    </row>
    <row r="175" spans="1:16" ht="12.75">
      <c r="A175" s="22">
        <v>10</v>
      </c>
      <c r="B175" s="22"/>
      <c r="C175" s="22">
        <v>693</v>
      </c>
      <c r="D175" s="22">
        <v>28.06</v>
      </c>
      <c r="E175" s="22" t="s">
        <v>1082</v>
      </c>
      <c r="F175" s="22">
        <v>12270</v>
      </c>
      <c r="G175" s="22">
        <f t="shared" si="15"/>
        <v>141.66666666666666</v>
      </c>
      <c r="H175" s="617">
        <v>1738250</v>
      </c>
      <c r="I175" s="22">
        <v>190</v>
      </c>
      <c r="J175" s="22">
        <v>14.05</v>
      </c>
      <c r="K175" s="617">
        <v>3490</v>
      </c>
      <c r="L175" s="22">
        <v>160</v>
      </c>
      <c r="M175" s="617">
        <f t="shared" si="16"/>
        <v>558400</v>
      </c>
      <c r="N175" s="793">
        <f t="shared" si="13"/>
        <v>44141.84</v>
      </c>
      <c r="O175" s="22">
        <f t="shared" si="14"/>
        <v>151.4253861320283</v>
      </c>
      <c r="P175" s="617">
        <f t="shared" si="12"/>
        <v>6684195.166578212</v>
      </c>
    </row>
    <row r="176" spans="1:16" ht="12.75">
      <c r="A176" s="22">
        <v>11</v>
      </c>
      <c r="B176" s="22"/>
      <c r="C176" s="22"/>
      <c r="D176" s="22"/>
      <c r="E176" s="22" t="s">
        <v>1082</v>
      </c>
      <c r="F176" s="22">
        <v>0</v>
      </c>
      <c r="G176" s="22" t="e">
        <f t="shared" si="15"/>
        <v>#DIV/0!</v>
      </c>
      <c r="H176" s="617">
        <v>0</v>
      </c>
      <c r="I176" s="22">
        <v>193</v>
      </c>
      <c r="J176" s="22">
        <v>17.05</v>
      </c>
      <c r="K176" s="22">
        <v>200</v>
      </c>
      <c r="L176" s="22">
        <v>154.2</v>
      </c>
      <c r="M176" s="617">
        <f t="shared" si="16"/>
        <v>30839.999999999996</v>
      </c>
      <c r="N176" s="793">
        <f t="shared" si="13"/>
        <v>43941.84</v>
      </c>
      <c r="O176" s="22">
        <f t="shared" si="14"/>
        <v>151.4253861320283</v>
      </c>
      <c r="P176" s="617">
        <f t="shared" si="12"/>
        <v>6653910.089351806</v>
      </c>
    </row>
    <row r="177" spans="1:16" ht="12.75">
      <c r="A177" s="22">
        <v>12</v>
      </c>
      <c r="B177" s="81" t="s">
        <v>214</v>
      </c>
      <c r="C177" s="22">
        <v>816</v>
      </c>
      <c r="D177" s="22">
        <v>18.07</v>
      </c>
      <c r="E177" s="22" t="s">
        <v>1082</v>
      </c>
      <c r="F177" s="22">
        <v>7151</v>
      </c>
      <c r="G177" s="22">
        <f t="shared" si="15"/>
        <v>148.3333337994686</v>
      </c>
      <c r="H177" s="617">
        <v>1060731.67</v>
      </c>
      <c r="I177" s="22">
        <v>198</v>
      </c>
      <c r="J177" s="22">
        <v>19.05</v>
      </c>
      <c r="K177" s="22">
        <v>3150</v>
      </c>
      <c r="L177" s="22">
        <v>154.2</v>
      </c>
      <c r="M177" s="617">
        <f t="shared" si="16"/>
        <v>485729.99999999994</v>
      </c>
      <c r="N177" s="793">
        <f t="shared" si="13"/>
        <v>47942.84</v>
      </c>
      <c r="O177" s="22">
        <f t="shared" si="14"/>
        <v>150.9926196968461</v>
      </c>
      <c r="P177" s="617">
        <f t="shared" si="12"/>
        <v>7239015.007306741</v>
      </c>
    </row>
    <row r="178" spans="1:16" ht="12.75">
      <c r="A178" s="22">
        <v>13</v>
      </c>
      <c r="B178" s="22"/>
      <c r="C178" s="22">
        <v>730</v>
      </c>
      <c r="D178" s="22">
        <v>4.07</v>
      </c>
      <c r="E178" s="22" t="s">
        <v>1082</v>
      </c>
      <c r="F178" s="22">
        <v>12267</v>
      </c>
      <c r="G178" s="22">
        <f t="shared" si="15"/>
        <v>145</v>
      </c>
      <c r="H178" s="617">
        <v>1778715</v>
      </c>
      <c r="I178" s="22">
        <v>199</v>
      </c>
      <c r="J178" s="22">
        <v>20.05</v>
      </c>
      <c r="K178" s="22">
        <v>120</v>
      </c>
      <c r="L178" s="22">
        <v>154.2</v>
      </c>
      <c r="M178" s="617">
        <f t="shared" si="16"/>
        <v>18504</v>
      </c>
      <c r="N178" s="793">
        <f t="shared" si="13"/>
        <v>60089.84</v>
      </c>
      <c r="O178" s="22">
        <f t="shared" si="14"/>
        <v>149.77169856798724</v>
      </c>
      <c r="P178" s="617">
        <f t="shared" si="12"/>
        <v>8999757.403478581</v>
      </c>
    </row>
    <row r="179" spans="1:16" ht="12.75">
      <c r="A179" s="22">
        <v>14</v>
      </c>
      <c r="B179" s="22"/>
      <c r="C179" s="22">
        <v>794</v>
      </c>
      <c r="D179" s="22">
        <v>13.07</v>
      </c>
      <c r="E179" s="22" t="s">
        <v>1082</v>
      </c>
      <c r="F179" s="22">
        <v>5075</v>
      </c>
      <c r="G179" s="22">
        <f t="shared" si="15"/>
        <v>148.3333339901478</v>
      </c>
      <c r="H179" s="617">
        <v>752791.67</v>
      </c>
      <c r="I179" s="22">
        <v>200</v>
      </c>
      <c r="J179" s="22">
        <v>21.05</v>
      </c>
      <c r="K179" s="22">
        <v>500</v>
      </c>
      <c r="L179" s="22">
        <v>154.1</v>
      </c>
      <c r="M179" s="617">
        <f t="shared" si="16"/>
        <v>77050</v>
      </c>
      <c r="N179" s="793">
        <f t="shared" si="13"/>
        <v>64664.84</v>
      </c>
      <c r="O179" s="22">
        <f t="shared" si="14"/>
        <v>149.6596795676715</v>
      </c>
      <c r="P179" s="617">
        <f t="shared" si="12"/>
        <v>9677719.233694747</v>
      </c>
    </row>
    <row r="180" spans="1:16" ht="12.75">
      <c r="A180" s="22">
        <v>15</v>
      </c>
      <c r="B180" s="22"/>
      <c r="C180" s="22"/>
      <c r="D180" s="22"/>
      <c r="E180" s="22" t="s">
        <v>1082</v>
      </c>
      <c r="F180" s="617">
        <v>0</v>
      </c>
      <c r="G180" s="22" t="e">
        <f t="shared" si="15"/>
        <v>#DIV/0!</v>
      </c>
      <c r="H180" s="617">
        <v>0</v>
      </c>
      <c r="I180" s="22">
        <v>203</v>
      </c>
      <c r="J180" s="22">
        <v>23.05</v>
      </c>
      <c r="K180" s="22">
        <v>2360</v>
      </c>
      <c r="L180" s="22">
        <v>154.2</v>
      </c>
      <c r="M180" s="617">
        <f t="shared" si="16"/>
        <v>363912</v>
      </c>
      <c r="N180" s="793">
        <f t="shared" si="13"/>
        <v>62304.84</v>
      </c>
      <c r="O180" s="22">
        <f t="shared" si="14"/>
        <v>149.6596795676715</v>
      </c>
      <c r="P180" s="617">
        <f t="shared" si="12"/>
        <v>9324522.389915042</v>
      </c>
    </row>
    <row r="181" spans="1:16" ht="12.75">
      <c r="A181" s="22">
        <v>16</v>
      </c>
      <c r="B181" s="22"/>
      <c r="C181" s="22"/>
      <c r="D181" s="22"/>
      <c r="E181" s="22" t="s">
        <v>1082</v>
      </c>
      <c r="F181" s="22">
        <v>0</v>
      </c>
      <c r="G181" s="22" t="e">
        <f t="shared" si="15"/>
        <v>#DIV/0!</v>
      </c>
      <c r="H181" s="617">
        <v>0</v>
      </c>
      <c r="I181" s="22">
        <v>205</v>
      </c>
      <c r="J181" s="22">
        <v>25.05</v>
      </c>
      <c r="K181" s="22">
        <v>432</v>
      </c>
      <c r="L181" s="22">
        <v>154.3</v>
      </c>
      <c r="M181" s="617">
        <f t="shared" si="16"/>
        <v>66657.6</v>
      </c>
      <c r="N181" s="793">
        <f t="shared" si="13"/>
        <v>61872.84</v>
      </c>
      <c r="O181" s="22">
        <f t="shared" si="14"/>
        <v>149.6596795676715</v>
      </c>
      <c r="P181" s="617">
        <f t="shared" si="12"/>
        <v>9259869.408341808</v>
      </c>
    </row>
    <row r="182" spans="1:16" ht="12.75">
      <c r="A182" s="22">
        <v>17</v>
      </c>
      <c r="B182" s="22"/>
      <c r="C182" s="22"/>
      <c r="D182" s="22"/>
      <c r="E182" s="22" t="s">
        <v>1082</v>
      </c>
      <c r="F182" s="22">
        <v>0</v>
      </c>
      <c r="G182" s="22" t="e">
        <f t="shared" si="15"/>
        <v>#DIV/0!</v>
      </c>
      <c r="H182" s="617">
        <v>0</v>
      </c>
      <c r="I182" s="22">
        <v>209</v>
      </c>
      <c r="J182" s="22">
        <v>27.05</v>
      </c>
      <c r="K182" s="22">
        <v>3860</v>
      </c>
      <c r="L182" s="22">
        <v>148.3</v>
      </c>
      <c r="M182" s="617">
        <f t="shared" si="16"/>
        <v>572438</v>
      </c>
      <c r="N182" s="793">
        <f t="shared" si="13"/>
        <v>58012.84</v>
      </c>
      <c r="O182" s="22">
        <f t="shared" si="14"/>
        <v>149.6596795676715</v>
      </c>
      <c r="P182" s="617">
        <f t="shared" si="12"/>
        <v>8682183.045210596</v>
      </c>
    </row>
    <row r="183" spans="1:16" ht="12.75">
      <c r="A183" s="22">
        <v>18</v>
      </c>
      <c r="B183" s="22"/>
      <c r="C183" s="22"/>
      <c r="D183" s="22"/>
      <c r="E183" s="22" t="s">
        <v>1082</v>
      </c>
      <c r="F183" s="22">
        <v>0</v>
      </c>
      <c r="G183" s="22" t="e">
        <f aca="true" t="shared" si="17" ref="G183:G188">H183/F183</f>
        <v>#DIV/0!</v>
      </c>
      <c r="H183" s="617">
        <v>0</v>
      </c>
      <c r="I183" s="22">
        <v>212</v>
      </c>
      <c r="J183" s="22">
        <v>29.05</v>
      </c>
      <c r="K183" s="22">
        <v>1780</v>
      </c>
      <c r="L183" s="22">
        <v>148.3</v>
      </c>
      <c r="M183" s="617">
        <f aca="true" t="shared" si="18" ref="M183:M188">K183*L183</f>
        <v>263974</v>
      </c>
      <c r="N183" s="793">
        <f aca="true" t="shared" si="19" ref="N183:N188">N182+F183-K183</f>
        <v>56232.84</v>
      </c>
      <c r="O183" s="22">
        <f aca="true" t="shared" si="20" ref="O183:O188">(P182+H183)/(N182+F183)</f>
        <v>149.6596795676715</v>
      </c>
      <c r="P183" s="617">
        <f aca="true" t="shared" si="21" ref="P183:P188">N183*O183</f>
        <v>8415788.81558014</v>
      </c>
    </row>
    <row r="184" spans="1:16" ht="12.75">
      <c r="A184" s="22">
        <v>19</v>
      </c>
      <c r="B184" s="22"/>
      <c r="C184" s="22"/>
      <c r="D184" s="22"/>
      <c r="E184" s="22" t="s">
        <v>1082</v>
      </c>
      <c r="F184" s="22">
        <v>0</v>
      </c>
      <c r="G184" s="22" t="e">
        <f t="shared" si="17"/>
        <v>#DIV/0!</v>
      </c>
      <c r="H184" s="617">
        <v>0</v>
      </c>
      <c r="I184" s="22">
        <v>213</v>
      </c>
      <c r="J184" s="22">
        <v>29.05</v>
      </c>
      <c r="K184" s="22">
        <v>171</v>
      </c>
      <c r="L184" s="22">
        <v>157.236</v>
      </c>
      <c r="M184" s="617">
        <f t="shared" si="18"/>
        <v>26887.356</v>
      </c>
      <c r="N184" s="793">
        <f t="shared" si="19"/>
        <v>56061.84</v>
      </c>
      <c r="O184" s="22">
        <f t="shared" si="20"/>
        <v>149.6596795676715</v>
      </c>
      <c r="P184" s="617">
        <f t="shared" si="21"/>
        <v>8390197.01037407</v>
      </c>
    </row>
    <row r="185" spans="1:16" ht="12.75">
      <c r="A185" s="22">
        <v>20</v>
      </c>
      <c r="B185" s="22"/>
      <c r="C185" s="22"/>
      <c r="D185" s="22"/>
      <c r="E185" s="22" t="s">
        <v>1082</v>
      </c>
      <c r="F185" s="22">
        <v>0</v>
      </c>
      <c r="G185" s="22" t="e">
        <f t="shared" si="17"/>
        <v>#DIV/0!</v>
      </c>
      <c r="H185" s="617">
        <v>0</v>
      </c>
      <c r="I185" s="22">
        <v>215</v>
      </c>
      <c r="J185" s="22">
        <v>31.05</v>
      </c>
      <c r="K185" s="22">
        <v>80</v>
      </c>
      <c r="L185" s="22">
        <v>160</v>
      </c>
      <c r="M185" s="617">
        <f t="shared" si="18"/>
        <v>12800</v>
      </c>
      <c r="N185" s="793">
        <f t="shared" si="19"/>
        <v>55981.84</v>
      </c>
      <c r="O185" s="22">
        <f t="shared" si="20"/>
        <v>149.6596795676715</v>
      </c>
      <c r="P185" s="617">
        <f t="shared" si="21"/>
        <v>8378224.236008654</v>
      </c>
    </row>
    <row r="186" spans="1:16" ht="12.75">
      <c r="A186" s="22">
        <v>21</v>
      </c>
      <c r="B186" s="22"/>
      <c r="C186" s="22"/>
      <c r="D186" s="22"/>
      <c r="E186" s="22" t="s">
        <v>1082</v>
      </c>
      <c r="F186" s="22">
        <v>0</v>
      </c>
      <c r="G186" s="22" t="e">
        <f t="shared" si="17"/>
        <v>#DIV/0!</v>
      </c>
      <c r="H186" s="617">
        <v>0</v>
      </c>
      <c r="I186" s="22">
        <v>217</v>
      </c>
      <c r="J186" s="22">
        <v>31.05</v>
      </c>
      <c r="K186" s="22">
        <v>2350</v>
      </c>
      <c r="L186" s="22">
        <v>148.3</v>
      </c>
      <c r="M186" s="617">
        <f t="shared" si="18"/>
        <v>348505</v>
      </c>
      <c r="N186" s="793">
        <f t="shared" si="19"/>
        <v>53631.84</v>
      </c>
      <c r="O186" s="22">
        <f t="shared" si="20"/>
        <v>149.6596795676715</v>
      </c>
      <c r="P186" s="617">
        <f t="shared" si="21"/>
        <v>8026523.989024627</v>
      </c>
    </row>
    <row r="187" spans="1:16" ht="12.75">
      <c r="A187" s="22">
        <v>22</v>
      </c>
      <c r="B187" s="22"/>
      <c r="C187" s="22"/>
      <c r="D187" s="22"/>
      <c r="E187" s="22" t="s">
        <v>1082</v>
      </c>
      <c r="F187" s="22">
        <v>0</v>
      </c>
      <c r="G187" s="22" t="e">
        <f t="shared" si="17"/>
        <v>#DIV/0!</v>
      </c>
      <c r="H187" s="617">
        <v>0</v>
      </c>
      <c r="I187" s="22"/>
      <c r="J187" s="22"/>
      <c r="K187" s="22"/>
      <c r="L187" s="22"/>
      <c r="M187" s="617">
        <f t="shared" si="18"/>
        <v>0</v>
      </c>
      <c r="N187" s="793">
        <f t="shared" si="19"/>
        <v>53631.84</v>
      </c>
      <c r="O187" s="22">
        <f t="shared" si="20"/>
        <v>149.6596795676715</v>
      </c>
      <c r="P187" s="617">
        <f t="shared" si="21"/>
        <v>8026523.989024627</v>
      </c>
    </row>
    <row r="188" spans="1:16" ht="12.75">
      <c r="A188" s="22">
        <v>23</v>
      </c>
      <c r="B188" s="22"/>
      <c r="C188" s="22"/>
      <c r="D188" s="22"/>
      <c r="E188" s="22" t="s">
        <v>1082</v>
      </c>
      <c r="F188" s="22">
        <v>0</v>
      </c>
      <c r="G188" s="22" t="e">
        <f t="shared" si="17"/>
        <v>#DIV/0!</v>
      </c>
      <c r="H188" s="617">
        <v>0</v>
      </c>
      <c r="I188" s="22">
        <v>218</v>
      </c>
      <c r="J188" s="22">
        <v>1.06</v>
      </c>
      <c r="K188" s="22">
        <v>150</v>
      </c>
      <c r="L188" s="22">
        <v>148.3</v>
      </c>
      <c r="M188" s="617">
        <f t="shared" si="18"/>
        <v>22245</v>
      </c>
      <c r="N188" s="793">
        <f t="shared" si="19"/>
        <v>53481.84</v>
      </c>
      <c r="O188" s="22">
        <f t="shared" si="20"/>
        <v>149.6596795676715</v>
      </c>
      <c r="P188" s="617">
        <f t="shared" si="21"/>
        <v>8004075.037089476</v>
      </c>
    </row>
    <row r="189" spans="1:16" ht="12.75">
      <c r="A189" s="22">
        <v>24</v>
      </c>
      <c r="B189" s="22"/>
      <c r="C189" s="22"/>
      <c r="D189" s="22"/>
      <c r="E189" s="22" t="s">
        <v>1082</v>
      </c>
      <c r="F189" s="22">
        <v>0</v>
      </c>
      <c r="G189" s="22" t="e">
        <f t="shared" si="15"/>
        <v>#DIV/0!</v>
      </c>
      <c r="H189" s="617">
        <v>0</v>
      </c>
      <c r="I189" s="22">
        <v>219</v>
      </c>
      <c r="J189" s="22">
        <v>3.06</v>
      </c>
      <c r="K189" s="22">
        <v>2400</v>
      </c>
      <c r="L189" s="22">
        <v>148.3</v>
      </c>
      <c r="M189" s="617">
        <f t="shared" si="16"/>
        <v>355920</v>
      </c>
      <c r="N189" s="793">
        <f>N183+F189-K189</f>
        <v>53832.84</v>
      </c>
      <c r="O189" s="22">
        <f>(P183+H189)/(N183+F189)</f>
        <v>149.6596795676715</v>
      </c>
      <c r="P189" s="617">
        <f aca="true" t="shared" si="22" ref="P189:P196">N189*O189</f>
        <v>8056605.584617728</v>
      </c>
    </row>
    <row r="190" spans="1:16" ht="12.75">
      <c r="A190" s="22">
        <v>25</v>
      </c>
      <c r="B190" s="22"/>
      <c r="C190" s="22"/>
      <c r="D190" s="22"/>
      <c r="E190" s="22" t="s">
        <v>1082</v>
      </c>
      <c r="F190" s="22">
        <v>0</v>
      </c>
      <c r="G190" s="22" t="e">
        <f t="shared" si="15"/>
        <v>#DIV/0!</v>
      </c>
      <c r="H190" s="617">
        <v>0</v>
      </c>
      <c r="I190" s="22">
        <v>220</v>
      </c>
      <c r="J190" s="22">
        <v>4.06</v>
      </c>
      <c r="K190" s="22">
        <v>1000</v>
      </c>
      <c r="L190" s="22">
        <v>148.3</v>
      </c>
      <c r="M190" s="617">
        <f t="shared" si="16"/>
        <v>148300</v>
      </c>
      <c r="N190" s="793">
        <f aca="true" t="shared" si="23" ref="N190:N196">N189+F190-K190</f>
        <v>52832.84</v>
      </c>
      <c r="O190" s="22">
        <f aca="true" t="shared" si="24" ref="O190:O196">(P189+H190)/(N189+F190)</f>
        <v>149.6596795676715</v>
      </c>
      <c r="P190" s="617">
        <f t="shared" si="22"/>
        <v>7906945.905050057</v>
      </c>
    </row>
    <row r="191" spans="1:16" ht="12.75">
      <c r="A191" s="22">
        <v>26</v>
      </c>
      <c r="B191" s="22"/>
      <c r="C191" s="22"/>
      <c r="D191" s="22"/>
      <c r="E191" s="22" t="s">
        <v>1082</v>
      </c>
      <c r="F191" s="617">
        <v>0</v>
      </c>
      <c r="G191" s="22" t="e">
        <f t="shared" si="15"/>
        <v>#DIV/0!</v>
      </c>
      <c r="H191" s="617">
        <v>0</v>
      </c>
      <c r="I191" s="22">
        <v>223</v>
      </c>
      <c r="J191" s="22">
        <v>5.06</v>
      </c>
      <c r="K191" s="22">
        <v>55.12</v>
      </c>
      <c r="L191" s="22">
        <v>151.18</v>
      </c>
      <c r="M191" s="617">
        <f t="shared" si="16"/>
        <v>8333.0416</v>
      </c>
      <c r="N191" s="793">
        <f t="shared" si="23"/>
        <v>52777.719999999994</v>
      </c>
      <c r="O191" s="22">
        <f t="shared" si="24"/>
        <v>149.6596795676715</v>
      </c>
      <c r="P191" s="617">
        <f t="shared" si="22"/>
        <v>7898696.663512287</v>
      </c>
    </row>
    <row r="192" spans="1:16" ht="12.75">
      <c r="A192" s="22">
        <v>27</v>
      </c>
      <c r="B192" s="22"/>
      <c r="C192" s="22"/>
      <c r="D192" s="22"/>
      <c r="E192" s="22" t="s">
        <v>1082</v>
      </c>
      <c r="F192" s="22">
        <v>0</v>
      </c>
      <c r="G192" s="22" t="e">
        <f t="shared" si="15"/>
        <v>#DIV/0!</v>
      </c>
      <c r="H192" s="617">
        <v>0</v>
      </c>
      <c r="I192" s="22">
        <v>224</v>
      </c>
      <c r="J192" s="22">
        <v>5.06</v>
      </c>
      <c r="K192" s="22">
        <v>1650</v>
      </c>
      <c r="L192" s="22">
        <v>148.3</v>
      </c>
      <c r="M192" s="617">
        <f t="shared" si="16"/>
        <v>244695.00000000003</v>
      </c>
      <c r="N192" s="793">
        <f t="shared" si="23"/>
        <v>51127.719999999994</v>
      </c>
      <c r="O192" s="22">
        <f t="shared" si="24"/>
        <v>149.6596795676715</v>
      </c>
      <c r="P192" s="617">
        <f t="shared" si="22"/>
        <v>7651758.1922256285</v>
      </c>
    </row>
    <row r="193" spans="1:16" ht="12.75">
      <c r="A193" s="22">
        <v>28</v>
      </c>
      <c r="B193" s="22"/>
      <c r="C193" s="22"/>
      <c r="D193" s="22"/>
      <c r="E193" s="22" t="s">
        <v>1082</v>
      </c>
      <c r="F193" s="22">
        <v>0</v>
      </c>
      <c r="G193" s="22" t="e">
        <f t="shared" si="15"/>
        <v>#DIV/0!</v>
      </c>
      <c r="H193" s="617">
        <v>0</v>
      </c>
      <c r="I193" s="22">
        <v>226</v>
      </c>
      <c r="J193" s="22">
        <v>7.06</v>
      </c>
      <c r="K193" s="22">
        <v>80</v>
      </c>
      <c r="L193" s="22">
        <v>148.3</v>
      </c>
      <c r="M193" s="617">
        <f t="shared" si="16"/>
        <v>11864</v>
      </c>
      <c r="N193" s="793">
        <f t="shared" si="23"/>
        <v>51047.719999999994</v>
      </c>
      <c r="O193" s="22">
        <f t="shared" si="24"/>
        <v>149.6596795676715</v>
      </c>
      <c r="P193" s="617">
        <f t="shared" si="22"/>
        <v>7639785.417860215</v>
      </c>
    </row>
    <row r="194" spans="1:16" ht="12.75">
      <c r="A194" s="22">
        <v>29</v>
      </c>
      <c r="B194" s="22"/>
      <c r="C194" s="22"/>
      <c r="D194" s="22"/>
      <c r="E194" s="22" t="s">
        <v>1082</v>
      </c>
      <c r="F194" s="22">
        <v>0</v>
      </c>
      <c r="G194" s="22" t="e">
        <f t="shared" si="15"/>
        <v>#DIV/0!</v>
      </c>
      <c r="H194" s="617">
        <v>0</v>
      </c>
      <c r="I194" s="22">
        <v>230</v>
      </c>
      <c r="J194" s="22">
        <v>9.06</v>
      </c>
      <c r="K194" s="22">
        <v>2430</v>
      </c>
      <c r="L194" s="22">
        <v>148.3</v>
      </c>
      <c r="M194" s="617">
        <f t="shared" si="16"/>
        <v>360369</v>
      </c>
      <c r="N194" s="793">
        <f t="shared" si="23"/>
        <v>48617.719999999994</v>
      </c>
      <c r="O194" s="22">
        <f t="shared" si="24"/>
        <v>149.6596795676715</v>
      </c>
      <c r="P194" s="617">
        <f t="shared" si="22"/>
        <v>7276112.396510773</v>
      </c>
    </row>
    <row r="195" spans="1:16" ht="12.75">
      <c r="A195" s="22">
        <v>30</v>
      </c>
      <c r="B195" s="22"/>
      <c r="C195" s="22"/>
      <c r="D195" s="22"/>
      <c r="E195" s="22" t="s">
        <v>1082</v>
      </c>
      <c r="F195" s="22">
        <v>0</v>
      </c>
      <c r="G195" s="22" t="e">
        <f t="shared" si="15"/>
        <v>#DIV/0!</v>
      </c>
      <c r="H195" s="617">
        <v>0</v>
      </c>
      <c r="I195" s="22">
        <v>231</v>
      </c>
      <c r="J195" s="22">
        <v>11.06</v>
      </c>
      <c r="K195" s="22">
        <v>80</v>
      </c>
      <c r="L195" s="22">
        <v>148.3</v>
      </c>
      <c r="M195" s="617">
        <f t="shared" si="16"/>
        <v>11864</v>
      </c>
      <c r="N195" s="793">
        <f t="shared" si="23"/>
        <v>48537.719999999994</v>
      </c>
      <c r="O195" s="22">
        <f t="shared" si="24"/>
        <v>149.6596795676715</v>
      </c>
      <c r="P195" s="617">
        <f t="shared" si="22"/>
        <v>7264139.622145359</v>
      </c>
    </row>
    <row r="196" spans="1:16" ht="12.75">
      <c r="A196" s="22">
        <v>31</v>
      </c>
      <c r="B196" s="22"/>
      <c r="C196" s="22"/>
      <c r="D196" s="22"/>
      <c r="E196" s="22" t="s">
        <v>1082</v>
      </c>
      <c r="F196" s="22">
        <v>0</v>
      </c>
      <c r="G196" s="22" t="e">
        <f t="shared" si="15"/>
        <v>#DIV/0!</v>
      </c>
      <c r="H196" s="617">
        <v>0</v>
      </c>
      <c r="I196" s="22">
        <v>234</v>
      </c>
      <c r="J196" s="22">
        <v>12.06</v>
      </c>
      <c r="K196" s="22">
        <v>2760</v>
      </c>
      <c r="L196" s="22">
        <v>148.3</v>
      </c>
      <c r="M196" s="617">
        <f t="shared" si="16"/>
        <v>409308.00000000006</v>
      </c>
      <c r="N196" s="793">
        <f t="shared" si="23"/>
        <v>45777.719999999994</v>
      </c>
      <c r="O196" s="22">
        <f t="shared" si="24"/>
        <v>149.6596795676715</v>
      </c>
      <c r="P196" s="617">
        <f t="shared" si="22"/>
        <v>6851078.906538586</v>
      </c>
    </row>
    <row r="197" spans="1:16" ht="12.75">
      <c r="A197" s="22">
        <v>32</v>
      </c>
      <c r="B197" s="22"/>
      <c r="C197" s="22"/>
      <c r="D197" s="22"/>
      <c r="E197" s="22" t="s">
        <v>1082</v>
      </c>
      <c r="F197" s="22"/>
      <c r="G197" s="22" t="e">
        <f t="shared" si="15"/>
        <v>#DIV/0!</v>
      </c>
      <c r="H197" s="617">
        <v>0</v>
      </c>
      <c r="I197" s="22">
        <v>238</v>
      </c>
      <c r="J197" s="22">
        <v>14.06</v>
      </c>
      <c r="K197" s="22">
        <v>100</v>
      </c>
      <c r="L197" s="22">
        <v>148.3</v>
      </c>
      <c r="M197" s="617">
        <f t="shared" si="16"/>
        <v>14830.000000000002</v>
      </c>
      <c r="N197" s="793">
        <f aca="true" t="shared" si="25" ref="N197:N231">N196+F197-K197</f>
        <v>45677.719999999994</v>
      </c>
      <c r="O197" s="22">
        <f aca="true" t="shared" si="26" ref="O197:O231">(P196+H197)/(N196+F197)</f>
        <v>149.6596795676715</v>
      </c>
      <c r="P197" s="617">
        <f aca="true" t="shared" si="27" ref="P197:P231">N197*O197</f>
        <v>6836112.938581819</v>
      </c>
    </row>
    <row r="198" spans="1:16" ht="12.75">
      <c r="A198" s="22">
        <v>33</v>
      </c>
      <c r="B198" s="22"/>
      <c r="C198" s="22"/>
      <c r="D198" s="22"/>
      <c r="E198" s="22" t="s">
        <v>1082</v>
      </c>
      <c r="F198" s="22"/>
      <c r="G198" s="22" t="e">
        <f t="shared" si="15"/>
        <v>#DIV/0!</v>
      </c>
      <c r="H198" s="617">
        <v>0</v>
      </c>
      <c r="I198" s="22">
        <v>241</v>
      </c>
      <c r="J198" s="22">
        <v>16.06</v>
      </c>
      <c r="K198" s="22">
        <v>2730</v>
      </c>
      <c r="L198" s="22">
        <v>148.3</v>
      </c>
      <c r="M198" s="617">
        <f t="shared" si="16"/>
        <v>404859.00000000006</v>
      </c>
      <c r="N198" s="793">
        <f t="shared" si="25"/>
        <v>42947.719999999994</v>
      </c>
      <c r="O198" s="22">
        <f t="shared" si="26"/>
        <v>149.6596795676715</v>
      </c>
      <c r="P198" s="617">
        <f t="shared" si="27"/>
        <v>6427542.013362076</v>
      </c>
    </row>
    <row r="199" spans="1:16" ht="12.75">
      <c r="A199" s="22">
        <v>34</v>
      </c>
      <c r="B199" s="22"/>
      <c r="C199" s="22"/>
      <c r="D199" s="22"/>
      <c r="E199" s="22" t="s">
        <v>1082</v>
      </c>
      <c r="F199" s="22"/>
      <c r="G199" s="22" t="e">
        <f t="shared" si="15"/>
        <v>#DIV/0!</v>
      </c>
      <c r="H199" s="617">
        <v>0</v>
      </c>
      <c r="I199" s="22">
        <v>245</v>
      </c>
      <c r="J199" s="22">
        <v>20.06</v>
      </c>
      <c r="K199" s="22">
        <v>2120</v>
      </c>
      <c r="L199" s="22">
        <v>148.3</v>
      </c>
      <c r="M199" s="617">
        <f t="shared" si="16"/>
        <v>314396</v>
      </c>
      <c r="N199" s="793">
        <f t="shared" si="25"/>
        <v>40827.719999999994</v>
      </c>
      <c r="O199" s="22">
        <f t="shared" si="26"/>
        <v>149.6596795676715</v>
      </c>
      <c r="P199" s="617">
        <f t="shared" si="27"/>
        <v>6110263.4926786125</v>
      </c>
    </row>
    <row r="200" spans="1:16" ht="12.75">
      <c r="A200" s="22">
        <v>35</v>
      </c>
      <c r="B200" s="22"/>
      <c r="C200" s="22"/>
      <c r="D200" s="22"/>
      <c r="E200" s="22" t="s">
        <v>1082</v>
      </c>
      <c r="F200" s="22"/>
      <c r="G200" s="22" t="e">
        <f t="shared" si="15"/>
        <v>#DIV/0!</v>
      </c>
      <c r="H200" s="617">
        <v>0</v>
      </c>
      <c r="I200" s="22">
        <v>248</v>
      </c>
      <c r="J200" s="22">
        <v>22.06</v>
      </c>
      <c r="K200" s="22">
        <v>34.3</v>
      </c>
      <c r="L200" s="22">
        <v>145.8</v>
      </c>
      <c r="M200" s="617">
        <f t="shared" si="16"/>
        <v>5000.94</v>
      </c>
      <c r="N200" s="793">
        <f t="shared" si="25"/>
        <v>40793.41999999999</v>
      </c>
      <c r="O200" s="22">
        <f t="shared" si="26"/>
        <v>149.6596795676715</v>
      </c>
      <c r="P200" s="617">
        <f t="shared" si="27"/>
        <v>6105130.16566944</v>
      </c>
    </row>
    <row r="201" spans="1:16" ht="12.75">
      <c r="A201" s="22">
        <v>36</v>
      </c>
      <c r="B201" s="22"/>
      <c r="C201" s="22"/>
      <c r="D201" s="22"/>
      <c r="E201" s="22" t="s">
        <v>1082</v>
      </c>
      <c r="F201" s="22"/>
      <c r="G201" s="22" t="e">
        <f t="shared" si="15"/>
        <v>#DIV/0!</v>
      </c>
      <c r="H201" s="617">
        <v>0</v>
      </c>
      <c r="I201" s="22">
        <v>250</v>
      </c>
      <c r="J201" s="22">
        <v>24.06</v>
      </c>
      <c r="K201" s="22">
        <v>2340</v>
      </c>
      <c r="L201" s="22">
        <v>145.8</v>
      </c>
      <c r="M201" s="617">
        <f t="shared" si="16"/>
        <v>341172</v>
      </c>
      <c r="N201" s="793">
        <f t="shared" si="25"/>
        <v>38453.41999999999</v>
      </c>
      <c r="O201" s="22">
        <f t="shared" si="26"/>
        <v>149.6596795676715</v>
      </c>
      <c r="P201" s="617">
        <f t="shared" si="27"/>
        <v>5754926.515481089</v>
      </c>
    </row>
    <row r="202" spans="1:16" ht="12.75">
      <c r="A202" s="22">
        <v>37</v>
      </c>
      <c r="B202" s="22"/>
      <c r="C202" s="22"/>
      <c r="D202" s="22"/>
      <c r="E202" s="22" t="s">
        <v>1082</v>
      </c>
      <c r="F202" s="22"/>
      <c r="G202" s="22" t="e">
        <f t="shared" si="15"/>
        <v>#DIV/0!</v>
      </c>
      <c r="H202" s="617">
        <v>0</v>
      </c>
      <c r="I202" s="22">
        <v>255</v>
      </c>
      <c r="J202" s="22">
        <v>27.06</v>
      </c>
      <c r="K202" s="22">
        <v>1920</v>
      </c>
      <c r="L202" s="22">
        <v>145.8</v>
      </c>
      <c r="M202" s="617">
        <f t="shared" si="16"/>
        <v>279936</v>
      </c>
      <c r="N202" s="793">
        <f t="shared" si="25"/>
        <v>36533.41999999999</v>
      </c>
      <c r="O202" s="22">
        <f t="shared" si="26"/>
        <v>149.6596795676715</v>
      </c>
      <c r="P202" s="617">
        <f t="shared" si="27"/>
        <v>5467579.93071116</v>
      </c>
    </row>
    <row r="203" spans="1:16" ht="12.75">
      <c r="A203" s="22">
        <v>38</v>
      </c>
      <c r="B203" s="22"/>
      <c r="C203" s="22"/>
      <c r="D203" s="22"/>
      <c r="E203" s="22" t="s">
        <v>1082</v>
      </c>
      <c r="F203" s="22"/>
      <c r="G203" s="22" t="e">
        <f t="shared" si="15"/>
        <v>#DIV/0!</v>
      </c>
      <c r="H203" s="617">
        <v>0</v>
      </c>
      <c r="I203" s="22">
        <v>259</v>
      </c>
      <c r="J203" s="22">
        <v>29.06</v>
      </c>
      <c r="K203" s="22">
        <v>136</v>
      </c>
      <c r="L203" s="22">
        <v>145.5</v>
      </c>
      <c r="M203" s="617">
        <f t="shared" si="16"/>
        <v>19788</v>
      </c>
      <c r="N203" s="793">
        <f t="shared" si="25"/>
        <v>36397.41999999999</v>
      </c>
      <c r="O203" s="22">
        <f t="shared" si="26"/>
        <v>149.6596795676715</v>
      </c>
      <c r="P203" s="617">
        <f t="shared" si="27"/>
        <v>5447226.214289957</v>
      </c>
    </row>
    <row r="204" spans="1:16" ht="12.75">
      <c r="A204" s="22">
        <v>39</v>
      </c>
      <c r="B204" s="22"/>
      <c r="C204" s="22"/>
      <c r="D204" s="22"/>
      <c r="E204" s="22" t="s">
        <v>1082</v>
      </c>
      <c r="F204" s="22"/>
      <c r="G204" s="22" t="e">
        <f t="shared" si="15"/>
        <v>#DIV/0!</v>
      </c>
      <c r="H204" s="617">
        <v>0</v>
      </c>
      <c r="I204" s="22">
        <v>260</v>
      </c>
      <c r="J204" s="22">
        <v>29.06</v>
      </c>
      <c r="K204" s="22">
        <v>459</v>
      </c>
      <c r="L204" s="22">
        <v>145.2</v>
      </c>
      <c r="M204" s="617">
        <f t="shared" si="16"/>
        <v>66646.79999999999</v>
      </c>
      <c r="N204" s="793">
        <f t="shared" si="25"/>
        <v>35938.41999999999</v>
      </c>
      <c r="O204" s="22">
        <f t="shared" si="26"/>
        <v>149.6596795676715</v>
      </c>
      <c r="P204" s="617">
        <f t="shared" si="27"/>
        <v>5378532.421368396</v>
      </c>
    </row>
    <row r="205" spans="1:16" ht="12.75">
      <c r="A205" s="22">
        <v>40</v>
      </c>
      <c r="B205" s="22"/>
      <c r="C205" s="22"/>
      <c r="D205" s="22"/>
      <c r="E205" s="22" t="s">
        <v>1082</v>
      </c>
      <c r="F205" s="22"/>
      <c r="G205" s="22" t="e">
        <f t="shared" si="15"/>
        <v>#DIV/0!</v>
      </c>
      <c r="H205" s="617">
        <v>0</v>
      </c>
      <c r="I205" s="22">
        <v>262</v>
      </c>
      <c r="J205" s="22">
        <v>30.06</v>
      </c>
      <c r="K205" s="22">
        <v>30</v>
      </c>
      <c r="L205" s="22">
        <v>148.3</v>
      </c>
      <c r="M205" s="617">
        <f t="shared" si="16"/>
        <v>4449</v>
      </c>
      <c r="N205" s="793">
        <f t="shared" si="25"/>
        <v>35908.41999999999</v>
      </c>
      <c r="O205" s="22">
        <f t="shared" si="26"/>
        <v>149.6596795676715</v>
      </c>
      <c r="P205" s="617">
        <f t="shared" si="27"/>
        <v>5374042.630981365</v>
      </c>
    </row>
    <row r="206" spans="1:16" ht="12.75">
      <c r="A206" s="22">
        <v>41</v>
      </c>
      <c r="B206" s="22"/>
      <c r="C206" s="22"/>
      <c r="D206" s="22"/>
      <c r="E206" s="22" t="s">
        <v>1082</v>
      </c>
      <c r="F206" s="22"/>
      <c r="G206" s="22" t="e">
        <f t="shared" si="15"/>
        <v>#DIV/0!</v>
      </c>
      <c r="H206" s="617">
        <v>0</v>
      </c>
      <c r="I206" s="22">
        <v>264</v>
      </c>
      <c r="J206" s="22">
        <v>30.06</v>
      </c>
      <c r="K206" s="22">
        <v>1370</v>
      </c>
      <c r="L206" s="22">
        <v>145</v>
      </c>
      <c r="M206" s="617">
        <f t="shared" si="16"/>
        <v>198650</v>
      </c>
      <c r="N206" s="793">
        <f t="shared" si="25"/>
        <v>34538.41999999999</v>
      </c>
      <c r="O206" s="22">
        <f t="shared" si="26"/>
        <v>149.6596795676715</v>
      </c>
      <c r="P206" s="617">
        <f t="shared" si="27"/>
        <v>5169008.869973656</v>
      </c>
    </row>
    <row r="207" spans="1:16" ht="12.75">
      <c r="A207" s="22">
        <v>42</v>
      </c>
      <c r="B207" s="22"/>
      <c r="C207" s="22"/>
      <c r="D207" s="22"/>
      <c r="E207" s="22" t="s">
        <v>1082</v>
      </c>
      <c r="F207" s="22"/>
      <c r="G207" s="22" t="e">
        <f t="shared" si="15"/>
        <v>#DIV/0!</v>
      </c>
      <c r="H207" s="617">
        <v>0</v>
      </c>
      <c r="I207" s="22"/>
      <c r="J207" s="22"/>
      <c r="K207" s="22"/>
      <c r="L207" s="22"/>
      <c r="M207" s="617">
        <f t="shared" si="16"/>
        <v>0</v>
      </c>
      <c r="N207" s="793">
        <f t="shared" si="25"/>
        <v>34538.41999999999</v>
      </c>
      <c r="O207" s="22">
        <f t="shared" si="26"/>
        <v>149.6596795676715</v>
      </c>
      <c r="P207" s="617">
        <f t="shared" si="27"/>
        <v>5169008.869973656</v>
      </c>
    </row>
    <row r="208" spans="1:16" ht="12.75">
      <c r="A208" s="22">
        <v>43</v>
      </c>
      <c r="B208" s="22"/>
      <c r="C208" s="22"/>
      <c r="D208" s="22"/>
      <c r="E208" s="22" t="s">
        <v>1082</v>
      </c>
      <c r="F208" s="22"/>
      <c r="G208" s="22" t="e">
        <f t="shared" si="15"/>
        <v>#DIV/0!</v>
      </c>
      <c r="H208" s="617">
        <v>0</v>
      </c>
      <c r="I208" s="22">
        <v>267</v>
      </c>
      <c r="J208" s="22">
        <v>4.07</v>
      </c>
      <c r="K208" s="22">
        <v>1600</v>
      </c>
      <c r="L208" s="22">
        <v>145</v>
      </c>
      <c r="M208" s="617">
        <f t="shared" si="16"/>
        <v>232000</v>
      </c>
      <c r="N208" s="793">
        <f t="shared" si="25"/>
        <v>32938.41999999999</v>
      </c>
      <c r="O208" s="22">
        <f t="shared" si="26"/>
        <v>149.6596795676715</v>
      </c>
      <c r="P208" s="617">
        <f t="shared" si="27"/>
        <v>4929553.382665381</v>
      </c>
    </row>
    <row r="209" spans="1:16" ht="12.75">
      <c r="A209" s="22">
        <v>44</v>
      </c>
      <c r="B209" s="22"/>
      <c r="C209" s="22"/>
      <c r="D209" s="22"/>
      <c r="E209" s="22" t="s">
        <v>1082</v>
      </c>
      <c r="F209" s="22"/>
      <c r="G209" s="22" t="e">
        <f t="shared" si="15"/>
        <v>#DIV/0!</v>
      </c>
      <c r="H209" s="617">
        <v>0</v>
      </c>
      <c r="I209" s="22">
        <v>281</v>
      </c>
      <c r="J209" s="22">
        <v>10.07</v>
      </c>
      <c r="K209" s="22">
        <v>450</v>
      </c>
      <c r="L209" s="22">
        <v>148.3</v>
      </c>
      <c r="M209" s="617">
        <f t="shared" si="16"/>
        <v>66735</v>
      </c>
      <c r="N209" s="793">
        <f t="shared" si="25"/>
        <v>32488.41999999999</v>
      </c>
      <c r="O209" s="22">
        <f t="shared" si="26"/>
        <v>149.6596795676715</v>
      </c>
      <c r="P209" s="617">
        <f t="shared" si="27"/>
        <v>4862206.526859929</v>
      </c>
    </row>
    <row r="210" spans="1:16" ht="12.75">
      <c r="A210" s="22">
        <v>45</v>
      </c>
      <c r="B210" s="22"/>
      <c r="C210" s="22"/>
      <c r="D210" s="22"/>
      <c r="E210" s="22" t="s">
        <v>1082</v>
      </c>
      <c r="F210" s="22"/>
      <c r="G210" s="22" t="e">
        <f t="shared" si="15"/>
        <v>#DIV/0!</v>
      </c>
      <c r="H210" s="617">
        <v>0</v>
      </c>
      <c r="I210" s="22">
        <v>287</v>
      </c>
      <c r="J210" s="22">
        <v>10.07</v>
      </c>
      <c r="K210" s="22">
        <v>2420</v>
      </c>
      <c r="L210" s="22">
        <v>145</v>
      </c>
      <c r="M210" s="617">
        <f t="shared" si="16"/>
        <v>350900</v>
      </c>
      <c r="N210" s="793">
        <f t="shared" si="25"/>
        <v>30068.41999999999</v>
      </c>
      <c r="O210" s="22">
        <f t="shared" si="26"/>
        <v>149.6596795676715</v>
      </c>
      <c r="P210" s="617">
        <f t="shared" si="27"/>
        <v>4500030.102306164</v>
      </c>
    </row>
    <row r="211" spans="1:16" ht="12.75">
      <c r="A211" s="22">
        <v>46</v>
      </c>
      <c r="B211" s="22"/>
      <c r="C211" s="22"/>
      <c r="D211" s="22"/>
      <c r="E211" s="22" t="s">
        <v>1082</v>
      </c>
      <c r="F211" s="22"/>
      <c r="G211" s="22" t="e">
        <f t="shared" si="15"/>
        <v>#DIV/0!</v>
      </c>
      <c r="H211" s="617">
        <v>0</v>
      </c>
      <c r="I211" s="22">
        <v>294</v>
      </c>
      <c r="J211" s="22">
        <v>15.07</v>
      </c>
      <c r="K211" s="22">
        <v>2960</v>
      </c>
      <c r="L211" s="22">
        <v>148.3</v>
      </c>
      <c r="M211" s="617">
        <f t="shared" si="16"/>
        <v>438968.00000000006</v>
      </c>
      <c r="N211" s="793">
        <f t="shared" si="25"/>
        <v>27108.41999999999</v>
      </c>
      <c r="O211" s="22">
        <f t="shared" si="26"/>
        <v>149.6596795676715</v>
      </c>
      <c r="P211" s="617">
        <f t="shared" si="27"/>
        <v>4057037.450785856</v>
      </c>
    </row>
    <row r="212" spans="1:16" ht="12.75">
      <c r="A212" s="22">
        <v>47</v>
      </c>
      <c r="B212" s="22"/>
      <c r="C212" s="22"/>
      <c r="D212" s="22"/>
      <c r="E212" s="22" t="s">
        <v>1082</v>
      </c>
      <c r="F212" s="22"/>
      <c r="G212" s="22" t="e">
        <f t="shared" si="15"/>
        <v>#DIV/0!</v>
      </c>
      <c r="H212" s="617">
        <v>0</v>
      </c>
      <c r="I212" s="22">
        <v>300</v>
      </c>
      <c r="J212" s="22">
        <v>18.07</v>
      </c>
      <c r="K212" s="22">
        <v>2684</v>
      </c>
      <c r="L212" s="22">
        <v>151.7</v>
      </c>
      <c r="M212" s="617">
        <f t="shared" si="16"/>
        <v>407162.8</v>
      </c>
      <c r="N212" s="793">
        <f t="shared" si="25"/>
        <v>24424.41999999999</v>
      </c>
      <c r="O212" s="22">
        <f t="shared" si="26"/>
        <v>149.6596795676715</v>
      </c>
      <c r="P212" s="617">
        <f t="shared" si="27"/>
        <v>3655350.8708262257</v>
      </c>
    </row>
    <row r="213" spans="1:16" ht="12.75">
      <c r="A213" s="22">
        <v>48</v>
      </c>
      <c r="B213" s="22"/>
      <c r="C213" s="22"/>
      <c r="D213" s="22"/>
      <c r="E213" s="22" t="s">
        <v>1082</v>
      </c>
      <c r="F213" s="22"/>
      <c r="G213" s="22" t="e">
        <f t="shared" si="15"/>
        <v>#DIV/0!</v>
      </c>
      <c r="H213" s="617">
        <v>0</v>
      </c>
      <c r="I213" s="22">
        <v>303</v>
      </c>
      <c r="J213" s="22">
        <v>20.07</v>
      </c>
      <c r="K213" s="22">
        <v>400</v>
      </c>
      <c r="L213" s="22">
        <v>151.7</v>
      </c>
      <c r="M213" s="617">
        <f t="shared" si="16"/>
        <v>60679.99999999999</v>
      </c>
      <c r="N213" s="793">
        <f t="shared" si="25"/>
        <v>24024.41999999999</v>
      </c>
      <c r="O213" s="22">
        <f t="shared" si="26"/>
        <v>149.6596795676715</v>
      </c>
      <c r="P213" s="617">
        <f t="shared" si="27"/>
        <v>3595486.9989991575</v>
      </c>
    </row>
    <row r="214" spans="1:16" ht="12.75">
      <c r="A214" s="22">
        <v>49</v>
      </c>
      <c r="B214" s="22"/>
      <c r="C214" s="22"/>
      <c r="D214" s="22"/>
      <c r="E214" s="22" t="s">
        <v>1082</v>
      </c>
      <c r="F214" s="22"/>
      <c r="G214" s="22" t="e">
        <f t="shared" si="15"/>
        <v>#DIV/0!</v>
      </c>
      <c r="H214" s="617">
        <v>0</v>
      </c>
      <c r="I214" s="22">
        <v>304</v>
      </c>
      <c r="J214" s="22">
        <v>21.07</v>
      </c>
      <c r="K214" s="22">
        <v>2350</v>
      </c>
      <c r="L214" s="22">
        <v>151.7</v>
      </c>
      <c r="M214" s="617">
        <f t="shared" si="16"/>
        <v>356495</v>
      </c>
      <c r="N214" s="793">
        <f t="shared" si="25"/>
        <v>21674.41999999999</v>
      </c>
      <c r="O214" s="22">
        <f t="shared" si="26"/>
        <v>149.6596795676715</v>
      </c>
      <c r="P214" s="617">
        <f t="shared" si="27"/>
        <v>3243786.752015129</v>
      </c>
    </row>
    <row r="215" spans="1:16" ht="12.75">
      <c r="A215" s="22">
        <v>50</v>
      </c>
      <c r="B215" s="22"/>
      <c r="C215" s="22"/>
      <c r="D215" s="22"/>
      <c r="E215" s="22" t="s">
        <v>1082</v>
      </c>
      <c r="F215" s="22"/>
      <c r="G215" s="22" t="e">
        <f t="shared" si="15"/>
        <v>#DIV/0!</v>
      </c>
      <c r="H215" s="617">
        <v>0</v>
      </c>
      <c r="I215" s="22">
        <v>305</v>
      </c>
      <c r="J215" s="22">
        <v>22.07</v>
      </c>
      <c r="K215" s="22">
        <v>151</v>
      </c>
      <c r="L215" s="22">
        <v>150.89</v>
      </c>
      <c r="M215" s="617">
        <f t="shared" si="16"/>
        <v>22784.39</v>
      </c>
      <c r="N215" s="793">
        <f t="shared" si="25"/>
        <v>21523.41999999999</v>
      </c>
      <c r="O215" s="22">
        <f t="shared" si="26"/>
        <v>149.6596795676715</v>
      </c>
      <c r="P215" s="617">
        <f t="shared" si="27"/>
        <v>3221188.1404004106</v>
      </c>
    </row>
    <row r="216" spans="1:16" ht="12.75">
      <c r="A216" s="22">
        <v>51</v>
      </c>
      <c r="B216" s="22"/>
      <c r="C216" s="22"/>
      <c r="D216" s="22"/>
      <c r="E216" s="22" t="s">
        <v>1082</v>
      </c>
      <c r="F216" s="22"/>
      <c r="G216" s="22" t="e">
        <f t="shared" si="15"/>
        <v>#DIV/0!</v>
      </c>
      <c r="H216" s="617">
        <v>0</v>
      </c>
      <c r="I216" s="22">
        <v>308</v>
      </c>
      <c r="J216" s="22">
        <v>24.07</v>
      </c>
      <c r="K216" s="22">
        <v>200</v>
      </c>
      <c r="L216" s="22">
        <v>155</v>
      </c>
      <c r="M216" s="617">
        <f t="shared" si="16"/>
        <v>31000</v>
      </c>
      <c r="N216" s="793">
        <f t="shared" si="25"/>
        <v>21323.41999999999</v>
      </c>
      <c r="O216" s="22">
        <f t="shared" si="26"/>
        <v>149.6596795676715</v>
      </c>
      <c r="P216" s="617">
        <f t="shared" si="27"/>
        <v>3191256.2044868767</v>
      </c>
    </row>
    <row r="217" spans="1:16" ht="12.75">
      <c r="A217" s="22">
        <v>52</v>
      </c>
      <c r="B217" s="22"/>
      <c r="C217" s="22"/>
      <c r="D217" s="22"/>
      <c r="E217" s="22" t="s">
        <v>1082</v>
      </c>
      <c r="F217" s="22"/>
      <c r="G217" s="22" t="e">
        <f t="shared" si="15"/>
        <v>#DIV/0!</v>
      </c>
      <c r="H217" s="617">
        <v>0</v>
      </c>
      <c r="I217" s="22">
        <v>309</v>
      </c>
      <c r="J217" s="22">
        <v>25.07</v>
      </c>
      <c r="K217" s="22">
        <v>2560</v>
      </c>
      <c r="L217" s="22">
        <v>155</v>
      </c>
      <c r="M217" s="617">
        <f t="shared" si="16"/>
        <v>396800</v>
      </c>
      <c r="N217" s="793">
        <f t="shared" si="25"/>
        <v>18763.41999999999</v>
      </c>
      <c r="O217" s="22">
        <f t="shared" si="26"/>
        <v>149.6596795676715</v>
      </c>
      <c r="P217" s="617">
        <f t="shared" si="27"/>
        <v>2808127.4247936374</v>
      </c>
    </row>
    <row r="218" spans="1:16" ht="12.75">
      <c r="A218" s="22">
        <v>53</v>
      </c>
      <c r="B218" s="22"/>
      <c r="C218" s="22"/>
      <c r="D218" s="22"/>
      <c r="E218" s="22" t="s">
        <v>1082</v>
      </c>
      <c r="F218" s="22"/>
      <c r="G218" s="22" t="e">
        <f t="shared" si="15"/>
        <v>#DIV/0!</v>
      </c>
      <c r="H218" s="617">
        <v>0</v>
      </c>
      <c r="I218" s="22">
        <v>311</v>
      </c>
      <c r="J218" s="22">
        <v>25.07</v>
      </c>
      <c r="K218" s="22">
        <v>60</v>
      </c>
      <c r="L218" s="22">
        <v>155</v>
      </c>
      <c r="M218" s="617">
        <f t="shared" si="16"/>
        <v>9300</v>
      </c>
      <c r="N218" s="793">
        <f t="shared" si="25"/>
        <v>18703.41999999999</v>
      </c>
      <c r="O218" s="22">
        <f t="shared" si="26"/>
        <v>149.6596795676715</v>
      </c>
      <c r="P218" s="617">
        <f t="shared" si="27"/>
        <v>2799147.8440195774</v>
      </c>
    </row>
    <row r="219" spans="1:16" ht="12.75">
      <c r="A219" s="22">
        <v>54</v>
      </c>
      <c r="B219" s="22"/>
      <c r="C219" s="22"/>
      <c r="D219" s="22"/>
      <c r="E219" s="22" t="s">
        <v>1082</v>
      </c>
      <c r="F219" s="22"/>
      <c r="G219" s="22" t="e">
        <f t="shared" si="15"/>
        <v>#DIV/0!</v>
      </c>
      <c r="H219" s="617">
        <v>0</v>
      </c>
      <c r="I219" s="22">
        <v>313</v>
      </c>
      <c r="J219" s="22">
        <v>26.07</v>
      </c>
      <c r="K219" s="22">
        <v>80</v>
      </c>
      <c r="L219" s="22">
        <v>155</v>
      </c>
      <c r="M219" s="617">
        <f t="shared" si="16"/>
        <v>12400</v>
      </c>
      <c r="N219" s="793">
        <f t="shared" si="25"/>
        <v>18623.41999999999</v>
      </c>
      <c r="O219" s="22">
        <f t="shared" si="26"/>
        <v>149.6596795676715</v>
      </c>
      <c r="P219" s="617">
        <f t="shared" si="27"/>
        <v>2787175.0696541634</v>
      </c>
    </row>
    <row r="220" spans="1:16" ht="12.75">
      <c r="A220" s="22">
        <v>55</v>
      </c>
      <c r="B220" s="22"/>
      <c r="C220" s="22"/>
      <c r="D220" s="22"/>
      <c r="E220" s="22" t="s">
        <v>1082</v>
      </c>
      <c r="F220" s="22"/>
      <c r="G220" s="22" t="e">
        <f t="shared" si="15"/>
        <v>#DIV/0!</v>
      </c>
      <c r="H220" s="617">
        <v>0</v>
      </c>
      <c r="I220" s="22">
        <v>318</v>
      </c>
      <c r="J220" s="22">
        <v>31.07</v>
      </c>
      <c r="K220" s="22">
        <v>80</v>
      </c>
      <c r="L220" s="22">
        <v>148.3</v>
      </c>
      <c r="M220" s="617">
        <f t="shared" si="16"/>
        <v>11864</v>
      </c>
      <c r="N220" s="793">
        <f t="shared" si="25"/>
        <v>18543.41999999999</v>
      </c>
      <c r="O220" s="22">
        <f t="shared" si="26"/>
        <v>149.6596795676715</v>
      </c>
      <c r="P220" s="617">
        <f t="shared" si="27"/>
        <v>2775202.29528875</v>
      </c>
    </row>
    <row r="221" spans="1:16" ht="12.75">
      <c r="A221" s="22">
        <v>56</v>
      </c>
      <c r="B221" s="22"/>
      <c r="C221" s="22"/>
      <c r="D221" s="22"/>
      <c r="E221" s="22" t="s">
        <v>1082</v>
      </c>
      <c r="F221" s="22"/>
      <c r="G221" s="22" t="e">
        <f t="shared" si="15"/>
        <v>#DIV/0!</v>
      </c>
      <c r="H221" s="617">
        <v>0</v>
      </c>
      <c r="I221" s="22">
        <v>319</v>
      </c>
      <c r="J221" s="22">
        <v>31.07</v>
      </c>
      <c r="K221" s="22">
        <v>340</v>
      </c>
      <c r="L221" s="22">
        <v>155</v>
      </c>
      <c r="M221" s="617">
        <f t="shared" si="16"/>
        <v>52700</v>
      </c>
      <c r="N221" s="793">
        <f t="shared" si="25"/>
        <v>18203.41999999999</v>
      </c>
      <c r="O221" s="22">
        <f t="shared" si="26"/>
        <v>149.6596795676715</v>
      </c>
      <c r="P221" s="617">
        <f t="shared" si="27"/>
        <v>2724318.004235741</v>
      </c>
    </row>
    <row r="222" spans="1:16" ht="12.75">
      <c r="A222" s="22">
        <v>57</v>
      </c>
      <c r="B222" s="22"/>
      <c r="C222" s="22"/>
      <c r="D222" s="22"/>
      <c r="E222" s="22" t="s">
        <v>1082</v>
      </c>
      <c r="F222" s="22"/>
      <c r="G222" s="22" t="e">
        <f t="shared" si="15"/>
        <v>#DIV/0!</v>
      </c>
      <c r="H222" s="617">
        <v>0</v>
      </c>
      <c r="I222" s="22">
        <v>320</v>
      </c>
      <c r="J222" s="22">
        <v>31.07</v>
      </c>
      <c r="K222" s="22">
        <v>3670</v>
      </c>
      <c r="L222" s="22">
        <v>155</v>
      </c>
      <c r="M222" s="617">
        <f t="shared" si="16"/>
        <v>568850</v>
      </c>
      <c r="N222" s="793">
        <f t="shared" si="25"/>
        <v>14533.419999999991</v>
      </c>
      <c r="O222" s="22">
        <f t="shared" si="26"/>
        <v>149.6596795676715</v>
      </c>
      <c r="P222" s="617">
        <f t="shared" si="27"/>
        <v>2175066.9802223872</v>
      </c>
    </row>
    <row r="223" spans="1:16" ht="12.75">
      <c r="A223" s="22">
        <v>58</v>
      </c>
      <c r="B223" s="22"/>
      <c r="C223" s="22"/>
      <c r="D223" s="22"/>
      <c r="E223" s="22" t="s">
        <v>1082</v>
      </c>
      <c r="F223" s="22"/>
      <c r="G223" s="22" t="e">
        <f t="shared" si="15"/>
        <v>#DIV/0!</v>
      </c>
      <c r="H223" s="617">
        <v>0</v>
      </c>
      <c r="I223" s="22"/>
      <c r="J223" s="22"/>
      <c r="K223" s="22"/>
      <c r="L223" s="22"/>
      <c r="M223" s="617">
        <f t="shared" si="16"/>
        <v>0</v>
      </c>
      <c r="N223" s="793">
        <f t="shared" si="25"/>
        <v>14533.419999999991</v>
      </c>
      <c r="O223" s="22">
        <f t="shared" si="26"/>
        <v>149.65967956767153</v>
      </c>
      <c r="P223" s="617">
        <f t="shared" si="27"/>
        <v>2175066.9802223872</v>
      </c>
    </row>
    <row r="224" spans="1:16" ht="12.75">
      <c r="A224" s="22">
        <v>59</v>
      </c>
      <c r="B224" s="22"/>
      <c r="C224" s="22"/>
      <c r="D224" s="22"/>
      <c r="E224" s="22" t="s">
        <v>1082</v>
      </c>
      <c r="F224" s="617">
        <v>0</v>
      </c>
      <c r="G224" s="22" t="e">
        <f t="shared" si="15"/>
        <v>#DIV/0!</v>
      </c>
      <c r="H224" s="617">
        <v>0</v>
      </c>
      <c r="I224" s="22"/>
      <c r="J224" s="22"/>
      <c r="K224" s="22"/>
      <c r="L224" s="22"/>
      <c r="M224" s="617">
        <f t="shared" si="16"/>
        <v>0</v>
      </c>
      <c r="N224" s="793">
        <f t="shared" si="25"/>
        <v>14533.419999999991</v>
      </c>
      <c r="O224" s="22">
        <f t="shared" si="26"/>
        <v>149.65967956767153</v>
      </c>
      <c r="P224" s="617">
        <f t="shared" si="27"/>
        <v>2175066.9802223872</v>
      </c>
    </row>
    <row r="225" spans="1:16" ht="12.75">
      <c r="A225" s="22">
        <v>60</v>
      </c>
      <c r="B225" s="22"/>
      <c r="C225" s="22"/>
      <c r="D225" s="22"/>
      <c r="E225" s="22" t="s">
        <v>1082</v>
      </c>
      <c r="F225" s="22">
        <v>0</v>
      </c>
      <c r="G225" s="22" t="e">
        <f t="shared" si="15"/>
        <v>#DIV/0!</v>
      </c>
      <c r="H225" s="617">
        <v>0</v>
      </c>
      <c r="I225" s="22"/>
      <c r="J225" s="22"/>
      <c r="K225" s="22"/>
      <c r="L225" s="22"/>
      <c r="M225" s="617">
        <f t="shared" si="16"/>
        <v>0</v>
      </c>
      <c r="N225" s="793">
        <f t="shared" si="25"/>
        <v>14533.419999999991</v>
      </c>
      <c r="O225" s="22">
        <f t="shared" si="26"/>
        <v>149.65967956767153</v>
      </c>
      <c r="P225" s="617">
        <f t="shared" si="27"/>
        <v>2175066.9802223872</v>
      </c>
    </row>
    <row r="226" spans="1:16" ht="12.75">
      <c r="A226" s="22">
        <v>61</v>
      </c>
      <c r="B226" s="22"/>
      <c r="C226" s="22"/>
      <c r="D226" s="22"/>
      <c r="E226" s="22" t="s">
        <v>1082</v>
      </c>
      <c r="F226" s="22">
        <v>0</v>
      </c>
      <c r="G226" s="22" t="e">
        <f t="shared" si="15"/>
        <v>#DIV/0!</v>
      </c>
      <c r="H226" s="617">
        <v>0</v>
      </c>
      <c r="I226" s="22"/>
      <c r="J226" s="22"/>
      <c r="K226" s="22"/>
      <c r="L226" s="22"/>
      <c r="M226" s="617">
        <f t="shared" si="16"/>
        <v>0</v>
      </c>
      <c r="N226" s="793">
        <f t="shared" si="25"/>
        <v>14533.419999999991</v>
      </c>
      <c r="O226" s="22">
        <f t="shared" si="26"/>
        <v>149.65967956767153</v>
      </c>
      <c r="P226" s="617">
        <f t="shared" si="27"/>
        <v>2175066.9802223872</v>
      </c>
    </row>
    <row r="227" spans="1:16" ht="12.75">
      <c r="A227" s="22">
        <v>62</v>
      </c>
      <c r="B227" s="22"/>
      <c r="C227" s="22"/>
      <c r="D227" s="22"/>
      <c r="E227" s="22" t="s">
        <v>1082</v>
      </c>
      <c r="F227" s="22">
        <v>0</v>
      </c>
      <c r="G227" s="22" t="e">
        <f t="shared" si="15"/>
        <v>#DIV/0!</v>
      </c>
      <c r="H227" s="617">
        <v>0</v>
      </c>
      <c r="I227" s="22"/>
      <c r="J227" s="22"/>
      <c r="K227" s="22"/>
      <c r="L227" s="22"/>
      <c r="M227" s="617">
        <f t="shared" si="16"/>
        <v>0</v>
      </c>
      <c r="N227" s="793">
        <f t="shared" si="25"/>
        <v>14533.419999999991</v>
      </c>
      <c r="O227" s="22">
        <f t="shared" si="26"/>
        <v>149.65967956767153</v>
      </c>
      <c r="P227" s="617">
        <f t="shared" si="27"/>
        <v>2175066.9802223872</v>
      </c>
    </row>
    <row r="228" spans="1:16" ht="12.75">
      <c r="A228" s="22">
        <v>63</v>
      </c>
      <c r="B228" s="22"/>
      <c r="C228" s="22"/>
      <c r="D228" s="22"/>
      <c r="E228" s="22" t="s">
        <v>1082</v>
      </c>
      <c r="F228" s="22">
        <v>0</v>
      </c>
      <c r="G228" s="22" t="e">
        <f t="shared" si="15"/>
        <v>#DIV/0!</v>
      </c>
      <c r="H228" s="617">
        <v>0</v>
      </c>
      <c r="I228" s="22"/>
      <c r="J228" s="22"/>
      <c r="K228" s="22"/>
      <c r="L228" s="22"/>
      <c r="M228" s="617">
        <f t="shared" si="16"/>
        <v>0</v>
      </c>
      <c r="N228" s="793">
        <f t="shared" si="25"/>
        <v>14533.419999999991</v>
      </c>
      <c r="O228" s="22">
        <f t="shared" si="26"/>
        <v>149.65967956767153</v>
      </c>
      <c r="P228" s="617">
        <f t="shared" si="27"/>
        <v>2175066.9802223872</v>
      </c>
    </row>
    <row r="229" spans="1:16" ht="12.75">
      <c r="A229" s="22">
        <v>64</v>
      </c>
      <c r="B229" s="22"/>
      <c r="C229" s="22"/>
      <c r="D229" s="22"/>
      <c r="E229" s="22" t="s">
        <v>1082</v>
      </c>
      <c r="F229" s="22">
        <v>0</v>
      </c>
      <c r="G229" s="22" t="e">
        <f t="shared" si="15"/>
        <v>#DIV/0!</v>
      </c>
      <c r="H229" s="617">
        <v>0</v>
      </c>
      <c r="I229" s="22"/>
      <c r="J229" s="22"/>
      <c r="K229" s="22"/>
      <c r="L229" s="22"/>
      <c r="M229" s="617">
        <f t="shared" si="16"/>
        <v>0</v>
      </c>
      <c r="N229" s="793">
        <f t="shared" si="25"/>
        <v>14533.419999999991</v>
      </c>
      <c r="O229" s="22">
        <f t="shared" si="26"/>
        <v>149.65967956767153</v>
      </c>
      <c r="P229" s="617">
        <f t="shared" si="27"/>
        <v>2175066.9802223872</v>
      </c>
    </row>
    <row r="230" spans="1:16" ht="12.75">
      <c r="A230" s="22">
        <v>65</v>
      </c>
      <c r="B230" s="22"/>
      <c r="C230" s="22"/>
      <c r="D230" s="22"/>
      <c r="E230" s="22" t="s">
        <v>1082</v>
      </c>
      <c r="F230" s="617">
        <v>0</v>
      </c>
      <c r="G230" s="22" t="e">
        <f t="shared" si="15"/>
        <v>#DIV/0!</v>
      </c>
      <c r="H230" s="617">
        <v>0</v>
      </c>
      <c r="I230" s="22"/>
      <c r="J230" s="22"/>
      <c r="K230" s="22"/>
      <c r="L230" s="22"/>
      <c r="M230" s="617">
        <f t="shared" si="16"/>
        <v>0</v>
      </c>
      <c r="N230" s="793">
        <f t="shared" si="25"/>
        <v>14533.419999999991</v>
      </c>
      <c r="O230" s="22">
        <f t="shared" si="26"/>
        <v>149.65967956767153</v>
      </c>
      <c r="P230" s="617">
        <f t="shared" si="27"/>
        <v>2175066.9802223872</v>
      </c>
    </row>
    <row r="231" spans="1:16" ht="12.75">
      <c r="A231" s="22">
        <v>66</v>
      </c>
      <c r="B231" s="22"/>
      <c r="C231" s="22"/>
      <c r="D231" s="22"/>
      <c r="E231" s="22" t="s">
        <v>1082</v>
      </c>
      <c r="F231" s="22">
        <v>0</v>
      </c>
      <c r="G231" s="22" t="e">
        <f t="shared" si="15"/>
        <v>#DIV/0!</v>
      </c>
      <c r="H231" s="617">
        <v>0</v>
      </c>
      <c r="I231" s="22"/>
      <c r="J231" s="22"/>
      <c r="K231" s="22"/>
      <c r="L231" s="22"/>
      <c r="M231" s="617">
        <f t="shared" si="16"/>
        <v>0</v>
      </c>
      <c r="N231" s="793">
        <f t="shared" si="25"/>
        <v>14533.419999999991</v>
      </c>
      <c r="O231" s="22">
        <f t="shared" si="26"/>
        <v>149.65967956767153</v>
      </c>
      <c r="P231" s="617">
        <f t="shared" si="27"/>
        <v>2175066.9802223872</v>
      </c>
    </row>
    <row r="232" spans="1:16" ht="12.75">
      <c r="A232" s="22">
        <v>67</v>
      </c>
      <c r="B232" s="22"/>
      <c r="C232" s="22"/>
      <c r="D232" s="22"/>
      <c r="E232" s="22" t="s">
        <v>1082</v>
      </c>
      <c r="F232" s="22">
        <v>0</v>
      </c>
      <c r="G232" s="22" t="e">
        <f t="shared" si="15"/>
        <v>#DIV/0!</v>
      </c>
      <c r="H232" s="617">
        <v>0</v>
      </c>
      <c r="I232" s="22"/>
      <c r="J232" s="22"/>
      <c r="K232" s="22"/>
      <c r="L232" s="22"/>
      <c r="M232" s="617">
        <f t="shared" si="16"/>
        <v>0</v>
      </c>
      <c r="N232" s="793">
        <f>N231+F232-K232</f>
        <v>14533.419999999991</v>
      </c>
      <c r="O232" s="22">
        <f>(P231+H232)/(N231+F232)</f>
        <v>149.65967956767153</v>
      </c>
      <c r="P232" s="617">
        <f>N232*O232</f>
        <v>2175066.9802223872</v>
      </c>
    </row>
    <row r="233" spans="1:16" ht="12.75">
      <c r="A233" s="22">
        <v>68</v>
      </c>
      <c r="B233" s="22"/>
      <c r="C233" s="22"/>
      <c r="D233" s="22"/>
      <c r="E233" s="22" t="s">
        <v>1082</v>
      </c>
      <c r="F233" s="22">
        <v>0</v>
      </c>
      <c r="G233" s="22" t="e">
        <f t="shared" si="15"/>
        <v>#DIV/0!</v>
      </c>
      <c r="H233" s="617">
        <v>0</v>
      </c>
      <c r="I233" s="22"/>
      <c r="J233" s="22"/>
      <c r="K233" s="22"/>
      <c r="L233" s="22"/>
      <c r="M233" s="617">
        <f t="shared" si="16"/>
        <v>0</v>
      </c>
      <c r="N233" s="793">
        <f>N232+F233-K233</f>
        <v>14533.419999999991</v>
      </c>
      <c r="O233" s="22">
        <f>(P232+H233)/(N232+F233)</f>
        <v>149.65967956767153</v>
      </c>
      <c r="P233" s="617">
        <f>N233*O233</f>
        <v>2175066.9802223872</v>
      </c>
    </row>
    <row r="234" spans="1:16" ht="12.75">
      <c r="A234" s="22">
        <v>69</v>
      </c>
      <c r="B234" s="22"/>
      <c r="C234" s="22"/>
      <c r="D234" s="22"/>
      <c r="E234" s="22" t="s">
        <v>1082</v>
      </c>
      <c r="F234" s="22">
        <f aca="true" t="shared" si="28" ref="F234:M234">SUM(F167:F233)</f>
        <v>145643</v>
      </c>
      <c r="G234" s="22">
        <f t="shared" si="15"/>
        <v>151.73773040928847</v>
      </c>
      <c r="H234" s="22">
        <f t="shared" si="28"/>
        <v>22099538.270000003</v>
      </c>
      <c r="I234" s="22">
        <f t="shared" si="28"/>
        <v>12260</v>
      </c>
      <c r="J234" s="22">
        <f t="shared" si="28"/>
        <v>921.9900000000007</v>
      </c>
      <c r="K234" s="22">
        <f t="shared" si="28"/>
        <v>141886.58000000002</v>
      </c>
      <c r="L234" s="22">
        <f t="shared" si="28"/>
        <v>8162.106000000003</v>
      </c>
      <c r="M234" s="617">
        <f t="shared" si="28"/>
        <v>21350873.527600005</v>
      </c>
      <c r="N234" s="793">
        <f>N233</f>
        <v>14533.419999999991</v>
      </c>
      <c r="O234" s="793">
        <f>O233</f>
        <v>149.65967956767153</v>
      </c>
      <c r="P234" s="793">
        <f>P233</f>
        <v>2175066.9802223872</v>
      </c>
    </row>
    <row r="237" spans="1:16" ht="12.75">
      <c r="A237" s="1577" t="s">
        <v>1</v>
      </c>
      <c r="B237" s="1580" t="s">
        <v>888</v>
      </c>
      <c r="C237" s="1577" t="s">
        <v>887</v>
      </c>
      <c r="D237" s="1577"/>
      <c r="E237" s="1577"/>
      <c r="F237" s="1577"/>
      <c r="G237" s="1577"/>
      <c r="H237" s="1577"/>
      <c r="I237" s="1577" t="s">
        <v>877</v>
      </c>
      <c r="J237" s="1577"/>
      <c r="K237" s="1577"/>
      <c r="L237" s="1577"/>
      <c r="M237" s="794"/>
      <c r="N237" s="1577" t="s">
        <v>878</v>
      </c>
      <c r="O237" s="1577"/>
      <c r="P237" s="1577"/>
    </row>
    <row r="238" spans="1:16" ht="12.75">
      <c r="A238" s="1577"/>
      <c r="B238" s="1580"/>
      <c r="C238" s="1578" t="s">
        <v>894</v>
      </c>
      <c r="D238" s="1579"/>
      <c r="E238" s="1581" t="s">
        <v>889</v>
      </c>
      <c r="F238" s="1577" t="s">
        <v>879</v>
      </c>
      <c r="G238" s="1577" t="s">
        <v>880</v>
      </c>
      <c r="H238" s="1577" t="s">
        <v>881</v>
      </c>
      <c r="I238" s="1578" t="s">
        <v>893</v>
      </c>
      <c r="J238" s="1579"/>
      <c r="K238" s="1577" t="s">
        <v>879</v>
      </c>
      <c r="L238" s="1577" t="s">
        <v>880</v>
      </c>
      <c r="M238" s="1577" t="s">
        <v>881</v>
      </c>
      <c r="N238" s="1577" t="s">
        <v>882</v>
      </c>
      <c r="O238" s="1577" t="s">
        <v>880</v>
      </c>
      <c r="P238" s="1577" t="s">
        <v>881</v>
      </c>
    </row>
    <row r="239" spans="1:16" ht="12.75">
      <c r="A239" s="1577"/>
      <c r="B239" s="1580"/>
      <c r="C239" s="794" t="s">
        <v>1</v>
      </c>
      <c r="D239" s="794" t="s">
        <v>883</v>
      </c>
      <c r="E239" s="1581"/>
      <c r="F239" s="1577"/>
      <c r="G239" s="1577"/>
      <c r="H239" s="1577"/>
      <c r="I239" s="794" t="s">
        <v>884</v>
      </c>
      <c r="J239" s="794" t="s">
        <v>885</v>
      </c>
      <c r="K239" s="1577"/>
      <c r="L239" s="1577"/>
      <c r="M239" s="1577"/>
      <c r="N239" s="1577"/>
      <c r="O239" s="1577"/>
      <c r="P239" s="1577"/>
    </row>
    <row r="240" spans="1:16" ht="12.75">
      <c r="A240" s="22">
        <v>1</v>
      </c>
      <c r="B240" s="27" t="s">
        <v>1083</v>
      </c>
      <c r="C240" s="22"/>
      <c r="D240" s="22"/>
      <c r="E240" s="22"/>
      <c r="F240" s="22"/>
      <c r="G240" s="22"/>
      <c r="H240" s="22" t="s">
        <v>886</v>
      </c>
      <c r="I240" s="22"/>
      <c r="J240" s="22"/>
      <c r="K240" s="22"/>
      <c r="L240" s="22"/>
      <c r="M240" s="22"/>
      <c r="N240" s="793">
        <v>1122</v>
      </c>
      <c r="O240" s="22">
        <v>73.3333333333</v>
      </c>
      <c r="P240" s="617">
        <f>N240*O240</f>
        <v>82279.9999999626</v>
      </c>
    </row>
    <row r="241" spans="1:16" ht="12.75">
      <c r="A241" s="22">
        <v>2</v>
      </c>
      <c r="B241" s="22"/>
      <c r="C241" s="22"/>
      <c r="D241" s="22"/>
      <c r="E241" s="22" t="s">
        <v>1082</v>
      </c>
      <c r="F241" s="22">
        <v>0</v>
      </c>
      <c r="G241" s="22" t="e">
        <f>H241/F241</f>
        <v>#DIV/0!</v>
      </c>
      <c r="H241" s="617">
        <v>0</v>
      </c>
      <c r="I241" s="22"/>
      <c r="J241" s="22"/>
      <c r="K241" s="617"/>
      <c r="L241" s="22"/>
      <c r="M241" s="617">
        <f>K241*L241</f>
        <v>0</v>
      </c>
      <c r="N241" s="793">
        <f aca="true" t="shared" si="29" ref="N241:N262">N240+F241-K241</f>
        <v>1122</v>
      </c>
      <c r="O241" s="22">
        <f aca="true" t="shared" si="30" ref="O241:O262">(P240+H241)/(N240+F241)</f>
        <v>73.3333333333</v>
      </c>
      <c r="P241" s="617">
        <f aca="true" t="shared" si="31" ref="P241:P256">N241*O241</f>
        <v>82279.9999999626</v>
      </c>
    </row>
    <row r="242" spans="1:16" ht="12.75">
      <c r="A242" s="22">
        <v>3</v>
      </c>
      <c r="B242" s="22"/>
      <c r="C242" s="22"/>
      <c r="D242" s="22"/>
      <c r="E242" s="22" t="s">
        <v>1082</v>
      </c>
      <c r="F242" s="617">
        <v>0</v>
      </c>
      <c r="G242" s="22" t="e">
        <f aca="true" t="shared" si="32" ref="G242:G280">H242/F242</f>
        <v>#DIV/0!</v>
      </c>
      <c r="H242" s="617">
        <v>0</v>
      </c>
      <c r="I242" s="22"/>
      <c r="J242" s="22"/>
      <c r="K242" s="617"/>
      <c r="L242" s="22"/>
      <c r="M242" s="617">
        <f aca="true" t="shared" si="33" ref="M242:M256">K242*L242</f>
        <v>0</v>
      </c>
      <c r="N242" s="793">
        <f t="shared" si="29"/>
        <v>1122</v>
      </c>
      <c r="O242" s="22">
        <f t="shared" si="30"/>
        <v>73.3333333333</v>
      </c>
      <c r="P242" s="617">
        <f t="shared" si="31"/>
        <v>82279.9999999626</v>
      </c>
    </row>
    <row r="243" spans="1:16" ht="12.75">
      <c r="A243" s="22">
        <v>4</v>
      </c>
      <c r="B243" s="22"/>
      <c r="C243" s="22"/>
      <c r="D243" s="22"/>
      <c r="E243" s="22" t="s">
        <v>1082</v>
      </c>
      <c r="F243" s="22">
        <v>0</v>
      </c>
      <c r="G243" s="22" t="e">
        <f t="shared" si="32"/>
        <v>#DIV/0!</v>
      </c>
      <c r="H243" s="617">
        <v>0</v>
      </c>
      <c r="I243" s="22"/>
      <c r="J243" s="22"/>
      <c r="K243" s="22"/>
      <c r="L243" s="22"/>
      <c r="M243" s="617">
        <f t="shared" si="33"/>
        <v>0</v>
      </c>
      <c r="N243" s="793">
        <f t="shared" si="29"/>
        <v>1122</v>
      </c>
      <c r="O243" s="22">
        <f t="shared" si="30"/>
        <v>73.3333333333</v>
      </c>
      <c r="P243" s="617">
        <f t="shared" si="31"/>
        <v>82279.9999999626</v>
      </c>
    </row>
    <row r="244" spans="1:16" ht="12.75">
      <c r="A244" s="22">
        <v>5</v>
      </c>
      <c r="B244" s="22"/>
      <c r="C244" s="22"/>
      <c r="D244" s="22"/>
      <c r="E244" s="22" t="s">
        <v>1082</v>
      </c>
      <c r="F244" s="22">
        <v>0</v>
      </c>
      <c r="G244" s="22" t="e">
        <f t="shared" si="32"/>
        <v>#DIV/0!</v>
      </c>
      <c r="H244" s="617">
        <v>0</v>
      </c>
      <c r="I244" s="22"/>
      <c r="J244" s="22"/>
      <c r="K244" s="22"/>
      <c r="L244" s="22"/>
      <c r="M244" s="617">
        <f t="shared" si="33"/>
        <v>0</v>
      </c>
      <c r="N244" s="793">
        <f t="shared" si="29"/>
        <v>1122</v>
      </c>
      <c r="O244" s="22">
        <f t="shared" si="30"/>
        <v>73.3333333333</v>
      </c>
      <c r="P244" s="617">
        <f t="shared" si="31"/>
        <v>82279.9999999626</v>
      </c>
    </row>
    <row r="245" spans="1:16" ht="12.75">
      <c r="A245" s="22">
        <v>6</v>
      </c>
      <c r="B245" s="22"/>
      <c r="C245" s="22"/>
      <c r="D245" s="22"/>
      <c r="E245" s="22" t="s">
        <v>1082</v>
      </c>
      <c r="F245" s="22">
        <v>0</v>
      </c>
      <c r="G245" s="22" t="e">
        <f t="shared" si="32"/>
        <v>#DIV/0!</v>
      </c>
      <c r="H245" s="617">
        <v>0</v>
      </c>
      <c r="I245" s="22"/>
      <c r="J245" s="22"/>
      <c r="K245" s="22"/>
      <c r="L245" s="22"/>
      <c r="M245" s="617">
        <f t="shared" si="33"/>
        <v>0</v>
      </c>
      <c r="N245" s="793">
        <f t="shared" si="29"/>
        <v>1122</v>
      </c>
      <c r="O245" s="22">
        <f t="shared" si="30"/>
        <v>73.3333333333</v>
      </c>
      <c r="P245" s="617">
        <f t="shared" si="31"/>
        <v>82279.9999999626</v>
      </c>
    </row>
    <row r="246" spans="1:16" ht="12.75">
      <c r="A246" s="22">
        <v>7</v>
      </c>
      <c r="B246" s="22"/>
      <c r="C246" s="22"/>
      <c r="D246" s="22"/>
      <c r="E246" s="22" t="s">
        <v>1082</v>
      </c>
      <c r="F246" s="22">
        <v>0</v>
      </c>
      <c r="G246" s="22" t="e">
        <f t="shared" si="32"/>
        <v>#DIV/0!</v>
      </c>
      <c r="H246" s="617">
        <v>0</v>
      </c>
      <c r="I246" s="22"/>
      <c r="J246" s="22"/>
      <c r="K246" s="22"/>
      <c r="L246" s="22"/>
      <c r="M246" s="617">
        <f t="shared" si="33"/>
        <v>0</v>
      </c>
      <c r="N246" s="793">
        <f t="shared" si="29"/>
        <v>1122</v>
      </c>
      <c r="O246" s="22">
        <f t="shared" si="30"/>
        <v>73.3333333333</v>
      </c>
      <c r="P246" s="617">
        <f t="shared" si="31"/>
        <v>82279.9999999626</v>
      </c>
    </row>
    <row r="247" spans="1:16" ht="12.75">
      <c r="A247" s="22">
        <v>8</v>
      </c>
      <c r="B247" s="22"/>
      <c r="C247" s="22"/>
      <c r="D247" s="22"/>
      <c r="E247" s="22" t="s">
        <v>1082</v>
      </c>
      <c r="F247" s="22">
        <v>0</v>
      </c>
      <c r="G247" s="22" t="e">
        <f t="shared" si="32"/>
        <v>#DIV/0!</v>
      </c>
      <c r="H247" s="617">
        <v>0</v>
      </c>
      <c r="I247" s="22"/>
      <c r="J247" s="22"/>
      <c r="K247" s="22"/>
      <c r="L247" s="22"/>
      <c r="M247" s="617">
        <f t="shared" si="33"/>
        <v>0</v>
      </c>
      <c r="N247" s="793">
        <f t="shared" si="29"/>
        <v>1122</v>
      </c>
      <c r="O247" s="22">
        <f t="shared" si="30"/>
        <v>73.3333333333</v>
      </c>
      <c r="P247" s="617">
        <f t="shared" si="31"/>
        <v>82279.9999999626</v>
      </c>
    </row>
    <row r="248" spans="1:16" ht="12.75">
      <c r="A248" s="22">
        <v>9</v>
      </c>
      <c r="B248" s="22"/>
      <c r="C248" s="22"/>
      <c r="D248" s="22"/>
      <c r="E248" s="22" t="s">
        <v>1082</v>
      </c>
      <c r="F248" s="617">
        <v>0</v>
      </c>
      <c r="G248" s="22" t="e">
        <f t="shared" si="32"/>
        <v>#DIV/0!</v>
      </c>
      <c r="H248" s="617">
        <v>0</v>
      </c>
      <c r="I248" s="22"/>
      <c r="J248" s="22"/>
      <c r="K248" s="617"/>
      <c r="L248" s="22"/>
      <c r="M248" s="617">
        <f t="shared" si="33"/>
        <v>0</v>
      </c>
      <c r="N248" s="793">
        <f t="shared" si="29"/>
        <v>1122</v>
      </c>
      <c r="O248" s="22">
        <f t="shared" si="30"/>
        <v>73.3333333333</v>
      </c>
      <c r="P248" s="617">
        <f t="shared" si="31"/>
        <v>82279.9999999626</v>
      </c>
    </row>
    <row r="249" spans="1:16" ht="12.75">
      <c r="A249" s="22">
        <v>10</v>
      </c>
      <c r="B249" s="22"/>
      <c r="C249" s="22"/>
      <c r="D249" s="22"/>
      <c r="E249" s="22" t="s">
        <v>1082</v>
      </c>
      <c r="F249" s="22">
        <v>0</v>
      </c>
      <c r="G249" s="22" t="e">
        <f t="shared" si="32"/>
        <v>#DIV/0!</v>
      </c>
      <c r="H249" s="617">
        <v>0</v>
      </c>
      <c r="I249" s="22"/>
      <c r="J249" s="22"/>
      <c r="K249" s="617"/>
      <c r="L249" s="22"/>
      <c r="M249" s="617">
        <f t="shared" si="33"/>
        <v>0</v>
      </c>
      <c r="N249" s="793">
        <f t="shared" si="29"/>
        <v>1122</v>
      </c>
      <c r="O249" s="22">
        <f t="shared" si="30"/>
        <v>73.3333333333</v>
      </c>
      <c r="P249" s="617">
        <f t="shared" si="31"/>
        <v>82279.9999999626</v>
      </c>
    </row>
    <row r="250" spans="1:16" ht="12.75">
      <c r="A250" s="22">
        <v>11</v>
      </c>
      <c r="B250" s="22"/>
      <c r="C250" s="22"/>
      <c r="D250" s="22"/>
      <c r="E250" s="22" t="s">
        <v>1082</v>
      </c>
      <c r="F250" s="22">
        <v>0</v>
      </c>
      <c r="G250" s="22" t="e">
        <f t="shared" si="32"/>
        <v>#DIV/0!</v>
      </c>
      <c r="H250" s="617">
        <v>0</v>
      </c>
      <c r="I250" s="22"/>
      <c r="J250" s="22"/>
      <c r="K250" s="22"/>
      <c r="L250" s="22"/>
      <c r="M250" s="617">
        <f t="shared" si="33"/>
        <v>0</v>
      </c>
      <c r="N250" s="793">
        <f t="shared" si="29"/>
        <v>1122</v>
      </c>
      <c r="O250" s="22">
        <f t="shared" si="30"/>
        <v>73.3333333333</v>
      </c>
      <c r="P250" s="617">
        <f t="shared" si="31"/>
        <v>82279.9999999626</v>
      </c>
    </row>
    <row r="251" spans="1:16" ht="12.75">
      <c r="A251" s="22">
        <v>12</v>
      </c>
      <c r="B251" s="22"/>
      <c r="C251" s="22"/>
      <c r="D251" s="22"/>
      <c r="E251" s="22" t="s">
        <v>1082</v>
      </c>
      <c r="F251" s="22">
        <v>0</v>
      </c>
      <c r="G251" s="22" t="e">
        <f t="shared" si="32"/>
        <v>#DIV/0!</v>
      </c>
      <c r="H251" s="617">
        <v>0</v>
      </c>
      <c r="I251" s="22"/>
      <c r="J251" s="22"/>
      <c r="K251" s="22"/>
      <c r="L251" s="22"/>
      <c r="M251" s="617">
        <f t="shared" si="33"/>
        <v>0</v>
      </c>
      <c r="N251" s="793">
        <f t="shared" si="29"/>
        <v>1122</v>
      </c>
      <c r="O251" s="22">
        <f t="shared" si="30"/>
        <v>73.3333333333</v>
      </c>
      <c r="P251" s="617">
        <f t="shared" si="31"/>
        <v>82279.9999999626</v>
      </c>
    </row>
    <row r="252" spans="1:16" ht="12.75">
      <c r="A252" s="22">
        <v>13</v>
      </c>
      <c r="B252" s="22"/>
      <c r="C252" s="22"/>
      <c r="D252" s="22"/>
      <c r="E252" s="22" t="s">
        <v>1082</v>
      </c>
      <c r="F252" s="22">
        <v>0</v>
      </c>
      <c r="G252" s="22" t="e">
        <f t="shared" si="32"/>
        <v>#DIV/0!</v>
      </c>
      <c r="H252" s="617">
        <v>0</v>
      </c>
      <c r="I252" s="22"/>
      <c r="J252" s="22"/>
      <c r="K252" s="22"/>
      <c r="L252" s="22"/>
      <c r="M252" s="617">
        <f t="shared" si="33"/>
        <v>0</v>
      </c>
      <c r="N252" s="793">
        <f t="shared" si="29"/>
        <v>1122</v>
      </c>
      <c r="O252" s="22">
        <f t="shared" si="30"/>
        <v>73.3333333333</v>
      </c>
      <c r="P252" s="617">
        <f t="shared" si="31"/>
        <v>82279.9999999626</v>
      </c>
    </row>
    <row r="253" spans="1:16" ht="12.75">
      <c r="A253" s="22">
        <v>14</v>
      </c>
      <c r="B253" s="22"/>
      <c r="C253" s="22"/>
      <c r="D253" s="22"/>
      <c r="E253" s="22" t="s">
        <v>1082</v>
      </c>
      <c r="F253" s="22">
        <v>0</v>
      </c>
      <c r="G253" s="22" t="e">
        <f t="shared" si="32"/>
        <v>#DIV/0!</v>
      </c>
      <c r="H253" s="617">
        <v>0</v>
      </c>
      <c r="I253" s="22"/>
      <c r="J253" s="22"/>
      <c r="K253" s="22"/>
      <c r="L253" s="22"/>
      <c r="M253" s="617">
        <f t="shared" si="33"/>
        <v>0</v>
      </c>
      <c r="N253" s="793">
        <f t="shared" si="29"/>
        <v>1122</v>
      </c>
      <c r="O253" s="22">
        <f t="shared" si="30"/>
        <v>73.3333333333</v>
      </c>
      <c r="P253" s="617">
        <f t="shared" si="31"/>
        <v>82279.9999999626</v>
      </c>
    </row>
    <row r="254" spans="1:16" ht="12.75">
      <c r="A254" s="22">
        <v>15</v>
      </c>
      <c r="B254" s="22"/>
      <c r="C254" s="22"/>
      <c r="D254" s="22"/>
      <c r="E254" s="22" t="s">
        <v>1082</v>
      </c>
      <c r="F254" s="617">
        <v>0</v>
      </c>
      <c r="G254" s="22" t="e">
        <f t="shared" si="32"/>
        <v>#DIV/0!</v>
      </c>
      <c r="H254" s="617">
        <v>0</v>
      </c>
      <c r="I254" s="22"/>
      <c r="J254" s="22"/>
      <c r="K254" s="22"/>
      <c r="L254" s="22"/>
      <c r="M254" s="617">
        <f t="shared" si="33"/>
        <v>0</v>
      </c>
      <c r="N254" s="793">
        <f t="shared" si="29"/>
        <v>1122</v>
      </c>
      <c r="O254" s="22">
        <f t="shared" si="30"/>
        <v>73.3333333333</v>
      </c>
      <c r="P254" s="617">
        <f t="shared" si="31"/>
        <v>82279.9999999626</v>
      </c>
    </row>
    <row r="255" spans="1:16" ht="12.75">
      <c r="A255" s="22">
        <v>16</v>
      </c>
      <c r="B255" s="22"/>
      <c r="C255" s="22"/>
      <c r="D255" s="22"/>
      <c r="E255" s="22" t="s">
        <v>1082</v>
      </c>
      <c r="F255" s="22">
        <v>0</v>
      </c>
      <c r="G255" s="22" t="e">
        <f t="shared" si="32"/>
        <v>#DIV/0!</v>
      </c>
      <c r="H255" s="617">
        <v>0</v>
      </c>
      <c r="I255" s="22"/>
      <c r="J255" s="22"/>
      <c r="K255" s="22"/>
      <c r="L255" s="22"/>
      <c r="M255" s="617">
        <f t="shared" si="33"/>
        <v>0</v>
      </c>
      <c r="N255" s="793">
        <f t="shared" si="29"/>
        <v>1122</v>
      </c>
      <c r="O255" s="22">
        <f t="shared" si="30"/>
        <v>73.3333333333</v>
      </c>
      <c r="P255" s="617">
        <f t="shared" si="31"/>
        <v>82279.9999999626</v>
      </c>
    </row>
    <row r="256" spans="1:16" ht="12.75">
      <c r="A256" s="22">
        <v>17</v>
      </c>
      <c r="B256" s="22"/>
      <c r="C256" s="22"/>
      <c r="D256" s="22"/>
      <c r="E256" s="22" t="s">
        <v>1082</v>
      </c>
      <c r="F256" s="22">
        <v>0</v>
      </c>
      <c r="G256" s="22" t="e">
        <f t="shared" si="32"/>
        <v>#DIV/0!</v>
      </c>
      <c r="H256" s="617">
        <v>0</v>
      </c>
      <c r="I256" s="22"/>
      <c r="J256" s="22"/>
      <c r="K256" s="22"/>
      <c r="L256" s="22"/>
      <c r="M256" s="617">
        <f t="shared" si="33"/>
        <v>0</v>
      </c>
      <c r="N256" s="793">
        <f t="shared" si="29"/>
        <v>1122</v>
      </c>
      <c r="O256" s="22">
        <f t="shared" si="30"/>
        <v>73.3333333333</v>
      </c>
      <c r="P256" s="617">
        <f t="shared" si="31"/>
        <v>82279.9999999626</v>
      </c>
    </row>
    <row r="257" spans="1:16" ht="12.75">
      <c r="A257" s="22">
        <v>18</v>
      </c>
      <c r="B257" s="22"/>
      <c r="C257" s="22"/>
      <c r="D257" s="22"/>
      <c r="E257" s="22" t="s">
        <v>1082</v>
      </c>
      <c r="F257" s="22">
        <v>0</v>
      </c>
      <c r="G257" s="22" t="e">
        <f aca="true" t="shared" si="34" ref="G257:G262">H257/F257</f>
        <v>#DIV/0!</v>
      </c>
      <c r="H257" s="617">
        <v>0</v>
      </c>
      <c r="I257" s="22"/>
      <c r="J257" s="22"/>
      <c r="K257" s="22"/>
      <c r="L257" s="22"/>
      <c r="M257" s="617">
        <f>K257*L257</f>
        <v>0</v>
      </c>
      <c r="N257" s="793">
        <f t="shared" si="29"/>
        <v>1122</v>
      </c>
      <c r="O257" s="22">
        <f t="shared" si="30"/>
        <v>73.3333333333</v>
      </c>
      <c r="P257" s="617">
        <f>N257*O257</f>
        <v>82279.9999999626</v>
      </c>
    </row>
    <row r="258" spans="1:16" ht="12.75">
      <c r="A258" s="22">
        <v>19</v>
      </c>
      <c r="B258" s="22"/>
      <c r="C258" s="22"/>
      <c r="D258" s="22"/>
      <c r="E258" s="22" t="s">
        <v>1082</v>
      </c>
      <c r="F258" s="22">
        <v>0</v>
      </c>
      <c r="G258" s="22" t="e">
        <f t="shared" si="34"/>
        <v>#DIV/0!</v>
      </c>
      <c r="H258" s="617">
        <v>0</v>
      </c>
      <c r="I258" s="22"/>
      <c r="J258" s="22"/>
      <c r="K258" s="22"/>
      <c r="L258" s="22"/>
      <c r="M258" s="617">
        <f aca="true" t="shared" si="35" ref="M258:M280">K258*L258</f>
        <v>0</v>
      </c>
      <c r="N258" s="793">
        <f t="shared" si="29"/>
        <v>1122</v>
      </c>
      <c r="O258" s="22">
        <f t="shared" si="30"/>
        <v>73.3333333333</v>
      </c>
      <c r="P258" s="617">
        <f aca="true" t="shared" si="36" ref="P258:P280">N258*O258</f>
        <v>82279.9999999626</v>
      </c>
    </row>
    <row r="259" spans="1:16" ht="12.75">
      <c r="A259" s="22">
        <v>20</v>
      </c>
      <c r="B259" s="22"/>
      <c r="C259" s="22"/>
      <c r="D259" s="22"/>
      <c r="E259" s="22" t="s">
        <v>1082</v>
      </c>
      <c r="F259" s="22">
        <v>0</v>
      </c>
      <c r="G259" s="22" t="e">
        <f t="shared" si="34"/>
        <v>#DIV/0!</v>
      </c>
      <c r="H259" s="617">
        <v>0</v>
      </c>
      <c r="I259" s="22"/>
      <c r="J259" s="22"/>
      <c r="K259" s="22"/>
      <c r="L259" s="22"/>
      <c r="M259" s="617">
        <f t="shared" si="35"/>
        <v>0</v>
      </c>
      <c r="N259" s="793">
        <f t="shared" si="29"/>
        <v>1122</v>
      </c>
      <c r="O259" s="22">
        <f t="shared" si="30"/>
        <v>73.3333333333</v>
      </c>
      <c r="P259" s="617">
        <f t="shared" si="36"/>
        <v>82279.9999999626</v>
      </c>
    </row>
    <row r="260" spans="1:16" ht="12.75">
      <c r="A260" s="22">
        <v>21</v>
      </c>
      <c r="B260" s="22"/>
      <c r="C260" s="22"/>
      <c r="D260" s="22"/>
      <c r="E260" s="22" t="s">
        <v>1082</v>
      </c>
      <c r="F260" s="22">
        <v>0</v>
      </c>
      <c r="G260" s="22" t="e">
        <f t="shared" si="34"/>
        <v>#DIV/0!</v>
      </c>
      <c r="H260" s="617">
        <v>0</v>
      </c>
      <c r="I260" s="22"/>
      <c r="J260" s="22"/>
      <c r="K260" s="22"/>
      <c r="L260" s="22"/>
      <c r="M260" s="617">
        <f t="shared" si="35"/>
        <v>0</v>
      </c>
      <c r="N260" s="793">
        <f t="shared" si="29"/>
        <v>1122</v>
      </c>
      <c r="O260" s="22">
        <f t="shared" si="30"/>
        <v>73.3333333333</v>
      </c>
      <c r="P260" s="617">
        <f t="shared" si="36"/>
        <v>82279.9999999626</v>
      </c>
    </row>
    <row r="261" spans="1:16" ht="12.75">
      <c r="A261" s="22">
        <v>22</v>
      </c>
      <c r="B261" s="22"/>
      <c r="C261" s="22"/>
      <c r="D261" s="22"/>
      <c r="E261" s="22" t="s">
        <v>1082</v>
      </c>
      <c r="F261" s="22">
        <v>0</v>
      </c>
      <c r="G261" s="22" t="e">
        <f t="shared" si="34"/>
        <v>#DIV/0!</v>
      </c>
      <c r="H261" s="617">
        <v>0</v>
      </c>
      <c r="I261" s="22"/>
      <c r="J261" s="22"/>
      <c r="K261" s="22"/>
      <c r="L261" s="22"/>
      <c r="M261" s="617">
        <f t="shared" si="35"/>
        <v>0</v>
      </c>
      <c r="N261" s="793">
        <f t="shared" si="29"/>
        <v>1122</v>
      </c>
      <c r="O261" s="22">
        <f t="shared" si="30"/>
        <v>73.3333333333</v>
      </c>
      <c r="P261" s="617">
        <f t="shared" si="36"/>
        <v>82279.9999999626</v>
      </c>
    </row>
    <row r="262" spans="1:16" ht="12.75">
      <c r="A262" s="22">
        <v>23</v>
      </c>
      <c r="B262" s="22"/>
      <c r="C262" s="22"/>
      <c r="D262" s="22"/>
      <c r="E262" s="22" t="s">
        <v>1082</v>
      </c>
      <c r="F262" s="22">
        <v>0</v>
      </c>
      <c r="G262" s="22" t="e">
        <f t="shared" si="34"/>
        <v>#DIV/0!</v>
      </c>
      <c r="H262" s="617">
        <v>0</v>
      </c>
      <c r="I262" s="22"/>
      <c r="J262" s="22"/>
      <c r="K262" s="22"/>
      <c r="L262" s="22"/>
      <c r="M262" s="617">
        <f t="shared" si="35"/>
        <v>0</v>
      </c>
      <c r="N262" s="793">
        <f t="shared" si="29"/>
        <v>1122</v>
      </c>
      <c r="O262" s="22">
        <f t="shared" si="30"/>
        <v>73.3333333333</v>
      </c>
      <c r="P262" s="617">
        <f t="shared" si="36"/>
        <v>82279.9999999626</v>
      </c>
    </row>
    <row r="263" spans="1:16" ht="12.75">
      <c r="A263" s="22">
        <v>24</v>
      </c>
      <c r="B263" s="22"/>
      <c r="C263" s="22"/>
      <c r="D263" s="22"/>
      <c r="E263" s="22" t="s">
        <v>1082</v>
      </c>
      <c r="F263" s="22">
        <v>0</v>
      </c>
      <c r="G263" s="22" t="e">
        <f t="shared" si="32"/>
        <v>#DIV/0!</v>
      </c>
      <c r="H263" s="617">
        <v>0</v>
      </c>
      <c r="I263" s="22"/>
      <c r="J263" s="22"/>
      <c r="K263" s="22"/>
      <c r="L263" s="22"/>
      <c r="M263" s="617">
        <f t="shared" si="35"/>
        <v>0</v>
      </c>
      <c r="N263" s="793">
        <f>N257+F263-K263</f>
        <v>1122</v>
      </c>
      <c r="O263" s="22">
        <f>(P257+H263)/(N257+F263)</f>
        <v>73.3333333333</v>
      </c>
      <c r="P263" s="617">
        <f t="shared" si="36"/>
        <v>82279.9999999626</v>
      </c>
    </row>
    <row r="264" spans="1:16" ht="12.75">
      <c r="A264" s="22">
        <v>25</v>
      </c>
      <c r="B264" s="22"/>
      <c r="C264" s="22"/>
      <c r="D264" s="22"/>
      <c r="E264" s="22" t="s">
        <v>1082</v>
      </c>
      <c r="F264" s="22">
        <v>0</v>
      </c>
      <c r="G264" s="22" t="e">
        <f t="shared" si="32"/>
        <v>#DIV/0!</v>
      </c>
      <c r="H264" s="617">
        <v>0</v>
      </c>
      <c r="I264" s="22"/>
      <c r="J264" s="22"/>
      <c r="K264" s="22"/>
      <c r="L264" s="22"/>
      <c r="M264" s="617">
        <f t="shared" si="35"/>
        <v>0</v>
      </c>
      <c r="N264" s="793">
        <f aca="true" t="shared" si="37" ref="N264:N280">N263+F264-K264</f>
        <v>1122</v>
      </c>
      <c r="O264" s="22">
        <f aca="true" t="shared" si="38" ref="O264:O280">(P263+H264)/(N263+F264)</f>
        <v>73.3333333333</v>
      </c>
      <c r="P264" s="617">
        <f t="shared" si="36"/>
        <v>82279.9999999626</v>
      </c>
    </row>
    <row r="265" spans="1:16" ht="12.75">
      <c r="A265" s="22">
        <v>26</v>
      </c>
      <c r="B265" s="22"/>
      <c r="C265" s="22"/>
      <c r="D265" s="22"/>
      <c r="E265" s="22" t="s">
        <v>1082</v>
      </c>
      <c r="F265" s="617">
        <v>0</v>
      </c>
      <c r="G265" s="22" t="e">
        <f t="shared" si="32"/>
        <v>#DIV/0!</v>
      </c>
      <c r="H265" s="617">
        <v>0</v>
      </c>
      <c r="I265" s="22"/>
      <c r="J265" s="22"/>
      <c r="K265" s="22"/>
      <c r="L265" s="22"/>
      <c r="M265" s="617">
        <f t="shared" si="35"/>
        <v>0</v>
      </c>
      <c r="N265" s="793">
        <f t="shared" si="37"/>
        <v>1122</v>
      </c>
      <c r="O265" s="22">
        <f t="shared" si="38"/>
        <v>73.3333333333</v>
      </c>
      <c r="P265" s="617">
        <f t="shared" si="36"/>
        <v>82279.9999999626</v>
      </c>
    </row>
    <row r="266" spans="1:16" ht="12.75">
      <c r="A266" s="22">
        <v>27</v>
      </c>
      <c r="B266" s="22"/>
      <c r="C266" s="22"/>
      <c r="D266" s="22"/>
      <c r="E266" s="22" t="s">
        <v>1082</v>
      </c>
      <c r="F266" s="22">
        <v>0</v>
      </c>
      <c r="G266" s="22" t="e">
        <f t="shared" si="32"/>
        <v>#DIV/0!</v>
      </c>
      <c r="H266" s="617">
        <v>0</v>
      </c>
      <c r="I266" s="22"/>
      <c r="J266" s="22"/>
      <c r="K266" s="22"/>
      <c r="L266" s="22"/>
      <c r="M266" s="617">
        <f t="shared" si="35"/>
        <v>0</v>
      </c>
      <c r="N266" s="793">
        <f t="shared" si="37"/>
        <v>1122</v>
      </c>
      <c r="O266" s="22">
        <f t="shared" si="38"/>
        <v>73.3333333333</v>
      </c>
      <c r="P266" s="617">
        <f t="shared" si="36"/>
        <v>82279.9999999626</v>
      </c>
    </row>
    <row r="267" spans="1:16" ht="12.75">
      <c r="A267" s="22">
        <v>28</v>
      </c>
      <c r="B267" s="22"/>
      <c r="C267" s="22"/>
      <c r="D267" s="22"/>
      <c r="E267" s="22" t="s">
        <v>1082</v>
      </c>
      <c r="F267" s="22">
        <v>0</v>
      </c>
      <c r="G267" s="22" t="e">
        <f t="shared" si="32"/>
        <v>#DIV/0!</v>
      </c>
      <c r="H267" s="617">
        <v>0</v>
      </c>
      <c r="I267" s="22"/>
      <c r="J267" s="22"/>
      <c r="K267" s="22"/>
      <c r="L267" s="22"/>
      <c r="M267" s="617">
        <f t="shared" si="35"/>
        <v>0</v>
      </c>
      <c r="N267" s="793">
        <f t="shared" si="37"/>
        <v>1122</v>
      </c>
      <c r="O267" s="22">
        <f t="shared" si="38"/>
        <v>73.3333333333</v>
      </c>
      <c r="P267" s="617">
        <f t="shared" si="36"/>
        <v>82279.9999999626</v>
      </c>
    </row>
    <row r="268" spans="1:16" ht="12.75">
      <c r="A268" s="22">
        <v>29</v>
      </c>
      <c r="B268" s="22"/>
      <c r="C268" s="22"/>
      <c r="D268" s="22"/>
      <c r="E268" s="22" t="s">
        <v>1082</v>
      </c>
      <c r="F268" s="22">
        <v>0</v>
      </c>
      <c r="G268" s="22" t="e">
        <f t="shared" si="32"/>
        <v>#DIV/0!</v>
      </c>
      <c r="H268" s="617">
        <v>0</v>
      </c>
      <c r="I268" s="22"/>
      <c r="J268" s="22"/>
      <c r="K268" s="22"/>
      <c r="L268" s="22"/>
      <c r="M268" s="617">
        <f t="shared" si="35"/>
        <v>0</v>
      </c>
      <c r="N268" s="793">
        <f t="shared" si="37"/>
        <v>1122</v>
      </c>
      <c r="O268" s="22">
        <f t="shared" si="38"/>
        <v>73.3333333333</v>
      </c>
      <c r="P268" s="617">
        <f t="shared" si="36"/>
        <v>82279.9999999626</v>
      </c>
    </row>
    <row r="269" spans="1:16" ht="12.75">
      <c r="A269" s="22">
        <v>30</v>
      </c>
      <c r="B269" s="22"/>
      <c r="C269" s="22"/>
      <c r="D269" s="22"/>
      <c r="E269" s="22" t="s">
        <v>1082</v>
      </c>
      <c r="F269" s="22">
        <v>0</v>
      </c>
      <c r="G269" s="22" t="e">
        <f t="shared" si="32"/>
        <v>#DIV/0!</v>
      </c>
      <c r="H269" s="617">
        <v>0</v>
      </c>
      <c r="I269" s="22"/>
      <c r="J269" s="22"/>
      <c r="K269" s="22"/>
      <c r="L269" s="22"/>
      <c r="M269" s="617">
        <f t="shared" si="35"/>
        <v>0</v>
      </c>
      <c r="N269" s="793">
        <f t="shared" si="37"/>
        <v>1122</v>
      </c>
      <c r="O269" s="22">
        <f t="shared" si="38"/>
        <v>73.3333333333</v>
      </c>
      <c r="P269" s="617">
        <f t="shared" si="36"/>
        <v>82279.9999999626</v>
      </c>
    </row>
    <row r="270" spans="1:16" ht="12.75">
      <c r="A270" s="22">
        <v>31</v>
      </c>
      <c r="B270" s="22"/>
      <c r="C270" s="22"/>
      <c r="D270" s="22"/>
      <c r="E270" s="22" t="s">
        <v>1082</v>
      </c>
      <c r="F270" s="22">
        <v>0</v>
      </c>
      <c r="G270" s="22" t="e">
        <f t="shared" si="32"/>
        <v>#DIV/0!</v>
      </c>
      <c r="H270" s="617">
        <v>0</v>
      </c>
      <c r="I270" s="22"/>
      <c r="J270" s="22"/>
      <c r="K270" s="22"/>
      <c r="L270" s="22"/>
      <c r="M270" s="617">
        <f t="shared" si="35"/>
        <v>0</v>
      </c>
      <c r="N270" s="793">
        <f t="shared" si="37"/>
        <v>1122</v>
      </c>
      <c r="O270" s="22">
        <f t="shared" si="38"/>
        <v>73.3333333333</v>
      </c>
      <c r="P270" s="617">
        <f t="shared" si="36"/>
        <v>82279.9999999626</v>
      </c>
    </row>
    <row r="271" spans="1:16" ht="12.75">
      <c r="A271" s="22">
        <v>32</v>
      </c>
      <c r="B271" s="22"/>
      <c r="C271" s="22"/>
      <c r="D271" s="22"/>
      <c r="E271" s="22" t="s">
        <v>1082</v>
      </c>
      <c r="F271" s="617">
        <v>0</v>
      </c>
      <c r="G271" s="22" t="e">
        <f t="shared" si="32"/>
        <v>#DIV/0!</v>
      </c>
      <c r="H271" s="617">
        <v>0</v>
      </c>
      <c r="I271" s="22"/>
      <c r="J271" s="22"/>
      <c r="K271" s="22"/>
      <c r="L271" s="22"/>
      <c r="M271" s="617">
        <f t="shared" si="35"/>
        <v>0</v>
      </c>
      <c r="N271" s="793">
        <f t="shared" si="37"/>
        <v>1122</v>
      </c>
      <c r="O271" s="22">
        <f t="shared" si="38"/>
        <v>73.3333333333</v>
      </c>
      <c r="P271" s="617">
        <f t="shared" si="36"/>
        <v>82279.9999999626</v>
      </c>
    </row>
    <row r="272" spans="1:16" ht="12.75">
      <c r="A272" s="22">
        <v>33</v>
      </c>
      <c r="B272" s="22"/>
      <c r="C272" s="22"/>
      <c r="D272" s="22"/>
      <c r="E272" s="22" t="s">
        <v>1082</v>
      </c>
      <c r="F272" s="22">
        <v>0</v>
      </c>
      <c r="G272" s="22" t="e">
        <f t="shared" si="32"/>
        <v>#DIV/0!</v>
      </c>
      <c r="H272" s="617">
        <v>0</v>
      </c>
      <c r="I272" s="22"/>
      <c r="J272" s="22"/>
      <c r="K272" s="22"/>
      <c r="L272" s="22"/>
      <c r="M272" s="617">
        <f t="shared" si="35"/>
        <v>0</v>
      </c>
      <c r="N272" s="793">
        <f t="shared" si="37"/>
        <v>1122</v>
      </c>
      <c r="O272" s="22">
        <f t="shared" si="38"/>
        <v>73.3333333333</v>
      </c>
      <c r="P272" s="617">
        <f t="shared" si="36"/>
        <v>82279.9999999626</v>
      </c>
    </row>
    <row r="273" spans="1:16" ht="12.75">
      <c r="A273" s="22">
        <v>34</v>
      </c>
      <c r="B273" s="22"/>
      <c r="C273" s="22"/>
      <c r="D273" s="22"/>
      <c r="E273" s="22" t="s">
        <v>1082</v>
      </c>
      <c r="F273" s="22">
        <v>0</v>
      </c>
      <c r="G273" s="22" t="e">
        <f t="shared" si="32"/>
        <v>#DIV/0!</v>
      </c>
      <c r="H273" s="617">
        <v>0</v>
      </c>
      <c r="I273" s="22"/>
      <c r="J273" s="22"/>
      <c r="K273" s="22"/>
      <c r="L273" s="22"/>
      <c r="M273" s="617">
        <f t="shared" si="35"/>
        <v>0</v>
      </c>
      <c r="N273" s="793">
        <f t="shared" si="37"/>
        <v>1122</v>
      </c>
      <c r="O273" s="22">
        <f t="shared" si="38"/>
        <v>73.3333333333</v>
      </c>
      <c r="P273" s="617">
        <f t="shared" si="36"/>
        <v>82279.9999999626</v>
      </c>
    </row>
    <row r="274" spans="1:16" ht="12.75">
      <c r="A274" s="22">
        <v>35</v>
      </c>
      <c r="B274" s="22"/>
      <c r="C274" s="22"/>
      <c r="D274" s="22"/>
      <c r="E274" s="22" t="s">
        <v>1082</v>
      </c>
      <c r="F274" s="22">
        <v>0</v>
      </c>
      <c r="G274" s="22" t="e">
        <f t="shared" si="32"/>
        <v>#DIV/0!</v>
      </c>
      <c r="H274" s="617">
        <v>0</v>
      </c>
      <c r="I274" s="22"/>
      <c r="J274" s="22"/>
      <c r="K274" s="22"/>
      <c r="L274" s="22"/>
      <c r="M274" s="617">
        <f t="shared" si="35"/>
        <v>0</v>
      </c>
      <c r="N274" s="793">
        <f t="shared" si="37"/>
        <v>1122</v>
      </c>
      <c r="O274" s="22">
        <f t="shared" si="38"/>
        <v>73.3333333333</v>
      </c>
      <c r="P274" s="617">
        <f t="shared" si="36"/>
        <v>82279.9999999626</v>
      </c>
    </row>
    <row r="275" spans="1:16" ht="12.75">
      <c r="A275" s="22">
        <v>36</v>
      </c>
      <c r="B275" s="22"/>
      <c r="C275" s="22"/>
      <c r="D275" s="22"/>
      <c r="E275" s="22" t="s">
        <v>1082</v>
      </c>
      <c r="F275" s="22">
        <v>0</v>
      </c>
      <c r="G275" s="22" t="e">
        <f t="shared" si="32"/>
        <v>#DIV/0!</v>
      </c>
      <c r="H275" s="617">
        <v>0</v>
      </c>
      <c r="I275" s="22"/>
      <c r="J275" s="22"/>
      <c r="K275" s="22"/>
      <c r="L275" s="22"/>
      <c r="M275" s="617">
        <f t="shared" si="35"/>
        <v>0</v>
      </c>
      <c r="N275" s="793">
        <f t="shared" si="37"/>
        <v>1122</v>
      </c>
      <c r="O275" s="22">
        <f t="shared" si="38"/>
        <v>73.3333333333</v>
      </c>
      <c r="P275" s="617">
        <f t="shared" si="36"/>
        <v>82279.9999999626</v>
      </c>
    </row>
    <row r="276" spans="1:16" ht="12.75">
      <c r="A276" s="22">
        <v>37</v>
      </c>
      <c r="B276" s="22"/>
      <c r="C276" s="22"/>
      <c r="D276" s="22"/>
      <c r="E276" s="22" t="s">
        <v>1082</v>
      </c>
      <c r="F276" s="22">
        <v>0</v>
      </c>
      <c r="G276" s="22" t="e">
        <f t="shared" si="32"/>
        <v>#DIV/0!</v>
      </c>
      <c r="H276" s="617">
        <v>0</v>
      </c>
      <c r="I276" s="22"/>
      <c r="J276" s="22"/>
      <c r="K276" s="22"/>
      <c r="L276" s="22"/>
      <c r="M276" s="617">
        <f t="shared" si="35"/>
        <v>0</v>
      </c>
      <c r="N276" s="793">
        <f t="shared" si="37"/>
        <v>1122</v>
      </c>
      <c r="O276" s="22">
        <f t="shared" si="38"/>
        <v>73.3333333333</v>
      </c>
      <c r="P276" s="617">
        <f t="shared" si="36"/>
        <v>82279.9999999626</v>
      </c>
    </row>
    <row r="277" spans="1:16" ht="12.75">
      <c r="A277" s="22">
        <v>38</v>
      </c>
      <c r="B277" s="22"/>
      <c r="C277" s="22"/>
      <c r="D277" s="22"/>
      <c r="E277" s="22" t="s">
        <v>1082</v>
      </c>
      <c r="F277" s="617">
        <v>0</v>
      </c>
      <c r="G277" s="22" t="e">
        <f t="shared" si="32"/>
        <v>#DIV/0!</v>
      </c>
      <c r="H277" s="617">
        <v>0</v>
      </c>
      <c r="I277" s="22"/>
      <c r="J277" s="22"/>
      <c r="K277" s="22"/>
      <c r="L277" s="22"/>
      <c r="M277" s="617">
        <f t="shared" si="35"/>
        <v>0</v>
      </c>
      <c r="N277" s="793">
        <f t="shared" si="37"/>
        <v>1122</v>
      </c>
      <c r="O277" s="22">
        <f t="shared" si="38"/>
        <v>73.3333333333</v>
      </c>
      <c r="P277" s="617">
        <f t="shared" si="36"/>
        <v>82279.9999999626</v>
      </c>
    </row>
    <row r="278" spans="1:16" ht="12.75">
      <c r="A278" s="22">
        <v>39</v>
      </c>
      <c r="B278" s="22"/>
      <c r="C278" s="22"/>
      <c r="D278" s="22"/>
      <c r="E278" s="22" t="s">
        <v>1082</v>
      </c>
      <c r="F278" s="22">
        <v>0</v>
      </c>
      <c r="G278" s="22" t="e">
        <f t="shared" si="32"/>
        <v>#DIV/0!</v>
      </c>
      <c r="H278" s="617">
        <v>0</v>
      </c>
      <c r="I278" s="22"/>
      <c r="J278" s="22"/>
      <c r="K278" s="22"/>
      <c r="L278" s="22"/>
      <c r="M278" s="617">
        <f t="shared" si="35"/>
        <v>0</v>
      </c>
      <c r="N278" s="793">
        <f t="shared" si="37"/>
        <v>1122</v>
      </c>
      <c r="O278" s="22">
        <f t="shared" si="38"/>
        <v>73.3333333333</v>
      </c>
      <c r="P278" s="617">
        <f t="shared" si="36"/>
        <v>82279.9999999626</v>
      </c>
    </row>
    <row r="279" spans="1:16" ht="12.75">
      <c r="A279" s="22">
        <v>40</v>
      </c>
      <c r="B279" s="22"/>
      <c r="C279" s="22"/>
      <c r="D279" s="22"/>
      <c r="E279" s="22" t="s">
        <v>1082</v>
      </c>
      <c r="F279" s="22">
        <v>0</v>
      </c>
      <c r="G279" s="22" t="e">
        <f t="shared" si="32"/>
        <v>#DIV/0!</v>
      </c>
      <c r="H279" s="617">
        <v>0</v>
      </c>
      <c r="I279" s="22"/>
      <c r="J279" s="22"/>
      <c r="K279" s="22"/>
      <c r="L279" s="22"/>
      <c r="M279" s="617">
        <f t="shared" si="35"/>
        <v>0</v>
      </c>
      <c r="N279" s="793">
        <f t="shared" si="37"/>
        <v>1122</v>
      </c>
      <c r="O279" s="22">
        <f t="shared" si="38"/>
        <v>73.3333333333</v>
      </c>
      <c r="P279" s="617">
        <f t="shared" si="36"/>
        <v>82279.9999999626</v>
      </c>
    </row>
    <row r="280" spans="1:16" ht="12.75">
      <c r="A280" s="22">
        <v>41</v>
      </c>
      <c r="B280" s="22"/>
      <c r="C280" s="22"/>
      <c r="D280" s="22"/>
      <c r="E280" s="22" t="s">
        <v>1082</v>
      </c>
      <c r="F280" s="22">
        <v>0</v>
      </c>
      <c r="G280" s="22" t="e">
        <f t="shared" si="32"/>
        <v>#DIV/0!</v>
      </c>
      <c r="H280" s="22">
        <v>0</v>
      </c>
      <c r="I280" s="22"/>
      <c r="J280" s="22"/>
      <c r="K280" s="22"/>
      <c r="L280" s="22"/>
      <c r="M280" s="617">
        <f t="shared" si="35"/>
        <v>0</v>
      </c>
      <c r="N280" s="793">
        <f t="shared" si="37"/>
        <v>1122</v>
      </c>
      <c r="O280" s="22">
        <f t="shared" si="38"/>
        <v>73.3333333333</v>
      </c>
      <c r="P280" s="617">
        <f t="shared" si="36"/>
        <v>82279.9999999626</v>
      </c>
    </row>
    <row r="281" spans="1:16" ht="12.75">
      <c r="A281" s="22">
        <v>42</v>
      </c>
      <c r="B281" s="22"/>
      <c r="C281" s="22"/>
      <c r="D281" s="22"/>
      <c r="E281" s="22" t="s">
        <v>1082</v>
      </c>
      <c r="F281" s="22">
        <f aca="true" t="shared" si="39" ref="F281:M281">SUM(F241:F280)</f>
        <v>0</v>
      </c>
      <c r="G281" s="22" t="e">
        <f t="shared" si="39"/>
        <v>#DIV/0!</v>
      </c>
      <c r="H281" s="22">
        <f t="shared" si="39"/>
        <v>0</v>
      </c>
      <c r="I281" s="22">
        <f t="shared" si="39"/>
        <v>0</v>
      </c>
      <c r="J281" s="22">
        <f t="shared" si="39"/>
        <v>0</v>
      </c>
      <c r="K281" s="22">
        <f t="shared" si="39"/>
        <v>0</v>
      </c>
      <c r="L281" s="22">
        <f t="shared" si="39"/>
        <v>0</v>
      </c>
      <c r="M281" s="617">
        <f t="shared" si="39"/>
        <v>0</v>
      </c>
      <c r="N281" s="793">
        <f>N280</f>
        <v>1122</v>
      </c>
      <c r="O281" s="793">
        <f>O280</f>
        <v>73.3333333333</v>
      </c>
      <c r="P281" s="793">
        <f>P280</f>
        <v>82279.9999999626</v>
      </c>
    </row>
  </sheetData>
  <sheetProtection/>
  <mergeCells count="52">
    <mergeCell ref="C5:H5"/>
    <mergeCell ref="I5:L5"/>
    <mergeCell ref="A5:A7"/>
    <mergeCell ref="B5:B7"/>
    <mergeCell ref="C6:D6"/>
    <mergeCell ref="E6:E7"/>
    <mergeCell ref="F6:F7"/>
    <mergeCell ref="G6:G7"/>
    <mergeCell ref="H6:H7"/>
    <mergeCell ref="I6:J6"/>
    <mergeCell ref="K6:K7"/>
    <mergeCell ref="L6:L7"/>
    <mergeCell ref="M6:M7"/>
    <mergeCell ref="N5:P5"/>
    <mergeCell ref="N6:N7"/>
    <mergeCell ref="O6:O7"/>
    <mergeCell ref="P6:P7"/>
    <mergeCell ref="B3:O3"/>
    <mergeCell ref="A163:A165"/>
    <mergeCell ref="B163:B165"/>
    <mergeCell ref="C163:H163"/>
    <mergeCell ref="I163:L163"/>
    <mergeCell ref="N163:P163"/>
    <mergeCell ref="C164:D164"/>
    <mergeCell ref="E164:E165"/>
    <mergeCell ref="F164:F165"/>
    <mergeCell ref="G164:G165"/>
    <mergeCell ref="H164:H165"/>
    <mergeCell ref="I164:J164"/>
    <mergeCell ref="K164:K165"/>
    <mergeCell ref="L164:L165"/>
    <mergeCell ref="M164:M165"/>
    <mergeCell ref="N164:N165"/>
    <mergeCell ref="O164:O165"/>
    <mergeCell ref="P164:P165"/>
    <mergeCell ref="A237:A239"/>
    <mergeCell ref="B237:B239"/>
    <mergeCell ref="C237:H237"/>
    <mergeCell ref="I237:L237"/>
    <mergeCell ref="N237:P237"/>
    <mergeCell ref="C238:D238"/>
    <mergeCell ref="E238:E239"/>
    <mergeCell ref="F238:F239"/>
    <mergeCell ref="N238:N239"/>
    <mergeCell ref="O238:O239"/>
    <mergeCell ref="P238:P239"/>
    <mergeCell ref="G238:G239"/>
    <mergeCell ref="H238:H239"/>
    <mergeCell ref="I238:J238"/>
    <mergeCell ref="K238:K239"/>
    <mergeCell ref="L238:L239"/>
    <mergeCell ref="M238:M239"/>
  </mergeCells>
  <printOptions/>
  <pageMargins left="0" right="0" top="0" bottom="0" header="0" footer="0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9">
      <selection activeCell="J68" sqref="J68"/>
    </sheetView>
  </sheetViews>
  <sheetFormatPr defaultColWidth="9.140625" defaultRowHeight="12.75"/>
  <cols>
    <col min="1" max="1" width="7.7109375" style="0" customWidth="1"/>
    <col min="2" max="2" width="7.28125" style="0" customWidth="1"/>
    <col min="3" max="3" width="8.57421875" style="0" customWidth="1"/>
    <col min="6" max="6" width="12.7109375" style="0" customWidth="1"/>
    <col min="10" max="10" width="10.8515625" style="0" customWidth="1"/>
  </cols>
  <sheetData>
    <row r="1" spans="1:10" ht="12.75">
      <c r="A1" s="19" t="s">
        <v>526</v>
      </c>
      <c r="B1" s="19"/>
      <c r="C1" s="19"/>
      <c r="D1" s="19"/>
      <c r="E1" s="19"/>
      <c r="F1" s="101"/>
      <c r="G1" s="156"/>
      <c r="H1" s="790">
        <f>'Kopertina '!F29</f>
        <v>2012</v>
      </c>
      <c r="I1" s="790"/>
      <c r="J1" s="88"/>
    </row>
    <row r="2" spans="1:10" ht="12.75">
      <c r="A2" s="19"/>
      <c r="B2" s="19"/>
      <c r="C2" s="19"/>
      <c r="D2" s="19"/>
      <c r="E2" s="19"/>
      <c r="F2" s="156"/>
      <c r="G2" s="156"/>
      <c r="H2" s="156"/>
      <c r="I2" s="101"/>
      <c r="J2" s="88"/>
    </row>
    <row r="3" spans="1:10" ht="12.75">
      <c r="A3" s="19" t="s">
        <v>527</v>
      </c>
      <c r="B3" s="19"/>
      <c r="C3" s="19"/>
      <c r="D3" s="19" t="s">
        <v>528</v>
      </c>
      <c r="E3" s="19"/>
      <c r="F3" s="19"/>
      <c r="G3" s="19"/>
      <c r="H3" s="19"/>
      <c r="J3" s="88"/>
    </row>
    <row r="4" spans="1:10" ht="12.75">
      <c r="A4" s="19"/>
      <c r="B4" s="19"/>
      <c r="C4" s="19"/>
      <c r="D4" s="19"/>
      <c r="E4" s="19"/>
      <c r="F4" s="19"/>
      <c r="G4" s="19"/>
      <c r="H4" s="19"/>
      <c r="J4" s="88"/>
    </row>
    <row r="5" spans="1:10" ht="12.75">
      <c r="A5" s="19" t="s">
        <v>529</v>
      </c>
      <c r="B5" s="19"/>
      <c r="C5" s="19"/>
      <c r="D5" s="19"/>
      <c r="E5" s="19"/>
      <c r="F5" s="19"/>
      <c r="G5" s="19"/>
      <c r="H5" s="19"/>
      <c r="J5" s="88"/>
    </row>
    <row r="6" spans="6:10" ht="12.75">
      <c r="F6" t="e">
        <f>F7/E7*100</f>
        <v>#DIV/0!</v>
      </c>
      <c r="J6" s="88"/>
    </row>
    <row r="7" spans="2:10" ht="12.75">
      <c r="B7" t="s">
        <v>530</v>
      </c>
      <c r="E7">
        <f>C21</f>
        <v>0</v>
      </c>
      <c r="F7">
        <f>G29</f>
        <v>0</v>
      </c>
      <c r="G7">
        <f>G30</f>
        <v>0</v>
      </c>
      <c r="H7">
        <f>G31</f>
        <v>0</v>
      </c>
      <c r="J7" s="88"/>
    </row>
    <row r="8" spans="2:10" ht="12.75">
      <c r="B8" t="s">
        <v>531</v>
      </c>
      <c r="D8" s="614" t="e">
        <f>E8/E7</f>
        <v>#DIV/0!</v>
      </c>
      <c r="E8">
        <f>D21</f>
        <v>0</v>
      </c>
      <c r="F8" t="e">
        <f>F7*D8</f>
        <v>#DIV/0!</v>
      </c>
      <c r="G8" t="e">
        <f>G7*D8</f>
        <v>#DIV/0!</v>
      </c>
      <c r="H8" t="e">
        <f>H7*D8</f>
        <v>#DIV/0!</v>
      </c>
      <c r="J8" s="88"/>
    </row>
    <row r="9" spans="2:10" ht="12.75">
      <c r="B9" t="s">
        <v>532</v>
      </c>
      <c r="E9">
        <f>E7-E8</f>
        <v>0</v>
      </c>
      <c r="F9" t="e">
        <f>F7-F8</f>
        <v>#DIV/0!</v>
      </c>
      <c r="G9" t="e">
        <f>G7-G8</f>
        <v>#DIV/0!</v>
      </c>
      <c r="J9" s="88"/>
    </row>
    <row r="10" spans="2:10" ht="12.75">
      <c r="B10" t="s">
        <v>533</v>
      </c>
      <c r="D10" s="614">
        <v>0.08</v>
      </c>
      <c r="E10">
        <f>E9*D10</f>
        <v>0</v>
      </c>
      <c r="F10" t="e">
        <f>F9*D10</f>
        <v>#DIV/0!</v>
      </c>
      <c r="G10">
        <v>0</v>
      </c>
      <c r="J10" s="88"/>
    </row>
    <row r="11" spans="2:10" ht="12.75">
      <c r="B11" t="s">
        <v>534</v>
      </c>
      <c r="E11">
        <f>E9-E10</f>
        <v>0</v>
      </c>
      <c r="F11" t="e">
        <f>F9-F10</f>
        <v>#DIV/0!</v>
      </c>
      <c r="G11">
        <v>0</v>
      </c>
      <c r="J11" s="88"/>
    </row>
    <row r="12" spans="3:10" ht="12.75">
      <c r="C12" t="s">
        <v>535</v>
      </c>
      <c r="J12" s="88"/>
    </row>
    <row r="13" spans="1:10" ht="12.75">
      <c r="A13" s="1586" t="s">
        <v>96</v>
      </c>
      <c r="B13" s="1584"/>
      <c r="C13" s="22" t="s">
        <v>536</v>
      </c>
      <c r="D13" s="22" t="s">
        <v>537</v>
      </c>
      <c r="E13" s="22" t="s">
        <v>538</v>
      </c>
      <c r="F13" s="81" t="s">
        <v>972</v>
      </c>
      <c r="G13" s="81" t="s">
        <v>973</v>
      </c>
      <c r="H13" s="81" t="s">
        <v>974</v>
      </c>
      <c r="I13" s="81" t="s">
        <v>975</v>
      </c>
      <c r="J13" s="788" t="s">
        <v>976</v>
      </c>
    </row>
    <row r="14" spans="1:10" ht="12.75">
      <c r="A14" s="22" t="s">
        <v>539</v>
      </c>
      <c r="B14" s="22"/>
      <c r="C14" s="100">
        <v>0</v>
      </c>
      <c r="D14" s="22">
        <v>0</v>
      </c>
      <c r="E14" s="22">
        <f aca="true" t="shared" si="0" ref="E14:E22">C14-D14</f>
        <v>0</v>
      </c>
      <c r="F14" s="615">
        <f aca="true" t="shared" si="1" ref="F14:F22">C14*0.4707</f>
        <v>0</v>
      </c>
      <c r="G14" s="22">
        <f aca="true" t="shared" si="2" ref="G14:G22">C14-F14</f>
        <v>0</v>
      </c>
      <c r="H14" s="22">
        <v>0</v>
      </c>
      <c r="I14" s="22">
        <v>0</v>
      </c>
      <c r="J14" s="617"/>
    </row>
    <row r="15" spans="1:10" ht="12.75">
      <c r="A15" s="22" t="s">
        <v>540</v>
      </c>
      <c r="B15" s="22"/>
      <c r="C15" s="100">
        <v>0</v>
      </c>
      <c r="D15" s="22">
        <v>0</v>
      </c>
      <c r="E15" s="22">
        <f t="shared" si="0"/>
        <v>0</v>
      </c>
      <c r="F15" s="615">
        <f t="shared" si="1"/>
        <v>0</v>
      </c>
      <c r="G15" s="22">
        <f t="shared" si="2"/>
        <v>0</v>
      </c>
      <c r="H15" s="22">
        <v>0</v>
      </c>
      <c r="I15" s="22">
        <v>0</v>
      </c>
      <c r="J15" s="617"/>
    </row>
    <row r="16" spans="1:10" ht="12.75">
      <c r="A16" s="928" t="s">
        <v>980</v>
      </c>
      <c r="B16" s="43"/>
      <c r="C16" s="100">
        <v>0</v>
      </c>
      <c r="D16" s="22">
        <v>0</v>
      </c>
      <c r="E16" s="22">
        <f t="shared" si="0"/>
        <v>0</v>
      </c>
      <c r="F16" s="615"/>
      <c r="G16" s="22">
        <f t="shared" si="2"/>
        <v>0</v>
      </c>
      <c r="H16" s="22">
        <v>0</v>
      </c>
      <c r="I16" s="22">
        <v>0</v>
      </c>
      <c r="J16" s="617"/>
    </row>
    <row r="17" spans="1:10" ht="12.75">
      <c r="A17" s="1583" t="s">
        <v>977</v>
      </c>
      <c r="B17" s="1584"/>
      <c r="C17" s="100">
        <v>0</v>
      </c>
      <c r="D17" s="22">
        <v>0</v>
      </c>
      <c r="F17" s="615">
        <f t="shared" si="1"/>
        <v>0</v>
      </c>
      <c r="G17" s="22">
        <f t="shared" si="2"/>
        <v>0</v>
      </c>
      <c r="H17" s="22">
        <v>0</v>
      </c>
      <c r="I17" s="22">
        <v>0</v>
      </c>
      <c r="J17" s="617"/>
    </row>
    <row r="18" spans="1:10" ht="12.75">
      <c r="A18" s="1583" t="s">
        <v>978</v>
      </c>
      <c r="B18" s="1584"/>
      <c r="C18" s="100">
        <v>0</v>
      </c>
      <c r="D18" s="22">
        <v>0</v>
      </c>
      <c r="E18" s="22">
        <f>C17-D17</f>
        <v>0</v>
      </c>
      <c r="F18" s="615"/>
      <c r="G18" s="22">
        <f t="shared" si="2"/>
        <v>0</v>
      </c>
      <c r="H18" s="22">
        <v>0</v>
      </c>
      <c r="I18" s="22">
        <v>0</v>
      </c>
      <c r="J18" s="617"/>
    </row>
    <row r="19" spans="1:10" ht="12.75">
      <c r="A19" s="1583" t="s">
        <v>979</v>
      </c>
      <c r="B19" s="1584"/>
      <c r="C19" s="100">
        <v>0</v>
      </c>
      <c r="D19" s="100">
        <v>0</v>
      </c>
      <c r="E19" s="22">
        <f t="shared" si="0"/>
        <v>0</v>
      </c>
      <c r="F19" s="615">
        <f t="shared" si="1"/>
        <v>0</v>
      </c>
      <c r="G19" s="22">
        <f t="shared" si="2"/>
        <v>0</v>
      </c>
      <c r="H19" s="22">
        <v>0</v>
      </c>
      <c r="I19" s="22">
        <v>0</v>
      </c>
      <c r="J19" s="617"/>
    </row>
    <row r="20" spans="1:10" ht="12.75">
      <c r="A20" s="1586" t="s">
        <v>541</v>
      </c>
      <c r="B20" s="1584"/>
      <c r="C20" s="100">
        <v>0</v>
      </c>
      <c r="D20" s="100">
        <v>0</v>
      </c>
      <c r="E20" s="22">
        <f t="shared" si="0"/>
        <v>0</v>
      </c>
      <c r="F20" s="615">
        <f t="shared" si="1"/>
        <v>0</v>
      </c>
      <c r="G20" s="22">
        <f t="shared" si="2"/>
        <v>0</v>
      </c>
      <c r="H20" s="22">
        <v>0</v>
      </c>
      <c r="I20" s="22">
        <v>0</v>
      </c>
      <c r="J20" s="617"/>
    </row>
    <row r="21" spans="1:10" ht="12.75">
      <c r="A21" s="927" t="s">
        <v>354</v>
      </c>
      <c r="B21" s="920"/>
      <c r="C21" s="100">
        <f>SUM(C14:C20)</f>
        <v>0</v>
      </c>
      <c r="D21" s="100">
        <f aca="true" t="shared" si="3" ref="D21:J21">SUM(D14:D20)</f>
        <v>0</v>
      </c>
      <c r="E21" s="100">
        <f t="shared" si="3"/>
        <v>0</v>
      </c>
      <c r="F21" s="100">
        <f t="shared" si="3"/>
        <v>0</v>
      </c>
      <c r="G21" s="100">
        <f t="shared" si="3"/>
        <v>0</v>
      </c>
      <c r="H21" s="100">
        <f t="shared" si="3"/>
        <v>0</v>
      </c>
      <c r="I21" s="100">
        <f t="shared" si="3"/>
        <v>0</v>
      </c>
      <c r="J21" s="100">
        <f t="shared" si="3"/>
        <v>0</v>
      </c>
    </row>
    <row r="22" spans="1:10" ht="12.75">
      <c r="A22" s="1586" t="s">
        <v>542</v>
      </c>
      <c r="B22" s="1584"/>
      <c r="C22" s="100">
        <v>0</v>
      </c>
      <c r="D22" s="100">
        <v>0</v>
      </c>
      <c r="E22" s="22">
        <f t="shared" si="0"/>
        <v>0</v>
      </c>
      <c r="F22" s="615">
        <f t="shared" si="1"/>
        <v>0</v>
      </c>
      <c r="G22" s="22">
        <f t="shared" si="2"/>
        <v>0</v>
      </c>
      <c r="H22" s="22">
        <v>0</v>
      </c>
      <c r="I22" s="22">
        <v>0</v>
      </c>
      <c r="J22" s="617"/>
    </row>
    <row r="23" ht="12.75">
      <c r="J23" s="88"/>
    </row>
    <row r="24" spans="2:10" ht="12.75">
      <c r="B24" t="s">
        <v>543</v>
      </c>
      <c r="J24" s="88"/>
    </row>
    <row r="25" ht="12.75">
      <c r="J25" s="88"/>
    </row>
    <row r="26" spans="1:10" ht="12.75">
      <c r="A26" s="22" t="s">
        <v>544</v>
      </c>
      <c r="B26" s="22"/>
      <c r="C26" s="22" t="s">
        <v>545</v>
      </c>
      <c r="D26" s="22" t="s">
        <v>546</v>
      </c>
      <c r="E26" s="22" t="s">
        <v>222</v>
      </c>
      <c r="F26" s="22" t="s">
        <v>547</v>
      </c>
      <c r="G26" s="22" t="s">
        <v>548</v>
      </c>
      <c r="H26" s="22"/>
      <c r="J26" s="88"/>
    </row>
    <row r="27" spans="1:10" ht="12.75">
      <c r="A27" s="1586" t="s">
        <v>549</v>
      </c>
      <c r="B27" s="1584"/>
      <c r="C27" s="22">
        <f>E7*20700</f>
        <v>0</v>
      </c>
      <c r="D27" s="22">
        <f aca="true" t="shared" si="4" ref="D27:D32">C27/1.07*0.07</f>
        <v>0</v>
      </c>
      <c r="E27" s="22">
        <f aca="true" t="shared" si="5" ref="E27:E32">C27-D27</f>
        <v>0</v>
      </c>
      <c r="F27" s="22">
        <v>20700</v>
      </c>
      <c r="G27" s="22">
        <f>C27/F27</f>
        <v>0</v>
      </c>
      <c r="H27" s="22"/>
      <c r="J27" s="88"/>
    </row>
    <row r="28" spans="1:10" ht="12.75">
      <c r="A28" s="1586"/>
      <c r="B28" s="1584"/>
      <c r="C28" s="22"/>
      <c r="D28" s="22">
        <f t="shared" si="4"/>
        <v>0</v>
      </c>
      <c r="E28" s="22">
        <f t="shared" si="5"/>
        <v>0</v>
      </c>
      <c r="F28" s="22"/>
      <c r="G28" s="22"/>
      <c r="H28" s="22"/>
      <c r="J28" s="88"/>
    </row>
    <row r="29" spans="1:10" ht="12.75">
      <c r="A29" s="1583" t="s">
        <v>967</v>
      </c>
      <c r="B29" s="1584"/>
      <c r="C29" s="22">
        <v>0</v>
      </c>
      <c r="D29" s="22">
        <f t="shared" si="4"/>
        <v>0</v>
      </c>
      <c r="E29" s="22">
        <f t="shared" si="5"/>
        <v>0</v>
      </c>
      <c r="F29" s="22">
        <v>20700</v>
      </c>
      <c r="G29" s="22">
        <f>C29/F29</f>
        <v>0</v>
      </c>
      <c r="H29" s="22"/>
      <c r="J29" s="88"/>
    </row>
    <row r="30" spans="1:10" ht="12.75">
      <c r="A30" s="1583" t="s">
        <v>968</v>
      </c>
      <c r="B30" s="1584"/>
      <c r="C30" s="616">
        <f>'P -Ardh Analiz '!W29+'P -Ardh Analiz '!X29</f>
        <v>0</v>
      </c>
      <c r="D30" s="616">
        <f t="shared" si="4"/>
        <v>0</v>
      </c>
      <c r="E30" s="616">
        <f t="shared" si="5"/>
        <v>0</v>
      </c>
      <c r="F30" s="22">
        <v>20700</v>
      </c>
      <c r="G30" s="22">
        <f>C30/F30</f>
        <v>0</v>
      </c>
      <c r="H30" s="22"/>
      <c r="J30" s="88"/>
    </row>
    <row r="31" spans="1:10" ht="12.75">
      <c r="A31" s="1583" t="s">
        <v>969</v>
      </c>
      <c r="B31" s="1584"/>
      <c r="C31" s="22"/>
      <c r="D31" s="22">
        <f t="shared" si="4"/>
        <v>0</v>
      </c>
      <c r="E31" s="22">
        <f t="shared" si="5"/>
        <v>0</v>
      </c>
      <c r="F31" s="22"/>
      <c r="G31" s="22"/>
      <c r="H31" s="22"/>
      <c r="J31" s="88"/>
    </row>
    <row r="32" spans="1:10" ht="12.75">
      <c r="A32" s="1583" t="s">
        <v>970</v>
      </c>
      <c r="B32" s="1584"/>
      <c r="C32" s="22"/>
      <c r="D32" s="22">
        <f t="shared" si="4"/>
        <v>0</v>
      </c>
      <c r="E32" s="22">
        <f t="shared" si="5"/>
        <v>0</v>
      </c>
      <c r="F32" s="22"/>
      <c r="G32" s="22"/>
      <c r="H32" s="22"/>
      <c r="J32" s="88"/>
    </row>
    <row r="33" spans="1:10" ht="12.75">
      <c r="A33" s="22" t="s">
        <v>550</v>
      </c>
      <c r="B33" s="22"/>
      <c r="C33" s="306">
        <f>C29+C30</f>
        <v>0</v>
      </c>
      <c r="D33" s="306">
        <f>D29+D30</f>
        <v>0</v>
      </c>
      <c r="E33" s="306">
        <f>E29+E30</f>
        <v>0</v>
      </c>
      <c r="F33" s="306" t="e">
        <f>C33/G33</f>
        <v>#DIV/0!</v>
      </c>
      <c r="G33" s="306">
        <f>G29+G30</f>
        <v>0</v>
      </c>
      <c r="H33" s="306"/>
      <c r="J33" s="88"/>
    </row>
    <row r="34" ht="12.75">
      <c r="J34" s="88"/>
    </row>
    <row r="35" spans="2:10" ht="12.75">
      <c r="B35" t="s">
        <v>551</v>
      </c>
      <c r="G35" t="s">
        <v>552</v>
      </c>
      <c r="J35" s="88"/>
    </row>
    <row r="36" ht="12.75">
      <c r="J36" s="88"/>
    </row>
    <row r="37" spans="1:10" ht="12.75">
      <c r="A37" s="1314" t="s">
        <v>971</v>
      </c>
      <c r="B37" s="1588"/>
      <c r="C37" s="1588"/>
      <c r="D37" s="1588"/>
      <c r="E37">
        <f>C30</f>
        <v>0</v>
      </c>
      <c r="F37" t="s">
        <v>553</v>
      </c>
      <c r="G37" s="22" t="s">
        <v>554</v>
      </c>
      <c r="H37" s="22"/>
      <c r="I37" s="22"/>
      <c r="J37" s="617">
        <f>E37</f>
        <v>0</v>
      </c>
    </row>
    <row r="38" spans="1:10" ht="12.75">
      <c r="A38" t="s">
        <v>555</v>
      </c>
      <c r="E38">
        <f>G7</f>
        <v>0</v>
      </c>
      <c r="F38" t="s">
        <v>556</v>
      </c>
      <c r="G38" s="22" t="s">
        <v>557</v>
      </c>
      <c r="H38" s="22"/>
      <c r="I38" s="22"/>
      <c r="J38" s="617">
        <f>J37*0.2</f>
        <v>0</v>
      </c>
    </row>
    <row r="39" spans="7:10" ht="12.75">
      <c r="G39" s="22" t="s">
        <v>558</v>
      </c>
      <c r="H39" s="22"/>
      <c r="I39" s="22"/>
      <c r="J39" s="617">
        <f>J37+J38</f>
        <v>0</v>
      </c>
    </row>
    <row r="40" spans="1:10" ht="12.75">
      <c r="A40" s="1"/>
      <c r="B40" s="1"/>
      <c r="G40" s="1586" t="s">
        <v>559</v>
      </c>
      <c r="H40" s="1587"/>
      <c r="I40" s="1584"/>
      <c r="J40" s="618">
        <f>H7*850</f>
        <v>0</v>
      </c>
    </row>
    <row r="41" spans="1:10" ht="12.75">
      <c r="A41" s="1"/>
      <c r="B41" s="1"/>
      <c r="G41" s="1586" t="s">
        <v>560</v>
      </c>
      <c r="H41" s="1587"/>
      <c r="I41" s="1584"/>
      <c r="J41" s="618">
        <v>0</v>
      </c>
    </row>
    <row r="42" spans="1:10" ht="12.75">
      <c r="A42" s="1362"/>
      <c r="B42" s="1362"/>
      <c r="G42" s="22" t="s">
        <v>561</v>
      </c>
      <c r="H42" s="22"/>
      <c r="I42" s="22"/>
      <c r="J42" s="618">
        <v>0</v>
      </c>
    </row>
    <row r="43" spans="1:10" ht="12.75">
      <c r="A43" s="1362"/>
      <c r="B43" s="1362"/>
      <c r="G43" s="1586" t="s">
        <v>562</v>
      </c>
      <c r="H43" s="1587"/>
      <c r="I43" s="1584"/>
      <c r="J43" s="618">
        <v>0</v>
      </c>
    </row>
    <row r="44" spans="1:10" ht="12.75">
      <c r="A44" s="1362"/>
      <c r="B44" s="1362"/>
      <c r="G44" s="1586" t="s">
        <v>563</v>
      </c>
      <c r="H44" s="1587"/>
      <c r="I44" s="1584"/>
      <c r="J44" s="618"/>
    </row>
    <row r="45" spans="7:10" ht="12.75">
      <c r="G45" s="1586" t="s">
        <v>564</v>
      </c>
      <c r="H45" s="1587"/>
      <c r="I45" s="1584"/>
      <c r="J45" s="617"/>
    </row>
    <row r="46" spans="7:10" ht="12.75">
      <c r="G46" s="22" t="s">
        <v>565</v>
      </c>
      <c r="H46" s="22"/>
      <c r="I46" s="22"/>
      <c r="J46" s="619">
        <f>SUM(J39:J45)</f>
        <v>0</v>
      </c>
    </row>
    <row r="47" ht="12.75">
      <c r="J47" s="88"/>
    </row>
    <row r="48" spans="1:10" ht="12.75">
      <c r="A48" t="s">
        <v>566</v>
      </c>
      <c r="J48" s="88"/>
    </row>
    <row r="49" spans="1:10" ht="12.75">
      <c r="A49" t="s">
        <v>567</v>
      </c>
      <c r="J49" s="88"/>
    </row>
    <row r="50" spans="1:10" ht="12.75">
      <c r="A50" t="s">
        <v>568</v>
      </c>
      <c r="H50" s="1488" t="s">
        <v>569</v>
      </c>
      <c r="I50" s="1488"/>
      <c r="J50" s="88"/>
    </row>
    <row r="51" spans="1:10" ht="12.75">
      <c r="A51" s="1586" t="s">
        <v>96</v>
      </c>
      <c r="B51" s="1584"/>
      <c r="C51" s="22" t="s">
        <v>570</v>
      </c>
      <c r="D51" s="22" t="s">
        <v>571</v>
      </c>
      <c r="E51" s="22" t="s">
        <v>405</v>
      </c>
      <c r="F51" s="22" t="s">
        <v>572</v>
      </c>
      <c r="J51" s="88"/>
    </row>
    <row r="52" spans="1:10" ht="12.75">
      <c r="A52" s="22" t="s">
        <v>539</v>
      </c>
      <c r="B52" s="22"/>
      <c r="C52" s="100">
        <f>H14</f>
        <v>0</v>
      </c>
      <c r="D52" s="22">
        <v>400</v>
      </c>
      <c r="E52" s="22">
        <v>139</v>
      </c>
      <c r="F52" s="617">
        <f aca="true" t="shared" si="6" ref="F52:F58">C52*D52*E52</f>
        <v>0</v>
      </c>
      <c r="H52" s="22" t="s">
        <v>573</v>
      </c>
      <c r="I52" s="22"/>
      <c r="J52" s="617">
        <f>F58</f>
        <v>0</v>
      </c>
    </row>
    <row r="53" spans="1:10" ht="12.75">
      <c r="A53" s="22" t="s">
        <v>540</v>
      </c>
      <c r="B53" s="22"/>
      <c r="C53" s="100">
        <f aca="true" t="shared" si="7" ref="C53:C60">H15</f>
        <v>0</v>
      </c>
      <c r="D53" s="22">
        <f>D52*2</f>
        <v>800</v>
      </c>
      <c r="E53" s="22">
        <v>139</v>
      </c>
      <c r="F53" s="617">
        <f t="shared" si="6"/>
        <v>0</v>
      </c>
      <c r="H53" s="22" t="s">
        <v>574</v>
      </c>
      <c r="I53" s="22"/>
      <c r="J53" s="617">
        <f>J46</f>
        <v>0</v>
      </c>
    </row>
    <row r="54" spans="1:10" ht="12.75">
      <c r="A54" s="928" t="s">
        <v>980</v>
      </c>
      <c r="B54" s="43"/>
      <c r="C54" s="100">
        <f t="shared" si="7"/>
        <v>0</v>
      </c>
      <c r="D54" s="22">
        <f>D52</f>
        <v>400</v>
      </c>
      <c r="E54" s="22">
        <v>139</v>
      </c>
      <c r="F54" s="617">
        <f t="shared" si="6"/>
        <v>0</v>
      </c>
      <c r="H54" s="22" t="s">
        <v>575</v>
      </c>
      <c r="I54" s="22"/>
      <c r="J54" s="619">
        <f>J52-J53</f>
        <v>0</v>
      </c>
    </row>
    <row r="55" spans="1:10" ht="12.75">
      <c r="A55" s="1583" t="s">
        <v>977</v>
      </c>
      <c r="B55" s="1584"/>
      <c r="C55" s="100">
        <f t="shared" si="7"/>
        <v>0</v>
      </c>
      <c r="D55" s="22">
        <v>0</v>
      </c>
      <c r="E55" s="22">
        <v>139</v>
      </c>
      <c r="F55" s="617">
        <f t="shared" si="6"/>
        <v>0</v>
      </c>
      <c r="H55" s="1586"/>
      <c r="I55" s="1584"/>
      <c r="J55" s="617"/>
    </row>
    <row r="56" spans="1:10" ht="12.75">
      <c r="A56" s="1583" t="s">
        <v>978</v>
      </c>
      <c r="B56" s="1584"/>
      <c r="C56" s="100">
        <f t="shared" si="7"/>
        <v>0</v>
      </c>
      <c r="D56" s="22">
        <f>D52</f>
        <v>400</v>
      </c>
      <c r="E56" s="22">
        <v>139</v>
      </c>
      <c r="F56" s="617">
        <f t="shared" si="6"/>
        <v>0</v>
      </c>
      <c r="H56" s="22" t="s">
        <v>576</v>
      </c>
      <c r="I56" s="22"/>
      <c r="J56" s="617">
        <f>J54*0.1</f>
        <v>0</v>
      </c>
    </row>
    <row r="57" spans="1:10" ht="12.75">
      <c r="A57" s="1583" t="s">
        <v>979</v>
      </c>
      <c r="B57" s="1584"/>
      <c r="C57" s="100">
        <f t="shared" si="7"/>
        <v>0</v>
      </c>
      <c r="D57" s="22">
        <f>D52</f>
        <v>400</v>
      </c>
      <c r="E57" s="22">
        <v>139</v>
      </c>
      <c r="F57" s="617">
        <f t="shared" si="6"/>
        <v>0</v>
      </c>
      <c r="H57" s="22" t="s">
        <v>577</v>
      </c>
      <c r="I57" s="22"/>
      <c r="J57" s="617">
        <f>D31*0.1</f>
        <v>0</v>
      </c>
    </row>
    <row r="58" spans="1:10" ht="12.75">
      <c r="A58" s="1586" t="s">
        <v>541</v>
      </c>
      <c r="B58" s="1584"/>
      <c r="C58" s="100">
        <f t="shared" si="7"/>
        <v>0</v>
      </c>
      <c r="D58" s="22">
        <f>D52*0.7</f>
        <v>280</v>
      </c>
      <c r="E58" s="22">
        <v>139</v>
      </c>
      <c r="F58" s="617">
        <f t="shared" si="6"/>
        <v>0</v>
      </c>
      <c r="H58" s="22" t="s">
        <v>578</v>
      </c>
      <c r="I58" s="22"/>
      <c r="J58" s="617">
        <f>J56+J57</f>
        <v>0</v>
      </c>
    </row>
    <row r="59" spans="1:10" ht="12.75">
      <c r="A59" s="930" t="s">
        <v>354</v>
      </c>
      <c r="B59" s="929"/>
      <c r="C59" s="100">
        <f t="shared" si="7"/>
        <v>0</v>
      </c>
      <c r="D59" s="22"/>
      <c r="E59" s="22"/>
      <c r="F59" s="617">
        <f>SUM(F52:F58)</f>
        <v>0</v>
      </c>
      <c r="H59" s="22" t="s">
        <v>932</v>
      </c>
      <c r="I59" s="22"/>
      <c r="J59" s="617">
        <v>0</v>
      </c>
    </row>
    <row r="60" spans="1:10" ht="12.75">
      <c r="A60" s="1582" t="s">
        <v>542</v>
      </c>
      <c r="B60" s="1582"/>
      <c r="C60" s="100">
        <f t="shared" si="7"/>
        <v>0</v>
      </c>
      <c r="D60" s="22">
        <f>D52*0.3</f>
        <v>120</v>
      </c>
      <c r="E60" s="22">
        <v>139</v>
      </c>
      <c r="F60" s="22">
        <f>C60*D60*E60</f>
        <v>0</v>
      </c>
      <c r="H60" s="22" t="s">
        <v>579</v>
      </c>
      <c r="I60" s="22"/>
      <c r="J60" s="619">
        <f>J58-J59</f>
        <v>0</v>
      </c>
    </row>
    <row r="61" spans="6:10" ht="12.75">
      <c r="F61" s="88">
        <f>SUM(F59:F60)</f>
        <v>0</v>
      </c>
      <c r="H61" s="620"/>
      <c r="J61" s="88"/>
    </row>
    <row r="62" spans="8:10" ht="12.75">
      <c r="H62" s="620"/>
      <c r="J62" s="88"/>
    </row>
    <row r="63" spans="2:10" ht="12.75">
      <c r="B63" s="1585" t="s">
        <v>580</v>
      </c>
      <c r="C63" s="1585"/>
      <c r="D63" s="1585"/>
      <c r="E63" s="1585"/>
      <c r="F63" s="621">
        <f>F61-J37</f>
        <v>0</v>
      </c>
      <c r="J63" s="88"/>
    </row>
    <row r="64" ht="12.75">
      <c r="J64" s="88"/>
    </row>
    <row r="65" ht="12.75">
      <c r="J65" s="88"/>
    </row>
    <row r="66" ht="12.75">
      <c r="J66" s="88"/>
    </row>
    <row r="67" ht="12.75">
      <c r="J67" s="88"/>
    </row>
    <row r="68" ht="12.75">
      <c r="J68" s="88"/>
    </row>
  </sheetData>
  <sheetProtection/>
  <mergeCells count="30">
    <mergeCell ref="A13:B13"/>
    <mergeCell ref="A17:B17"/>
    <mergeCell ref="A19:B19"/>
    <mergeCell ref="A20:B20"/>
    <mergeCell ref="A22:B22"/>
    <mergeCell ref="A27:B27"/>
    <mergeCell ref="A18:B18"/>
    <mergeCell ref="A28:B28"/>
    <mergeCell ref="A29:B29"/>
    <mergeCell ref="A30:B30"/>
    <mergeCell ref="A31:B31"/>
    <mergeCell ref="A32:B32"/>
    <mergeCell ref="A37:D37"/>
    <mergeCell ref="G40:I40"/>
    <mergeCell ref="G41:I41"/>
    <mergeCell ref="A42:B42"/>
    <mergeCell ref="A43:B43"/>
    <mergeCell ref="G43:I43"/>
    <mergeCell ref="A55:B55"/>
    <mergeCell ref="H55:I55"/>
    <mergeCell ref="A60:B60"/>
    <mergeCell ref="A56:B56"/>
    <mergeCell ref="A57:B57"/>
    <mergeCell ref="B63:E63"/>
    <mergeCell ref="A44:B44"/>
    <mergeCell ref="G44:I44"/>
    <mergeCell ref="G45:I45"/>
    <mergeCell ref="H50:I50"/>
    <mergeCell ref="A51:B51"/>
    <mergeCell ref="A58:B5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20">
      <selection activeCell="A1" sqref="A1:G43"/>
    </sheetView>
  </sheetViews>
  <sheetFormatPr defaultColWidth="9.140625" defaultRowHeight="12.75"/>
  <cols>
    <col min="1" max="1" width="6.421875" style="0" customWidth="1"/>
    <col min="2" max="2" width="17.00390625" style="0" customWidth="1"/>
    <col min="3" max="3" width="9.7109375" style="0" customWidth="1"/>
    <col min="4" max="4" width="13.00390625" style="0" customWidth="1"/>
    <col min="5" max="5" width="10.140625" style="0" customWidth="1"/>
    <col min="6" max="6" width="12.8515625" style="0" customWidth="1"/>
    <col min="7" max="7" width="13.8515625" style="0" customWidth="1"/>
  </cols>
  <sheetData>
    <row r="1" spans="1:3" ht="15">
      <c r="A1" s="1589" t="s">
        <v>581</v>
      </c>
      <c r="B1" s="1589"/>
      <c r="C1" s="19" t="str">
        <f>U!D2</f>
        <v>FJORTES </v>
      </c>
    </row>
    <row r="2" spans="1:3" ht="12.75">
      <c r="A2" t="s">
        <v>406</v>
      </c>
      <c r="C2" s="19" t="str">
        <f>U!D3</f>
        <v>J97426201K</v>
      </c>
    </row>
    <row r="3" spans="1:7" ht="25.5">
      <c r="A3" s="1590" t="s">
        <v>993</v>
      </c>
      <c r="B3" s="1590"/>
      <c r="C3" s="1590"/>
      <c r="D3" s="1590"/>
      <c r="E3" s="1590"/>
      <c r="F3" s="1590"/>
      <c r="G3" s="1590"/>
    </row>
    <row r="4" spans="1:7" ht="14.25">
      <c r="A4" s="622"/>
      <c r="B4" s="622"/>
      <c r="C4" s="622"/>
      <c r="D4" s="622"/>
      <c r="E4" s="622"/>
      <c r="F4" s="622"/>
      <c r="G4" s="622"/>
    </row>
    <row r="5" spans="1:7" ht="14.25">
      <c r="A5" s="623" t="s">
        <v>1</v>
      </c>
      <c r="B5" s="623" t="s">
        <v>96</v>
      </c>
      <c r="C5" s="623" t="s">
        <v>395</v>
      </c>
      <c r="D5" s="623" t="s">
        <v>931</v>
      </c>
      <c r="E5" s="623" t="s">
        <v>582</v>
      </c>
      <c r="F5" s="623" t="s">
        <v>583</v>
      </c>
      <c r="G5" s="623" t="s">
        <v>994</v>
      </c>
    </row>
    <row r="6" spans="1:7" ht="14.25">
      <c r="A6" s="623">
        <v>1</v>
      </c>
      <c r="B6" s="623" t="s">
        <v>584</v>
      </c>
      <c r="C6" s="623"/>
      <c r="D6" s="623">
        <f>U!E9</f>
        <v>0</v>
      </c>
      <c r="E6" s="623">
        <f>U!F9</f>
        <v>0</v>
      </c>
      <c r="F6" s="623">
        <f>U!G9</f>
        <v>0</v>
      </c>
      <c r="G6" s="623">
        <f>U!H9</f>
        <v>0</v>
      </c>
    </row>
    <row r="7" spans="1:7" ht="14.25">
      <c r="A7" s="623">
        <f>A6+1</f>
        <v>2</v>
      </c>
      <c r="B7" s="623" t="s">
        <v>154</v>
      </c>
      <c r="C7" s="623"/>
      <c r="D7" s="623">
        <f>U!E13</f>
        <v>30583481</v>
      </c>
      <c r="E7" s="623">
        <f>U!F13</f>
        <v>20156692</v>
      </c>
      <c r="F7" s="623">
        <f>U!G13</f>
        <v>0</v>
      </c>
      <c r="G7" s="623">
        <f>U!H13</f>
        <v>50740173</v>
      </c>
    </row>
    <row r="8" spans="1:7" ht="14.25">
      <c r="A8" s="623">
        <f aca="true" t="shared" si="0" ref="A8:A13">A7+1</f>
        <v>3</v>
      </c>
      <c r="B8" s="623" t="s">
        <v>1013</v>
      </c>
      <c r="C8" s="623"/>
      <c r="D8" s="623">
        <f>U!E28</f>
        <v>1635000</v>
      </c>
      <c r="E8" s="623">
        <f>U!F28</f>
        <v>0</v>
      </c>
      <c r="F8" s="623">
        <f>U!G28</f>
        <v>0</v>
      </c>
      <c r="G8" s="623">
        <f>U!H28</f>
        <v>1635000</v>
      </c>
    </row>
    <row r="9" spans="1:7" ht="14.25">
      <c r="A9" s="623">
        <f t="shared" si="0"/>
        <v>4</v>
      </c>
      <c r="B9" s="623" t="s">
        <v>464</v>
      </c>
      <c r="C9" s="623"/>
      <c r="D9" s="623">
        <f>U!E35</f>
        <v>0</v>
      </c>
      <c r="E9" s="623">
        <f>U!F35</f>
        <v>0</v>
      </c>
      <c r="F9" s="623">
        <f>U!G35</f>
        <v>0</v>
      </c>
      <c r="G9" s="623">
        <f>U!H35</f>
        <v>0</v>
      </c>
    </row>
    <row r="10" spans="1:7" ht="14.25">
      <c r="A10" s="623">
        <f t="shared" si="0"/>
        <v>5</v>
      </c>
      <c r="B10" s="623" t="s">
        <v>585</v>
      </c>
      <c r="C10" s="623"/>
      <c r="D10" s="623"/>
      <c r="E10" s="623"/>
      <c r="F10" s="623"/>
      <c r="G10" s="623"/>
    </row>
    <row r="11" spans="1:7" ht="14.25">
      <c r="A11" s="623">
        <f t="shared" si="0"/>
        <v>6</v>
      </c>
      <c r="B11" s="623" t="s">
        <v>586</v>
      </c>
      <c r="C11" s="623"/>
      <c r="D11" s="623">
        <f>U!E47</f>
        <v>4291764</v>
      </c>
      <c r="E11" s="623">
        <f>U!F47</f>
        <v>1843330</v>
      </c>
      <c r="F11" s="623">
        <f>U!G47</f>
        <v>0</v>
      </c>
      <c r="G11" s="623">
        <f>U!H47</f>
        <v>6135094</v>
      </c>
    </row>
    <row r="12" spans="1:7" ht="14.25">
      <c r="A12" s="623">
        <f t="shared" si="0"/>
        <v>7</v>
      </c>
      <c r="B12" s="623" t="s">
        <v>1012</v>
      </c>
      <c r="C12" s="623"/>
      <c r="D12" s="623">
        <f>U!E48</f>
        <v>0</v>
      </c>
      <c r="E12" s="623">
        <f>U!F48</f>
        <v>0</v>
      </c>
      <c r="F12" s="623">
        <f>U!G48</f>
        <v>0</v>
      </c>
      <c r="G12" s="623">
        <f>U!H48</f>
        <v>0</v>
      </c>
    </row>
    <row r="13" spans="1:7" ht="14.25">
      <c r="A13" s="623">
        <f t="shared" si="0"/>
        <v>8</v>
      </c>
      <c r="B13" s="623"/>
      <c r="C13" s="623"/>
      <c r="D13" s="623"/>
      <c r="E13" s="623"/>
      <c r="F13" s="623"/>
      <c r="G13" s="623"/>
    </row>
    <row r="14" spans="1:7" ht="14.25">
      <c r="A14" s="623"/>
      <c r="B14" s="623" t="s">
        <v>389</v>
      </c>
      <c r="C14" s="623"/>
      <c r="D14" s="623">
        <f>D6+D7+D8+D9+D10+D11+D12+D13</f>
        <v>36510245</v>
      </c>
      <c r="E14" s="623">
        <f>E6+E7+E8+E9+E10+E11+E12+E13</f>
        <v>22000022</v>
      </c>
      <c r="F14" s="623">
        <f>F6+F7+F8+F9+F10+F11+F12+F13</f>
        <v>0</v>
      </c>
      <c r="G14" s="623">
        <f>G6+G7+G8+G9+G10+G11+G12+G13</f>
        <v>58510267</v>
      </c>
    </row>
    <row r="17" spans="1:7" ht="25.5">
      <c r="A17" s="1590" t="s">
        <v>995</v>
      </c>
      <c r="B17" s="1590"/>
      <c r="C17" s="1590"/>
      <c r="D17" s="1590"/>
      <c r="E17" s="1590"/>
      <c r="F17" s="1590"/>
      <c r="G17" s="1590"/>
    </row>
    <row r="18" spans="1:7" ht="14.25">
      <c r="A18" s="622"/>
      <c r="B18" s="622"/>
      <c r="C18" s="622"/>
      <c r="D18" s="622"/>
      <c r="E18" s="622"/>
      <c r="F18" s="622"/>
      <c r="G18" s="622"/>
    </row>
    <row r="19" spans="1:7" ht="14.25">
      <c r="A19" s="623" t="s">
        <v>1</v>
      </c>
      <c r="B19" s="623" t="s">
        <v>96</v>
      </c>
      <c r="C19" s="623" t="s">
        <v>395</v>
      </c>
      <c r="D19" s="623" t="str">
        <f>D5</f>
        <v>Gjendje fillest</v>
      </c>
      <c r="E19" s="623" t="str">
        <f>E5</f>
        <v>Shtese</v>
      </c>
      <c r="F19" s="623" t="str">
        <f>F5</f>
        <v>Paksime</v>
      </c>
      <c r="G19" s="623" t="str">
        <f>G5</f>
        <v>Gjendje 31/12/2012</v>
      </c>
    </row>
    <row r="20" spans="1:7" ht="14.25">
      <c r="A20" s="623">
        <v>1</v>
      </c>
      <c r="B20" s="623" t="s">
        <v>584</v>
      </c>
      <c r="C20" s="623"/>
      <c r="D20" s="623">
        <f>U!J9</f>
        <v>0</v>
      </c>
      <c r="E20" s="623">
        <f>U!L9</f>
        <v>0</v>
      </c>
      <c r="F20" s="623">
        <f>U!M9</f>
        <v>0</v>
      </c>
      <c r="G20" s="623">
        <f>U!N9</f>
        <v>0</v>
      </c>
    </row>
    <row r="21" spans="1:7" ht="14.25">
      <c r="A21" s="623">
        <f>A20+1</f>
        <v>2</v>
      </c>
      <c r="B21" s="623" t="s">
        <v>154</v>
      </c>
      <c r="C21" s="623"/>
      <c r="D21" s="623">
        <f>U!J13</f>
        <v>0</v>
      </c>
      <c r="E21" s="623">
        <f>U!L13</f>
        <v>1529174.0499999998</v>
      </c>
      <c r="F21" s="623">
        <f>U!M13</f>
        <v>0</v>
      </c>
      <c r="G21" s="623">
        <f>SUM(C21:F21)</f>
        <v>1529174.0499999998</v>
      </c>
    </row>
    <row r="22" spans="1:7" ht="14.25">
      <c r="A22" s="623">
        <f aca="true" t="shared" si="1" ref="A22:A27">A21+1</f>
        <v>3</v>
      </c>
      <c r="B22" s="623" t="s">
        <v>1013</v>
      </c>
      <c r="C22" s="623"/>
      <c r="D22" s="623">
        <f>U!J28</f>
        <v>891084</v>
      </c>
      <c r="E22" s="623">
        <f>U!L28</f>
        <v>148783.2</v>
      </c>
      <c r="F22" s="623">
        <f>U!M28</f>
        <v>0</v>
      </c>
      <c r="G22" s="623">
        <f>U!N28</f>
        <v>1039867.2</v>
      </c>
    </row>
    <row r="23" spans="1:7" ht="14.25">
      <c r="A23" s="623">
        <f t="shared" si="1"/>
        <v>4</v>
      </c>
      <c r="B23" s="623" t="s">
        <v>464</v>
      </c>
      <c r="C23" s="623"/>
      <c r="D23" s="623">
        <f>U!J35</f>
        <v>0</v>
      </c>
      <c r="E23" s="623">
        <f>U!L35</f>
        <v>0</v>
      </c>
      <c r="F23" s="623">
        <f>U!M35</f>
        <v>0</v>
      </c>
      <c r="G23" s="623">
        <f>U!N35</f>
        <v>0</v>
      </c>
    </row>
    <row r="24" spans="1:7" ht="14.25">
      <c r="A24" s="623">
        <f t="shared" si="1"/>
        <v>5</v>
      </c>
      <c r="B24" s="623" t="s">
        <v>585</v>
      </c>
      <c r="C24" s="623"/>
      <c r="D24" s="623"/>
      <c r="E24" s="623"/>
      <c r="F24" s="623"/>
      <c r="G24" s="623"/>
    </row>
    <row r="25" spans="1:7" ht="14.25">
      <c r="A25" s="623">
        <f t="shared" si="1"/>
        <v>6</v>
      </c>
      <c r="B25" s="623" t="s">
        <v>586</v>
      </c>
      <c r="C25" s="623"/>
      <c r="D25" s="623">
        <f>U!J47</f>
        <v>974489</v>
      </c>
      <c r="E25" s="623">
        <f>U!L47</f>
        <v>663455</v>
      </c>
      <c r="F25" s="623">
        <f>U!M47</f>
        <v>0</v>
      </c>
      <c r="G25" s="623">
        <f>U!N47</f>
        <v>1637944</v>
      </c>
    </row>
    <row r="26" spans="1:11" ht="14.25">
      <c r="A26" s="623">
        <f t="shared" si="1"/>
        <v>7</v>
      </c>
      <c r="B26" s="623" t="s">
        <v>1012</v>
      </c>
      <c r="C26" s="623"/>
      <c r="D26" s="623">
        <f>U!J48</f>
        <v>0</v>
      </c>
      <c r="E26" s="623">
        <f>U!L48</f>
        <v>0</v>
      </c>
      <c r="F26" s="623">
        <f>U!M48</f>
        <v>0</v>
      </c>
      <c r="G26" s="623">
        <f>U!N48</f>
        <v>0</v>
      </c>
      <c r="K26" s="229"/>
    </row>
    <row r="27" spans="1:7" ht="14.25">
      <c r="A27" s="623">
        <f t="shared" si="1"/>
        <v>8</v>
      </c>
      <c r="B27" s="623"/>
      <c r="C27" s="623"/>
      <c r="D27" s="623"/>
      <c r="E27" s="623"/>
      <c r="F27" s="623"/>
      <c r="G27" s="623"/>
    </row>
    <row r="28" spans="1:7" ht="14.25">
      <c r="A28" s="623"/>
      <c r="B28" s="623" t="s">
        <v>389</v>
      </c>
      <c r="C28" s="623"/>
      <c r="D28" s="623">
        <f>SUM(D20:D27)</f>
        <v>1865573</v>
      </c>
      <c r="E28" s="623">
        <f>SUM(E20:E27)</f>
        <v>2341412.25</v>
      </c>
      <c r="F28" s="623">
        <f>SUM(F20:F27)</f>
        <v>0</v>
      </c>
      <c r="G28" s="623">
        <f>SUM(G20:G27)</f>
        <v>4206985.25</v>
      </c>
    </row>
    <row r="30" spans="1:7" ht="25.5">
      <c r="A30" s="1590" t="s">
        <v>996</v>
      </c>
      <c r="B30" s="1590"/>
      <c r="C30" s="1590"/>
      <c r="D30" s="1590"/>
      <c r="E30" s="1590"/>
      <c r="F30" s="1590"/>
      <c r="G30" s="1590"/>
    </row>
    <row r="31" spans="1:7" ht="14.25">
      <c r="A31" s="622"/>
      <c r="B31" s="622"/>
      <c r="C31" s="622"/>
      <c r="D31" s="622"/>
      <c r="E31" s="622"/>
      <c r="F31" s="622"/>
      <c r="G31" s="622"/>
    </row>
    <row r="32" spans="1:7" ht="15">
      <c r="A32" s="623" t="s">
        <v>1</v>
      </c>
      <c r="B32" s="623" t="s">
        <v>96</v>
      </c>
      <c r="C32" s="623" t="s">
        <v>395</v>
      </c>
      <c r="D32" s="648" t="s">
        <v>997</v>
      </c>
      <c r="E32" s="623" t="s">
        <v>582</v>
      </c>
      <c r="F32" s="623" t="s">
        <v>583</v>
      </c>
      <c r="G32" s="648" t="s">
        <v>994</v>
      </c>
    </row>
    <row r="33" spans="1:7" ht="14.25">
      <c r="A33" s="623">
        <v>1</v>
      </c>
      <c r="B33" s="623" t="s">
        <v>584</v>
      </c>
      <c r="C33" s="623">
        <f>+C6-C20</f>
        <v>0</v>
      </c>
      <c r="D33" s="623">
        <f>+D6-D20</f>
        <v>0</v>
      </c>
      <c r="E33" s="623">
        <f>+E6-E20</f>
        <v>0</v>
      </c>
      <c r="F33" s="623">
        <f>+F6-F20</f>
        <v>0</v>
      </c>
      <c r="G33" s="623">
        <f>+G6-G20</f>
        <v>0</v>
      </c>
    </row>
    <row r="34" spans="1:7" ht="14.25">
      <c r="A34" s="623">
        <f>A33+1</f>
        <v>2</v>
      </c>
      <c r="B34" s="623" t="s">
        <v>154</v>
      </c>
      <c r="C34" s="623">
        <f aca="true" t="shared" si="2" ref="C34:G40">+C7-C21</f>
        <v>0</v>
      </c>
      <c r="D34" s="623">
        <f t="shared" si="2"/>
        <v>30583481</v>
      </c>
      <c r="E34" s="623">
        <f t="shared" si="2"/>
        <v>18627517.95</v>
      </c>
      <c r="F34" s="623">
        <f t="shared" si="2"/>
        <v>0</v>
      </c>
      <c r="G34" s="623">
        <f t="shared" si="2"/>
        <v>49210998.95</v>
      </c>
    </row>
    <row r="35" spans="1:7" ht="14.25">
      <c r="A35" s="623">
        <f aca="true" t="shared" si="3" ref="A35:A40">A34+1</f>
        <v>3</v>
      </c>
      <c r="B35" s="623" t="s">
        <v>1013</v>
      </c>
      <c r="C35" s="623">
        <f t="shared" si="2"/>
        <v>0</v>
      </c>
      <c r="D35" s="623">
        <f t="shared" si="2"/>
        <v>743916</v>
      </c>
      <c r="E35" s="623">
        <f t="shared" si="2"/>
        <v>-148783.2</v>
      </c>
      <c r="F35" s="623">
        <f t="shared" si="2"/>
        <v>0</v>
      </c>
      <c r="G35" s="623">
        <f t="shared" si="2"/>
        <v>595132.8</v>
      </c>
    </row>
    <row r="36" spans="1:7" ht="14.25">
      <c r="A36" s="623">
        <f t="shared" si="3"/>
        <v>4</v>
      </c>
      <c r="B36" s="623" t="s">
        <v>464</v>
      </c>
      <c r="C36" s="623">
        <f t="shared" si="2"/>
        <v>0</v>
      </c>
      <c r="D36" s="623">
        <f t="shared" si="2"/>
        <v>0</v>
      </c>
      <c r="E36" s="623">
        <f t="shared" si="2"/>
        <v>0</v>
      </c>
      <c r="F36" s="623">
        <f t="shared" si="2"/>
        <v>0</v>
      </c>
      <c r="G36" s="623">
        <f t="shared" si="2"/>
        <v>0</v>
      </c>
    </row>
    <row r="37" spans="1:7" ht="14.25">
      <c r="A37" s="623">
        <f t="shared" si="3"/>
        <v>5</v>
      </c>
      <c r="B37" s="623" t="s">
        <v>585</v>
      </c>
      <c r="C37" s="623">
        <f t="shared" si="2"/>
        <v>0</v>
      </c>
      <c r="D37" s="623">
        <f t="shared" si="2"/>
        <v>0</v>
      </c>
      <c r="E37" s="623">
        <f t="shared" si="2"/>
        <v>0</v>
      </c>
      <c r="F37" s="623">
        <f t="shared" si="2"/>
        <v>0</v>
      </c>
      <c r="G37" s="623">
        <f t="shared" si="2"/>
        <v>0</v>
      </c>
    </row>
    <row r="38" spans="1:7" ht="14.25">
      <c r="A38" s="623">
        <f t="shared" si="3"/>
        <v>6</v>
      </c>
      <c r="B38" s="623" t="s">
        <v>586</v>
      </c>
      <c r="C38" s="623">
        <f t="shared" si="2"/>
        <v>0</v>
      </c>
      <c r="D38" s="623">
        <f t="shared" si="2"/>
        <v>3317275</v>
      </c>
      <c r="E38" s="623">
        <f t="shared" si="2"/>
        <v>1179875</v>
      </c>
      <c r="F38" s="623">
        <f t="shared" si="2"/>
        <v>0</v>
      </c>
      <c r="G38" s="623">
        <f t="shared" si="2"/>
        <v>4497150</v>
      </c>
    </row>
    <row r="39" spans="1:7" ht="14.25">
      <c r="A39" s="623">
        <f t="shared" si="3"/>
        <v>7</v>
      </c>
      <c r="B39" s="623" t="s">
        <v>1012</v>
      </c>
      <c r="C39" s="623">
        <f t="shared" si="2"/>
        <v>0</v>
      </c>
      <c r="D39" s="623">
        <f t="shared" si="2"/>
        <v>0</v>
      </c>
      <c r="E39" s="623">
        <f t="shared" si="2"/>
        <v>0</v>
      </c>
      <c r="F39" s="623">
        <f t="shared" si="2"/>
        <v>0</v>
      </c>
      <c r="G39" s="623">
        <f t="shared" si="2"/>
        <v>0</v>
      </c>
    </row>
    <row r="40" spans="1:7" ht="14.25">
      <c r="A40" s="623">
        <f t="shared" si="3"/>
        <v>8</v>
      </c>
      <c r="B40" s="623"/>
      <c r="C40" s="623">
        <f t="shared" si="2"/>
        <v>0</v>
      </c>
      <c r="D40" s="623">
        <f t="shared" si="2"/>
        <v>0</v>
      </c>
      <c r="E40" s="623">
        <f t="shared" si="2"/>
        <v>0</v>
      </c>
      <c r="F40" s="623">
        <f t="shared" si="2"/>
        <v>0</v>
      </c>
      <c r="G40" s="623">
        <f t="shared" si="2"/>
        <v>0</v>
      </c>
    </row>
    <row r="41" spans="1:7" ht="14.25">
      <c r="A41" s="623"/>
      <c r="B41" s="623" t="s">
        <v>389</v>
      </c>
      <c r="C41" s="623"/>
      <c r="D41" s="623">
        <f>SUM(D33:D40)</f>
        <v>34644672</v>
      </c>
      <c r="E41" s="623">
        <f>SUM(E33:E40)</f>
        <v>19658609.75</v>
      </c>
      <c r="F41" s="623">
        <f>SUM(F33:F40)</f>
        <v>0</v>
      </c>
      <c r="G41" s="623">
        <f>SUM(G33:G40)</f>
        <v>54303281.75</v>
      </c>
    </row>
    <row r="43" spans="6:7" ht="12.75">
      <c r="F43" s="19" t="s">
        <v>587</v>
      </c>
      <c r="G43" s="19"/>
    </row>
    <row r="44" spans="6:7" ht="12.75">
      <c r="F44" s="19" t="str">
        <f>'Shenimet Shpjeg'!F317</f>
        <v>SILVANA SADIRAJ </v>
      </c>
      <c r="G44" s="19"/>
    </row>
  </sheetData>
  <sheetProtection/>
  <mergeCells count="4">
    <mergeCell ref="A1:B1"/>
    <mergeCell ref="A3:G3"/>
    <mergeCell ref="A17:G17"/>
    <mergeCell ref="A30:G30"/>
  </mergeCells>
  <printOptions/>
  <pageMargins left="0.7" right="0.7" top="0.75" bottom="0.75" header="0.3" footer="0.3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9">
      <selection activeCell="A1" sqref="A1:F26"/>
    </sheetView>
  </sheetViews>
  <sheetFormatPr defaultColWidth="9.140625" defaultRowHeight="12.75"/>
  <cols>
    <col min="2" max="2" width="35.28125" style="0" customWidth="1"/>
    <col min="3" max="3" width="15.28125" style="0" customWidth="1"/>
    <col min="4" max="4" width="14.28125" style="0" customWidth="1"/>
    <col min="5" max="5" width="16.421875" style="894" customWidth="1"/>
    <col min="6" max="6" width="17.140625" style="894" customWidth="1"/>
  </cols>
  <sheetData>
    <row r="1" spans="1:6" ht="15">
      <c r="A1" s="652" t="s">
        <v>581</v>
      </c>
      <c r="B1" s="652" t="str">
        <f>'U - statist'!C1</f>
        <v>FJORTES </v>
      </c>
      <c r="C1" s="624"/>
      <c r="D1" s="624"/>
      <c r="E1" s="915"/>
      <c r="F1" s="915"/>
    </row>
    <row r="2" spans="1:6" ht="15">
      <c r="A2" s="624" t="s">
        <v>406</v>
      </c>
      <c r="B2" s="653" t="str">
        <f>'U - statist'!C2</f>
        <v>J97426201K</v>
      </c>
      <c r="C2" s="624"/>
      <c r="D2" s="624"/>
      <c r="E2" s="915"/>
      <c r="F2" s="915"/>
    </row>
    <row r="3" spans="1:6" ht="15">
      <c r="A3" s="624"/>
      <c r="B3" s="624"/>
      <c r="C3" s="624"/>
      <c r="D3" s="625" t="s">
        <v>588</v>
      </c>
      <c r="E3" s="915"/>
      <c r="F3" s="897" t="s">
        <v>589</v>
      </c>
    </row>
    <row r="4" spans="1:6" ht="15.75">
      <c r="A4" s="1591" t="s">
        <v>590</v>
      </c>
      <c r="B4" s="1592"/>
      <c r="C4" s="1592"/>
      <c r="D4" s="1592"/>
      <c r="E4" s="1592"/>
      <c r="F4" s="1593"/>
    </row>
    <row r="5" spans="1:6" ht="15.75">
      <c r="A5" s="1594" t="s">
        <v>1</v>
      </c>
      <c r="B5" s="1594" t="s">
        <v>591</v>
      </c>
      <c r="C5" s="1596" t="s">
        <v>592</v>
      </c>
      <c r="D5" s="1596" t="s">
        <v>593</v>
      </c>
      <c r="E5" s="1598" t="s">
        <v>594</v>
      </c>
      <c r="F5" s="1599"/>
    </row>
    <row r="6" spans="1:6" ht="15.75">
      <c r="A6" s="1595"/>
      <c r="B6" s="1595"/>
      <c r="C6" s="1597"/>
      <c r="D6" s="1597"/>
      <c r="E6" s="626">
        <v>2012</v>
      </c>
      <c r="F6" s="626">
        <v>2011</v>
      </c>
    </row>
    <row r="7" spans="1:6" ht="15.75">
      <c r="A7" s="627">
        <v>1</v>
      </c>
      <c r="B7" s="627" t="s">
        <v>595</v>
      </c>
      <c r="C7" s="627">
        <v>70</v>
      </c>
      <c r="D7" s="627">
        <v>11100</v>
      </c>
      <c r="E7" s="916">
        <f>E8+E9+E10</f>
        <v>105559.29400000001</v>
      </c>
      <c r="F7" s="916">
        <f>F8+F9+F10</f>
        <v>10085.561</v>
      </c>
    </row>
    <row r="8" spans="1:6" ht="15.75">
      <c r="A8" s="628" t="s">
        <v>510</v>
      </c>
      <c r="B8" s="629" t="s">
        <v>596</v>
      </c>
      <c r="C8" s="630">
        <v>701702703</v>
      </c>
      <c r="D8" s="627">
        <v>11101</v>
      </c>
      <c r="E8" s="917">
        <f>+('Ardh e shp - natyres'!E9+'Ardh e shp - natyres'!E10+'Ardh e shp - natyres'!E11)/1000</f>
        <v>99965.335</v>
      </c>
      <c r="F8" s="917">
        <f>('[2]Ardh e shp - natyres'!F9+'[2]Ardh e shp - natyres'!F10+'[2]Ardh e shp - natyres'!F11)/1000</f>
        <v>10085.561</v>
      </c>
    </row>
    <row r="9" spans="1:6" ht="15.75">
      <c r="A9" s="628" t="s">
        <v>511</v>
      </c>
      <c r="B9" s="629" t="s">
        <v>597</v>
      </c>
      <c r="C9" s="627">
        <v>704</v>
      </c>
      <c r="D9" s="627">
        <v>11102</v>
      </c>
      <c r="E9" s="917">
        <f>+'Ardh e shp - natyres'!E12/1000</f>
        <v>5593.959</v>
      </c>
      <c r="F9" s="917">
        <f>('[2]Ardh e shp - natyres'!F12)/1000</f>
        <v>0</v>
      </c>
    </row>
    <row r="10" spans="1:6" ht="15.75">
      <c r="A10" s="628" t="s">
        <v>598</v>
      </c>
      <c r="B10" s="629" t="s">
        <v>599</v>
      </c>
      <c r="C10" s="627">
        <v>705</v>
      </c>
      <c r="D10" s="627">
        <v>11103</v>
      </c>
      <c r="E10" s="917">
        <f>+'Ardh e shp - natyres'!E13/1000</f>
        <v>0</v>
      </c>
      <c r="F10" s="917">
        <f>('[2]Ardh e shp - natyres'!F13)/1000</f>
        <v>0</v>
      </c>
    </row>
    <row r="11" spans="1:6" ht="15.75">
      <c r="A11" s="627">
        <v>2</v>
      </c>
      <c r="B11" s="627" t="s">
        <v>600</v>
      </c>
      <c r="C11" s="627">
        <v>708</v>
      </c>
      <c r="D11" s="627">
        <v>11104</v>
      </c>
      <c r="E11" s="917">
        <f>E12+E13+E14</f>
        <v>0</v>
      </c>
      <c r="F11" s="917">
        <f>F12+F13+F14</f>
        <v>0</v>
      </c>
    </row>
    <row r="12" spans="1:6" ht="15.75">
      <c r="A12" s="628" t="s">
        <v>510</v>
      </c>
      <c r="B12" s="627" t="s">
        <v>601</v>
      </c>
      <c r="C12" s="627">
        <v>7081</v>
      </c>
      <c r="D12" s="627">
        <v>111041</v>
      </c>
      <c r="E12" s="917"/>
      <c r="F12" s="916"/>
    </row>
    <row r="13" spans="1:6" ht="15.75">
      <c r="A13" s="628" t="s">
        <v>511</v>
      </c>
      <c r="B13" s="627" t="s">
        <v>602</v>
      </c>
      <c r="C13" s="627">
        <v>7082</v>
      </c>
      <c r="D13" s="627">
        <v>111042</v>
      </c>
      <c r="E13" s="917">
        <f>('[2]Ardh e shp - natyres'!E30)/1000</f>
        <v>0</v>
      </c>
      <c r="F13" s="917">
        <f>('[2]Ardh e shp - natyres'!F30)/1000</f>
        <v>0</v>
      </c>
    </row>
    <row r="14" spans="1:6" ht="15.75">
      <c r="A14" s="628" t="s">
        <v>598</v>
      </c>
      <c r="B14" s="627" t="s">
        <v>603</v>
      </c>
      <c r="C14" s="627">
        <v>7083</v>
      </c>
      <c r="D14" s="627">
        <v>111043</v>
      </c>
      <c r="E14" s="917"/>
      <c r="F14" s="916"/>
    </row>
    <row r="15" spans="1:6" ht="29.25" customHeight="1">
      <c r="A15" s="631">
        <v>3</v>
      </c>
      <c r="B15" s="632" t="s">
        <v>604</v>
      </c>
      <c r="C15" s="631">
        <v>71</v>
      </c>
      <c r="D15" s="631">
        <v>11201</v>
      </c>
      <c r="E15" s="918">
        <f>(E16-E17)</f>
        <v>0</v>
      </c>
      <c r="F15" s="918">
        <f>F16-F17</f>
        <v>0</v>
      </c>
    </row>
    <row r="16" spans="1:6" ht="15.75">
      <c r="A16" s="627"/>
      <c r="B16" s="633" t="s">
        <v>605</v>
      </c>
      <c r="C16" s="627"/>
      <c r="D16" s="627">
        <v>112011</v>
      </c>
      <c r="E16" s="917">
        <f>('[2]Ardh e shp - natyres'!E15)/1000</f>
        <v>0</v>
      </c>
      <c r="F16" s="917">
        <f>('[2]Ardh e shp - natyres'!F15)/1000</f>
        <v>0</v>
      </c>
    </row>
    <row r="17" spans="1:6" ht="23.25" customHeight="1">
      <c r="A17" s="627"/>
      <c r="B17" s="633" t="s">
        <v>606</v>
      </c>
      <c r="C17" s="627"/>
      <c r="D17" s="627">
        <v>112012</v>
      </c>
      <c r="E17" s="917">
        <f>('[2]Ardh e shp - natyres'!E17)/1000</f>
        <v>0</v>
      </c>
      <c r="F17" s="917">
        <f>('[2]Ardh e shp - natyres'!F17)/1000</f>
        <v>0</v>
      </c>
    </row>
    <row r="18" spans="1:6" ht="28.5" customHeight="1">
      <c r="A18" s="631">
        <v>4</v>
      </c>
      <c r="B18" s="634" t="s">
        <v>607</v>
      </c>
      <c r="C18" s="631">
        <v>72</v>
      </c>
      <c r="D18" s="631">
        <v>11300</v>
      </c>
      <c r="E18" s="918"/>
      <c r="F18" s="919"/>
    </row>
    <row r="19" spans="1:6" ht="24.75" customHeight="1">
      <c r="A19" s="627"/>
      <c r="B19" s="635" t="s">
        <v>608</v>
      </c>
      <c r="C19" s="627"/>
      <c r="D19" s="627">
        <v>11301</v>
      </c>
      <c r="E19" s="917"/>
      <c r="F19" s="916"/>
    </row>
    <row r="20" spans="1:6" ht="18.75" customHeight="1">
      <c r="A20" s="627">
        <v>5</v>
      </c>
      <c r="B20" s="636" t="s">
        <v>609</v>
      </c>
      <c r="C20" s="627">
        <v>73</v>
      </c>
      <c r="D20" s="627">
        <v>11400</v>
      </c>
      <c r="E20" s="917"/>
      <c r="F20" s="916"/>
    </row>
    <row r="21" spans="1:6" ht="15.75">
      <c r="A21" s="627">
        <v>6</v>
      </c>
      <c r="B21" s="636" t="s">
        <v>610</v>
      </c>
      <c r="C21" s="627">
        <v>75</v>
      </c>
      <c r="D21" s="627">
        <v>11500</v>
      </c>
      <c r="E21" s="917"/>
      <c r="F21" s="916"/>
    </row>
    <row r="22" spans="1:6" ht="27.75" customHeight="1">
      <c r="A22" s="631">
        <v>7</v>
      </c>
      <c r="B22" s="632" t="s">
        <v>611</v>
      </c>
      <c r="C22" s="631">
        <v>77</v>
      </c>
      <c r="D22" s="631">
        <v>11600</v>
      </c>
      <c r="E22" s="918">
        <f>('Ardh e shp - natyres'!E14)/1000</f>
        <v>0</v>
      </c>
      <c r="F22" s="918">
        <f>('Ardh e shp - natyres'!F14)/1000</f>
        <v>0</v>
      </c>
    </row>
    <row r="23" spans="1:6" ht="15.75">
      <c r="A23" s="627"/>
      <c r="B23" s="637" t="s">
        <v>612</v>
      </c>
      <c r="C23" s="637"/>
      <c r="D23" s="627">
        <v>11800</v>
      </c>
      <c r="E23" s="917">
        <f>E7+E11+E15+E18+E20+E21+E22</f>
        <v>105559.29400000001</v>
      </c>
      <c r="F23" s="917">
        <f>F7+F11+F15+F18+F20+F21+F22</f>
        <v>10085.561</v>
      </c>
    </row>
    <row r="24" spans="1:6" ht="15">
      <c r="A24" s="624"/>
      <c r="B24" s="624"/>
      <c r="C24" s="624"/>
      <c r="D24" s="624"/>
      <c r="E24" s="915"/>
      <c r="F24" s="915"/>
    </row>
    <row r="25" spans="1:6" ht="15">
      <c r="A25" s="624"/>
      <c r="B25" s="624"/>
      <c r="C25" s="624"/>
      <c r="D25" s="624"/>
      <c r="E25" s="895" t="s">
        <v>587</v>
      </c>
      <c r="F25" s="915"/>
    </row>
    <row r="26" ht="12.75">
      <c r="E26" s="893" t="str">
        <f>'U - statist'!F44</f>
        <v>SILVANA SADIRAJ </v>
      </c>
    </row>
  </sheetData>
  <sheetProtection/>
  <mergeCells count="6">
    <mergeCell ref="A4:F4"/>
    <mergeCell ref="A5:A6"/>
    <mergeCell ref="B5:B6"/>
    <mergeCell ref="C5:C6"/>
    <mergeCell ref="D5:D6"/>
    <mergeCell ref="E5:F5"/>
  </mergeCells>
  <printOptions/>
  <pageMargins left="0.7" right="0.7" top="0.75" bottom="0.75" header="0.3" footer="0.3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F48"/>
    </sheetView>
  </sheetViews>
  <sheetFormatPr defaultColWidth="9.140625" defaultRowHeight="12.75"/>
  <cols>
    <col min="1" max="1" width="6.7109375" style="0" customWidth="1"/>
    <col min="2" max="2" width="17.00390625" style="0" customWidth="1"/>
    <col min="3" max="3" width="14.8515625" style="0" customWidth="1"/>
    <col min="4" max="4" width="11.57421875" style="0" customWidth="1"/>
    <col min="5" max="5" width="12.00390625" style="894" customWidth="1"/>
    <col min="6" max="6" width="11.8515625" style="894" customWidth="1"/>
  </cols>
  <sheetData>
    <row r="1" spans="1:2" ht="15">
      <c r="A1" s="652" t="s">
        <v>581</v>
      </c>
      <c r="B1" s="652" t="str">
        <f>'U - statist'!C1</f>
        <v>FJORTES </v>
      </c>
    </row>
    <row r="2" spans="1:2" ht="15">
      <c r="A2" s="624" t="s">
        <v>406</v>
      </c>
      <c r="B2" s="624" t="str">
        <f>'U - statist'!C2</f>
        <v>J97426201K</v>
      </c>
    </row>
    <row r="3" spans="3:6" ht="12.75">
      <c r="C3" t="s">
        <v>613</v>
      </c>
      <c r="F3" s="897" t="s">
        <v>589</v>
      </c>
    </row>
    <row r="4" spans="1:6" ht="14.25">
      <c r="A4" s="1601" t="s">
        <v>1</v>
      </c>
      <c r="B4" s="1601" t="s">
        <v>614</v>
      </c>
      <c r="C4" s="1603" t="s">
        <v>592</v>
      </c>
      <c r="D4" s="1603" t="s">
        <v>593</v>
      </c>
      <c r="E4" s="1605" t="s">
        <v>594</v>
      </c>
      <c r="F4" s="1606"/>
    </row>
    <row r="5" spans="1:6" ht="14.25">
      <c r="A5" s="1602"/>
      <c r="B5" s="1602"/>
      <c r="C5" s="1604"/>
      <c r="D5" s="1604"/>
      <c r="E5" s="638">
        <v>2012</v>
      </c>
      <c r="F5" s="638">
        <v>2011</v>
      </c>
    </row>
    <row r="6" spans="1:6" ht="14.25">
      <c r="A6" s="639">
        <v>1</v>
      </c>
      <c r="B6" s="639" t="s">
        <v>615</v>
      </c>
      <c r="C6" s="639">
        <v>60</v>
      </c>
      <c r="D6" s="639">
        <v>12100</v>
      </c>
      <c r="E6" s="792">
        <f>E7+E8+E9+E10+E11</f>
        <v>94821.458713</v>
      </c>
      <c r="F6" s="792">
        <f>F7+F8</f>
        <v>100155.019</v>
      </c>
    </row>
    <row r="7" spans="1:6" ht="14.25">
      <c r="A7" s="639" t="s">
        <v>510</v>
      </c>
      <c r="B7" s="639" t="s">
        <v>616</v>
      </c>
      <c r="C7" s="640">
        <v>601602</v>
      </c>
      <c r="D7" s="639">
        <f>D6+1</f>
        <v>12101</v>
      </c>
      <c r="E7" s="792">
        <f>S!P30/1000</f>
        <v>95255.299713</v>
      </c>
      <c r="F7" s="792">
        <f>('Ardh e shp - natyres'!F18+'Stat - Kostot '!F8)/1000</f>
        <v>100155.019</v>
      </c>
    </row>
    <row r="8" spans="1:6" ht="14.25">
      <c r="A8" s="639" t="s">
        <v>511</v>
      </c>
      <c r="B8" s="641" t="s">
        <v>617</v>
      </c>
      <c r="C8" s="639"/>
      <c r="D8" s="639">
        <f>D7+1</f>
        <v>12102</v>
      </c>
      <c r="E8" s="792">
        <f>('AKTIVI '!F22-'AKTIVI '!E22)/1000</f>
        <v>0</v>
      </c>
      <c r="F8" s="792">
        <v>0</v>
      </c>
    </row>
    <row r="9" spans="1:6" ht="14.25">
      <c r="A9" s="639" t="s">
        <v>598</v>
      </c>
      <c r="B9" s="639" t="s">
        <v>618</v>
      </c>
      <c r="C9" s="642" t="s">
        <v>619</v>
      </c>
      <c r="D9" s="639">
        <f>D8+1</f>
        <v>12103</v>
      </c>
      <c r="E9" s="792"/>
      <c r="F9" s="792"/>
    </row>
    <row r="10" spans="1:6" ht="14.25">
      <c r="A10" s="639" t="s">
        <v>620</v>
      </c>
      <c r="B10" s="641" t="s">
        <v>621</v>
      </c>
      <c r="C10" s="642"/>
      <c r="D10" s="639">
        <f>D9+1</f>
        <v>12104</v>
      </c>
      <c r="E10" s="792">
        <f>('AKTIVI '!F25-'AKTIVI '!E25)/1000</f>
        <v>-433.841</v>
      </c>
      <c r="F10" s="792"/>
    </row>
    <row r="11" spans="1:6" ht="14.25">
      <c r="A11" s="639" t="s">
        <v>622</v>
      </c>
      <c r="B11" s="639" t="s">
        <v>623</v>
      </c>
      <c r="C11" s="642" t="s">
        <v>624</v>
      </c>
      <c r="D11" s="639">
        <f>D10+1</f>
        <v>12105</v>
      </c>
      <c r="E11" s="792"/>
      <c r="F11" s="792"/>
    </row>
    <row r="12" spans="1:6" ht="14.25">
      <c r="A12" s="641">
        <v>2</v>
      </c>
      <c r="B12" s="641" t="s">
        <v>625</v>
      </c>
      <c r="C12" s="641">
        <v>64</v>
      </c>
      <c r="D12" s="641">
        <v>12200</v>
      </c>
      <c r="E12" s="898">
        <f>(E13+E14)</f>
        <v>2390.3661</v>
      </c>
      <c r="F12" s="898">
        <f>(F13+F14)</f>
        <v>2099.3160000000003</v>
      </c>
    </row>
    <row r="13" spans="1:6" ht="14.25">
      <c r="A13" s="641" t="s">
        <v>510</v>
      </c>
      <c r="B13" s="641" t="s">
        <v>626</v>
      </c>
      <c r="C13" s="641">
        <v>641</v>
      </c>
      <c r="D13" s="641">
        <v>12201</v>
      </c>
      <c r="E13" s="899">
        <f>('Ardh e shp - natyres'!E20)/1000</f>
        <v>2048.3</v>
      </c>
      <c r="F13" s="899">
        <f>('Ardh e shp - natyres'!F20)/1000</f>
        <v>1798.9</v>
      </c>
    </row>
    <row r="14" spans="1:6" ht="14.25">
      <c r="A14" s="641" t="s">
        <v>511</v>
      </c>
      <c r="B14" s="641" t="s">
        <v>627</v>
      </c>
      <c r="C14" s="641">
        <v>644</v>
      </c>
      <c r="D14" s="641">
        <v>12202</v>
      </c>
      <c r="E14" s="899">
        <f>('Ardh e shp - natyres'!E21)/1000</f>
        <v>342.06609999999995</v>
      </c>
      <c r="F14" s="899">
        <f>('Ardh e shp - natyres'!F21)/1000</f>
        <v>300.416</v>
      </c>
    </row>
    <row r="15" spans="1:6" ht="14.25">
      <c r="A15" s="641">
        <v>3</v>
      </c>
      <c r="B15" s="641" t="s">
        <v>628</v>
      </c>
      <c r="C15" s="641">
        <v>68</v>
      </c>
      <c r="D15" s="641">
        <v>12300</v>
      </c>
      <c r="E15" s="899">
        <f>('Ardh e shp - natyres'!E22)/1000</f>
        <v>2341.41225</v>
      </c>
      <c r="F15" s="899">
        <f>('Ardh e shp - natyres'!F22)/1000</f>
        <v>827.881</v>
      </c>
    </row>
    <row r="16" spans="1:6" ht="14.25">
      <c r="A16" s="641">
        <v>4</v>
      </c>
      <c r="B16" s="641" t="s">
        <v>629</v>
      </c>
      <c r="C16" s="641">
        <v>61</v>
      </c>
      <c r="D16" s="641">
        <v>12400</v>
      </c>
      <c r="E16" s="899">
        <f>E17+E18+E19+E20+E21+E22+E23+E24+E25+E26+E27+E28</f>
        <v>235.45</v>
      </c>
      <c r="F16" s="899">
        <f>F17+F18+F19+F20+F21+F22+F23+F24+F25+F26+F27+F28</f>
        <v>186.12</v>
      </c>
    </row>
    <row r="17" spans="1:6" ht="14.25">
      <c r="A17" s="641" t="s">
        <v>510</v>
      </c>
      <c r="B17" s="641" t="s">
        <v>630</v>
      </c>
      <c r="C17" s="641"/>
      <c r="D17" s="641">
        <f>D16+1</f>
        <v>12401</v>
      </c>
      <c r="E17" s="899"/>
      <c r="F17" s="898"/>
    </row>
    <row r="18" spans="1:6" ht="14.25">
      <c r="A18" s="641" t="s">
        <v>511</v>
      </c>
      <c r="B18" s="641" t="s">
        <v>631</v>
      </c>
      <c r="C18" s="641">
        <v>611</v>
      </c>
      <c r="D18" s="641">
        <f aca="true" t="shared" si="0" ref="D18:D28">D17+1</f>
        <v>12402</v>
      </c>
      <c r="E18" s="899">
        <f>('Ardh e shp - natyres'!E24)/1000</f>
        <v>235.45</v>
      </c>
      <c r="F18" s="899">
        <f>('Ardh e shp - natyres'!F24)/1000</f>
        <v>118.62</v>
      </c>
    </row>
    <row r="19" spans="1:6" ht="14.25">
      <c r="A19" s="641" t="s">
        <v>598</v>
      </c>
      <c r="B19" s="641" t="s">
        <v>601</v>
      </c>
      <c r="C19" s="641">
        <v>613</v>
      </c>
      <c r="D19" s="641">
        <f t="shared" si="0"/>
        <v>12403</v>
      </c>
      <c r="E19" s="899"/>
      <c r="F19" s="898"/>
    </row>
    <row r="20" spans="1:6" ht="14.25">
      <c r="A20" s="641" t="s">
        <v>620</v>
      </c>
      <c r="B20" s="641" t="s">
        <v>632</v>
      </c>
      <c r="C20" s="641">
        <v>615</v>
      </c>
      <c r="D20" s="641">
        <f t="shared" si="0"/>
        <v>12404</v>
      </c>
      <c r="E20" s="899">
        <f>('Ardh e shp - natyres'!E25)/1000</f>
        <v>0</v>
      </c>
      <c r="F20" s="899">
        <f>('Ardh e shp - natyres'!F25)/1000</f>
        <v>67.5</v>
      </c>
    </row>
    <row r="21" spans="1:6" ht="14.25">
      <c r="A21" s="641" t="s">
        <v>622</v>
      </c>
      <c r="B21" s="641" t="s">
        <v>633</v>
      </c>
      <c r="C21" s="641">
        <v>616</v>
      </c>
      <c r="D21" s="641">
        <f t="shared" si="0"/>
        <v>12405</v>
      </c>
      <c r="E21" s="899"/>
      <c r="F21" s="898"/>
    </row>
    <row r="22" spans="1:6" ht="14.25">
      <c r="A22" s="641" t="s">
        <v>634</v>
      </c>
      <c r="B22" s="641" t="s">
        <v>635</v>
      </c>
      <c r="C22" s="641">
        <v>617</v>
      </c>
      <c r="D22" s="641">
        <f t="shared" si="0"/>
        <v>12406</v>
      </c>
      <c r="E22" s="899"/>
      <c r="F22" s="898"/>
    </row>
    <row r="23" spans="1:6" ht="14.25">
      <c r="A23" s="641" t="s">
        <v>636</v>
      </c>
      <c r="B23" s="641" t="s">
        <v>637</v>
      </c>
      <c r="C23" s="641">
        <v>618</v>
      </c>
      <c r="D23" s="641">
        <f t="shared" si="0"/>
        <v>12407</v>
      </c>
      <c r="E23" s="899"/>
      <c r="F23" s="898"/>
    </row>
    <row r="24" spans="1:6" ht="14.25">
      <c r="A24" s="641" t="s">
        <v>638</v>
      </c>
      <c r="B24" s="641" t="s">
        <v>639</v>
      </c>
      <c r="C24" s="641">
        <v>623</v>
      </c>
      <c r="D24" s="641">
        <f t="shared" si="0"/>
        <v>12408</v>
      </c>
      <c r="E24" s="899"/>
      <c r="F24" s="900"/>
    </row>
    <row r="25" spans="1:6" ht="14.25">
      <c r="A25" s="641" t="s">
        <v>640</v>
      </c>
      <c r="B25" s="641" t="s">
        <v>641</v>
      </c>
      <c r="C25" s="641">
        <v>624</v>
      </c>
      <c r="D25" s="641">
        <f t="shared" si="0"/>
        <v>12409</v>
      </c>
      <c r="E25" s="898"/>
      <c r="F25" s="898"/>
    </row>
    <row r="26" spans="1:6" ht="14.25">
      <c r="A26" s="641" t="s">
        <v>642</v>
      </c>
      <c r="B26" s="641" t="s">
        <v>643</v>
      </c>
      <c r="C26" s="641">
        <v>625</v>
      </c>
      <c r="D26" s="641">
        <f t="shared" si="0"/>
        <v>12410</v>
      </c>
      <c r="E26" s="898"/>
      <c r="F26" s="898"/>
    </row>
    <row r="27" spans="1:6" ht="14.25">
      <c r="A27" s="641" t="s">
        <v>644</v>
      </c>
      <c r="B27" s="641" t="s">
        <v>645</v>
      </c>
      <c r="C27" s="641">
        <v>626</v>
      </c>
      <c r="D27" s="641">
        <f t="shared" si="0"/>
        <v>12411</v>
      </c>
      <c r="E27" s="898"/>
      <c r="F27" s="898"/>
    </row>
    <row r="28" spans="1:6" ht="14.25">
      <c r="A28" s="641" t="s">
        <v>646</v>
      </c>
      <c r="B28" s="641" t="s">
        <v>647</v>
      </c>
      <c r="C28" s="641">
        <v>627</v>
      </c>
      <c r="D28" s="641">
        <f t="shared" si="0"/>
        <v>12412</v>
      </c>
      <c r="E28" s="898">
        <f>E29+E30</f>
        <v>0</v>
      </c>
      <c r="F28" s="898">
        <f>F29+F30</f>
        <v>0</v>
      </c>
    </row>
    <row r="29" spans="1:6" ht="14.25">
      <c r="A29" s="641"/>
      <c r="B29" s="644" t="s">
        <v>648</v>
      </c>
      <c r="C29" s="641">
        <v>6271</v>
      </c>
      <c r="D29" s="641">
        <v>124121</v>
      </c>
      <c r="E29" s="898"/>
      <c r="F29" s="898"/>
    </row>
    <row r="30" spans="1:6" ht="14.25">
      <c r="A30" s="641"/>
      <c r="B30" s="644" t="s">
        <v>649</v>
      </c>
      <c r="C30" s="641">
        <v>6272</v>
      </c>
      <c r="D30" s="641">
        <v>124122</v>
      </c>
      <c r="E30" s="898"/>
      <c r="F30" s="898"/>
    </row>
    <row r="31" spans="1:6" ht="14.25">
      <c r="A31" s="641" t="s">
        <v>650</v>
      </c>
      <c r="B31" s="641" t="s">
        <v>651</v>
      </c>
      <c r="C31" s="641">
        <v>628</v>
      </c>
      <c r="D31" s="641">
        <v>12413</v>
      </c>
      <c r="E31" s="898"/>
      <c r="F31" s="898"/>
    </row>
    <row r="32" spans="1:6" ht="14.25">
      <c r="A32" s="641">
        <v>5</v>
      </c>
      <c r="B32" s="641" t="s">
        <v>652</v>
      </c>
      <c r="C32" s="641">
        <v>63</v>
      </c>
      <c r="D32" s="641">
        <v>12500</v>
      </c>
      <c r="E32" s="899"/>
      <c r="F32" s="898"/>
    </row>
    <row r="33" spans="1:6" ht="14.25">
      <c r="A33" s="639" t="s">
        <v>510</v>
      </c>
      <c r="B33" s="641" t="s">
        <v>653</v>
      </c>
      <c r="C33" s="641">
        <v>632</v>
      </c>
      <c r="D33" s="641">
        <f>D32+1</f>
        <v>12501</v>
      </c>
      <c r="E33" s="899"/>
      <c r="F33" s="898"/>
    </row>
    <row r="34" spans="1:6" ht="14.25">
      <c r="A34" s="639" t="s">
        <v>511</v>
      </c>
      <c r="B34" s="641" t="s">
        <v>654</v>
      </c>
      <c r="C34" s="641">
        <v>633</v>
      </c>
      <c r="D34" s="641">
        <f>D33+1</f>
        <v>12502</v>
      </c>
      <c r="E34" s="898"/>
      <c r="F34" s="898"/>
    </row>
    <row r="35" spans="1:6" ht="14.25">
      <c r="A35" s="639" t="s">
        <v>598</v>
      </c>
      <c r="B35" s="641" t="s">
        <v>655</v>
      </c>
      <c r="C35" s="641">
        <v>634</v>
      </c>
      <c r="D35" s="641">
        <f>D34+1</f>
        <v>12503</v>
      </c>
      <c r="E35" s="899"/>
      <c r="F35" s="898"/>
    </row>
    <row r="36" spans="1:6" ht="14.25">
      <c r="A36" s="639" t="s">
        <v>620</v>
      </c>
      <c r="B36" s="641" t="s">
        <v>656</v>
      </c>
      <c r="C36" s="643">
        <v>635638</v>
      </c>
      <c r="D36" s="641">
        <f>D35+1</f>
        <v>12504</v>
      </c>
      <c r="E36" s="899"/>
      <c r="F36" s="898"/>
    </row>
    <row r="37" spans="1:6" ht="14.25">
      <c r="A37" s="645"/>
      <c r="B37" s="641" t="s">
        <v>657</v>
      </c>
      <c r="C37" s="645"/>
      <c r="D37" s="641">
        <f>D36+1</f>
        <v>12505</v>
      </c>
      <c r="E37" s="899">
        <f>E6+E12+E15+E16+E32</f>
        <v>99788.68706299999</v>
      </c>
      <c r="F37" s="899">
        <f>F6+F12+F15+F16+F32</f>
        <v>103268.336</v>
      </c>
    </row>
    <row r="38" spans="1:6" ht="14.25">
      <c r="A38" s="646"/>
      <c r="B38" s="646"/>
      <c r="C38" s="646"/>
      <c r="D38" s="646"/>
      <c r="E38" s="901"/>
      <c r="F38" s="902"/>
    </row>
    <row r="39" spans="1:6" ht="14.25">
      <c r="A39" s="647"/>
      <c r="B39" s="641" t="s">
        <v>658</v>
      </c>
      <c r="C39" s="647"/>
      <c r="D39" s="647"/>
      <c r="E39" s="638">
        <v>2012</v>
      </c>
      <c r="F39" s="638">
        <v>2011</v>
      </c>
    </row>
    <row r="40" spans="1:6" ht="14.25">
      <c r="A40" s="645">
        <v>1</v>
      </c>
      <c r="B40" s="641" t="s">
        <v>659</v>
      </c>
      <c r="C40" s="645"/>
      <c r="D40" s="645">
        <v>14000</v>
      </c>
      <c r="E40" s="903">
        <f>T!AS27/12</f>
        <v>6.75</v>
      </c>
      <c r="F40" s="904"/>
    </row>
    <row r="41" spans="1:6" ht="14.25">
      <c r="A41" s="645">
        <v>2</v>
      </c>
      <c r="B41" s="641" t="s">
        <v>660</v>
      </c>
      <c r="C41" s="645"/>
      <c r="D41" s="645">
        <v>15000</v>
      </c>
      <c r="E41" s="903"/>
      <c r="F41" s="904"/>
    </row>
    <row r="42" spans="1:6" ht="14.25">
      <c r="A42" s="647" t="s">
        <v>510</v>
      </c>
      <c r="B42" s="648" t="s">
        <v>661</v>
      </c>
      <c r="C42" s="647"/>
      <c r="D42" s="645">
        <v>15001</v>
      </c>
      <c r="E42" s="905"/>
      <c r="F42" s="905"/>
    </row>
    <row r="43" spans="1:6" ht="14.25">
      <c r="A43" s="647"/>
      <c r="B43" s="649" t="s">
        <v>662</v>
      </c>
      <c r="C43" s="647"/>
      <c r="D43" s="645">
        <v>150011</v>
      </c>
      <c r="E43" s="905"/>
      <c r="F43" s="905"/>
    </row>
    <row r="44" spans="1:6" ht="14.25">
      <c r="A44" s="647" t="s">
        <v>511</v>
      </c>
      <c r="B44" s="648" t="s">
        <v>663</v>
      </c>
      <c r="C44" s="647"/>
      <c r="D44" s="645">
        <v>15002</v>
      </c>
      <c r="E44" s="905"/>
      <c r="F44" s="905"/>
    </row>
    <row r="45" spans="1:6" ht="14.25">
      <c r="A45" s="647"/>
      <c r="B45" s="649" t="s">
        <v>664</v>
      </c>
      <c r="C45" s="647"/>
      <c r="D45" s="645">
        <v>150021</v>
      </c>
      <c r="E45" s="905"/>
      <c r="F45" s="905"/>
    </row>
    <row r="47" spans="3:6" ht="15">
      <c r="C47" s="1600" t="s">
        <v>587</v>
      </c>
      <c r="D47" s="1600"/>
      <c r="E47" s="1600"/>
      <c r="F47" s="1600"/>
    </row>
    <row r="48" spans="3:6" ht="12.75">
      <c r="C48" s="19"/>
      <c r="D48" s="19" t="str">
        <f>'Stat - te ardhur'!E26</f>
        <v>SILVANA SADIRAJ </v>
      </c>
      <c r="E48" s="893"/>
      <c r="F48" s="893"/>
    </row>
  </sheetData>
  <sheetProtection/>
  <mergeCells count="6">
    <mergeCell ref="C47:F47"/>
    <mergeCell ref="A4:A5"/>
    <mergeCell ref="B4:B5"/>
    <mergeCell ref="C4:C5"/>
    <mergeCell ref="D4:D5"/>
    <mergeCell ref="E4:F4"/>
  </mergeCells>
  <printOptions/>
  <pageMargins left="0.7" right="0.7" top="0.75" bottom="0.75" header="0.3" footer="0.3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32">
      <selection activeCell="A1" sqref="A1:D53"/>
    </sheetView>
  </sheetViews>
  <sheetFormatPr defaultColWidth="9.140625" defaultRowHeight="12.75"/>
  <cols>
    <col min="1" max="1" width="6.8515625" style="0" customWidth="1"/>
    <col min="2" max="2" width="7.140625" style="0" customWidth="1"/>
    <col min="3" max="3" width="33.57421875" style="0" customWidth="1"/>
    <col min="4" max="4" width="16.140625" style="906" customWidth="1"/>
  </cols>
  <sheetData>
    <row r="1" spans="1:3" ht="15">
      <c r="A1" s="1608" t="s">
        <v>581</v>
      </c>
      <c r="B1" s="1608"/>
      <c r="C1" s="19" t="str">
        <f>'U - statist'!C1</f>
        <v>FJORTES </v>
      </c>
    </row>
    <row r="2" spans="1:3" ht="15">
      <c r="A2" s="624" t="s">
        <v>406</v>
      </c>
      <c r="B2" s="624"/>
      <c r="C2" s="19" t="str">
        <f>'U - statist'!C2</f>
        <v>J97426201K</v>
      </c>
    </row>
    <row r="3" spans="1:4" ht="11.25" customHeight="1">
      <c r="A3" s="624"/>
      <c r="B3" s="624"/>
      <c r="D3" s="906" t="s">
        <v>665</v>
      </c>
    </row>
    <row r="4" spans="1:4" ht="15.75" customHeight="1">
      <c r="A4" s="641" t="s">
        <v>1</v>
      </c>
      <c r="B4" s="641"/>
      <c r="C4" s="641" t="s">
        <v>666</v>
      </c>
      <c r="D4" s="907" t="s">
        <v>667</v>
      </c>
    </row>
    <row r="5" spans="1:4" ht="12.75" customHeight="1">
      <c r="A5" s="641">
        <v>1</v>
      </c>
      <c r="B5" s="645" t="s">
        <v>668</v>
      </c>
      <c r="C5" s="645" t="s">
        <v>669</v>
      </c>
      <c r="D5" s="908"/>
    </row>
    <row r="6" spans="1:4" ht="10.5" customHeight="1">
      <c r="A6" s="641">
        <f>A5+1</f>
        <v>2</v>
      </c>
      <c r="B6" s="645" t="s">
        <v>668</v>
      </c>
      <c r="C6" s="650" t="s">
        <v>670</v>
      </c>
      <c r="D6" s="908"/>
    </row>
    <row r="7" spans="1:4" ht="9.75" customHeight="1">
      <c r="A7" s="641">
        <f aca="true" t="shared" si="0" ref="A7:A12">A6+1</f>
        <v>3</v>
      </c>
      <c r="B7" s="645" t="s">
        <v>668</v>
      </c>
      <c r="C7" s="650" t="s">
        <v>671</v>
      </c>
      <c r="D7" s="908"/>
    </row>
    <row r="8" spans="1:4" ht="14.25">
      <c r="A8" s="641">
        <f t="shared" si="0"/>
        <v>4</v>
      </c>
      <c r="B8" s="645" t="s">
        <v>668</v>
      </c>
      <c r="C8" s="650" t="s">
        <v>672</v>
      </c>
      <c r="D8" s="908"/>
    </row>
    <row r="9" spans="1:4" ht="11.25" customHeight="1">
      <c r="A9" s="641">
        <f t="shared" si="0"/>
        <v>5</v>
      </c>
      <c r="B9" s="645" t="s">
        <v>668</v>
      </c>
      <c r="C9" s="650" t="s">
        <v>673</v>
      </c>
      <c r="D9" s="908"/>
    </row>
    <row r="10" spans="1:4" ht="11.25" customHeight="1">
      <c r="A10" s="641">
        <f t="shared" si="0"/>
        <v>6</v>
      </c>
      <c r="B10" s="645" t="s">
        <v>668</v>
      </c>
      <c r="C10" s="650" t="s">
        <v>674</v>
      </c>
      <c r="D10" s="908"/>
    </row>
    <row r="11" spans="1:4" ht="13.5" customHeight="1">
      <c r="A11" s="641">
        <f t="shared" si="0"/>
        <v>7</v>
      </c>
      <c r="B11" s="645" t="s">
        <v>668</v>
      </c>
      <c r="C11" s="650" t="s">
        <v>675</v>
      </c>
      <c r="D11" s="908"/>
    </row>
    <row r="12" spans="1:4" ht="14.25">
      <c r="A12" s="641">
        <f t="shared" si="0"/>
        <v>8</v>
      </c>
      <c r="B12" s="645" t="s">
        <v>668</v>
      </c>
      <c r="C12" s="650" t="s">
        <v>676</v>
      </c>
      <c r="D12" s="908">
        <f>'Ardh e shp - natyres'!E13</f>
        <v>0</v>
      </c>
    </row>
    <row r="13" spans="1:4" ht="11.25" customHeight="1">
      <c r="A13" s="641" t="s">
        <v>4</v>
      </c>
      <c r="B13" s="641"/>
      <c r="C13" s="651" t="s">
        <v>677</v>
      </c>
      <c r="D13" s="908">
        <f>SUM(D5:D12)</f>
        <v>0</v>
      </c>
    </row>
    <row r="14" spans="1:4" ht="14.25">
      <c r="A14" s="641">
        <v>9</v>
      </c>
      <c r="B14" s="645" t="s">
        <v>678</v>
      </c>
      <c r="C14" s="650" t="s">
        <v>679</v>
      </c>
      <c r="D14" s="908">
        <f>'Ardh e shp - natyres'!E9+'Ardh e shp - natyres'!E10</f>
        <v>95307999</v>
      </c>
    </row>
    <row r="15" spans="1:4" ht="13.5" customHeight="1">
      <c r="A15" s="641">
        <f>A14+1</f>
        <v>10</v>
      </c>
      <c r="B15" s="645" t="s">
        <v>678</v>
      </c>
      <c r="C15" s="650" t="s">
        <v>680</v>
      </c>
      <c r="D15" s="908">
        <f>'Ardh e shp - natyres'!E11+'Ardh e shp - natyres'!E12+'Ardh e shp - natyres'!E14</f>
        <v>10251295</v>
      </c>
    </row>
    <row r="16" spans="1:4" ht="12.75" customHeight="1">
      <c r="A16" s="641">
        <f>A15+1</f>
        <v>11</v>
      </c>
      <c r="B16" s="645" t="s">
        <v>678</v>
      </c>
      <c r="C16" s="650" t="s">
        <v>681</v>
      </c>
      <c r="D16" s="909" t="s">
        <v>133</v>
      </c>
    </row>
    <row r="17" spans="1:4" ht="14.25" customHeight="1">
      <c r="A17" s="641" t="s">
        <v>19</v>
      </c>
      <c r="B17" s="641"/>
      <c r="C17" s="651" t="s">
        <v>682</v>
      </c>
      <c r="D17" s="908">
        <f>SUM(D14:D16)</f>
        <v>105559294</v>
      </c>
    </row>
    <row r="18" spans="1:4" ht="15.75" customHeight="1">
      <c r="A18" s="645">
        <v>12</v>
      </c>
      <c r="B18" s="645" t="s">
        <v>683</v>
      </c>
      <c r="C18" s="650" t="s">
        <v>684</v>
      </c>
      <c r="D18" s="908">
        <v>0</v>
      </c>
    </row>
    <row r="19" spans="1:4" ht="14.25" customHeight="1">
      <c r="A19" s="645">
        <f>A18+1</f>
        <v>13</v>
      </c>
      <c r="B19" s="645" t="s">
        <v>683</v>
      </c>
      <c r="C19" s="650" t="s">
        <v>685</v>
      </c>
      <c r="D19" s="908">
        <v>0</v>
      </c>
    </row>
    <row r="20" spans="1:4" ht="13.5" customHeight="1">
      <c r="A20" s="645">
        <f aca="true" t="shared" si="1" ref="A20:A25">A19+1</f>
        <v>14</v>
      </c>
      <c r="B20" s="645" t="s">
        <v>683</v>
      </c>
      <c r="C20" s="650" t="s">
        <v>686</v>
      </c>
      <c r="D20" s="908">
        <v>0</v>
      </c>
    </row>
    <row r="21" spans="1:4" ht="12" customHeight="1">
      <c r="A21" s="645">
        <f t="shared" si="1"/>
        <v>15</v>
      </c>
      <c r="B21" s="645" t="s">
        <v>683</v>
      </c>
      <c r="C21" s="650" t="s">
        <v>687</v>
      </c>
      <c r="D21" s="908">
        <v>0</v>
      </c>
    </row>
    <row r="22" spans="1:4" ht="12.75" customHeight="1">
      <c r="A22" s="645">
        <f t="shared" si="1"/>
        <v>16</v>
      </c>
      <c r="B22" s="645" t="s">
        <v>683</v>
      </c>
      <c r="C22" s="650" t="s">
        <v>688</v>
      </c>
      <c r="D22" s="908">
        <v>0</v>
      </c>
    </row>
    <row r="23" spans="1:4" ht="14.25" customHeight="1">
      <c r="A23" s="645">
        <f t="shared" si="1"/>
        <v>17</v>
      </c>
      <c r="B23" s="645" t="s">
        <v>683</v>
      </c>
      <c r="C23" s="650" t="s">
        <v>689</v>
      </c>
      <c r="D23" s="908">
        <v>0</v>
      </c>
    </row>
    <row r="24" spans="1:4" ht="14.25" customHeight="1">
      <c r="A24" s="645">
        <f t="shared" si="1"/>
        <v>18</v>
      </c>
      <c r="B24" s="645" t="s">
        <v>683</v>
      </c>
      <c r="C24" s="650" t="s">
        <v>690</v>
      </c>
      <c r="D24" s="908">
        <v>0</v>
      </c>
    </row>
    <row r="25" spans="1:4" ht="15.75" customHeight="1">
      <c r="A25" s="645">
        <f t="shared" si="1"/>
        <v>19</v>
      </c>
      <c r="B25" s="645" t="s">
        <v>683</v>
      </c>
      <c r="C25" s="650" t="s">
        <v>691</v>
      </c>
      <c r="D25" s="908">
        <v>0</v>
      </c>
    </row>
    <row r="26" spans="1:4" ht="12.75" customHeight="1">
      <c r="A26" s="641" t="s">
        <v>44</v>
      </c>
      <c r="B26" s="641"/>
      <c r="C26" s="651" t="s">
        <v>692</v>
      </c>
      <c r="D26" s="908">
        <f>SUM(D17:D25)</f>
        <v>105559294</v>
      </c>
    </row>
    <row r="27" spans="1:4" ht="15" customHeight="1">
      <c r="A27" s="645">
        <v>20</v>
      </c>
      <c r="B27" s="645" t="s">
        <v>693</v>
      </c>
      <c r="C27" s="650" t="s">
        <v>694</v>
      </c>
      <c r="D27" s="908"/>
    </row>
    <row r="28" spans="1:4" ht="13.5" customHeight="1">
      <c r="A28" s="645">
        <f>A27+1</f>
        <v>21</v>
      </c>
      <c r="B28" s="645" t="s">
        <v>693</v>
      </c>
      <c r="C28" s="650" t="s">
        <v>695</v>
      </c>
      <c r="D28" s="908"/>
    </row>
    <row r="29" spans="1:4" ht="14.25" customHeight="1">
      <c r="A29" s="645">
        <f>A28+1</f>
        <v>22</v>
      </c>
      <c r="B29" s="645" t="s">
        <v>693</v>
      </c>
      <c r="C29" s="650" t="s">
        <v>696</v>
      </c>
      <c r="D29" s="908"/>
    </row>
    <row r="30" spans="1:4" ht="15" customHeight="1">
      <c r="A30" s="645">
        <f>A29+1</f>
        <v>23</v>
      </c>
      <c r="B30" s="645" t="s">
        <v>693</v>
      </c>
      <c r="C30" s="650" t="s">
        <v>697</v>
      </c>
      <c r="D30" s="908">
        <v>0</v>
      </c>
    </row>
    <row r="31" spans="1:4" ht="12" customHeight="1">
      <c r="A31" s="641" t="s">
        <v>698</v>
      </c>
      <c r="B31" s="641"/>
      <c r="C31" s="651" t="s">
        <v>699</v>
      </c>
      <c r="D31" s="908">
        <f>SUM(D27:D30)</f>
        <v>0</v>
      </c>
    </row>
    <row r="32" spans="1:4" ht="10.5" customHeight="1">
      <c r="A32" s="645">
        <v>24</v>
      </c>
      <c r="B32" s="645" t="s">
        <v>700</v>
      </c>
      <c r="C32" s="650" t="s">
        <v>701</v>
      </c>
      <c r="D32" s="910"/>
    </row>
    <row r="33" spans="1:4" ht="10.5" customHeight="1">
      <c r="A33" s="645">
        <f>A32+1</f>
        <v>25</v>
      </c>
      <c r="B33" s="645" t="s">
        <v>700</v>
      </c>
      <c r="C33" s="650" t="s">
        <v>702</v>
      </c>
      <c r="D33" s="910"/>
    </row>
    <row r="34" spans="1:4" ht="13.5" customHeight="1">
      <c r="A34" s="645">
        <f aca="true" t="shared" si="2" ref="A34:A42">A33+1</f>
        <v>26</v>
      </c>
      <c r="B34" s="645" t="s">
        <v>700</v>
      </c>
      <c r="C34" s="650" t="s">
        <v>703</v>
      </c>
      <c r="D34" s="910"/>
    </row>
    <row r="35" spans="1:4" ht="14.25">
      <c r="A35" s="645">
        <f t="shared" si="2"/>
        <v>27</v>
      </c>
      <c r="B35" s="645" t="s">
        <v>700</v>
      </c>
      <c r="C35" s="650" t="s">
        <v>704</v>
      </c>
      <c r="D35" s="910"/>
    </row>
    <row r="36" spans="1:4" ht="9.75" customHeight="1">
      <c r="A36" s="645">
        <f t="shared" si="2"/>
        <v>28</v>
      </c>
      <c r="B36" s="645" t="s">
        <v>700</v>
      </c>
      <c r="C36" s="650" t="s">
        <v>705</v>
      </c>
      <c r="D36" s="910"/>
    </row>
    <row r="37" spans="1:4" ht="11.25" customHeight="1">
      <c r="A37" s="645">
        <f t="shared" si="2"/>
        <v>29</v>
      </c>
      <c r="B37" s="645" t="s">
        <v>700</v>
      </c>
      <c r="C37" s="650" t="s">
        <v>706</v>
      </c>
      <c r="D37" s="910"/>
    </row>
    <row r="38" spans="1:4" ht="12" customHeight="1">
      <c r="A38" s="645">
        <f t="shared" si="2"/>
        <v>30</v>
      </c>
      <c r="B38" s="645" t="s">
        <v>700</v>
      </c>
      <c r="C38" s="650" t="s">
        <v>707</v>
      </c>
      <c r="D38" s="910"/>
    </row>
    <row r="39" spans="1:4" ht="12" customHeight="1">
      <c r="A39" s="645">
        <f t="shared" si="2"/>
        <v>31</v>
      </c>
      <c r="B39" s="645" t="s">
        <v>700</v>
      </c>
      <c r="C39" s="650" t="s">
        <v>708</v>
      </c>
      <c r="D39" s="910"/>
    </row>
    <row r="40" spans="1:4" ht="11.25" customHeight="1">
      <c r="A40" s="645">
        <f t="shared" si="2"/>
        <v>32</v>
      </c>
      <c r="B40" s="645" t="s">
        <v>700</v>
      </c>
      <c r="C40" s="650" t="s">
        <v>709</v>
      </c>
      <c r="D40" s="910"/>
    </row>
    <row r="41" spans="1:4" ht="13.5" customHeight="1">
      <c r="A41" s="645">
        <f t="shared" si="2"/>
        <v>33</v>
      </c>
      <c r="B41" s="645" t="s">
        <v>700</v>
      </c>
      <c r="C41" s="650" t="s">
        <v>710</v>
      </c>
      <c r="D41" s="910"/>
    </row>
    <row r="42" spans="1:4" ht="12" customHeight="1">
      <c r="A42" s="645">
        <f t="shared" si="2"/>
        <v>34</v>
      </c>
      <c r="B42" s="645" t="s">
        <v>700</v>
      </c>
      <c r="C42" s="650" t="s">
        <v>637</v>
      </c>
      <c r="D42" s="910">
        <v>0</v>
      </c>
    </row>
    <row r="43" spans="1:4" ht="16.5" customHeight="1">
      <c r="A43" s="641" t="s">
        <v>159</v>
      </c>
      <c r="B43" s="641"/>
      <c r="C43" s="651" t="s">
        <v>711</v>
      </c>
      <c r="D43" s="908">
        <f>SUM(D32:D42)</f>
        <v>0</v>
      </c>
    </row>
    <row r="44" spans="1:4" ht="7.5" customHeight="1">
      <c r="A44" s="1"/>
      <c r="B44" s="1"/>
      <c r="C44" s="1"/>
      <c r="D44" s="911"/>
    </row>
    <row r="45" spans="1:4" ht="14.25">
      <c r="A45" s="1"/>
      <c r="B45" s="639" t="s">
        <v>998</v>
      </c>
      <c r="C45" s="22"/>
      <c r="D45" s="791" t="s">
        <v>712</v>
      </c>
    </row>
    <row r="46" spans="2:4" ht="14.25">
      <c r="B46" s="1607" t="s">
        <v>713</v>
      </c>
      <c r="C46" s="1607"/>
      <c r="D46" s="903"/>
    </row>
    <row r="47" spans="2:4" ht="14.25">
      <c r="B47" s="1607" t="s">
        <v>714</v>
      </c>
      <c r="C47" s="1607"/>
      <c r="D47" s="903"/>
    </row>
    <row r="48" spans="2:4" ht="14.25">
      <c r="B48" s="1607" t="s">
        <v>715</v>
      </c>
      <c r="C48" s="1607"/>
      <c r="D48" s="912"/>
    </row>
    <row r="49" spans="2:4" ht="14.25">
      <c r="B49" s="1607" t="s">
        <v>716</v>
      </c>
      <c r="C49" s="1607"/>
      <c r="D49" s="912"/>
    </row>
    <row r="50" spans="2:4" ht="14.25">
      <c r="B50" s="1607" t="s">
        <v>717</v>
      </c>
      <c r="C50" s="1607"/>
      <c r="D50" s="912"/>
    </row>
    <row r="51" spans="2:4" ht="12.75">
      <c r="B51" s="1607" t="s">
        <v>718</v>
      </c>
      <c r="C51" s="1607"/>
      <c r="D51" s="908"/>
    </row>
    <row r="52" ht="15">
      <c r="D52" s="913" t="s">
        <v>587</v>
      </c>
    </row>
    <row r="53" ht="12.75">
      <c r="D53" s="914" t="str">
        <f>'Stat - Kostot '!D48</f>
        <v>SILVANA SADIRAJ </v>
      </c>
    </row>
  </sheetData>
  <sheetProtection/>
  <mergeCells count="7">
    <mergeCell ref="B51:C51"/>
    <mergeCell ref="A1:B1"/>
    <mergeCell ref="B46:C46"/>
    <mergeCell ref="B47:C47"/>
    <mergeCell ref="B48:C48"/>
    <mergeCell ref="B49:C49"/>
    <mergeCell ref="B50:C50"/>
  </mergeCells>
  <printOptions/>
  <pageMargins left="0.7" right="0.7" top="0.75" bottom="0.75" header="0.3" footer="0.3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5"/>
  <sheetViews>
    <sheetView zoomScalePageLayoutView="0" workbookViewId="0" topLeftCell="A1">
      <selection activeCell="A1" sqref="A1:F40"/>
    </sheetView>
  </sheetViews>
  <sheetFormatPr defaultColWidth="9.140625" defaultRowHeight="12.75"/>
  <cols>
    <col min="1" max="1" width="3.8515625" style="0" customWidth="1"/>
    <col min="2" max="2" width="4.28125" style="0" customWidth="1"/>
    <col min="3" max="3" width="53.57421875" style="0" customWidth="1"/>
    <col min="4" max="4" width="8.00390625" style="0" customWidth="1"/>
    <col min="5" max="5" width="13.28125" style="88" customWidth="1"/>
    <col min="6" max="6" width="12.57421875" style="88" customWidth="1"/>
    <col min="7" max="7" width="7.140625" style="0" customWidth="1"/>
    <col min="8" max="8" width="12.7109375" style="0" customWidth="1"/>
    <col min="9" max="9" width="16.8515625" style="88" customWidth="1"/>
    <col min="10" max="10" width="18.140625" style="88" customWidth="1"/>
  </cols>
  <sheetData>
    <row r="1" ht="12.75">
      <c r="E1" s="93" t="str">
        <f>'Kopertina '!F4</f>
        <v>FJORTES </v>
      </c>
    </row>
    <row r="2" spans="2:10" ht="15.75">
      <c r="B2" s="1325" t="s">
        <v>70</v>
      </c>
      <c r="C2" s="1325"/>
      <c r="D2" s="1325"/>
      <c r="F2" s="93">
        <f>'Kopertina '!F29</f>
        <v>2012</v>
      </c>
      <c r="I2"/>
      <c r="J2"/>
    </row>
    <row r="3" spans="2:10" ht="15.75">
      <c r="B3" s="20"/>
      <c r="C3" s="20"/>
      <c r="D3" s="20"/>
      <c r="I3"/>
      <c r="J3"/>
    </row>
    <row r="4" spans="2:10" ht="15.75">
      <c r="B4" s="1325" t="s">
        <v>54</v>
      </c>
      <c r="C4" s="1325"/>
      <c r="D4" s="1325"/>
      <c r="I4"/>
      <c r="J4"/>
    </row>
    <row r="5" spans="9:10" ht="13.5" thickBot="1">
      <c r="I5"/>
      <c r="J5"/>
    </row>
    <row r="6" spans="2:10" ht="18.75" customHeight="1">
      <c r="B6" s="1328" t="s">
        <v>1</v>
      </c>
      <c r="C6" s="1328" t="s">
        <v>55</v>
      </c>
      <c r="D6" s="1326" t="s">
        <v>895</v>
      </c>
      <c r="E6" s="1318" t="s">
        <v>896</v>
      </c>
      <c r="F6" s="1318" t="s">
        <v>897</v>
      </c>
      <c r="I6"/>
      <c r="J6"/>
    </row>
    <row r="7" spans="2:10" ht="13.5" customHeight="1" thickBot="1">
      <c r="B7" s="1329"/>
      <c r="C7" s="1329"/>
      <c r="D7" s="1327"/>
      <c r="E7" s="1323"/>
      <c r="F7" s="1323"/>
      <c r="I7"/>
      <c r="J7"/>
    </row>
    <row r="8" spans="2:10" ht="22.5" customHeight="1" thickBot="1">
      <c r="B8" s="401" t="s">
        <v>72</v>
      </c>
      <c r="C8" s="402" t="s">
        <v>297</v>
      </c>
      <c r="D8" s="403"/>
      <c r="E8" s="404">
        <f>E9+E10+E11+E12+E13+E14+E15</f>
        <v>105559294</v>
      </c>
      <c r="F8" s="404">
        <f>F9+F10+F11+F12+F13+F14+F15</f>
        <v>110445590</v>
      </c>
      <c r="H8">
        <f>'P -Ardh Analiz '!E122+2000000</f>
        <v>105559290</v>
      </c>
      <c r="I8" s="1278">
        <f>E8-H8</f>
        <v>4</v>
      </c>
      <c r="J8"/>
    </row>
    <row r="9" spans="2:10" ht="25.5" customHeight="1">
      <c r="B9" s="23">
        <v>1</v>
      </c>
      <c r="C9" s="79" t="s">
        <v>1771</v>
      </c>
      <c r="D9" s="55" t="s">
        <v>129</v>
      </c>
      <c r="E9" s="405">
        <v>93307999</v>
      </c>
      <c r="F9" s="406">
        <v>101533603</v>
      </c>
      <c r="I9"/>
      <c r="J9"/>
    </row>
    <row r="10" spans="2:10" ht="23.25" customHeight="1" thickBot="1">
      <c r="B10" s="24">
        <v>2</v>
      </c>
      <c r="C10" s="81" t="s">
        <v>1772</v>
      </c>
      <c r="D10" s="55" t="s">
        <v>129</v>
      </c>
      <c r="E10" s="407">
        <v>2000000</v>
      </c>
      <c r="F10" s="408"/>
      <c r="I10"/>
      <c r="J10"/>
    </row>
    <row r="11" spans="2:10" ht="23.25" customHeight="1">
      <c r="B11" s="23">
        <v>3</v>
      </c>
      <c r="C11" s="81" t="s">
        <v>1773</v>
      </c>
      <c r="D11" s="55" t="s">
        <v>129</v>
      </c>
      <c r="E11" s="407">
        <v>4657336</v>
      </c>
      <c r="F11" s="408">
        <v>8911987</v>
      </c>
      <c r="I11"/>
      <c r="J11"/>
    </row>
    <row r="12" spans="2:10" ht="22.5" customHeight="1" thickBot="1">
      <c r="B12" s="24">
        <v>4</v>
      </c>
      <c r="C12" s="81" t="s">
        <v>1774</v>
      </c>
      <c r="D12" s="55" t="s">
        <v>961</v>
      </c>
      <c r="E12" s="407">
        <v>5593959</v>
      </c>
      <c r="F12" s="408">
        <v>0</v>
      </c>
      <c r="I12"/>
      <c r="J12"/>
    </row>
    <row r="13" spans="2:10" ht="22.5" customHeight="1">
      <c r="B13" s="23">
        <v>5</v>
      </c>
      <c r="C13" s="81" t="s">
        <v>1775</v>
      </c>
      <c r="D13" s="55" t="s">
        <v>129</v>
      </c>
      <c r="E13" s="407">
        <v>0</v>
      </c>
      <c r="F13" s="408"/>
      <c r="I13"/>
      <c r="J13"/>
    </row>
    <row r="14" spans="2:10" ht="22.5" customHeight="1" thickBot="1">
      <c r="B14" s="24">
        <v>6</v>
      </c>
      <c r="C14" s="81" t="s">
        <v>1058</v>
      </c>
      <c r="D14" s="55" t="s">
        <v>961</v>
      </c>
      <c r="E14" s="407">
        <v>0</v>
      </c>
      <c r="F14" s="408"/>
      <c r="I14"/>
      <c r="J14"/>
    </row>
    <row r="15" spans="2:10" ht="22.5" customHeight="1">
      <c r="B15" s="23">
        <v>7</v>
      </c>
      <c r="C15" s="81" t="s">
        <v>477</v>
      </c>
      <c r="D15" s="55"/>
      <c r="E15" s="407">
        <f>'AKTIVI '!E23-'AKTIVI '!F23</f>
        <v>0</v>
      </c>
      <c r="F15" s="408"/>
      <c r="I15"/>
      <c r="J15"/>
    </row>
    <row r="16" spans="2:10" ht="21" customHeight="1">
      <c r="B16" s="398" t="s">
        <v>78</v>
      </c>
      <c r="C16" s="399" t="s">
        <v>240</v>
      </c>
      <c r="D16" s="400"/>
      <c r="E16" s="409">
        <f>E17+E18+E19+E22+E23+E24+E25</f>
        <v>99788687.063</v>
      </c>
      <c r="F16" s="409">
        <f>F17+F18+F19+F22+F23+F24+F25</f>
        <v>103268336</v>
      </c>
      <c r="H16" s="189">
        <f>99788687-14260</f>
        <v>99774427</v>
      </c>
      <c r="I16"/>
      <c r="J16"/>
    </row>
    <row r="17" spans="2:10" ht="22.5" customHeight="1">
      <c r="B17" s="325">
        <v>8</v>
      </c>
      <c r="C17" s="83" t="s">
        <v>478</v>
      </c>
      <c r="D17" s="264"/>
      <c r="E17" s="410">
        <f>'AKTIVI '!E23+'AKTIVI '!E24-'AKTIVI '!F23-'AKTIVI '!F24</f>
        <v>0</v>
      </c>
      <c r="F17" s="411"/>
      <c r="H17" s="1278"/>
      <c r="I17"/>
      <c r="J17"/>
    </row>
    <row r="18" spans="2:10" ht="22.5" customHeight="1">
      <c r="B18" s="24">
        <v>9</v>
      </c>
      <c r="C18" s="22" t="s">
        <v>56</v>
      </c>
      <c r="D18" s="55" t="s">
        <v>156</v>
      </c>
      <c r="E18" s="407">
        <f>S!P30+'AKTIVI '!F22+'AKTIVI '!F25-'AKTIVI '!E25-'AKTIVI '!E22</f>
        <v>94821458.713</v>
      </c>
      <c r="F18" s="408">
        <v>100155019</v>
      </c>
      <c r="I18" t="s">
        <v>133</v>
      </c>
      <c r="J18"/>
    </row>
    <row r="19" spans="2:10" ht="21.75" customHeight="1">
      <c r="B19" s="24">
        <v>10</v>
      </c>
      <c r="C19" s="22" t="s">
        <v>57</v>
      </c>
      <c r="D19" s="55" t="s">
        <v>157</v>
      </c>
      <c r="E19" s="407">
        <f>E20+E21</f>
        <v>2390366.1</v>
      </c>
      <c r="F19" s="408">
        <v>2099316</v>
      </c>
      <c r="I19"/>
      <c r="J19"/>
    </row>
    <row r="20" spans="2:10" ht="21.75" customHeight="1">
      <c r="B20" s="24"/>
      <c r="C20" s="22" t="s">
        <v>58</v>
      </c>
      <c r="D20" s="55"/>
      <c r="E20" s="407">
        <f>T!AI27</f>
        <v>2048300</v>
      </c>
      <c r="F20" s="408">
        <v>1798900</v>
      </c>
      <c r="I20"/>
      <c r="J20"/>
    </row>
    <row r="21" spans="2:10" ht="19.5" customHeight="1">
      <c r="B21" s="24"/>
      <c r="C21" s="22" t="s">
        <v>59</v>
      </c>
      <c r="D21" s="55"/>
      <c r="E21" s="407">
        <f>T!AL27+T!AO27/2</f>
        <v>342066.1</v>
      </c>
      <c r="F21" s="408">
        <v>300416</v>
      </c>
      <c r="I21"/>
      <c r="J21"/>
    </row>
    <row r="22" spans="2:10" ht="21" customHeight="1">
      <c r="B22" s="24">
        <v>11</v>
      </c>
      <c r="C22" s="22" t="s">
        <v>60</v>
      </c>
      <c r="D22" s="55" t="s">
        <v>158</v>
      </c>
      <c r="E22" s="407">
        <f>U!L49</f>
        <v>2341412.25</v>
      </c>
      <c r="F22" s="408">
        <v>827881</v>
      </c>
      <c r="I22" s="1278">
        <f>E10+E11+E12</f>
        <v>12251295</v>
      </c>
      <c r="J22"/>
    </row>
    <row r="23" spans="2:10" ht="19.5" customHeight="1">
      <c r="B23" s="24">
        <v>12</v>
      </c>
      <c r="C23" s="81" t="s">
        <v>912</v>
      </c>
      <c r="D23" s="55" t="s">
        <v>158</v>
      </c>
      <c r="E23" s="407">
        <f>U!G49-U!M49</f>
        <v>0</v>
      </c>
      <c r="F23" s="408"/>
      <c r="I23" s="1278">
        <f>E19+E22+E24</f>
        <v>4967228.35</v>
      </c>
      <c r="J23"/>
    </row>
    <row r="24" spans="2:10" ht="21.75" customHeight="1">
      <c r="B24" s="24">
        <v>13</v>
      </c>
      <c r="C24" s="22" t="s">
        <v>263</v>
      </c>
      <c r="D24" s="55" t="s">
        <v>159</v>
      </c>
      <c r="E24" s="407">
        <f>V!H40</f>
        <v>235450</v>
      </c>
      <c r="F24" s="408">
        <v>118620</v>
      </c>
      <c r="I24" s="1278">
        <f>I22-I23</f>
        <v>7284066.65</v>
      </c>
      <c r="J24"/>
    </row>
    <row r="25" spans="2:10" ht="26.25" customHeight="1">
      <c r="B25" s="24">
        <v>14</v>
      </c>
      <c r="C25" s="81" t="s">
        <v>919</v>
      </c>
      <c r="D25" s="55" t="s">
        <v>159</v>
      </c>
      <c r="E25" s="407">
        <f>V!G47</f>
        <v>0</v>
      </c>
      <c r="F25" s="408">
        <v>67500</v>
      </c>
      <c r="I25"/>
      <c r="J25"/>
    </row>
    <row r="26" spans="2:10" ht="18.75" customHeight="1">
      <c r="B26" s="398" t="s">
        <v>83</v>
      </c>
      <c r="C26" s="399" t="s">
        <v>61</v>
      </c>
      <c r="D26" s="400"/>
      <c r="E26" s="981">
        <f>E8-E16</f>
        <v>5770606.937000006</v>
      </c>
      <c r="F26" s="409">
        <f>F8-F16</f>
        <v>7177254</v>
      </c>
      <c r="H26" s="979"/>
      <c r="I26" s="980"/>
      <c r="J26" s="926"/>
    </row>
    <row r="27" spans="2:10" ht="18.75" customHeight="1">
      <c r="B27" s="24">
        <v>15</v>
      </c>
      <c r="C27" s="22" t="s">
        <v>63</v>
      </c>
      <c r="D27" s="55"/>
      <c r="E27" s="407"/>
      <c r="F27" s="408"/>
      <c r="I27" s="21" t="s">
        <v>133</v>
      </c>
      <c r="J27"/>
    </row>
    <row r="28" spans="2:10" ht="20.25" customHeight="1">
      <c r="B28" s="24">
        <v>16</v>
      </c>
      <c r="C28" s="22" t="s">
        <v>62</v>
      </c>
      <c r="D28" s="55"/>
      <c r="E28" s="407"/>
      <c r="F28" s="408"/>
      <c r="I28"/>
      <c r="J28"/>
    </row>
    <row r="29" spans="2:10" ht="19.5" customHeight="1">
      <c r="B29" s="24">
        <v>17</v>
      </c>
      <c r="C29" s="22" t="s">
        <v>64</v>
      </c>
      <c r="D29" s="55"/>
      <c r="E29" s="407">
        <f>E30+E31-E32-E33</f>
        <v>14260</v>
      </c>
      <c r="F29" s="408">
        <f>F30+F31+F32+F33</f>
        <v>0</v>
      </c>
      <c r="I29"/>
      <c r="J29"/>
    </row>
    <row r="30" spans="2:10" ht="18.75" customHeight="1">
      <c r="B30" s="24"/>
      <c r="C30" s="81" t="s">
        <v>913</v>
      </c>
      <c r="D30" s="55"/>
      <c r="E30" s="407"/>
      <c r="F30" s="408"/>
      <c r="I30"/>
      <c r="J30"/>
    </row>
    <row r="31" spans="2:10" ht="19.5" customHeight="1">
      <c r="B31" s="24"/>
      <c r="C31" s="81" t="s">
        <v>914</v>
      </c>
      <c r="D31" s="55"/>
      <c r="E31" s="407">
        <v>14260</v>
      </c>
      <c r="F31" s="408"/>
      <c r="I31"/>
      <c r="J31"/>
    </row>
    <row r="32" spans="2:10" ht="18" customHeight="1">
      <c r="B32" s="24"/>
      <c r="C32" s="81" t="s">
        <v>915</v>
      </c>
      <c r="D32" s="55"/>
      <c r="E32" s="407"/>
      <c r="F32" s="408"/>
      <c r="I32"/>
      <c r="J32"/>
    </row>
    <row r="33" spans="2:10" ht="19.5" customHeight="1">
      <c r="B33" s="24"/>
      <c r="C33" s="81" t="s">
        <v>916</v>
      </c>
      <c r="D33" s="55"/>
      <c r="E33" s="407">
        <v>0</v>
      </c>
      <c r="F33" s="408">
        <v>0</v>
      </c>
      <c r="I33"/>
      <c r="J33"/>
    </row>
    <row r="34" spans="2:10" ht="22.5" customHeight="1">
      <c r="B34" s="398" t="s">
        <v>114</v>
      </c>
      <c r="C34" s="399" t="s">
        <v>65</v>
      </c>
      <c r="D34" s="400"/>
      <c r="E34" s="413">
        <f>E27+E28+E29</f>
        <v>14260</v>
      </c>
      <c r="F34" s="414">
        <f>F29</f>
        <v>0</v>
      </c>
      <c r="I34"/>
      <c r="J34"/>
    </row>
    <row r="35" spans="2:10" ht="22.5" customHeight="1">
      <c r="B35" s="24">
        <v>18</v>
      </c>
      <c r="C35" s="27" t="s">
        <v>479</v>
      </c>
      <c r="D35" s="264"/>
      <c r="E35" s="410">
        <f>E26+E34</f>
        <v>5784866.937000006</v>
      </c>
      <c r="F35" s="411">
        <f>F26+F34</f>
        <v>7177254</v>
      </c>
      <c r="H35">
        <f>E35/E8*100</f>
        <v>5.480206164508837</v>
      </c>
      <c r="I35"/>
      <c r="J35"/>
    </row>
    <row r="36" spans="2:10" ht="20.25" customHeight="1">
      <c r="B36" s="24">
        <v>19</v>
      </c>
      <c r="C36" s="27" t="s">
        <v>920</v>
      </c>
      <c r="D36" s="264" t="s">
        <v>159</v>
      </c>
      <c r="E36" s="410">
        <v>0</v>
      </c>
      <c r="F36" s="411">
        <v>67500</v>
      </c>
      <c r="I36"/>
      <c r="J36"/>
    </row>
    <row r="37" spans="2:10" ht="20.25" customHeight="1">
      <c r="B37" s="24">
        <v>20</v>
      </c>
      <c r="C37" s="27" t="s">
        <v>1007</v>
      </c>
      <c r="D37" s="264"/>
      <c r="E37" s="410">
        <v>0</v>
      </c>
      <c r="F37" s="411"/>
      <c r="I37"/>
      <c r="J37"/>
    </row>
    <row r="38" spans="2:10" ht="21" customHeight="1">
      <c r="B38" s="24">
        <v>21</v>
      </c>
      <c r="C38" s="22" t="s">
        <v>67</v>
      </c>
      <c r="D38" s="55"/>
      <c r="E38" s="407">
        <f>(E35+E36-E37)*0.1</f>
        <v>578486.6937000006</v>
      </c>
      <c r="F38" s="408">
        <f>(F35+F36)*10%</f>
        <v>724475.4</v>
      </c>
      <c r="I38"/>
      <c r="J38"/>
    </row>
    <row r="39" spans="2:10" ht="24" customHeight="1">
      <c r="B39" s="24">
        <v>22</v>
      </c>
      <c r="C39" s="399" t="s">
        <v>68</v>
      </c>
      <c r="D39" s="400"/>
      <c r="E39" s="409">
        <f>E35+E37-E38</f>
        <v>5206380.243300006</v>
      </c>
      <c r="F39" s="412">
        <f>F35-F38</f>
        <v>6452778.6</v>
      </c>
      <c r="I39"/>
      <c r="J39"/>
    </row>
    <row r="40" spans="2:10" ht="16.5" customHeight="1" thickBot="1">
      <c r="B40" s="24">
        <v>23</v>
      </c>
      <c r="C40" s="26" t="s">
        <v>69</v>
      </c>
      <c r="D40" s="56"/>
      <c r="E40" s="415"/>
      <c r="F40" s="416"/>
      <c r="I40"/>
      <c r="J40"/>
    </row>
    <row r="41" spans="2:10" ht="12.75">
      <c r="B41" s="21"/>
      <c r="I41"/>
      <c r="J41"/>
    </row>
    <row r="42" spans="9:10" ht="12.75">
      <c r="I42"/>
      <c r="J42"/>
    </row>
    <row r="43" spans="9:10" ht="12.75">
      <c r="I43"/>
      <c r="J43"/>
    </row>
    <row r="44" spans="9:10" ht="12.75">
      <c r="I44"/>
      <c r="J44"/>
    </row>
    <row r="45" spans="9:10" ht="12.75">
      <c r="I45"/>
      <c r="J45"/>
    </row>
  </sheetData>
  <sheetProtection/>
  <mergeCells count="7">
    <mergeCell ref="B2:D2"/>
    <mergeCell ref="B4:D4"/>
    <mergeCell ref="F6:F7"/>
    <mergeCell ref="E6:E7"/>
    <mergeCell ref="D6:D7"/>
    <mergeCell ref="B6:B7"/>
    <mergeCell ref="C6:C7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4"/>
  <sheetViews>
    <sheetView zoomScalePageLayoutView="0" workbookViewId="0" topLeftCell="A1">
      <selection activeCell="A1" sqref="A1:E30"/>
    </sheetView>
  </sheetViews>
  <sheetFormatPr defaultColWidth="9.140625" defaultRowHeight="12.75"/>
  <cols>
    <col min="1" max="1" width="3.8515625" style="0" customWidth="1"/>
    <col min="2" max="2" width="6.57421875" style="0" customWidth="1"/>
    <col min="3" max="3" width="52.28125" style="0" customWidth="1"/>
    <col min="4" max="4" width="12.7109375" style="88" customWidth="1"/>
    <col min="5" max="5" width="12.28125" style="88" customWidth="1"/>
  </cols>
  <sheetData>
    <row r="1" ht="12.75">
      <c r="D1" s="88" t="str">
        <f>'Kopertina '!F4</f>
        <v>FJORTES </v>
      </c>
    </row>
    <row r="3" spans="2:7" ht="15.75">
      <c r="B3" s="1325" t="s">
        <v>71</v>
      </c>
      <c r="C3" s="1325"/>
      <c r="D3" s="1325"/>
      <c r="E3" s="89">
        <f>'Kopertina '!F29</f>
        <v>2012</v>
      </c>
      <c r="F3" s="29"/>
      <c r="G3" s="29"/>
    </row>
    <row r="4" spans="2:7" ht="15.75">
      <c r="B4" s="53"/>
      <c r="C4" s="53"/>
      <c r="D4" s="90"/>
      <c r="E4" s="89"/>
      <c r="F4" s="29"/>
      <c r="G4" s="29"/>
    </row>
    <row r="5" ht="13.5" thickBot="1"/>
    <row r="6" spans="2:8" ht="20.25" customHeight="1">
      <c r="B6" s="1330" t="s">
        <v>1</v>
      </c>
      <c r="C6" s="1332" t="s">
        <v>71</v>
      </c>
      <c r="D6" s="1334" t="s">
        <v>896</v>
      </c>
      <c r="E6" s="1334" t="s">
        <v>922</v>
      </c>
      <c r="F6" s="30"/>
      <c r="G6" s="30"/>
      <c r="H6" s="30"/>
    </row>
    <row r="7" spans="2:5" ht="19.5" customHeight="1" thickBot="1">
      <c r="B7" s="1331"/>
      <c r="C7" s="1333"/>
      <c r="D7" s="1335"/>
      <c r="E7" s="1335"/>
    </row>
    <row r="8" spans="2:5" ht="31.5" customHeight="1">
      <c r="B8" s="960" t="s">
        <v>72</v>
      </c>
      <c r="C8" s="961" t="s">
        <v>73</v>
      </c>
      <c r="D8" s="962">
        <f>D9-D10-D11-D12-D13</f>
        <v>26682751.174399994</v>
      </c>
      <c r="E8" s="963">
        <f>E9-E10+E11-E12-E13</f>
        <v>36359740</v>
      </c>
    </row>
    <row r="9" spans="2:5" ht="21" customHeight="1">
      <c r="B9" s="417"/>
      <c r="C9" s="195" t="s">
        <v>74</v>
      </c>
      <c r="D9" s="789">
        <f>'Ardh e shp - natyres'!E9*1.2+'Ardh e shp - natyres'!E10+'Ardh e shp - natyres'!E11*1.2+'Ardh e shp - natyres'!E12*1.2+'AKTIVI '!F12-'AKTIVI '!E12</f>
        <v>123466827.8</v>
      </c>
      <c r="E9" s="418">
        <v>130606984</v>
      </c>
    </row>
    <row r="10" spans="2:7" ht="24.75" customHeight="1">
      <c r="B10" s="417"/>
      <c r="C10" s="195" t="s">
        <v>75</v>
      </c>
      <c r="D10" s="195">
        <f>S!P30+S!T30+T!AI27+T!AL27+T!AO27/2+'PASIVI '!F13+'PASIVI '!F14+'PASIVI '!F15+'PASIVI '!F16-'PASIVI '!E16-'PASIVI '!E15-'PASIVI '!E14-'PASIVI '!E13</f>
        <v>94604929.2256</v>
      </c>
      <c r="E10" s="418">
        <v>93109529</v>
      </c>
      <c r="G10" t="s">
        <v>133</v>
      </c>
    </row>
    <row r="11" spans="2:5" ht="24" customHeight="1">
      <c r="B11" s="417"/>
      <c r="C11" s="195" t="s">
        <v>76</v>
      </c>
      <c r="D11" s="195">
        <v>0</v>
      </c>
      <c r="E11" s="418">
        <v>0</v>
      </c>
    </row>
    <row r="12" spans="2:5" ht="23.25" customHeight="1">
      <c r="B12" s="417"/>
      <c r="C12" s="195" t="s">
        <v>300</v>
      </c>
      <c r="D12" s="195">
        <f>'C3'!F26+'P -Ardh Analiz '!N107+'P -Ardh Analiz '!N108+'P -Ardh Analiz '!N109+'P -Ardh Analiz '!N110+'P -Ardh Analiz '!N111+'P -Ardh Analiz '!N112+'PASIVI '!E17-'PASIVI '!F17+110248</f>
        <v>1943697.4</v>
      </c>
      <c r="E12" s="418">
        <v>951597</v>
      </c>
    </row>
    <row r="13" spans="2:5" ht="26.25" customHeight="1">
      <c r="B13" s="417"/>
      <c r="C13" s="195" t="s">
        <v>351</v>
      </c>
      <c r="D13" s="195">
        <f>'Ardh e shp - natyres'!E24+'Ardh e shp - natyres'!E25</f>
        <v>235450</v>
      </c>
      <c r="E13" s="418">
        <v>186118</v>
      </c>
    </row>
    <row r="14" spans="2:5" ht="25.5" customHeight="1">
      <c r="B14" s="417"/>
      <c r="C14" s="419" t="s">
        <v>77</v>
      </c>
      <c r="D14" s="419" t="s">
        <v>133</v>
      </c>
      <c r="E14" s="420"/>
    </row>
    <row r="15" spans="2:5" ht="33" customHeight="1">
      <c r="B15" s="964" t="s">
        <v>78</v>
      </c>
      <c r="C15" s="942" t="s">
        <v>140</v>
      </c>
      <c r="D15" s="965">
        <f>D16-D17-D18-D19-D20</f>
        <v>-26400026.4</v>
      </c>
      <c r="E15" s="966">
        <f>E16-E17-E18-E19-E20</f>
        <v>-35848388</v>
      </c>
    </row>
    <row r="16" spans="2:5" ht="26.25" customHeight="1">
      <c r="B16" s="417"/>
      <c r="C16" s="789" t="s">
        <v>1008</v>
      </c>
      <c r="D16" s="195">
        <f>'PASIVI '!E22-'PASIVI '!F22</f>
        <v>0</v>
      </c>
      <c r="E16" s="418"/>
    </row>
    <row r="17" spans="2:5" ht="22.5" customHeight="1">
      <c r="B17" s="417"/>
      <c r="C17" s="195" t="s">
        <v>80</v>
      </c>
      <c r="D17" s="195">
        <f>S!P29+S!T29</f>
        <v>26400026.4</v>
      </c>
      <c r="E17" s="418">
        <v>35848388</v>
      </c>
    </row>
    <row r="18" spans="2:5" ht="25.5" customHeight="1">
      <c r="B18" s="417"/>
      <c r="C18" s="195" t="s">
        <v>387</v>
      </c>
      <c r="D18" s="195">
        <f>'AKTIVI '!E27+'AKTIVI '!E26+'AKTIVI '!E32-'AKTIVI '!F32-'AKTIVI '!F27-'AKTIVI '!F26</f>
        <v>0</v>
      </c>
      <c r="E18" s="418">
        <v>0</v>
      </c>
    </row>
    <row r="19" spans="2:5" ht="22.5" customHeight="1">
      <c r="B19" s="417"/>
      <c r="C19" s="195" t="s">
        <v>81</v>
      </c>
      <c r="D19" s="195"/>
      <c r="E19" s="418">
        <v>0</v>
      </c>
    </row>
    <row r="20" spans="2:5" ht="22.5" customHeight="1">
      <c r="B20" s="417"/>
      <c r="C20" s="195" t="s">
        <v>82</v>
      </c>
      <c r="D20" s="195"/>
      <c r="E20" s="418"/>
    </row>
    <row r="21" spans="2:5" ht="20.25" customHeight="1">
      <c r="B21" s="417"/>
      <c r="C21" s="419" t="s">
        <v>139</v>
      </c>
      <c r="D21" s="421"/>
      <c r="E21" s="422"/>
    </row>
    <row r="22" spans="2:5" ht="30.75" customHeight="1">
      <c r="B22" s="964" t="s">
        <v>83</v>
      </c>
      <c r="C22" s="942" t="s">
        <v>84</v>
      </c>
      <c r="D22" s="965">
        <f>D23+D24+D25-D26-D27</f>
        <v>14260</v>
      </c>
      <c r="E22" s="966">
        <f>E23+E24-E25-E26-E27</f>
        <v>0</v>
      </c>
    </row>
    <row r="23" spans="2:5" ht="22.5" customHeight="1">
      <c r="B23" s="423"/>
      <c r="C23" s="195" t="s">
        <v>85</v>
      </c>
      <c r="D23" s="195"/>
      <c r="E23" s="418"/>
    </row>
    <row r="24" spans="2:5" ht="22.5" customHeight="1">
      <c r="B24" s="423"/>
      <c r="C24" s="195" t="s">
        <v>86</v>
      </c>
      <c r="D24" s="195">
        <f>'PASIVI '!E8-'PASIVI '!F8+'PASIVI '!E27-'PASIVI '!F27</f>
        <v>0</v>
      </c>
      <c r="E24" s="418">
        <v>0</v>
      </c>
    </row>
    <row r="25" spans="2:5" ht="23.25" customHeight="1">
      <c r="B25" s="423"/>
      <c r="C25" s="195" t="s">
        <v>921</v>
      </c>
      <c r="D25" s="195">
        <f>'Ardh e shp - natyres'!E31</f>
        <v>14260</v>
      </c>
      <c r="E25" s="418"/>
    </row>
    <row r="26" spans="2:5" ht="22.5" customHeight="1">
      <c r="B26" s="424"/>
      <c r="C26" s="195" t="s">
        <v>88</v>
      </c>
      <c r="D26" s="195">
        <f>'Pasq e ndrysh te kap 2'!H15</f>
        <v>0</v>
      </c>
      <c r="E26" s="418">
        <v>0</v>
      </c>
    </row>
    <row r="27" spans="2:5" ht="21.75" customHeight="1">
      <c r="B27" s="424"/>
      <c r="C27" s="195" t="s">
        <v>89</v>
      </c>
      <c r="D27" s="195"/>
      <c r="E27" s="418">
        <v>0</v>
      </c>
    </row>
    <row r="28" spans="2:5" ht="25.5" customHeight="1">
      <c r="B28" s="967"/>
      <c r="C28" s="968" t="s">
        <v>141</v>
      </c>
      <c r="D28" s="969">
        <f>D8+D15+D22</f>
        <v>296984.7743999958</v>
      </c>
      <c r="E28" s="970">
        <f>E8+E15+E22</f>
        <v>511352</v>
      </c>
    </row>
    <row r="29" spans="2:6" ht="29.25" customHeight="1">
      <c r="B29" s="424"/>
      <c r="C29" s="421" t="s">
        <v>91</v>
      </c>
      <c r="D29" s="196">
        <f>'AKTIVI '!F7</f>
        <v>5698309</v>
      </c>
      <c r="E29" s="613">
        <v>5186957</v>
      </c>
      <c r="F29" s="101"/>
    </row>
    <row r="30" spans="2:5" ht="30" customHeight="1" thickBot="1">
      <c r="B30" s="971"/>
      <c r="C30" s="972" t="s">
        <v>90</v>
      </c>
      <c r="D30" s="973">
        <f>D28+D29</f>
        <v>5995293.774399996</v>
      </c>
      <c r="E30" s="974">
        <f>E28+E29</f>
        <v>5698309</v>
      </c>
    </row>
    <row r="32" spans="4:5" ht="12.75">
      <c r="D32" s="88">
        <f>'AKTIVI '!E7</f>
        <v>5995293.369999999</v>
      </c>
      <c r="E32" s="88">
        <f>'AKTIVI '!F7</f>
        <v>5698309</v>
      </c>
    </row>
    <row r="34" spans="4:5" ht="12.75">
      <c r="D34" s="88">
        <f>D30-D32</f>
        <v>0.4043999966233969</v>
      </c>
      <c r="E34" s="88">
        <f>E30-E32</f>
        <v>0</v>
      </c>
    </row>
  </sheetData>
  <sheetProtection/>
  <mergeCells count="5">
    <mergeCell ref="B3:D3"/>
    <mergeCell ref="B6:B7"/>
    <mergeCell ref="C6:C7"/>
    <mergeCell ref="D6:D7"/>
    <mergeCell ref="E6:E7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C1">
      <selection activeCell="A1" sqref="A1:I18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28.8515625" style="0" customWidth="1"/>
    <col min="4" max="4" width="15.57421875" style="88" customWidth="1"/>
    <col min="5" max="5" width="15.140625" style="88" customWidth="1"/>
    <col min="6" max="6" width="17.140625" style="88" customWidth="1"/>
    <col min="7" max="7" width="19.421875" style="88" customWidth="1"/>
    <col min="8" max="8" width="17.8515625" style="88" customWidth="1"/>
    <col min="9" max="9" width="16.00390625" style="88" customWidth="1"/>
    <col min="10" max="10" width="6.00390625" style="0" customWidth="1"/>
  </cols>
  <sheetData>
    <row r="1" ht="12.75">
      <c r="G1" s="88" t="str">
        <f>'Kopertina '!F4</f>
        <v>FJORTES </v>
      </c>
    </row>
    <row r="2" spans="1:9" ht="27" customHeight="1">
      <c r="A2" s="1336" t="s">
        <v>92</v>
      </c>
      <c r="B2" s="1336"/>
      <c r="C2" s="1336"/>
      <c r="D2" s="1336"/>
      <c r="E2" s="1336"/>
      <c r="F2" s="1336"/>
      <c r="G2" s="1336"/>
      <c r="H2" s="98">
        <f>'Kopertina '!F29</f>
        <v>2012</v>
      </c>
      <c r="I2" s="99" t="s">
        <v>301</v>
      </c>
    </row>
    <row r="4" ht="13.5" thickBot="1">
      <c r="C4" s="19" t="s">
        <v>113</v>
      </c>
    </row>
    <row r="5" spans="2:9" ht="42" customHeight="1" thickBot="1">
      <c r="B5" s="952" t="s">
        <v>1</v>
      </c>
      <c r="C5" s="953" t="s">
        <v>96</v>
      </c>
      <c r="D5" s="954" t="s">
        <v>868</v>
      </c>
      <c r="E5" s="953" t="s">
        <v>98</v>
      </c>
      <c r="F5" s="953" t="s">
        <v>352</v>
      </c>
      <c r="G5" s="953" t="s">
        <v>105</v>
      </c>
      <c r="H5" s="953" t="s">
        <v>99</v>
      </c>
      <c r="I5" s="955" t="s">
        <v>94</v>
      </c>
    </row>
    <row r="6" spans="2:9" ht="33.75" customHeight="1" thickBot="1">
      <c r="B6" s="956" t="s">
        <v>4</v>
      </c>
      <c r="C6" s="957" t="s">
        <v>480</v>
      </c>
      <c r="D6" s="958">
        <f>'PASIVI '!F39</f>
        <v>16578558</v>
      </c>
      <c r="E6" s="958">
        <v>0</v>
      </c>
      <c r="F6" s="958">
        <v>0</v>
      </c>
      <c r="G6" s="958">
        <f>'PASIVI '!F45</f>
        <v>872554</v>
      </c>
      <c r="H6" s="958">
        <f>'PASIVI '!F47</f>
        <v>0</v>
      </c>
      <c r="I6" s="959">
        <f>D6+E6+F6+G6+H6</f>
        <v>17451112</v>
      </c>
    </row>
    <row r="7" spans="2:9" ht="31.5" customHeight="1" thickBot="1">
      <c r="B7" s="426" t="s">
        <v>72</v>
      </c>
      <c r="C7" s="427" t="s">
        <v>100</v>
      </c>
      <c r="D7" s="428"/>
      <c r="E7" s="428"/>
      <c r="F7" s="428"/>
      <c r="G7" s="428"/>
      <c r="H7" s="428"/>
      <c r="I7" s="843">
        <f>D7+E7+F7+G7+H7</f>
        <v>0</v>
      </c>
    </row>
    <row r="8" spans="2:9" ht="30.75" customHeight="1" thickBot="1">
      <c r="B8" s="424" t="s">
        <v>78</v>
      </c>
      <c r="C8" s="419" t="s">
        <v>95</v>
      </c>
      <c r="D8" s="195">
        <f>D9-D10</f>
        <v>0</v>
      </c>
      <c r="E8" s="195"/>
      <c r="F8" s="195"/>
      <c r="G8" s="195"/>
      <c r="H8" s="195"/>
      <c r="I8" s="843">
        <f>D8+E8+F8+G8+H8</f>
        <v>0</v>
      </c>
    </row>
    <row r="9" spans="2:9" ht="29.25" customHeight="1" thickBot="1">
      <c r="B9" s="424">
        <v>1</v>
      </c>
      <c r="C9" s="195" t="s">
        <v>101</v>
      </c>
      <c r="D9" s="195"/>
      <c r="E9" s="195"/>
      <c r="F9" s="195"/>
      <c r="G9" s="195"/>
      <c r="H9" s="986">
        <f>'PASIVI '!F48</f>
        <v>0</v>
      </c>
      <c r="I9" s="843">
        <f>H9</f>
        <v>0</v>
      </c>
    </row>
    <row r="10" spans="2:9" ht="29.25" customHeight="1" thickBot="1">
      <c r="B10" s="424">
        <v>2</v>
      </c>
      <c r="C10" s="195" t="s">
        <v>102</v>
      </c>
      <c r="D10" s="195"/>
      <c r="E10" s="195"/>
      <c r="F10" s="195"/>
      <c r="G10" s="195"/>
      <c r="H10" s="195">
        <v>0</v>
      </c>
      <c r="I10" s="843">
        <f>H10</f>
        <v>0</v>
      </c>
    </row>
    <row r="11" spans="2:9" ht="28.5" customHeight="1" thickBot="1">
      <c r="B11" s="424">
        <v>3</v>
      </c>
      <c r="C11" s="195" t="s">
        <v>142</v>
      </c>
      <c r="D11" s="195"/>
      <c r="E11" s="195"/>
      <c r="F11" s="195"/>
      <c r="G11" s="195"/>
      <c r="H11" s="195"/>
      <c r="I11" s="843">
        <f>H11</f>
        <v>0</v>
      </c>
    </row>
    <row r="12" spans="2:9" ht="30.75" customHeight="1" thickBot="1">
      <c r="B12" s="425">
        <v>4</v>
      </c>
      <c r="C12" s="430" t="s">
        <v>264</v>
      </c>
      <c r="D12" s="430"/>
      <c r="E12" s="430"/>
      <c r="F12" s="430"/>
      <c r="G12" s="430"/>
      <c r="H12" s="430"/>
      <c r="I12" s="843">
        <f>H12</f>
        <v>0</v>
      </c>
    </row>
    <row r="13" spans="2:9" ht="37.5" customHeight="1" thickBot="1">
      <c r="B13" s="956" t="s">
        <v>19</v>
      </c>
      <c r="C13" s="957" t="s">
        <v>869</v>
      </c>
      <c r="D13" s="958">
        <f>D6</f>
        <v>16578558</v>
      </c>
      <c r="E13" s="958">
        <f>E6</f>
        <v>0</v>
      </c>
      <c r="F13" s="958">
        <f>F6</f>
        <v>0</v>
      </c>
      <c r="G13" s="958">
        <f>G6</f>
        <v>872554</v>
      </c>
      <c r="H13" s="958">
        <f>H6+H9</f>
        <v>0</v>
      </c>
      <c r="I13" s="959">
        <f>+E13+F13+G13+H13+D13</f>
        <v>17451112</v>
      </c>
    </row>
    <row r="14" spans="2:9" ht="33" customHeight="1" thickBot="1">
      <c r="B14" s="426">
        <v>1</v>
      </c>
      <c r="C14" s="428" t="s">
        <v>101</v>
      </c>
      <c r="D14" s="428"/>
      <c r="E14" s="428"/>
      <c r="F14" s="428"/>
      <c r="G14" s="428"/>
      <c r="H14" s="985">
        <f>'Ardh e shp - natyres'!E39</f>
        <v>5206380.243300006</v>
      </c>
      <c r="I14" s="843">
        <f>H14</f>
        <v>5206380.243300006</v>
      </c>
    </row>
    <row r="15" spans="2:9" ht="28.5" customHeight="1" thickBot="1">
      <c r="B15" s="424">
        <v>2</v>
      </c>
      <c r="C15" s="195" t="s">
        <v>102</v>
      </c>
      <c r="D15" s="195"/>
      <c r="E15" s="195"/>
      <c r="F15" s="195"/>
      <c r="G15" s="195"/>
      <c r="H15" s="986">
        <v>0</v>
      </c>
      <c r="I15" s="843">
        <f>D15+E15+F15+G15+H15</f>
        <v>0</v>
      </c>
    </row>
    <row r="16" spans="2:9" ht="31.5" customHeight="1" thickBot="1">
      <c r="B16" s="424">
        <v>3</v>
      </c>
      <c r="C16" s="195" t="s">
        <v>103</v>
      </c>
      <c r="D16" s="195"/>
      <c r="E16" s="195"/>
      <c r="F16" s="195"/>
      <c r="G16" s="195"/>
      <c r="H16" s="195"/>
      <c r="I16" s="843">
        <f>D16+E16+F16+G16+H16</f>
        <v>0</v>
      </c>
    </row>
    <row r="17" spans="2:9" ht="24.75" customHeight="1" thickBot="1">
      <c r="B17" s="425">
        <v>4</v>
      </c>
      <c r="C17" s="430" t="s">
        <v>104</v>
      </c>
      <c r="D17" s="430"/>
      <c r="E17" s="430"/>
      <c r="F17" s="430"/>
      <c r="G17" s="430"/>
      <c r="H17" s="430"/>
      <c r="I17" s="843">
        <f>D17+E17+F17+G17+H17</f>
        <v>0</v>
      </c>
    </row>
    <row r="18" spans="2:9" ht="36.75" customHeight="1" thickBot="1">
      <c r="B18" s="956" t="s">
        <v>44</v>
      </c>
      <c r="C18" s="957" t="s">
        <v>958</v>
      </c>
      <c r="D18" s="958">
        <f>D13</f>
        <v>16578558</v>
      </c>
      <c r="E18" s="958">
        <f>E13</f>
        <v>0</v>
      </c>
      <c r="F18" s="958">
        <f>F13</f>
        <v>0</v>
      </c>
      <c r="G18" s="958">
        <f>G13</f>
        <v>872554</v>
      </c>
      <c r="H18" s="958">
        <f>H13+H14-H15</f>
        <v>5206380.243300006</v>
      </c>
      <c r="I18" s="959">
        <f>D18+G18+H18</f>
        <v>22657492.243300006</v>
      </c>
    </row>
  </sheetData>
  <sheetProtection/>
  <mergeCells count="1">
    <mergeCell ref="A2:G2"/>
  </mergeCells>
  <printOptions/>
  <pageMargins left="0.25" right="0.25" top="0.25" bottom="0.25" header="0.25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64"/>
  <sheetViews>
    <sheetView zoomScalePageLayoutView="0" workbookViewId="0" topLeftCell="A1">
      <selection activeCell="B2" sqref="B2:J64"/>
    </sheetView>
  </sheetViews>
  <sheetFormatPr defaultColWidth="9.140625" defaultRowHeight="12.75"/>
  <cols>
    <col min="1" max="1" width="5.140625" style="0" customWidth="1"/>
    <col min="8" max="8" width="12.8515625" style="0" customWidth="1"/>
    <col min="9" max="9" width="16.421875" style="0" customWidth="1"/>
    <col min="10" max="10" width="6.8515625" style="0" customWidth="1"/>
    <col min="11" max="11" width="5.140625" style="0" customWidth="1"/>
  </cols>
  <sheetData>
    <row r="1" ht="13.5" thickBot="1"/>
    <row r="2" spans="2:10" ht="12.75">
      <c r="B2" s="16"/>
      <c r="C2" s="17"/>
      <c r="D2" s="17"/>
      <c r="E2" s="17"/>
      <c r="F2" s="17"/>
      <c r="G2" s="17"/>
      <c r="H2" s="17"/>
      <c r="I2" s="17"/>
      <c r="J2" s="18"/>
    </row>
    <row r="3" spans="2:10" ht="12.75">
      <c r="B3" s="5"/>
      <c r="C3" s="1"/>
      <c r="D3" s="1337" t="s">
        <v>143</v>
      </c>
      <c r="E3" s="1337"/>
      <c r="F3" s="1337"/>
      <c r="G3" s="1337"/>
      <c r="H3" s="1337"/>
      <c r="I3" s="1"/>
      <c r="J3" s="6"/>
    </row>
    <row r="4" spans="2:10" ht="12.75">
      <c r="B4" s="5"/>
      <c r="C4" s="1"/>
      <c r="D4" s="1"/>
      <c r="E4" s="1"/>
      <c r="F4" s="1"/>
      <c r="G4" s="1"/>
      <c r="H4" s="1"/>
      <c r="I4" s="1"/>
      <c r="J4" s="6"/>
    </row>
    <row r="5" spans="2:10" ht="12.75">
      <c r="B5" s="5"/>
      <c r="C5" s="35" t="s">
        <v>106</v>
      </c>
      <c r="D5" s="36"/>
      <c r="E5" s="36"/>
      <c r="F5" s="36"/>
      <c r="G5" s="36"/>
      <c r="H5" s="36"/>
      <c r="I5" s="37"/>
      <c r="J5" s="6"/>
    </row>
    <row r="6" spans="2:10" ht="12.75">
      <c r="B6" s="5"/>
      <c r="C6" s="47" t="s">
        <v>145</v>
      </c>
      <c r="D6" s="45"/>
      <c r="E6" s="45"/>
      <c r="F6" s="45"/>
      <c r="G6" s="45"/>
      <c r="H6" s="45"/>
      <c r="I6" s="48"/>
      <c r="J6" s="6"/>
    </row>
    <row r="7" spans="2:10" ht="12.75">
      <c r="B7" s="5"/>
      <c r="C7" s="47" t="s">
        <v>107</v>
      </c>
      <c r="D7" s="45"/>
      <c r="E7" s="45"/>
      <c r="F7" s="45"/>
      <c r="G7" s="45"/>
      <c r="H7" s="45"/>
      <c r="I7" s="48"/>
      <c r="J7" s="6"/>
    </row>
    <row r="8" spans="2:10" ht="12.75">
      <c r="B8" s="5"/>
      <c r="C8" s="47" t="s">
        <v>146</v>
      </c>
      <c r="D8" s="45"/>
      <c r="E8" s="45"/>
      <c r="F8" s="45"/>
      <c r="G8" s="45"/>
      <c r="H8" s="45"/>
      <c r="I8" s="48"/>
      <c r="J8" s="6"/>
    </row>
    <row r="9" spans="2:10" ht="12.75">
      <c r="B9" s="5"/>
      <c r="C9" s="49" t="s">
        <v>109</v>
      </c>
      <c r="D9" s="1" t="s">
        <v>108</v>
      </c>
      <c r="E9" s="45"/>
      <c r="F9" s="45"/>
      <c r="G9" s="45"/>
      <c r="H9" s="45"/>
      <c r="I9" s="48"/>
      <c r="J9" s="46"/>
    </row>
    <row r="10" spans="2:10" ht="12.75">
      <c r="B10" s="5"/>
      <c r="C10" s="49" t="s">
        <v>110</v>
      </c>
      <c r="D10" s="1" t="s">
        <v>112</v>
      </c>
      <c r="E10" s="1"/>
      <c r="F10" s="1"/>
      <c r="G10" s="1"/>
      <c r="H10" s="1"/>
      <c r="I10" s="41"/>
      <c r="J10" s="6"/>
    </row>
    <row r="11" spans="2:10" ht="12.75">
      <c r="B11" s="5"/>
      <c r="C11" s="50" t="s">
        <v>111</v>
      </c>
      <c r="D11" s="38" t="s">
        <v>144</v>
      </c>
      <c r="E11" s="38"/>
      <c r="F11" s="38"/>
      <c r="G11" s="38"/>
      <c r="H11" s="38"/>
      <c r="I11" s="39"/>
      <c r="J11" s="6"/>
    </row>
    <row r="12" spans="2:10" ht="12.75">
      <c r="B12" s="5"/>
      <c r="C12" s="1"/>
      <c r="D12" s="1"/>
      <c r="E12" s="1"/>
      <c r="F12" s="1"/>
      <c r="G12" s="1"/>
      <c r="H12" s="1"/>
      <c r="I12" s="1"/>
      <c r="J12" s="6"/>
    </row>
    <row r="13" spans="2:10" ht="15.75">
      <c r="B13" s="67" t="s">
        <v>303</v>
      </c>
      <c r="C13" s="64" t="s">
        <v>304</v>
      </c>
      <c r="D13" s="1"/>
      <c r="E13" s="1"/>
      <c r="F13" s="1"/>
      <c r="G13" s="1"/>
      <c r="H13" s="1"/>
      <c r="I13" s="1"/>
      <c r="J13" s="6"/>
    </row>
    <row r="14" spans="2:10" ht="12.75">
      <c r="B14" s="68"/>
      <c r="C14" s="1"/>
      <c r="D14" s="1"/>
      <c r="E14" s="1"/>
      <c r="F14" s="1"/>
      <c r="G14" s="1"/>
      <c r="H14" s="1"/>
      <c r="I14" s="1"/>
      <c r="J14" s="6"/>
    </row>
    <row r="15" spans="2:10" ht="12.75">
      <c r="B15" s="69">
        <v>1</v>
      </c>
      <c r="C15" s="65" t="s">
        <v>305</v>
      </c>
      <c r="D15" s="1"/>
      <c r="E15" s="1"/>
      <c r="F15" s="1"/>
      <c r="G15" s="1"/>
      <c r="H15" s="1"/>
      <c r="I15" s="1"/>
      <c r="J15" s="6"/>
    </row>
    <row r="16" spans="2:10" ht="12.75">
      <c r="B16" s="69">
        <v>2</v>
      </c>
      <c r="C16" s="28" t="s">
        <v>306</v>
      </c>
      <c r="D16" s="1"/>
      <c r="E16" s="1"/>
      <c r="F16" s="1"/>
      <c r="G16" s="1"/>
      <c r="H16" s="1"/>
      <c r="I16" s="1"/>
      <c r="J16" s="6"/>
    </row>
    <row r="17" spans="2:10" ht="12.75">
      <c r="B17" s="70">
        <v>3</v>
      </c>
      <c r="C17" s="28" t="s">
        <v>307</v>
      </c>
      <c r="D17" s="1"/>
      <c r="E17" s="1"/>
      <c r="F17" s="1"/>
      <c r="G17" s="1"/>
      <c r="H17" s="1"/>
      <c r="I17" s="1"/>
      <c r="J17" s="6"/>
    </row>
    <row r="18" spans="2:10" ht="12.75">
      <c r="B18" s="70">
        <v>4</v>
      </c>
      <c r="C18" s="28" t="s">
        <v>308</v>
      </c>
      <c r="D18" s="1"/>
      <c r="E18" s="1"/>
      <c r="F18" s="1"/>
      <c r="G18" s="1"/>
      <c r="H18" s="1"/>
      <c r="I18" s="1"/>
      <c r="J18" s="6"/>
    </row>
    <row r="19" spans="2:10" ht="12.75">
      <c r="B19" s="70"/>
      <c r="C19" s="65" t="s">
        <v>309</v>
      </c>
      <c r="D19" s="1"/>
      <c r="E19" s="1"/>
      <c r="F19" s="1"/>
      <c r="G19" s="1"/>
      <c r="H19" s="1"/>
      <c r="I19" s="1"/>
      <c r="J19" s="6"/>
    </row>
    <row r="20" spans="2:10" ht="12.75">
      <c r="B20" s="70" t="s">
        <v>310</v>
      </c>
      <c r="C20" s="28"/>
      <c r="D20" s="1"/>
      <c r="E20" s="1"/>
      <c r="F20" s="1"/>
      <c r="G20" s="1"/>
      <c r="H20" s="1"/>
      <c r="I20" s="1"/>
      <c r="J20" s="6"/>
    </row>
    <row r="21" spans="2:10" ht="12.75">
      <c r="B21" s="70"/>
      <c r="C21" s="65" t="s">
        <v>311</v>
      </c>
      <c r="D21" s="1"/>
      <c r="E21" s="1"/>
      <c r="F21" s="1"/>
      <c r="G21" s="1"/>
      <c r="H21" s="1"/>
      <c r="I21" s="1"/>
      <c r="J21" s="6"/>
    </row>
    <row r="22" spans="2:10" ht="12.75">
      <c r="B22" s="70" t="s">
        <v>312</v>
      </c>
      <c r="C22" s="28"/>
      <c r="D22" s="1"/>
      <c r="E22" s="1"/>
      <c r="F22" s="1"/>
      <c r="G22" s="1"/>
      <c r="H22" s="1"/>
      <c r="I22" s="1"/>
      <c r="J22" s="6"/>
    </row>
    <row r="23" spans="2:10" ht="12.75">
      <c r="B23" s="70"/>
      <c r="C23" s="65" t="s">
        <v>313</v>
      </c>
      <c r="D23" s="1"/>
      <c r="E23" s="1"/>
      <c r="F23" s="1"/>
      <c r="G23" s="1"/>
      <c r="H23" s="1"/>
      <c r="I23" s="1"/>
      <c r="J23" s="6"/>
    </row>
    <row r="24" spans="2:10" ht="12.75">
      <c r="B24" s="70" t="s">
        <v>314</v>
      </c>
      <c r="C24" s="28"/>
      <c r="D24" s="1"/>
      <c r="E24" s="1"/>
      <c r="F24" s="1"/>
      <c r="G24" s="1"/>
      <c r="H24" s="1"/>
      <c r="I24" s="1"/>
      <c r="J24" s="6"/>
    </row>
    <row r="25" spans="2:10" ht="12.75">
      <c r="B25" s="70"/>
      <c r="C25" s="28" t="s">
        <v>315</v>
      </c>
      <c r="D25" s="1"/>
      <c r="E25" s="1"/>
      <c r="F25" s="1"/>
      <c r="G25" s="1"/>
      <c r="H25" s="1"/>
      <c r="I25" s="1"/>
      <c r="J25" s="6"/>
    </row>
    <row r="26" spans="2:10" ht="12.75">
      <c r="B26" s="70" t="s">
        <v>316</v>
      </c>
      <c r="C26" s="28"/>
      <c r="D26" s="1"/>
      <c r="E26" s="1"/>
      <c r="F26" s="1"/>
      <c r="G26" s="1"/>
      <c r="H26" s="1"/>
      <c r="I26" s="1"/>
      <c r="J26" s="6"/>
    </row>
    <row r="27" spans="2:10" ht="12.75">
      <c r="B27" s="71" t="s">
        <v>317</v>
      </c>
      <c r="C27" s="28"/>
      <c r="D27" s="1"/>
      <c r="E27" s="1"/>
      <c r="F27" s="1"/>
      <c r="G27" s="1"/>
      <c r="H27" s="1"/>
      <c r="I27" s="1"/>
      <c r="J27" s="6"/>
    </row>
    <row r="28" spans="2:10" ht="12.75">
      <c r="B28" s="70"/>
      <c r="C28" s="28" t="s">
        <v>318</v>
      </c>
      <c r="D28" s="1"/>
      <c r="E28" s="1"/>
      <c r="F28" s="1"/>
      <c r="G28" s="1"/>
      <c r="H28" s="1"/>
      <c r="I28" s="1"/>
      <c r="J28" s="6"/>
    </row>
    <row r="29" spans="2:10" ht="12.75">
      <c r="B29" s="71" t="s">
        <v>319</v>
      </c>
      <c r="C29" s="28"/>
      <c r="D29" s="1"/>
      <c r="E29" s="1"/>
      <c r="F29" s="1"/>
      <c r="G29" s="1"/>
      <c r="H29" s="1"/>
      <c r="I29" s="1"/>
      <c r="J29" s="6"/>
    </row>
    <row r="30" spans="2:10" ht="12.75">
      <c r="B30" s="70"/>
      <c r="C30" s="28" t="s">
        <v>320</v>
      </c>
      <c r="D30" s="1"/>
      <c r="E30" s="1"/>
      <c r="F30" s="1"/>
      <c r="G30" s="1"/>
      <c r="H30" s="1"/>
      <c r="I30" s="1"/>
      <c r="J30" s="6"/>
    </row>
    <row r="31" spans="2:10" ht="12.75">
      <c r="B31" s="71" t="s">
        <v>321</v>
      </c>
      <c r="C31" s="28"/>
      <c r="D31" s="1"/>
      <c r="E31" s="1"/>
      <c r="F31" s="1"/>
      <c r="G31" s="1"/>
      <c r="H31" s="1"/>
      <c r="I31" s="1"/>
      <c r="J31" s="6"/>
    </row>
    <row r="32" spans="2:10" ht="12.75">
      <c r="B32" s="70" t="s">
        <v>322</v>
      </c>
      <c r="C32" s="28" t="s">
        <v>323</v>
      </c>
      <c r="D32" s="1"/>
      <c r="E32" s="1"/>
      <c r="F32" s="1"/>
      <c r="G32" s="1"/>
      <c r="H32" s="1"/>
      <c r="I32" s="1"/>
      <c r="J32" s="6"/>
    </row>
    <row r="33" spans="2:10" ht="12.75">
      <c r="B33" s="70"/>
      <c r="C33" s="65" t="s">
        <v>324</v>
      </c>
      <c r="D33" s="1"/>
      <c r="E33" s="1"/>
      <c r="F33" s="1"/>
      <c r="G33" s="1"/>
      <c r="H33" s="1"/>
      <c r="I33" s="1"/>
      <c r="J33" s="6"/>
    </row>
    <row r="34" spans="2:10" ht="12.75">
      <c r="B34" s="70"/>
      <c r="C34" s="65" t="s">
        <v>325</v>
      </c>
      <c r="D34" s="1"/>
      <c r="E34" s="1"/>
      <c r="F34" s="1"/>
      <c r="G34" s="1"/>
      <c r="H34" s="1"/>
      <c r="I34" s="1"/>
      <c r="J34" s="6"/>
    </row>
    <row r="35" spans="2:10" ht="12.75">
      <c r="B35" s="70"/>
      <c r="C35" s="65" t="s">
        <v>326</v>
      </c>
      <c r="D35" s="1"/>
      <c r="E35" s="1"/>
      <c r="F35" s="1"/>
      <c r="G35" s="1"/>
      <c r="H35" s="1"/>
      <c r="I35" s="1"/>
      <c r="J35" s="6"/>
    </row>
    <row r="36" spans="2:10" ht="12.75">
      <c r="B36" s="70"/>
      <c r="C36" s="65" t="s">
        <v>327</v>
      </c>
      <c r="D36" s="1"/>
      <c r="E36" s="1"/>
      <c r="F36" s="1"/>
      <c r="G36" s="1"/>
      <c r="H36" s="1"/>
      <c r="I36" s="1"/>
      <c r="J36" s="6"/>
    </row>
    <row r="37" spans="2:10" ht="12.75">
      <c r="B37" s="70"/>
      <c r="C37" s="65" t="s">
        <v>328</v>
      </c>
      <c r="D37" s="1"/>
      <c r="E37" s="1"/>
      <c r="F37" s="1"/>
      <c r="G37" s="1"/>
      <c r="H37" s="1"/>
      <c r="I37" s="1"/>
      <c r="J37" s="6"/>
    </row>
    <row r="38" spans="2:10" ht="12.75">
      <c r="B38" s="70"/>
      <c r="C38" s="65" t="s">
        <v>329</v>
      </c>
      <c r="D38" s="1"/>
      <c r="E38" s="1"/>
      <c r="F38" s="1"/>
      <c r="G38" s="1"/>
      <c r="H38" s="1"/>
      <c r="I38" s="1"/>
      <c r="J38" s="6"/>
    </row>
    <row r="39" spans="2:10" ht="12.75">
      <c r="B39" s="70"/>
      <c r="C39" s="28"/>
      <c r="D39" s="1"/>
      <c r="E39" s="1"/>
      <c r="F39" s="1"/>
      <c r="G39" s="1"/>
      <c r="H39" s="1"/>
      <c r="I39" s="1"/>
      <c r="J39" s="6"/>
    </row>
    <row r="40" spans="2:10" ht="15.75">
      <c r="B40" s="67" t="s">
        <v>330</v>
      </c>
      <c r="C40" s="64" t="s">
        <v>331</v>
      </c>
      <c r="D40" s="1"/>
      <c r="E40" s="1"/>
      <c r="F40" s="1"/>
      <c r="G40" s="1"/>
      <c r="H40" s="1"/>
      <c r="I40" s="1"/>
      <c r="J40" s="6"/>
    </row>
    <row r="41" spans="2:10" ht="12.75">
      <c r="B41" s="70"/>
      <c r="C41" s="28"/>
      <c r="D41" s="1"/>
      <c r="E41" s="1"/>
      <c r="F41" s="1"/>
      <c r="G41" s="1"/>
      <c r="H41" s="1"/>
      <c r="I41" s="1"/>
      <c r="J41" s="6"/>
    </row>
    <row r="42" spans="2:10" ht="12.75">
      <c r="B42" s="70"/>
      <c r="C42" s="65" t="s">
        <v>332</v>
      </c>
      <c r="D42" s="1"/>
      <c r="E42" s="1"/>
      <c r="F42" s="1"/>
      <c r="G42" s="1"/>
      <c r="H42" s="1"/>
      <c r="I42" s="1"/>
      <c r="J42" s="6"/>
    </row>
    <row r="43" spans="2:10" ht="12.75">
      <c r="B43" s="70" t="s">
        <v>333</v>
      </c>
      <c r="C43" s="28"/>
      <c r="D43" s="1"/>
      <c r="E43" s="1"/>
      <c r="F43" s="1"/>
      <c r="G43" s="1"/>
      <c r="H43" s="1"/>
      <c r="I43" s="1"/>
      <c r="J43" s="6"/>
    </row>
    <row r="44" spans="2:10" ht="12.75">
      <c r="B44" s="70"/>
      <c r="C44" s="28" t="s">
        <v>334</v>
      </c>
      <c r="D44" s="1"/>
      <c r="E44" s="1"/>
      <c r="F44" s="1"/>
      <c r="G44" s="1"/>
      <c r="H44" s="1"/>
      <c r="I44" s="1"/>
      <c r="J44" s="6"/>
    </row>
    <row r="45" spans="2:10" ht="12.75">
      <c r="B45" s="70" t="s">
        <v>335</v>
      </c>
      <c r="C45" s="28"/>
      <c r="D45" s="1"/>
      <c r="E45" s="1"/>
      <c r="F45" s="1"/>
      <c r="G45" s="1"/>
      <c r="H45" s="1"/>
      <c r="I45" s="1"/>
      <c r="J45" s="6"/>
    </row>
    <row r="46" spans="2:10" ht="12.75">
      <c r="B46" s="70"/>
      <c r="C46" s="28" t="s">
        <v>336</v>
      </c>
      <c r="D46" s="1"/>
      <c r="E46" s="1"/>
      <c r="F46" s="1"/>
      <c r="G46" s="1"/>
      <c r="H46" s="1"/>
      <c r="I46" s="1"/>
      <c r="J46" s="6"/>
    </row>
    <row r="47" spans="2:10" ht="12.75">
      <c r="B47" s="70" t="s">
        <v>337</v>
      </c>
      <c r="C47" s="28"/>
      <c r="D47" s="1"/>
      <c r="E47" s="1"/>
      <c r="F47" s="1"/>
      <c r="G47" s="1"/>
      <c r="H47" s="1"/>
      <c r="I47" s="1"/>
      <c r="J47" s="6"/>
    </row>
    <row r="48" spans="2:10" ht="12.75">
      <c r="B48" s="70"/>
      <c r="C48" s="28" t="s">
        <v>338</v>
      </c>
      <c r="D48" s="1"/>
      <c r="E48" s="1"/>
      <c r="F48" s="1"/>
      <c r="G48" s="1"/>
      <c r="H48" s="1"/>
      <c r="I48" s="1"/>
      <c r="J48" s="6"/>
    </row>
    <row r="49" spans="2:10" ht="12.75">
      <c r="B49" s="70" t="s">
        <v>339</v>
      </c>
      <c r="C49" s="28"/>
      <c r="D49" s="1"/>
      <c r="E49" s="1"/>
      <c r="F49" s="1"/>
      <c r="G49" s="1"/>
      <c r="H49" s="1"/>
      <c r="I49" s="1"/>
      <c r="J49" s="6"/>
    </row>
    <row r="50" spans="2:10" ht="12.75">
      <c r="B50" s="70"/>
      <c r="C50" s="28" t="s">
        <v>340</v>
      </c>
      <c r="D50" s="1"/>
      <c r="E50" s="1"/>
      <c r="F50" s="1"/>
      <c r="G50" s="1"/>
      <c r="H50" s="1"/>
      <c r="I50" s="1"/>
      <c r="J50" s="6"/>
    </row>
    <row r="51" spans="2:10" ht="12.75">
      <c r="B51" s="70" t="s">
        <v>341</v>
      </c>
      <c r="C51" s="28"/>
      <c r="D51" s="1"/>
      <c r="E51" s="1"/>
      <c r="F51" s="1"/>
      <c r="G51" s="1"/>
      <c r="H51" s="1"/>
      <c r="I51" s="1"/>
      <c r="J51" s="6"/>
    </row>
    <row r="52" spans="2:10" ht="12.75">
      <c r="B52" s="70" t="s">
        <v>342</v>
      </c>
      <c r="C52" s="28"/>
      <c r="D52" s="1"/>
      <c r="E52" s="1"/>
      <c r="F52" s="1"/>
      <c r="G52" s="1"/>
      <c r="H52" s="1"/>
      <c r="I52" s="1"/>
      <c r="J52" s="6"/>
    </row>
    <row r="53" spans="2:10" ht="12.75">
      <c r="B53" s="70" t="s">
        <v>343</v>
      </c>
      <c r="C53" s="28"/>
      <c r="D53" s="1"/>
      <c r="E53" s="1"/>
      <c r="F53" s="1"/>
      <c r="G53" s="1"/>
      <c r="H53" s="1"/>
      <c r="I53" s="1"/>
      <c r="J53" s="6"/>
    </row>
    <row r="54" spans="2:10" ht="12.75">
      <c r="B54" s="70"/>
      <c r="C54" s="28" t="s">
        <v>344</v>
      </c>
      <c r="D54" s="1"/>
      <c r="E54" s="1"/>
      <c r="F54" s="1"/>
      <c r="G54" s="1"/>
      <c r="H54" s="1"/>
      <c r="I54" s="1"/>
      <c r="J54" s="6"/>
    </row>
    <row r="55" spans="2:10" ht="12.75">
      <c r="B55" s="70"/>
      <c r="C55" s="28" t="s">
        <v>345</v>
      </c>
      <c r="D55" s="1"/>
      <c r="E55" s="1"/>
      <c r="F55" s="1"/>
      <c r="G55" s="1"/>
      <c r="H55" s="1"/>
      <c r="I55" s="1"/>
      <c r="J55" s="6"/>
    </row>
    <row r="56" spans="2:10" ht="12.75">
      <c r="B56" s="72"/>
      <c r="C56" s="66" t="s">
        <v>346</v>
      </c>
      <c r="D56" s="1"/>
      <c r="E56" s="1"/>
      <c r="F56" s="1"/>
      <c r="G56" s="1"/>
      <c r="H56" s="1"/>
      <c r="I56" s="1"/>
      <c r="J56" s="6"/>
    </row>
    <row r="57" spans="2:10" ht="12.75">
      <c r="B57" s="70"/>
      <c r="C57" s="28" t="s">
        <v>347</v>
      </c>
      <c r="D57" s="1"/>
      <c r="E57" s="1"/>
      <c r="F57" s="1"/>
      <c r="G57" s="1"/>
      <c r="H57" s="1"/>
      <c r="I57" s="1"/>
      <c r="J57" s="6"/>
    </row>
    <row r="58" spans="2:10" ht="12.75">
      <c r="B58" s="70" t="s">
        <v>348</v>
      </c>
      <c r="C58" s="28"/>
      <c r="D58" s="1"/>
      <c r="E58" s="1"/>
      <c r="F58" s="1"/>
      <c r="G58" s="1"/>
      <c r="H58" s="1"/>
      <c r="I58" s="1"/>
      <c r="J58" s="6"/>
    </row>
    <row r="59" spans="2:10" ht="12.75">
      <c r="B59" s="70"/>
      <c r="C59" s="28"/>
      <c r="D59" s="1"/>
      <c r="E59" s="1"/>
      <c r="F59" s="1"/>
      <c r="G59" s="1"/>
      <c r="H59" s="1"/>
      <c r="I59" s="1"/>
      <c r="J59" s="6"/>
    </row>
    <row r="60" spans="2:10" ht="12.75">
      <c r="B60" s="5"/>
      <c r="C60" s="61" t="s">
        <v>349</v>
      </c>
      <c r="D60" s="1"/>
      <c r="E60" s="1"/>
      <c r="F60" s="1"/>
      <c r="G60" s="1"/>
      <c r="H60" s="1"/>
      <c r="I60" s="1"/>
      <c r="J60" s="6"/>
    </row>
    <row r="61" spans="2:10" ht="12.75">
      <c r="B61" s="4" t="s">
        <v>350</v>
      </c>
      <c r="C61" s="1"/>
      <c r="D61" s="1"/>
      <c r="E61" s="1"/>
      <c r="F61" s="1"/>
      <c r="G61" s="1"/>
      <c r="H61" s="1"/>
      <c r="I61" s="1"/>
      <c r="J61" s="6"/>
    </row>
    <row r="62" spans="2:10" ht="12.75">
      <c r="B62" s="5"/>
      <c r="C62" s="1"/>
      <c r="D62" s="1"/>
      <c r="E62" s="1"/>
      <c r="F62" s="1"/>
      <c r="G62" s="1"/>
      <c r="H62" s="1"/>
      <c r="I62" s="1"/>
      <c r="J62" s="6"/>
    </row>
    <row r="63" spans="2:10" ht="12.75">
      <c r="B63" s="5"/>
      <c r="C63" s="1"/>
      <c r="D63" s="1"/>
      <c r="E63" s="1"/>
      <c r="F63" s="1"/>
      <c r="G63" s="1"/>
      <c r="H63" s="1"/>
      <c r="I63" s="1"/>
      <c r="J63" s="6"/>
    </row>
    <row r="64" spans="2:10" ht="13.5" thickBot="1">
      <c r="B64" s="7"/>
      <c r="C64" s="8"/>
      <c r="D64" s="8"/>
      <c r="E64" s="8"/>
      <c r="F64" s="8"/>
      <c r="G64" s="8"/>
      <c r="H64" s="8"/>
      <c r="I64" s="8"/>
      <c r="J64" s="9"/>
    </row>
  </sheetData>
  <sheetProtection/>
  <mergeCells count="1">
    <mergeCell ref="D3:H3"/>
  </mergeCells>
  <printOptions/>
  <pageMargins left="0.25" right="0.25" top="0.25" bottom="0.25" header="0.25" footer="0.2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7"/>
  <sheetViews>
    <sheetView zoomScalePageLayoutView="0" workbookViewId="0" topLeftCell="A294">
      <selection activeCell="A1" sqref="A1:I318"/>
    </sheetView>
  </sheetViews>
  <sheetFormatPr defaultColWidth="9.140625" defaultRowHeight="12.75"/>
  <cols>
    <col min="1" max="1" width="3.7109375" style="0" customWidth="1"/>
    <col min="2" max="2" width="9.28125" style="0" customWidth="1"/>
    <col min="3" max="3" width="14.57421875" style="0" customWidth="1"/>
    <col min="4" max="4" width="11.8515625" style="0" customWidth="1"/>
    <col min="5" max="5" width="12.00390625" style="0" customWidth="1"/>
    <col min="6" max="6" width="12.140625" style="0" customWidth="1"/>
    <col min="7" max="7" width="12.421875" style="0" customWidth="1"/>
    <col min="8" max="8" width="10.57421875" style="0" customWidth="1"/>
    <col min="9" max="9" width="11.140625" style="0" bestFit="1" customWidth="1"/>
    <col min="10" max="10" width="7.421875" style="0" customWidth="1"/>
    <col min="11" max="11" width="6.140625" style="0" customWidth="1"/>
  </cols>
  <sheetData>
    <row r="1" spans="2:4" ht="18">
      <c r="B1" s="230"/>
      <c r="D1" s="231" t="s">
        <v>407</v>
      </c>
    </row>
    <row r="2" spans="2:4" ht="15.75">
      <c r="B2" s="232" t="s">
        <v>408</v>
      </c>
      <c r="C2" s="19"/>
      <c r="D2" s="19"/>
    </row>
    <row r="3" spans="2:4" ht="15.75">
      <c r="B3" s="232" t="s">
        <v>1780</v>
      </c>
      <c r="C3" s="19"/>
      <c r="D3" s="19"/>
    </row>
    <row r="4" spans="2:3" ht="12.75">
      <c r="B4" s="101"/>
      <c r="C4" s="101"/>
    </row>
    <row r="5" spans="2:6" ht="12.75">
      <c r="B5" s="233" t="s">
        <v>130</v>
      </c>
      <c r="C5" s="101"/>
      <c r="E5" s="228" t="str">
        <f>'Kopertina '!F4</f>
        <v>FJORTES </v>
      </c>
      <c r="F5" s="228"/>
    </row>
    <row r="6" spans="2:6" ht="13.5">
      <c r="B6" s="233" t="s">
        <v>381</v>
      </c>
      <c r="C6" s="101"/>
      <c r="D6" s="234"/>
      <c r="E6" s="1285">
        <f>+'Kopertina '!E49</f>
        <v>36826</v>
      </c>
      <c r="F6" s="228"/>
    </row>
    <row r="7" spans="2:6" ht="13.5">
      <c r="B7" s="233" t="s">
        <v>409</v>
      </c>
      <c r="C7" s="101"/>
      <c r="D7" s="234"/>
      <c r="E7" s="228" t="s">
        <v>474</v>
      </c>
      <c r="F7" s="228"/>
    </row>
    <row r="8" spans="2:6" ht="12.75">
      <c r="B8" s="233" t="s">
        <v>410</v>
      </c>
      <c r="C8" s="101"/>
      <c r="E8" s="228" t="str">
        <f>'Kopertina '!D46</f>
        <v>KUSHTRIMI  , VLORE</v>
      </c>
      <c r="F8" s="228"/>
    </row>
    <row r="9" spans="2:6" ht="12.75">
      <c r="B9" s="233" t="s">
        <v>411</v>
      </c>
      <c r="C9" s="101"/>
      <c r="E9" s="228" t="str">
        <f>'Kopertina '!E56</f>
        <v>SILVANA SADIRAJ </v>
      </c>
      <c r="F9" s="228"/>
    </row>
    <row r="10" spans="2:6" ht="12.75">
      <c r="B10" s="233" t="s">
        <v>412</v>
      </c>
      <c r="C10" s="101"/>
      <c r="E10" s="228">
        <f>+'Kopertina '!C55:G55</f>
        <v>0</v>
      </c>
      <c r="F10" s="228"/>
    </row>
    <row r="11" spans="2:6" ht="12.75">
      <c r="B11" s="233" t="s">
        <v>413</v>
      </c>
      <c r="C11" s="101"/>
      <c r="E11" s="228" t="str">
        <f>+'Kopertina '!D44</f>
        <v>J97426201K</v>
      </c>
      <c r="F11" s="228"/>
    </row>
    <row r="12" spans="2:6" ht="12.75">
      <c r="B12" s="233" t="s">
        <v>414</v>
      </c>
      <c r="C12" s="101"/>
      <c r="E12" s="228">
        <v>7</v>
      </c>
      <c r="F12" s="228"/>
    </row>
    <row r="14" spans="1:3" ht="21">
      <c r="A14" s="101"/>
      <c r="B14" s="235" t="s">
        <v>415</v>
      </c>
      <c r="C14" s="101"/>
    </row>
    <row r="15" spans="1:3" ht="15.75">
      <c r="A15" s="236" t="s">
        <v>416</v>
      </c>
      <c r="B15" s="237"/>
      <c r="C15" s="101"/>
    </row>
    <row r="16" spans="1:3" ht="12.75">
      <c r="A16" s="233" t="s">
        <v>1023</v>
      </c>
      <c r="B16" s="233"/>
      <c r="C16" s="101"/>
    </row>
    <row r="17" spans="1:3" ht="12.75">
      <c r="A17" s="233" t="s">
        <v>417</v>
      </c>
      <c r="B17" s="233"/>
      <c r="C17" s="101"/>
    </row>
    <row r="18" spans="1:3" ht="12.75">
      <c r="A18" s="233" t="s">
        <v>418</v>
      </c>
      <c r="B18" s="233"/>
      <c r="C18" s="101"/>
    </row>
    <row r="19" spans="1:3" ht="12.75">
      <c r="A19" s="233"/>
      <c r="B19" s="233"/>
      <c r="C19" s="101"/>
    </row>
    <row r="20" spans="1:3" ht="12.75">
      <c r="A20" s="233" t="s">
        <v>900</v>
      </c>
      <c r="B20" s="233"/>
      <c r="C20" s="101"/>
    </row>
    <row r="21" spans="1:3" ht="12.75">
      <c r="A21" s="233"/>
      <c r="B21" s="233"/>
      <c r="C21" s="101"/>
    </row>
    <row r="22" spans="1:3" ht="12.75">
      <c r="A22" s="233" t="s">
        <v>1781</v>
      </c>
      <c r="B22" s="233"/>
      <c r="C22" s="101"/>
    </row>
    <row r="23" spans="1:3" ht="12.75">
      <c r="A23" s="233" t="s">
        <v>902</v>
      </c>
      <c r="B23" s="233"/>
      <c r="C23" s="101"/>
    </row>
    <row r="24" spans="1:3" ht="12.75">
      <c r="A24" s="101"/>
      <c r="B24" s="101"/>
      <c r="C24" s="101"/>
    </row>
    <row r="25" spans="1:3" ht="15.75">
      <c r="A25" s="236" t="s">
        <v>419</v>
      </c>
      <c r="B25" s="101"/>
      <c r="C25" s="101"/>
    </row>
    <row r="26" spans="1:3" ht="12.75">
      <c r="A26" s="101"/>
      <c r="B26" s="101"/>
      <c r="C26" s="101"/>
    </row>
    <row r="27" spans="1:3" ht="12.75">
      <c r="A27" s="233" t="s">
        <v>1024</v>
      </c>
      <c r="B27" s="233"/>
      <c r="C27" s="101"/>
    </row>
    <row r="28" spans="1:3" ht="12.75">
      <c r="A28" s="233" t="s">
        <v>420</v>
      </c>
      <c r="B28" s="233"/>
      <c r="C28" s="101"/>
    </row>
    <row r="29" spans="1:3" ht="12.75">
      <c r="A29" s="233" t="s">
        <v>421</v>
      </c>
      <c r="B29" s="233"/>
      <c r="C29" s="101"/>
    </row>
    <row r="30" spans="1:3" ht="12.75">
      <c r="A30" s="233"/>
      <c r="B30" s="233"/>
      <c r="C30" s="101"/>
    </row>
    <row r="31" spans="1:3" ht="12.75">
      <c r="A31" s="233" t="s">
        <v>422</v>
      </c>
      <c r="B31" s="233"/>
      <c r="C31" s="101"/>
    </row>
    <row r="32" spans="1:3" ht="12.75">
      <c r="A32" s="233" t="s">
        <v>423</v>
      </c>
      <c r="B32" s="233"/>
      <c r="C32" s="101"/>
    </row>
    <row r="33" spans="1:3" ht="12.75">
      <c r="A33" s="233" t="s">
        <v>424</v>
      </c>
      <c r="B33" s="233"/>
      <c r="C33" s="101"/>
    </row>
    <row r="34" spans="1:3" ht="12.75">
      <c r="A34" s="233" t="s">
        <v>425</v>
      </c>
      <c r="B34" s="233"/>
      <c r="C34" s="101"/>
    </row>
    <row r="35" spans="1:3" ht="12.75">
      <c r="A35" s="101"/>
      <c r="B35" s="101"/>
      <c r="C35" s="101"/>
    </row>
    <row r="36" spans="1:3" ht="15">
      <c r="A36" s="238" t="s">
        <v>426</v>
      </c>
      <c r="B36" s="101"/>
      <c r="C36" s="101"/>
    </row>
    <row r="37" spans="1:3" ht="12.75">
      <c r="A37" s="239" t="s">
        <v>1025</v>
      </c>
      <c r="B37" s="101"/>
      <c r="C37" s="101"/>
    </row>
    <row r="38" spans="2:7" ht="13.5" thickBot="1">
      <c r="B38" s="1"/>
      <c r="C38" s="1"/>
      <c r="D38" s="1338" t="s">
        <v>1021</v>
      </c>
      <c r="E38" s="1338"/>
      <c r="F38" s="1338"/>
      <c r="G38" s="1"/>
    </row>
    <row r="39" spans="2:7" ht="12.75">
      <c r="B39" s="308" t="s">
        <v>1</v>
      </c>
      <c r="C39" s="308" t="s">
        <v>258</v>
      </c>
      <c r="D39" s="309" t="s">
        <v>259</v>
      </c>
      <c r="E39" s="309" t="s">
        <v>260</v>
      </c>
      <c r="F39" s="309" t="s">
        <v>261</v>
      </c>
      <c r="G39" s="310" t="s">
        <v>259</v>
      </c>
    </row>
    <row r="40" spans="2:7" ht="13.5" thickBot="1">
      <c r="B40" s="311"/>
      <c r="C40" s="311"/>
      <c r="D40" s="321" t="s">
        <v>1026</v>
      </c>
      <c r="E40" s="321" t="s">
        <v>1027</v>
      </c>
      <c r="F40" s="321" t="s">
        <v>1028</v>
      </c>
      <c r="G40" s="322" t="s">
        <v>1029</v>
      </c>
    </row>
    <row r="41" spans="2:7" ht="13.5" thickBot="1">
      <c r="B41" s="135">
        <v>1</v>
      </c>
      <c r="C41" s="208" t="str">
        <f>'A2'!D11</f>
        <v>EURO </v>
      </c>
      <c r="D41" s="208">
        <v>0</v>
      </c>
      <c r="E41" s="208">
        <f>+'A2'!G11</f>
        <v>0</v>
      </c>
      <c r="F41" s="208">
        <f>+'A2'!H11</f>
        <v>0</v>
      </c>
      <c r="G41" s="208">
        <f>+'A2'!I11</f>
        <v>67142.6</v>
      </c>
    </row>
    <row r="42" spans="2:7" ht="13.5" thickBot="1">
      <c r="B42" s="136">
        <v>2</v>
      </c>
      <c r="C42" s="208" t="str">
        <f>'A2'!D17</f>
        <v>LEKE </v>
      </c>
      <c r="D42" s="208">
        <v>0</v>
      </c>
      <c r="E42" s="208">
        <f>+'A2'!G17</f>
        <v>0</v>
      </c>
      <c r="F42" s="208">
        <f>+'A2'!H17</f>
        <v>0</v>
      </c>
      <c r="G42" s="208">
        <f>+'A2'!I17</f>
        <v>5928150.77</v>
      </c>
    </row>
    <row r="43" spans="2:7" ht="12.75">
      <c r="B43" s="136">
        <v>3</v>
      </c>
      <c r="C43" s="208" t="str">
        <f>'A2'!D28</f>
        <v>U S D </v>
      </c>
      <c r="D43" s="208">
        <v>0</v>
      </c>
      <c r="E43" s="208">
        <f>+'A2'!G28</f>
        <v>0</v>
      </c>
      <c r="F43" s="208">
        <f>+'A2'!H28</f>
        <v>0</v>
      </c>
      <c r="G43" s="208">
        <f>+'A2'!I28</f>
        <v>0</v>
      </c>
    </row>
    <row r="44" spans="2:7" ht="12.75">
      <c r="B44" s="136">
        <v>4</v>
      </c>
      <c r="C44" s="590" t="s">
        <v>903</v>
      </c>
      <c r="D44" s="831"/>
      <c r="E44" s="831"/>
      <c r="F44" s="831"/>
      <c r="G44" s="831">
        <f>'A2'!I33</f>
        <v>0</v>
      </c>
    </row>
    <row r="45" spans="2:7" ht="13.5" thickBot="1">
      <c r="B45" s="312"/>
      <c r="C45" s="313" t="s">
        <v>164</v>
      </c>
      <c r="D45" s="313">
        <f>SUM(D41:D44)</f>
        <v>0</v>
      </c>
      <c r="E45" s="313">
        <f>SUM(E41:E44)</f>
        <v>0</v>
      </c>
      <c r="F45" s="313">
        <f>SUM(F41:F44)</f>
        <v>0</v>
      </c>
      <c r="G45" s="313">
        <f>SUM(G41:G44)</f>
        <v>5995293.369999999</v>
      </c>
    </row>
    <row r="46" spans="2:7" ht="13.5" thickBot="1">
      <c r="B46" s="134"/>
      <c r="C46" s="134"/>
      <c r="D46" s="134"/>
      <c r="E46" s="134"/>
      <c r="F46" s="134"/>
      <c r="G46" s="134"/>
    </row>
    <row r="47" spans="2:7" ht="13.5" thickBot="1">
      <c r="B47" s="134"/>
      <c r="C47" s="140" t="s">
        <v>1022</v>
      </c>
      <c r="D47" s="134"/>
      <c r="E47" s="134"/>
      <c r="F47" s="134"/>
      <c r="G47" s="314">
        <v>1</v>
      </c>
    </row>
    <row r="48" spans="2:7" ht="13.5" thickBot="1">
      <c r="B48" s="134"/>
      <c r="C48" s="134"/>
      <c r="D48" s="134"/>
      <c r="E48" s="134"/>
      <c r="F48" s="134"/>
      <c r="G48" s="134"/>
    </row>
    <row r="49" spans="2:7" ht="13.5" thickBot="1">
      <c r="B49" s="134"/>
      <c r="C49" s="140" t="s">
        <v>1030</v>
      </c>
      <c r="D49" s="134"/>
      <c r="E49" s="134"/>
      <c r="F49" s="134"/>
      <c r="G49" s="315">
        <f>G45*G47</f>
        <v>5995293.369999999</v>
      </c>
    </row>
    <row r="50" spans="2:7" ht="12.75">
      <c r="B50" s="134"/>
      <c r="C50" s="134"/>
      <c r="D50" s="134"/>
      <c r="E50" s="134"/>
      <c r="F50" s="134"/>
      <c r="G50" s="134"/>
    </row>
    <row r="51" spans="2:7" ht="12.75">
      <c r="B51" s="212"/>
      <c r="C51" s="212"/>
      <c r="D51" s="316"/>
      <c r="E51" s="316"/>
      <c r="F51" s="316"/>
      <c r="G51" s="316"/>
    </row>
    <row r="52" spans="2:7" ht="12.75">
      <c r="B52" s="138"/>
      <c r="C52" s="138" t="s">
        <v>262</v>
      </c>
      <c r="D52" s="138"/>
      <c r="E52" s="138"/>
      <c r="F52" s="138"/>
      <c r="G52" s="138">
        <f>G49</f>
        <v>5995293.369999999</v>
      </c>
    </row>
    <row r="53" spans="1:4" ht="12.75">
      <c r="A53" s="101"/>
      <c r="B53" s="101"/>
      <c r="C53" s="101"/>
      <c r="D53" s="101"/>
    </row>
    <row r="54" spans="1:4" ht="12.75">
      <c r="A54" s="239" t="s">
        <v>427</v>
      </c>
      <c r="B54" s="101"/>
      <c r="C54" s="323">
        <f>'AKTIVI '!E8</f>
        <v>0</v>
      </c>
      <c r="D54" s="101"/>
    </row>
    <row r="55" spans="1:4" ht="12.75">
      <c r="A55" s="239" t="s">
        <v>428</v>
      </c>
      <c r="B55" s="101"/>
      <c r="C55" s="101"/>
      <c r="D55" s="101"/>
    </row>
    <row r="56" spans="1:4" ht="12.75">
      <c r="A56" s="233" t="s">
        <v>429</v>
      </c>
      <c r="B56" s="233"/>
      <c r="C56" s="101"/>
      <c r="D56" s="101"/>
    </row>
    <row r="57" spans="1:4" ht="13.5" thickBot="1">
      <c r="A57" s="233" t="s">
        <v>430</v>
      </c>
      <c r="B57" s="233"/>
      <c r="C57" s="101"/>
      <c r="D57" s="101"/>
    </row>
    <row r="58" spans="2:8" ht="12.75">
      <c r="B58" s="1339" t="s">
        <v>199</v>
      </c>
      <c r="C58" s="1341" t="s">
        <v>390</v>
      </c>
      <c r="D58" s="1341">
        <v>2011</v>
      </c>
      <c r="E58" s="1341" t="s">
        <v>402</v>
      </c>
      <c r="F58" s="1341" t="s">
        <v>400</v>
      </c>
      <c r="G58" s="1341" t="s">
        <v>403</v>
      </c>
      <c r="H58" s="1345" t="s">
        <v>1031</v>
      </c>
    </row>
    <row r="59" spans="2:8" ht="13.5" thickBot="1">
      <c r="B59" s="1340"/>
      <c r="C59" s="1342"/>
      <c r="D59" s="1342"/>
      <c r="E59" s="1342"/>
      <c r="F59" s="1342"/>
      <c r="G59" s="1342"/>
      <c r="H59" s="1346"/>
    </row>
    <row r="60" spans="2:8" ht="13.5" thickBot="1">
      <c r="B60" s="317">
        <v>1</v>
      </c>
      <c r="C60" s="318" t="str">
        <f>+'C1'!C10</f>
        <v>Kase   etj </v>
      </c>
      <c r="D60" s="318">
        <f>+'C1'!D10</f>
        <v>0</v>
      </c>
      <c r="E60" s="318">
        <f>+'C1'!E10</f>
        <v>0</v>
      </c>
      <c r="F60" s="318">
        <f>+'C1'!F10</f>
        <v>0</v>
      </c>
      <c r="G60" s="318">
        <f>+'C1'!G10</f>
        <v>0</v>
      </c>
      <c r="H60" s="318">
        <f>+'C1'!H10</f>
        <v>0</v>
      </c>
    </row>
    <row r="61" spans="2:8" ht="13.5" thickBot="1">
      <c r="B61" s="319">
        <v>2</v>
      </c>
      <c r="C61" s="318" t="str">
        <f>+'C1'!C11</f>
        <v>AMANTIA ANTICA</v>
      </c>
      <c r="D61" s="318">
        <f>+'C1'!D11</f>
        <v>0</v>
      </c>
      <c r="E61" s="318">
        <f>+'C1'!E11</f>
        <v>2198153</v>
      </c>
      <c r="F61" s="318">
        <f>+'C1'!F11</f>
        <v>1858444</v>
      </c>
      <c r="G61" s="318">
        <f>+'C1'!G11</f>
        <v>339709</v>
      </c>
      <c r="H61" s="318">
        <f>+'C1'!H11</f>
        <v>0</v>
      </c>
    </row>
    <row r="62" spans="2:8" ht="13.5" thickBot="1">
      <c r="B62" s="317">
        <v>3</v>
      </c>
      <c r="C62" s="318" t="str">
        <f>+'C1'!C12</f>
        <v>ABCOM</v>
      </c>
      <c r="D62" s="318">
        <f>+'C1'!D12</f>
        <v>0</v>
      </c>
      <c r="E62" s="318">
        <f>+'C1'!E12</f>
        <v>1864084</v>
      </c>
      <c r="F62" s="318">
        <f>+'C1'!F12</f>
        <v>1701955</v>
      </c>
      <c r="G62" s="318">
        <f>+'C1'!G12</f>
        <v>162129</v>
      </c>
      <c r="H62" s="318">
        <f>+'C1'!H12</f>
        <v>0</v>
      </c>
    </row>
    <row r="63" spans="2:8" ht="13.5" thickBot="1">
      <c r="B63" s="319">
        <v>4</v>
      </c>
      <c r="C63" s="318" t="str">
        <f>+'C1'!C13</f>
        <v>ACREM</v>
      </c>
      <c r="D63" s="318">
        <f>+'C1'!D13</f>
        <v>0</v>
      </c>
      <c r="E63" s="318">
        <f>+'C1'!E13</f>
        <v>277000</v>
      </c>
      <c r="F63" s="318">
        <f>+'C1'!F13</f>
        <v>277000</v>
      </c>
      <c r="G63" s="318">
        <f>+'C1'!G13</f>
        <v>0</v>
      </c>
      <c r="H63" s="318">
        <f>+'C1'!H13</f>
        <v>0</v>
      </c>
    </row>
    <row r="64" spans="2:8" ht="13.5" thickBot="1">
      <c r="B64" s="317">
        <v>5</v>
      </c>
      <c r="C64" s="318" t="str">
        <f>+'C1'!C14</f>
        <v>AES</v>
      </c>
      <c r="D64" s="318">
        <f>+'C1'!D14</f>
        <v>0</v>
      </c>
      <c r="E64" s="318">
        <f>+'C1'!E14</f>
        <v>11160</v>
      </c>
      <c r="F64" s="318">
        <f>+'C1'!F14</f>
        <v>11160</v>
      </c>
      <c r="G64" s="318">
        <f>+'C1'!G14</f>
        <v>0</v>
      </c>
      <c r="H64" s="318">
        <f>+'C1'!H14</f>
        <v>0</v>
      </c>
    </row>
    <row r="65" spans="2:8" ht="13.5" thickBot="1">
      <c r="B65" s="319">
        <v>6</v>
      </c>
      <c r="C65" s="318" t="str">
        <f>+'C1'!C15</f>
        <v>ARMEER KONSTR</v>
      </c>
      <c r="D65" s="318">
        <f>+'C1'!D15</f>
        <v>0</v>
      </c>
      <c r="E65" s="318">
        <f>+'C1'!E15</f>
        <v>800318.64</v>
      </c>
      <c r="F65" s="318">
        <f>+'C1'!F15</f>
        <v>800318.64</v>
      </c>
      <c r="G65" s="318">
        <f>+'C1'!G15</f>
        <v>0</v>
      </c>
      <c r="H65" s="318">
        <f>+'C1'!H15</f>
        <v>0</v>
      </c>
    </row>
    <row r="66" spans="2:8" ht="13.5" thickBot="1">
      <c r="B66" s="317">
        <v>7</v>
      </c>
      <c r="C66" s="318" t="str">
        <f>+'C1'!C16</f>
        <v>ALIRAJ</v>
      </c>
      <c r="D66" s="318">
        <f>+'C1'!D16</f>
        <v>0</v>
      </c>
      <c r="E66" s="318">
        <f>+'C1'!E16</f>
        <v>18000</v>
      </c>
      <c r="F66" s="318">
        <f>+'C1'!F16</f>
        <v>18000</v>
      </c>
      <c r="G66" s="318">
        <f>+'C1'!G16</f>
        <v>0</v>
      </c>
      <c r="H66" s="318">
        <f>+'C1'!H16</f>
        <v>0</v>
      </c>
    </row>
    <row r="67" spans="2:8" ht="13.5" thickBot="1">
      <c r="B67" s="319">
        <v>8</v>
      </c>
      <c r="C67" s="318" t="str">
        <f>+'C1'!C17</f>
        <v>ALBSIGURACION</v>
      </c>
      <c r="D67" s="318">
        <f>+'C1'!D17</f>
        <v>0</v>
      </c>
      <c r="E67" s="318">
        <f>+'C1'!E17</f>
        <v>64500</v>
      </c>
      <c r="F67" s="318">
        <f>+'C1'!F17</f>
        <v>64500</v>
      </c>
      <c r="G67" s="318">
        <f>+'C1'!G17</f>
        <v>0</v>
      </c>
      <c r="H67" s="318">
        <f>+'C1'!H17</f>
        <v>0</v>
      </c>
    </row>
    <row r="68" spans="2:8" ht="13.5" thickBot="1">
      <c r="B68" s="317">
        <v>9</v>
      </c>
      <c r="C68" s="318" t="str">
        <f>+'C1'!C18</f>
        <v>ANDI</v>
      </c>
      <c r="D68" s="318">
        <f>+'C1'!D18</f>
        <v>0</v>
      </c>
      <c r="E68" s="318">
        <f>+'C1'!E18</f>
        <v>187000</v>
      </c>
      <c r="F68" s="318">
        <f>+'C1'!F18</f>
        <v>187000</v>
      </c>
      <c r="G68" s="318">
        <f>+'C1'!G18</f>
        <v>0</v>
      </c>
      <c r="H68" s="318">
        <f>+'C1'!H18</f>
        <v>0</v>
      </c>
    </row>
    <row r="69" spans="2:8" ht="13.5" thickBot="1">
      <c r="B69" s="319">
        <v>10</v>
      </c>
      <c r="C69" s="318" t="str">
        <f>+'C1'!C19</f>
        <v>ALB-SALE-VLORA</v>
      </c>
      <c r="D69" s="318">
        <f>+'C1'!D19</f>
        <v>0</v>
      </c>
      <c r="E69" s="318">
        <f>+'C1'!E19</f>
        <v>180000</v>
      </c>
      <c r="F69" s="318">
        <f>+'C1'!F19</f>
        <v>180000</v>
      </c>
      <c r="G69" s="318">
        <f>+'C1'!G19</f>
        <v>0</v>
      </c>
      <c r="H69" s="318">
        <f>+'C1'!H19</f>
        <v>0</v>
      </c>
    </row>
    <row r="70" spans="2:8" ht="13.5" thickBot="1">
      <c r="B70" s="317">
        <v>11</v>
      </c>
      <c r="C70" s="318" t="str">
        <f>+'C1'!C20</f>
        <v>AZA ELEKTRONIK</v>
      </c>
      <c r="D70" s="318">
        <f>+'C1'!D20</f>
        <v>0</v>
      </c>
      <c r="E70" s="318">
        <f>+'C1'!E20</f>
        <v>10944875</v>
      </c>
      <c r="F70" s="318">
        <f>+'C1'!F20</f>
        <v>9835493</v>
      </c>
      <c r="G70" s="318">
        <f>+'C1'!G20</f>
        <v>1109382</v>
      </c>
      <c r="H70" s="318">
        <f>+'C1'!H20</f>
        <v>0</v>
      </c>
    </row>
    <row r="71" spans="2:8" ht="13.5" thickBot="1">
      <c r="B71" s="319">
        <v>12</v>
      </c>
      <c r="C71" s="318" t="str">
        <f>+'C1'!C21</f>
        <v>BASHA</v>
      </c>
      <c r="D71" s="318">
        <f>+'C1'!D21</f>
        <v>0</v>
      </c>
      <c r="E71" s="318">
        <f>+'C1'!E21</f>
        <v>1197014</v>
      </c>
      <c r="F71" s="318">
        <f>+'C1'!F21</f>
        <v>1197014</v>
      </c>
      <c r="G71" s="318">
        <f>+'C1'!G21</f>
        <v>0</v>
      </c>
      <c r="H71" s="318">
        <f>+'C1'!H21</f>
        <v>0</v>
      </c>
    </row>
    <row r="72" spans="2:8" ht="13.5" thickBot="1">
      <c r="B72" s="317">
        <v>13</v>
      </c>
      <c r="C72" s="318" t="str">
        <f>+'C1'!C22</f>
        <v>BKT</v>
      </c>
      <c r="D72" s="318">
        <f>+'C1'!D22</f>
        <v>0</v>
      </c>
      <c r="E72" s="318">
        <f>+'C1'!E22</f>
        <v>506470</v>
      </c>
      <c r="F72" s="318">
        <f>+'C1'!F22</f>
        <v>506470</v>
      </c>
      <c r="G72" s="318">
        <f>+'C1'!G22</f>
        <v>0</v>
      </c>
      <c r="H72" s="318">
        <f>+'C1'!H22</f>
        <v>0</v>
      </c>
    </row>
    <row r="73" spans="2:8" ht="13.5" thickBot="1">
      <c r="B73" s="319">
        <v>14</v>
      </c>
      <c r="C73" s="318" t="str">
        <f>+'C1'!C23</f>
        <v>BOLV-OIL</v>
      </c>
      <c r="D73" s="318">
        <f>+'C1'!D23</f>
        <v>0</v>
      </c>
      <c r="E73" s="318">
        <f>+'C1'!E23</f>
        <v>8839842</v>
      </c>
      <c r="F73" s="318">
        <f>+'C1'!F23</f>
        <v>8839842</v>
      </c>
      <c r="G73" s="318">
        <f>+'C1'!G23</f>
        <v>0</v>
      </c>
      <c r="H73" s="318">
        <f>+'C1'!H23</f>
        <v>0</v>
      </c>
    </row>
    <row r="74" spans="2:8" ht="13.5" thickBot="1">
      <c r="B74" s="317">
        <v>15</v>
      </c>
      <c r="C74" s="318" t="str">
        <f>+'C1'!C24</f>
        <v>BANKA POPULLORE</v>
      </c>
      <c r="D74" s="318">
        <f>+'C1'!D24</f>
        <v>0</v>
      </c>
      <c r="E74" s="318">
        <f>+'C1'!E24</f>
        <v>540100</v>
      </c>
      <c r="F74" s="318">
        <f>+'C1'!F24</f>
        <v>540100</v>
      </c>
      <c r="G74" s="318">
        <f>+'C1'!G24</f>
        <v>0</v>
      </c>
      <c r="H74" s="318">
        <f>+'C1'!H24</f>
        <v>0</v>
      </c>
    </row>
    <row r="75" spans="2:8" ht="13.5" thickBot="1">
      <c r="B75" s="319">
        <v>16</v>
      </c>
      <c r="C75" s="318" t="str">
        <f>+'C1'!C25</f>
        <v>BULLA</v>
      </c>
      <c r="D75" s="318">
        <f>+'C1'!D25</f>
        <v>0</v>
      </c>
      <c r="E75" s="318">
        <f>+'C1'!E25</f>
        <v>199339</v>
      </c>
      <c r="F75" s="318">
        <f>+'C1'!F25</f>
        <v>199339</v>
      </c>
      <c r="G75" s="318">
        <f>+'C1'!G25</f>
        <v>0</v>
      </c>
      <c r="H75" s="318">
        <f>+'C1'!H25</f>
        <v>0</v>
      </c>
    </row>
    <row r="76" spans="2:8" ht="13.5" thickBot="1">
      <c r="B76" s="317">
        <v>17</v>
      </c>
      <c r="C76" s="318" t="str">
        <f>+'C1'!C26</f>
        <v>COBAJ 90</v>
      </c>
      <c r="D76" s="318">
        <f>+'C1'!D26</f>
        <v>0</v>
      </c>
      <c r="E76" s="318">
        <f>+'C1'!E26</f>
        <v>738650</v>
      </c>
      <c r="F76" s="318">
        <f>+'C1'!F26</f>
        <v>0</v>
      </c>
      <c r="G76" s="318">
        <f>+'C1'!G26</f>
        <v>738650</v>
      </c>
      <c r="H76" s="318">
        <f>+'C1'!H26</f>
        <v>0</v>
      </c>
    </row>
    <row r="77" spans="2:8" ht="13.5" thickBot="1">
      <c r="B77" s="319">
        <v>18</v>
      </c>
      <c r="C77" s="318" t="str">
        <f>+'C1'!C27</f>
        <v>CANAJ</v>
      </c>
      <c r="D77" s="318">
        <f>+'C1'!D27</f>
        <v>0</v>
      </c>
      <c r="E77" s="318">
        <f>+'C1'!E27</f>
        <v>600000</v>
      </c>
      <c r="F77" s="318">
        <f>+'C1'!F27</f>
        <v>600000</v>
      </c>
      <c r="G77" s="318">
        <f>+'C1'!G27</f>
        <v>0</v>
      </c>
      <c r="H77" s="318">
        <f>+'C1'!H27</f>
        <v>0</v>
      </c>
    </row>
    <row r="78" spans="2:8" ht="13.5" thickBot="1">
      <c r="B78" s="317">
        <v>19</v>
      </c>
      <c r="C78" s="318" t="str">
        <f>+'C1'!C28</f>
        <v>CEKA</v>
      </c>
      <c r="D78" s="318">
        <f>+'C1'!D28</f>
        <v>0</v>
      </c>
      <c r="E78" s="318">
        <f>+'C1'!E28</f>
        <v>374000</v>
      </c>
      <c r="F78" s="318">
        <f>+'C1'!F28</f>
        <v>374000</v>
      </c>
      <c r="G78" s="318">
        <f>+'C1'!G28</f>
        <v>0</v>
      </c>
      <c r="H78" s="318">
        <f>+'C1'!H28</f>
        <v>0</v>
      </c>
    </row>
    <row r="79" spans="2:8" ht="13.5" thickBot="1">
      <c r="B79" s="319">
        <v>20</v>
      </c>
      <c r="C79" s="318" t="str">
        <f>+'C1'!C29</f>
        <v>COBEIN</v>
      </c>
      <c r="D79" s="318">
        <f>+'C1'!D29</f>
        <v>0</v>
      </c>
      <c r="E79" s="318">
        <f>+'C1'!E29</f>
        <v>1252000</v>
      </c>
      <c r="F79" s="318">
        <f>+'C1'!F29</f>
        <v>1252000</v>
      </c>
      <c r="G79" s="318">
        <f>+'C1'!G29</f>
        <v>0</v>
      </c>
      <c r="H79" s="318">
        <f>+'C1'!H29</f>
        <v>0</v>
      </c>
    </row>
    <row r="80" spans="2:8" ht="13.5" thickBot="1">
      <c r="B80" s="317">
        <v>21</v>
      </c>
      <c r="C80" s="318" t="str">
        <f>+'C1'!C30</f>
        <v>DEKA COMANY</v>
      </c>
      <c r="D80" s="318">
        <f>+'C1'!D30</f>
        <v>0</v>
      </c>
      <c r="E80" s="318">
        <f>+'C1'!E30</f>
        <v>206800</v>
      </c>
      <c r="F80" s="318">
        <f>+'C1'!F30</f>
        <v>206800</v>
      </c>
      <c r="G80" s="318">
        <f>+'C1'!G30</f>
        <v>0</v>
      </c>
      <c r="H80" s="318">
        <f>+'C1'!H30</f>
        <v>0</v>
      </c>
    </row>
    <row r="81" spans="2:8" ht="13.5" thickBot="1">
      <c r="B81" s="319">
        <v>22</v>
      </c>
      <c r="C81" s="318" t="str">
        <f>+'C1'!C31</f>
        <v>DHOMA E TREGETSIE</v>
      </c>
      <c r="D81" s="318">
        <f>+'C1'!D31</f>
        <v>0</v>
      </c>
      <c r="E81" s="318">
        <f>+'C1'!E31</f>
        <v>78589</v>
      </c>
      <c r="F81" s="318">
        <f>+'C1'!F31</f>
        <v>78589</v>
      </c>
      <c r="G81" s="318">
        <f>+'C1'!G31</f>
        <v>0</v>
      </c>
      <c r="H81" s="318">
        <f>+'C1'!H31</f>
        <v>0</v>
      </c>
    </row>
    <row r="82" spans="2:8" ht="13.5" thickBot="1">
      <c r="B82" s="317">
        <v>23</v>
      </c>
      <c r="C82" s="318" t="str">
        <f>+'C1'!C32</f>
        <v>DIS</v>
      </c>
      <c r="D82" s="318">
        <f>+'C1'!D32</f>
        <v>0</v>
      </c>
      <c r="E82" s="318">
        <f>+'C1'!E32</f>
        <v>243100</v>
      </c>
      <c r="F82" s="318">
        <f>+'C1'!F32</f>
        <v>243100</v>
      </c>
      <c r="G82" s="318">
        <f>+'C1'!G32</f>
        <v>0</v>
      </c>
      <c r="H82" s="318">
        <f>+'C1'!H32</f>
        <v>0</v>
      </c>
    </row>
    <row r="83" spans="2:8" ht="13.5" thickBot="1">
      <c r="B83" s="319">
        <v>24</v>
      </c>
      <c r="C83" s="318" t="str">
        <f>+'C1'!C33</f>
        <v>REZERVAT E SHTETIT</v>
      </c>
      <c r="D83" s="318">
        <f>+'C1'!D33</f>
        <v>0</v>
      </c>
      <c r="E83" s="318">
        <f>+'C1'!E33</f>
        <v>18600</v>
      </c>
      <c r="F83" s="318">
        <f>+'C1'!F33</f>
        <v>18600</v>
      </c>
      <c r="G83" s="318">
        <f>+'C1'!G33</f>
        <v>0</v>
      </c>
      <c r="H83" s="318">
        <f>+'C1'!H33</f>
        <v>0</v>
      </c>
    </row>
    <row r="84" spans="2:8" ht="13.5" thickBot="1">
      <c r="B84" s="317">
        <v>25</v>
      </c>
      <c r="C84" s="318" t="str">
        <f>+'C1'!C34</f>
        <v>DEGA E THESARIT</v>
      </c>
      <c r="D84" s="318">
        <f>+'C1'!D34</f>
        <v>0</v>
      </c>
      <c r="E84" s="318">
        <f>+'C1'!E34</f>
        <v>169399</v>
      </c>
      <c r="F84" s="318">
        <f>+'C1'!F34</f>
        <v>169399</v>
      </c>
      <c r="G84" s="318">
        <f>+'C1'!G34</f>
        <v>0</v>
      </c>
      <c r="H84" s="318">
        <f>+'C1'!H34</f>
        <v>0</v>
      </c>
    </row>
    <row r="85" spans="2:8" ht="13.5" thickBot="1">
      <c r="B85" s="319">
        <v>26</v>
      </c>
      <c r="C85" s="318" t="str">
        <f>+'C1'!C35</f>
        <v>DUKA</v>
      </c>
      <c r="D85" s="318">
        <f>+'C1'!D35</f>
        <v>0</v>
      </c>
      <c r="E85" s="318">
        <f>+'C1'!E35</f>
        <v>1426811</v>
      </c>
      <c r="F85" s="318">
        <f>+'C1'!F35</f>
        <v>0</v>
      </c>
      <c r="G85" s="318">
        <f>+'C1'!G35</f>
        <v>1426811</v>
      </c>
      <c r="H85" s="318">
        <f>+'C1'!H35</f>
        <v>0</v>
      </c>
    </row>
    <row r="86" spans="2:8" ht="13.5" thickBot="1">
      <c r="B86" s="317">
        <v>27</v>
      </c>
      <c r="C86" s="318" t="str">
        <f>+'C1'!C36</f>
        <v>EDEN</v>
      </c>
      <c r="D86" s="318">
        <f>+'C1'!D36</f>
        <v>0</v>
      </c>
      <c r="E86" s="318">
        <f>+'C1'!E36</f>
        <v>428389</v>
      </c>
      <c r="F86" s="318">
        <f>+'C1'!F36</f>
        <v>428389</v>
      </c>
      <c r="G86" s="318">
        <f>+'C1'!G36</f>
        <v>0</v>
      </c>
      <c r="H86" s="318">
        <f>+'C1'!H36</f>
        <v>0</v>
      </c>
    </row>
    <row r="87" spans="2:8" ht="13.5" thickBot="1">
      <c r="B87" s="319">
        <v>28</v>
      </c>
      <c r="C87" s="318" t="str">
        <f>+'C1'!C37</f>
        <v>ELIT</v>
      </c>
      <c r="D87" s="318">
        <f>+'C1'!D37</f>
        <v>0</v>
      </c>
      <c r="E87" s="318">
        <f>+'C1'!E37</f>
        <v>351279</v>
      </c>
      <c r="F87" s="318">
        <f>+'C1'!F37</f>
        <v>351279</v>
      </c>
      <c r="G87" s="318">
        <f>+'C1'!G37</f>
        <v>0</v>
      </c>
      <c r="H87" s="318">
        <f>+'C1'!H37</f>
        <v>0</v>
      </c>
    </row>
    <row r="88" spans="2:8" ht="13.5" thickBot="1">
      <c r="B88" s="317">
        <v>29</v>
      </c>
      <c r="C88" s="318" t="str">
        <f>+'C1'!C38</f>
        <v>ENY</v>
      </c>
      <c r="D88" s="318">
        <f>+'C1'!D38</f>
        <v>0</v>
      </c>
      <c r="E88" s="318">
        <f>+'C1'!E38</f>
        <v>277012</v>
      </c>
      <c r="F88" s="318">
        <f>+'C1'!F38</f>
        <v>262800</v>
      </c>
      <c r="G88" s="318">
        <f>+'C1'!G38</f>
        <v>14212</v>
      </c>
      <c r="H88" s="318">
        <f>+'C1'!H38</f>
        <v>0</v>
      </c>
    </row>
    <row r="89" spans="2:8" ht="13.5" thickBot="1">
      <c r="B89" s="319">
        <v>30</v>
      </c>
      <c r="C89" s="318" t="str">
        <f>+'C1'!C39</f>
        <v>EURO-PRFIL</v>
      </c>
      <c r="D89" s="318">
        <f>+'C1'!D39</f>
        <v>0</v>
      </c>
      <c r="E89" s="318">
        <f>+'C1'!E39</f>
        <v>14340</v>
      </c>
      <c r="F89" s="318">
        <f>+'C1'!F39</f>
        <v>14340</v>
      </c>
      <c r="G89" s="318">
        <f>+'C1'!G39</f>
        <v>0</v>
      </c>
      <c r="H89" s="318">
        <f>+'C1'!H39</f>
        <v>0</v>
      </c>
    </row>
    <row r="90" spans="2:8" ht="13.5" thickBot="1">
      <c r="B90" s="317">
        <v>31</v>
      </c>
      <c r="C90" s="318" t="str">
        <f>+'C1'!C40</f>
        <v>FAED</v>
      </c>
      <c r="D90" s="318">
        <f>+'C1'!D40</f>
        <v>0</v>
      </c>
      <c r="E90" s="318">
        <f>+'C1'!E40</f>
        <v>1157022</v>
      </c>
      <c r="F90" s="318">
        <f>+'C1'!F40</f>
        <v>711061</v>
      </c>
      <c r="G90" s="318">
        <f>+'C1'!G40</f>
        <v>445961</v>
      </c>
      <c r="H90" s="318">
        <f>+'C1'!H40</f>
        <v>0</v>
      </c>
    </row>
    <row r="91" spans="2:8" ht="13.5" thickBot="1">
      <c r="B91" s="319">
        <v>32</v>
      </c>
      <c r="C91" s="318" t="str">
        <f>+'C1'!C41</f>
        <v>FUTBOLL CLUB FLAMURTARI</v>
      </c>
      <c r="D91" s="318">
        <f>+'C1'!D41</f>
        <v>0</v>
      </c>
      <c r="E91" s="318">
        <f>+'C1'!E41</f>
        <v>1658769</v>
      </c>
      <c r="F91" s="318">
        <f>+'C1'!F41</f>
        <v>1416714</v>
      </c>
      <c r="G91" s="318">
        <f>+'C1'!G41</f>
        <v>242055</v>
      </c>
      <c r="H91" s="318">
        <f>+'C1'!H41</f>
        <v>0</v>
      </c>
    </row>
    <row r="92" spans="2:8" ht="13.5" thickBot="1">
      <c r="B92" s="317">
        <v>33</v>
      </c>
      <c r="C92" s="318" t="str">
        <f>+'C1'!C42</f>
        <v>GJYKATA E APELIT</v>
      </c>
      <c r="D92" s="318">
        <f>+'C1'!D42</f>
        <v>0</v>
      </c>
      <c r="E92" s="318">
        <f>+'C1'!E42</f>
        <v>343879</v>
      </c>
      <c r="F92" s="318">
        <f>+'C1'!F42</f>
        <v>343879</v>
      </c>
      <c r="G92" s="318">
        <f>+'C1'!G42</f>
        <v>0</v>
      </c>
      <c r="H92" s="318">
        <f>+'C1'!H42</f>
        <v>0</v>
      </c>
    </row>
    <row r="93" spans="2:8" ht="13.5" thickBot="1">
      <c r="B93" s="319">
        <v>34</v>
      </c>
      <c r="C93" s="318" t="str">
        <f>+'C1'!C43</f>
        <v>GALE</v>
      </c>
      <c r="D93" s="318">
        <f>+'C1'!D43</f>
        <v>0</v>
      </c>
      <c r="E93" s="318">
        <f>+'C1'!E43</f>
        <v>2745999</v>
      </c>
      <c r="F93" s="318">
        <f>+'C1'!F43</f>
        <v>2745999</v>
      </c>
      <c r="G93" s="318">
        <f>+'C1'!G43</f>
        <v>0</v>
      </c>
      <c r="H93" s="318">
        <f>+'C1'!H43</f>
        <v>0</v>
      </c>
    </row>
    <row r="94" spans="2:8" ht="13.5" thickBot="1">
      <c r="B94" s="317">
        <v>35</v>
      </c>
      <c r="C94" s="318" t="str">
        <f>+'C1'!C44</f>
        <v>GJYKATA E RRETHIT</v>
      </c>
      <c r="D94" s="318">
        <f>+'C1'!D44</f>
        <v>0</v>
      </c>
      <c r="E94" s="318">
        <f>+'C1'!E44</f>
        <v>1578913</v>
      </c>
      <c r="F94" s="318">
        <f>+'C1'!F44</f>
        <v>1578913</v>
      </c>
      <c r="G94" s="318">
        <f>+'C1'!G44</f>
        <v>0</v>
      </c>
      <c r="H94" s="318">
        <f>+'C1'!H44</f>
        <v>0</v>
      </c>
    </row>
    <row r="95" spans="2:8" ht="13.5" thickBot="1">
      <c r="B95" s="319">
        <v>36</v>
      </c>
      <c r="C95" s="318" t="str">
        <f>+'C1'!C45</f>
        <v>HANXHARI</v>
      </c>
      <c r="D95" s="318">
        <f>+'C1'!D45</f>
        <v>0</v>
      </c>
      <c r="E95" s="318">
        <f>+'C1'!E45</f>
        <v>1235745</v>
      </c>
      <c r="F95" s="318">
        <f>+'C1'!F45</f>
        <v>687225</v>
      </c>
      <c r="G95" s="318">
        <f>+'C1'!G45</f>
        <v>548520</v>
      </c>
      <c r="H95" s="318">
        <f>+'C1'!H45</f>
        <v>0</v>
      </c>
    </row>
    <row r="96" spans="2:8" ht="13.5" thickBot="1">
      <c r="B96" s="317">
        <v>37</v>
      </c>
      <c r="C96" s="318" t="str">
        <f>+'C1'!C46</f>
        <v>SHKOLLA JOPUBLIKE HORIZONTI</v>
      </c>
      <c r="D96" s="318">
        <f>+'C1'!D46</f>
        <v>0</v>
      </c>
      <c r="E96" s="318">
        <f>+'C1'!E46</f>
        <v>68554</v>
      </c>
      <c r="F96" s="318">
        <f>+'C1'!F46</f>
        <v>68554</v>
      </c>
      <c r="G96" s="318">
        <f>+'C1'!G46</f>
        <v>0</v>
      </c>
      <c r="H96" s="318">
        <f>+'C1'!H46</f>
        <v>0</v>
      </c>
    </row>
    <row r="97" spans="2:8" ht="13.5" thickBot="1">
      <c r="B97" s="319">
        <v>38</v>
      </c>
      <c r="C97" s="318" t="str">
        <f>+'C1'!C47</f>
        <v>HEKTOR SINAJ</v>
      </c>
      <c r="D97" s="318">
        <f>+'C1'!D47</f>
        <v>0</v>
      </c>
      <c r="E97" s="318">
        <f>+'C1'!E47</f>
        <v>250500</v>
      </c>
      <c r="F97" s="318">
        <f>+'C1'!F47</f>
        <v>250500</v>
      </c>
      <c r="G97" s="318">
        <f>+'C1'!G47</f>
        <v>0</v>
      </c>
      <c r="H97" s="318">
        <f>+'C1'!H47</f>
        <v>0</v>
      </c>
    </row>
    <row r="98" spans="2:8" ht="13.5" thickBot="1">
      <c r="B98" s="317">
        <v>39</v>
      </c>
      <c r="C98" s="318" t="str">
        <f>+'C1'!C48</f>
        <v>IDNER</v>
      </c>
      <c r="D98" s="318">
        <f>+'C1'!D48</f>
        <v>0</v>
      </c>
      <c r="E98" s="318">
        <f>+'C1'!E48</f>
        <v>934999</v>
      </c>
      <c r="F98" s="318">
        <f>+'C1'!F48</f>
        <v>934999</v>
      </c>
      <c r="G98" s="318">
        <f>+'C1'!G48</f>
        <v>0</v>
      </c>
      <c r="H98" s="318">
        <f>+'C1'!H48</f>
        <v>0</v>
      </c>
    </row>
    <row r="99" spans="2:8" ht="13.5" thickBot="1">
      <c r="B99" s="319">
        <v>40</v>
      </c>
      <c r="C99" s="318" t="str">
        <f>+'C1'!C49</f>
        <v>JON ALBA FLORES</v>
      </c>
      <c r="D99" s="318">
        <f>+'C1'!D49</f>
        <v>0</v>
      </c>
      <c r="E99" s="318">
        <f>+'C1'!E49</f>
        <v>2821037</v>
      </c>
      <c r="F99" s="318">
        <f>+'C1'!F49</f>
        <v>2821037</v>
      </c>
      <c r="G99" s="318">
        <f>+'C1'!G49</f>
        <v>0</v>
      </c>
      <c r="H99" s="318">
        <f>+'C1'!H49</f>
        <v>0</v>
      </c>
    </row>
    <row r="100" spans="2:8" ht="13.5" thickBot="1">
      <c r="B100" s="317">
        <v>41</v>
      </c>
      <c r="C100" s="318" t="str">
        <f>+'C1'!C50</f>
        <v>K,E.J</v>
      </c>
      <c r="D100" s="318">
        <f>+'C1'!D50</f>
        <v>0</v>
      </c>
      <c r="E100" s="318">
        <f>+'C1'!E50</f>
        <v>40000</v>
      </c>
      <c r="F100" s="318">
        <f>+'C1'!F50</f>
        <v>40000</v>
      </c>
      <c r="G100" s="318">
        <f>+'C1'!G50</f>
        <v>0</v>
      </c>
      <c r="H100" s="318">
        <f>+'C1'!H50</f>
        <v>0</v>
      </c>
    </row>
    <row r="101" spans="2:8" ht="13.5" thickBot="1">
      <c r="B101" s="319">
        <v>42</v>
      </c>
      <c r="C101" s="318" t="str">
        <f>+'C1'!C51</f>
        <v>KLIENTET</v>
      </c>
      <c r="D101" s="318">
        <f>+'C1'!D51</f>
        <v>3577824</v>
      </c>
      <c r="E101" s="318">
        <f>+'C1'!E51</f>
        <v>60686495</v>
      </c>
      <c r="F101" s="318">
        <f>+'C1'!F51</f>
        <v>64264319</v>
      </c>
      <c r="G101" s="318">
        <f>+'C1'!G51</f>
        <v>0</v>
      </c>
      <c r="H101" s="318">
        <f>+'C1'!H51</f>
        <v>0</v>
      </c>
    </row>
    <row r="102" spans="2:8" ht="13.5" thickBot="1">
      <c r="B102" s="317">
        <v>43</v>
      </c>
      <c r="C102" s="318" t="str">
        <f>+'C1'!C52</f>
        <v>K&amp;N</v>
      </c>
      <c r="D102" s="318">
        <f>+'C1'!D52</f>
        <v>0</v>
      </c>
      <c r="E102" s="318">
        <f>+'C1'!E52</f>
        <v>330040</v>
      </c>
      <c r="F102" s="318">
        <f>+'C1'!F52</f>
        <v>330040</v>
      </c>
      <c r="G102" s="318">
        <f>+'C1'!G52</f>
        <v>0</v>
      </c>
      <c r="H102" s="318">
        <f>+'C1'!H52</f>
        <v>0</v>
      </c>
    </row>
    <row r="103" spans="2:8" ht="13.5" thickBot="1">
      <c r="B103" s="319">
        <v>44</v>
      </c>
      <c r="C103" s="318" t="str">
        <f>+'C1'!C53</f>
        <v>KOLONAT</v>
      </c>
      <c r="D103" s="318">
        <f>+'C1'!D53</f>
        <v>0</v>
      </c>
      <c r="E103" s="318">
        <f>+'C1'!E53</f>
        <v>146737</v>
      </c>
      <c r="F103" s="318">
        <f>+'C1'!F53</f>
        <v>114777</v>
      </c>
      <c r="G103" s="318">
        <f>+'C1'!G53</f>
        <v>31960</v>
      </c>
      <c r="H103" s="318">
        <f>+'C1'!H53</f>
        <v>0</v>
      </c>
    </row>
    <row r="104" spans="2:8" ht="13.5" thickBot="1">
      <c r="B104" s="317">
        <v>45</v>
      </c>
      <c r="C104" s="318" t="str">
        <f>+'C1'!C54</f>
        <v>KESHILLI I QARKUT</v>
      </c>
      <c r="D104" s="318">
        <f>+'C1'!D54</f>
        <v>0</v>
      </c>
      <c r="E104" s="318">
        <f>+'C1'!E54</f>
        <v>1327921</v>
      </c>
      <c r="F104" s="318">
        <f>+'C1'!F54</f>
        <v>702058</v>
      </c>
      <c r="G104" s="318">
        <f>+'C1'!G54</f>
        <v>625863</v>
      </c>
      <c r="H104" s="318">
        <f>+'C1'!H54</f>
        <v>0</v>
      </c>
    </row>
    <row r="105" spans="2:8" ht="13.5" thickBot="1">
      <c r="B105" s="319">
        <v>46</v>
      </c>
      <c r="C105" s="318" t="str">
        <f>+'C1'!C55</f>
        <v>KUID</v>
      </c>
      <c r="D105" s="318">
        <f>+'C1'!D55</f>
        <v>0</v>
      </c>
      <c r="E105" s="318">
        <f>+'C1'!E55</f>
        <v>2000000</v>
      </c>
      <c r="F105" s="318">
        <f>+'C1'!F55</f>
        <v>2000000</v>
      </c>
      <c r="G105" s="318">
        <f>+'C1'!G55</f>
        <v>0</v>
      </c>
      <c r="H105" s="318">
        <f>+'C1'!H55</f>
        <v>0</v>
      </c>
    </row>
    <row r="106" spans="2:8" ht="13.5" thickBot="1">
      <c r="B106" s="317">
        <v>47</v>
      </c>
      <c r="C106" s="318" t="str">
        <f>+'C1'!C56</f>
        <v>LALO</v>
      </c>
      <c r="D106" s="318">
        <f>+'C1'!D56</f>
        <v>0</v>
      </c>
      <c r="E106" s="318">
        <f>+'C1'!E56</f>
        <v>18000</v>
      </c>
      <c r="F106" s="318">
        <f>+'C1'!F56</f>
        <v>18000</v>
      </c>
      <c r="G106" s="318">
        <f>+'C1'!G56</f>
        <v>0</v>
      </c>
      <c r="H106" s="318">
        <f>+'C1'!H56</f>
        <v>0</v>
      </c>
    </row>
    <row r="107" spans="2:8" ht="13.5" thickBot="1">
      <c r="B107" s="319">
        <v>48</v>
      </c>
      <c r="C107" s="318" t="str">
        <f>+'C1'!C57</f>
        <v>LEARHER INSUSTR</v>
      </c>
      <c r="D107" s="318">
        <f>+'C1'!D57</f>
        <v>0</v>
      </c>
      <c r="E107" s="318">
        <f>+'C1'!E57</f>
        <v>528000</v>
      </c>
      <c r="F107" s="318">
        <f>+'C1'!F57</f>
        <v>528000</v>
      </c>
      <c r="G107" s="318">
        <f>+'C1'!G57</f>
        <v>0</v>
      </c>
      <c r="H107" s="318">
        <f>+'C1'!H57</f>
        <v>0</v>
      </c>
    </row>
    <row r="108" spans="2:8" ht="13.5" thickBot="1">
      <c r="B108" s="317">
        <v>49</v>
      </c>
      <c r="C108" s="318" t="str">
        <f>+'C1'!C58</f>
        <v>LICO</v>
      </c>
      <c r="D108" s="318">
        <f>+'C1'!D58</f>
        <v>0</v>
      </c>
      <c r="E108" s="318">
        <f>+'C1'!E58</f>
        <v>2415532</v>
      </c>
      <c r="F108" s="318">
        <f>+'C1'!F58</f>
        <v>2192388</v>
      </c>
      <c r="G108" s="318">
        <f>+'C1'!G58</f>
        <v>223144</v>
      </c>
      <c r="H108" s="318">
        <f>+'C1'!H58</f>
        <v>0</v>
      </c>
    </row>
    <row r="109" spans="2:8" ht="13.5" thickBot="1">
      <c r="B109" s="319">
        <v>50</v>
      </c>
      <c r="C109" s="318" t="str">
        <f>+'C1'!C59</f>
        <v>LEONIDHA SHKURTI </v>
      </c>
      <c r="D109" s="318">
        <f>+'C1'!D59</f>
        <v>0</v>
      </c>
      <c r="E109" s="318">
        <f>+'C1'!E59</f>
        <v>10680</v>
      </c>
      <c r="F109" s="318">
        <f>+'C1'!F59</f>
        <v>10680</v>
      </c>
      <c r="G109" s="318">
        <f>+'C1'!G59</f>
        <v>0</v>
      </c>
      <c r="H109" s="318">
        <f>+'C1'!H59</f>
        <v>0</v>
      </c>
    </row>
    <row r="110" spans="2:8" ht="13.5" thickBot="1">
      <c r="B110" s="317">
        <v>51</v>
      </c>
      <c r="C110" s="318" t="str">
        <f>+'C1'!C60</f>
        <v>MATIA</v>
      </c>
      <c r="D110" s="318">
        <f>+'C1'!D60</f>
        <v>0</v>
      </c>
      <c r="E110" s="318">
        <f>+'C1'!E60</f>
        <v>93500</v>
      </c>
      <c r="F110" s="318">
        <f>+'C1'!F60</f>
        <v>93500</v>
      </c>
      <c r="G110" s="318">
        <f>+'C1'!G60</f>
        <v>0</v>
      </c>
      <c r="H110" s="318">
        <f>+'C1'!H60</f>
        <v>0</v>
      </c>
    </row>
    <row r="111" spans="2:8" ht="13.5" thickBot="1">
      <c r="B111" s="319">
        <v>52</v>
      </c>
      <c r="C111" s="318" t="str">
        <f>+'C1'!C61</f>
        <v>MIRELA GJONCE</v>
      </c>
      <c r="D111" s="318">
        <f>+'C1'!D61</f>
        <v>0</v>
      </c>
      <c r="E111" s="318">
        <f>+'C1'!E61</f>
        <v>127726</v>
      </c>
      <c r="F111" s="318">
        <f>+'C1'!F61</f>
        <v>127726</v>
      </c>
      <c r="G111" s="318">
        <f>+'C1'!G61</f>
        <v>0</v>
      </c>
      <c r="H111" s="318">
        <f>+'C1'!H61</f>
        <v>0</v>
      </c>
    </row>
    <row r="112" spans="2:8" ht="13.5" thickBot="1">
      <c r="B112" s="317">
        <v>53</v>
      </c>
      <c r="C112" s="318" t="str">
        <f>+'C1'!C62</f>
        <v>MIRA SHEHU</v>
      </c>
      <c r="D112" s="318">
        <f>+'C1'!D62</f>
        <v>0</v>
      </c>
      <c r="E112" s="318">
        <f>+'C1'!E62</f>
        <v>177400</v>
      </c>
      <c r="F112" s="318">
        <f>+'C1'!F62</f>
        <v>177400</v>
      </c>
      <c r="G112" s="318">
        <f>+'C1'!G62</f>
        <v>0</v>
      </c>
      <c r="H112" s="318">
        <f>+'C1'!H62</f>
        <v>0</v>
      </c>
    </row>
    <row r="113" spans="2:8" ht="13.5" thickBot="1">
      <c r="B113" s="319">
        <v>54</v>
      </c>
      <c r="C113" s="318" t="str">
        <f>+'C1'!C63</f>
        <v>MEVLAN TOZAJ</v>
      </c>
      <c r="D113" s="318">
        <f>+'C1'!D63</f>
        <v>0</v>
      </c>
      <c r="E113" s="318">
        <f>+'C1'!E63</f>
        <v>256850</v>
      </c>
      <c r="F113" s="318">
        <f>+'C1'!F63</f>
        <v>256850</v>
      </c>
      <c r="G113" s="318">
        <f>+'C1'!G63</f>
        <v>0</v>
      </c>
      <c r="H113" s="318">
        <f>+'C1'!H63</f>
        <v>0</v>
      </c>
    </row>
    <row r="114" spans="2:8" ht="13.5" thickBot="1">
      <c r="B114" s="317">
        <v>55</v>
      </c>
      <c r="C114" s="318" t="str">
        <f>+'C1'!C64</f>
        <v>NBG</v>
      </c>
      <c r="D114" s="318">
        <f>+'C1'!D64</f>
        <v>0</v>
      </c>
      <c r="E114" s="318">
        <f>+'C1'!E64</f>
        <v>335800</v>
      </c>
      <c r="F114" s="318">
        <f>+'C1'!F64</f>
        <v>335800</v>
      </c>
      <c r="G114" s="318">
        <f>+'C1'!G64</f>
        <v>0</v>
      </c>
      <c r="H114" s="318">
        <f>+'C1'!H64</f>
        <v>0</v>
      </c>
    </row>
    <row r="115" spans="2:8" ht="13.5" thickBot="1">
      <c r="B115" s="319">
        <v>56</v>
      </c>
      <c r="C115" s="318" t="str">
        <f>+'C1'!C65</f>
        <v>NEVADA</v>
      </c>
      <c r="D115" s="318">
        <f>+'C1'!D65</f>
        <v>0</v>
      </c>
      <c r="E115" s="318">
        <f>+'C1'!E65</f>
        <v>239360</v>
      </c>
      <c r="F115" s="318">
        <f>+'C1'!F65</f>
        <v>239360</v>
      </c>
      <c r="G115" s="318">
        <f>+'C1'!G65</f>
        <v>0</v>
      </c>
      <c r="H115" s="318">
        <f>+'C1'!H65</f>
        <v>0</v>
      </c>
    </row>
    <row r="116" spans="2:8" ht="13.5" thickBot="1">
      <c r="B116" s="317">
        <v>57</v>
      </c>
      <c r="C116" s="318" t="str">
        <f>+'C1'!C66</f>
        <v>NGUACAJ</v>
      </c>
      <c r="D116" s="318">
        <f>+'C1'!D66</f>
        <v>0</v>
      </c>
      <c r="E116" s="318">
        <f>+'C1'!E66</f>
        <v>106590</v>
      </c>
      <c r="F116" s="318">
        <f>+'C1'!F66</f>
        <v>106590</v>
      </c>
      <c r="G116" s="318">
        <f>+'C1'!G66</f>
        <v>0</v>
      </c>
      <c r="H116" s="318">
        <f>+'C1'!H66</f>
        <v>0</v>
      </c>
    </row>
    <row r="117" spans="2:8" ht="13.5" thickBot="1">
      <c r="B117" s="319">
        <v>58</v>
      </c>
      <c r="C117" s="318" t="str">
        <f>+'C1'!C67</f>
        <v>NDERMARJA E RRUGA URA</v>
      </c>
      <c r="D117" s="318">
        <f>+'C1'!D67</f>
        <v>0</v>
      </c>
      <c r="E117" s="318">
        <f>+'C1'!E67</f>
        <v>434049</v>
      </c>
      <c r="F117" s="318">
        <f>+'C1'!F67</f>
        <v>103109</v>
      </c>
      <c r="G117" s="318">
        <f>+'C1'!G67</f>
        <v>330940</v>
      </c>
      <c r="H117" s="318">
        <f>+'C1'!H67</f>
        <v>0</v>
      </c>
    </row>
    <row r="118" spans="2:8" ht="13.5" thickBot="1">
      <c r="B118" s="317">
        <v>59</v>
      </c>
      <c r="C118" s="318" t="str">
        <f>+'C1'!C68</f>
        <v>ORIK PESHK</v>
      </c>
      <c r="D118" s="318">
        <f>+'C1'!D68</f>
        <v>0</v>
      </c>
      <c r="E118" s="318">
        <f>+'C1'!E68</f>
        <v>359920</v>
      </c>
      <c r="F118" s="318">
        <f>+'C1'!F68</f>
        <v>244000</v>
      </c>
      <c r="G118" s="318">
        <f>+'C1'!G68</f>
        <v>115920</v>
      </c>
      <c r="H118" s="318">
        <f>+'C1'!H68</f>
        <v>0</v>
      </c>
    </row>
    <row r="119" spans="2:8" ht="13.5" thickBot="1">
      <c r="B119" s="319">
        <v>60</v>
      </c>
      <c r="C119" s="318" t="str">
        <f>+'C1'!C69</f>
        <v>PARTNER BALLKAN</v>
      </c>
      <c r="D119" s="318">
        <f>+'C1'!D69</f>
        <v>0</v>
      </c>
      <c r="E119" s="318">
        <f>+'C1'!E69</f>
        <v>1169887</v>
      </c>
      <c r="F119" s="318">
        <f>+'C1'!F69</f>
        <v>1169887</v>
      </c>
      <c r="G119" s="318">
        <f>+'C1'!G69</f>
        <v>0</v>
      </c>
      <c r="H119" s="318">
        <f>+'C1'!H69</f>
        <v>0</v>
      </c>
    </row>
    <row r="120" spans="2:8" ht="13.5" thickBot="1">
      <c r="B120" s="317">
        <v>61</v>
      </c>
      <c r="C120" s="318" t="str">
        <f>+'C1'!C70</f>
        <v>SHA PORTI DETAR</v>
      </c>
      <c r="D120" s="318">
        <f>+'C1'!D70</f>
        <v>0</v>
      </c>
      <c r="E120" s="318">
        <f>+'C1'!E70</f>
        <v>29300</v>
      </c>
      <c r="F120" s="318">
        <f>+'C1'!F70</f>
        <v>29300</v>
      </c>
      <c r="G120" s="318">
        <f>+'C1'!G70</f>
        <v>0</v>
      </c>
      <c r="H120" s="318">
        <f>+'C1'!H70</f>
        <v>0</v>
      </c>
    </row>
    <row r="121" spans="2:8" ht="13.5" thickBot="1">
      <c r="B121" s="319">
        <v>62</v>
      </c>
      <c r="C121" s="318" t="str">
        <f>+'C1'!C71</f>
        <v>PIERILIA</v>
      </c>
      <c r="D121" s="318">
        <f>+'C1'!D71</f>
        <v>0</v>
      </c>
      <c r="E121" s="318">
        <f>+'C1'!E71</f>
        <v>622140</v>
      </c>
      <c r="F121" s="318">
        <f>+'C1'!F71</f>
        <v>622140</v>
      </c>
      <c r="G121" s="318">
        <f>+'C1'!G71</f>
        <v>0</v>
      </c>
      <c r="H121" s="318">
        <f>+'C1'!H71</f>
        <v>0</v>
      </c>
    </row>
    <row r="122" spans="2:8" ht="13.5" thickBot="1">
      <c r="B122" s="317">
        <v>63</v>
      </c>
      <c r="C122" s="318" t="str">
        <f>+'C1'!C72</f>
        <v>PROKURORIA E APELIT</v>
      </c>
      <c r="D122" s="318">
        <f>+'C1'!D72</f>
        <v>0</v>
      </c>
      <c r="E122" s="318">
        <f>+'C1'!E72</f>
        <v>99530</v>
      </c>
      <c r="F122" s="318">
        <f>+'C1'!F72</f>
        <v>99530</v>
      </c>
      <c r="G122" s="318">
        <f>+'C1'!G72</f>
        <v>0</v>
      </c>
      <c r="H122" s="318">
        <f>+'C1'!H72</f>
        <v>0</v>
      </c>
    </row>
    <row r="123" spans="2:8" ht="13.5" thickBot="1">
      <c r="B123" s="319">
        <v>64</v>
      </c>
      <c r="C123" s="318" t="str">
        <f>+'C1'!C73</f>
        <v>PREFEKTURA QARKUT</v>
      </c>
      <c r="D123" s="318">
        <f>+'C1'!D73</f>
        <v>0</v>
      </c>
      <c r="E123" s="318">
        <f>+'C1'!E73</f>
        <v>11409</v>
      </c>
      <c r="F123" s="318">
        <f>+'C1'!F73</f>
        <v>11409</v>
      </c>
      <c r="G123" s="318">
        <f>+'C1'!G73</f>
        <v>0</v>
      </c>
      <c r="H123" s="318">
        <f>+'C1'!H73</f>
        <v>0</v>
      </c>
    </row>
    <row r="124" spans="2:8" ht="13.5" thickBot="1">
      <c r="B124" s="317">
        <v>65</v>
      </c>
      <c r="C124" s="318" t="str">
        <f>+'C1'!C74</f>
        <v>PROKURORIA E RRETHIT</v>
      </c>
      <c r="D124" s="318">
        <f>+'C1'!D74</f>
        <v>0</v>
      </c>
      <c r="E124" s="318">
        <f>+'C1'!E74</f>
        <v>1114011</v>
      </c>
      <c r="F124" s="318">
        <f>+'C1'!F74</f>
        <v>1087118</v>
      </c>
      <c r="G124" s="318">
        <f>+'C1'!G74</f>
        <v>26893</v>
      </c>
      <c r="H124" s="318">
        <f>+'C1'!H74</f>
        <v>0</v>
      </c>
    </row>
    <row r="125" spans="2:8" ht="13.5" thickBot="1">
      <c r="B125" s="319">
        <v>66</v>
      </c>
      <c r="C125" s="318" t="str">
        <f>+'C1'!C75</f>
        <v>QENDRA AULONA</v>
      </c>
      <c r="D125" s="318">
        <f>+'C1'!D75</f>
        <v>0</v>
      </c>
      <c r="E125" s="318">
        <f>+'C1'!E75</f>
        <v>16000</v>
      </c>
      <c r="F125" s="318">
        <f>+'C1'!F75</f>
        <v>16000</v>
      </c>
      <c r="G125" s="318">
        <f>+'C1'!G75</f>
        <v>0</v>
      </c>
      <c r="H125" s="318">
        <f>+'C1'!H75</f>
        <v>0</v>
      </c>
    </row>
    <row r="126" spans="2:8" ht="13.5" thickBot="1">
      <c r="B126" s="317">
        <v>67</v>
      </c>
      <c r="C126" s="318" t="str">
        <f>+'C1'!C76</f>
        <v>QENDRA RINORE</v>
      </c>
      <c r="D126" s="318">
        <f>+'C1'!D76</f>
        <v>0</v>
      </c>
      <c r="E126" s="318">
        <f>+'C1'!E76</f>
        <v>132800</v>
      </c>
      <c r="F126" s="318">
        <f>+'C1'!F76</f>
        <v>132800</v>
      </c>
      <c r="G126" s="318">
        <f>+'C1'!G76</f>
        <v>0</v>
      </c>
      <c r="H126" s="318">
        <f>+'C1'!H76</f>
        <v>0</v>
      </c>
    </row>
    <row r="127" spans="2:8" ht="13.5" thickBot="1">
      <c r="B127" s="319">
        <v>68</v>
      </c>
      <c r="C127" s="318" t="str">
        <f>+'C1'!C77</f>
        <v>REZI COMERCE</v>
      </c>
      <c r="D127" s="318">
        <f>+'C1'!D77</f>
        <v>0</v>
      </c>
      <c r="E127" s="318">
        <f>+'C1'!E77</f>
        <v>200047</v>
      </c>
      <c r="F127" s="318">
        <f>+'C1'!F77</f>
        <v>200047</v>
      </c>
      <c r="G127" s="318">
        <f>+'C1'!G77</f>
        <v>0</v>
      </c>
      <c r="H127" s="318">
        <f>+'C1'!H77</f>
        <v>0</v>
      </c>
    </row>
    <row r="128" spans="2:8" ht="13.5" thickBot="1">
      <c r="B128" s="317">
        <v>69</v>
      </c>
      <c r="C128" s="318" t="str">
        <f>+'C1'!C78</f>
        <v>RDA</v>
      </c>
      <c r="D128" s="318">
        <f>+'C1'!D78</f>
        <v>0</v>
      </c>
      <c r="E128" s="318">
        <f>+'C1'!E78</f>
        <v>0</v>
      </c>
      <c r="F128" s="318">
        <f>+'C1'!F78</f>
        <v>0</v>
      </c>
      <c r="G128" s="318">
        <f>+'C1'!G78</f>
        <v>0</v>
      </c>
      <c r="H128" s="318">
        <f>+'C1'!H78</f>
        <v>0</v>
      </c>
    </row>
    <row r="129" spans="2:8" ht="13.5" thickBot="1">
      <c r="B129" s="319">
        <v>70</v>
      </c>
      <c r="C129" s="318" t="str">
        <f>+'C1'!C79</f>
        <v>SHQIPERIA 2A</v>
      </c>
      <c r="D129" s="318">
        <f>+'C1'!D79</f>
        <v>0</v>
      </c>
      <c r="E129" s="318">
        <f>+'C1'!E79</f>
        <v>739584</v>
      </c>
      <c r="F129" s="318">
        <f>+'C1'!F79</f>
        <v>739584</v>
      </c>
      <c r="G129" s="318">
        <f>+'C1'!G79</f>
        <v>0</v>
      </c>
      <c r="H129" s="318">
        <f>+'C1'!H79</f>
        <v>0</v>
      </c>
    </row>
    <row r="130" spans="2:8" ht="13.5" thickBot="1">
      <c r="B130" s="317">
        <v>71</v>
      </c>
      <c r="C130" s="318" t="str">
        <f>+'C1'!C80</f>
        <v>SEJDIRAJ</v>
      </c>
      <c r="D130" s="318">
        <f>+'C1'!D80</f>
        <v>0</v>
      </c>
      <c r="E130" s="318">
        <f>+'C1'!E80</f>
        <v>80100</v>
      </c>
      <c r="F130" s="318">
        <f>+'C1'!F80</f>
        <v>80100</v>
      </c>
      <c r="G130" s="318">
        <f>+'C1'!G80</f>
        <v>0</v>
      </c>
      <c r="H130" s="318">
        <f>+'C1'!H80</f>
        <v>0</v>
      </c>
    </row>
    <row r="131" spans="2:8" ht="13.5" thickBot="1">
      <c r="B131" s="319">
        <v>72</v>
      </c>
      <c r="C131" s="318" t="str">
        <f>+'C1'!C81</f>
        <v>SHEHU</v>
      </c>
      <c r="D131" s="318">
        <f>+'C1'!D81</f>
        <v>0</v>
      </c>
      <c r="E131" s="318">
        <f>+'C1'!E81</f>
        <v>0</v>
      </c>
      <c r="F131" s="318">
        <f>+'C1'!F81</f>
        <v>0</v>
      </c>
      <c r="G131" s="318">
        <f>+'C1'!G81</f>
        <v>0</v>
      </c>
      <c r="H131" s="318">
        <f>+'C1'!H81</f>
        <v>0</v>
      </c>
    </row>
    <row r="132" spans="2:8" ht="13.5" thickBot="1">
      <c r="B132" s="317">
        <v>73</v>
      </c>
      <c r="C132" s="318" t="str">
        <f>+'C1'!C82</f>
        <v>SPITALI RAJONAL</v>
      </c>
      <c r="D132" s="318">
        <f>+'C1'!D82</f>
        <v>0</v>
      </c>
      <c r="E132" s="318">
        <f>+'C1'!E82</f>
        <v>1799478</v>
      </c>
      <c r="F132" s="318">
        <f>+'C1'!F82</f>
        <v>1799478</v>
      </c>
      <c r="G132" s="318">
        <f>+'C1'!G82</f>
        <v>0</v>
      </c>
      <c r="H132" s="318">
        <f>+'C1'!H82</f>
        <v>0</v>
      </c>
    </row>
    <row r="133" spans="2:8" ht="13.5" thickBot="1">
      <c r="B133" s="319">
        <v>74</v>
      </c>
      <c r="C133" s="318" t="str">
        <f>+'C1'!C83</f>
        <v>SIGAL UNIQA </v>
      </c>
      <c r="D133" s="318">
        <f>+'C1'!D83</f>
        <v>0</v>
      </c>
      <c r="E133" s="318">
        <f>+'C1'!E83</f>
        <v>56700</v>
      </c>
      <c r="F133" s="318">
        <f>+'C1'!F83</f>
        <v>56700</v>
      </c>
      <c r="G133" s="318">
        <f>+'C1'!G83</f>
        <v>0</v>
      </c>
      <c r="H133" s="318">
        <f>+'C1'!H83</f>
        <v>0</v>
      </c>
    </row>
    <row r="134" spans="2:8" ht="13.5" thickBot="1">
      <c r="B134" s="317">
        <v>75</v>
      </c>
      <c r="C134" s="318" t="str">
        <f>+'C1'!C84</f>
        <v>TACI OIL</v>
      </c>
      <c r="D134" s="318">
        <f>+'C1'!D84</f>
        <v>0</v>
      </c>
      <c r="E134" s="318">
        <f>+'C1'!E84</f>
        <v>341887</v>
      </c>
      <c r="F134" s="318">
        <f>+'C1'!F84</f>
        <v>341887</v>
      </c>
      <c r="G134" s="318">
        <f>+'C1'!G84</f>
        <v>0</v>
      </c>
      <c r="H134" s="318">
        <f>+'C1'!H84</f>
        <v>0</v>
      </c>
    </row>
    <row r="135" spans="2:8" ht="13.5" thickBot="1">
      <c r="B135" s="319">
        <v>76</v>
      </c>
      <c r="C135" s="318" t="str">
        <f>+'C1'!C85</f>
        <v>TRAJNIMI I STUDENTEVE</v>
      </c>
      <c r="D135" s="318">
        <f>+'C1'!D85</f>
        <v>0</v>
      </c>
      <c r="E135" s="318">
        <f>+'C1'!E85</f>
        <v>0</v>
      </c>
      <c r="F135" s="318">
        <f>+'C1'!F85</f>
        <v>0</v>
      </c>
      <c r="G135" s="318">
        <f>+'C1'!G85</f>
        <v>0</v>
      </c>
      <c r="H135" s="318">
        <f>+'C1'!H85</f>
        <v>0</v>
      </c>
    </row>
    <row r="136" spans="2:8" ht="13.5" thickBot="1">
      <c r="B136" s="317">
        <v>77</v>
      </c>
      <c r="C136" s="318" t="str">
        <f>+'C1'!C86</f>
        <v>TOT TRADING</v>
      </c>
      <c r="D136" s="318">
        <f>+'C1'!D86</f>
        <v>0</v>
      </c>
      <c r="E136" s="318">
        <f>+'C1'!E86</f>
        <v>13299825</v>
      </c>
      <c r="F136" s="318">
        <f>+'C1'!F86</f>
        <v>13299825</v>
      </c>
      <c r="G136" s="318">
        <f>+'C1'!G86</f>
        <v>0</v>
      </c>
      <c r="H136" s="318">
        <f>+'C1'!H86</f>
        <v>0</v>
      </c>
    </row>
    <row r="137" spans="2:8" ht="13.5" thickBot="1">
      <c r="B137" s="317">
        <v>78</v>
      </c>
      <c r="C137" s="318" t="str">
        <f>+'C1'!C87</f>
        <v>UNION BANK</v>
      </c>
      <c r="D137" s="318">
        <f>+'C1'!D87</f>
        <v>0</v>
      </c>
      <c r="E137" s="318">
        <f>+'C1'!E87</f>
        <v>44040</v>
      </c>
      <c r="F137" s="318">
        <f>+'C1'!F87</f>
        <v>44040</v>
      </c>
      <c r="G137" s="318">
        <f>+'C1'!G87</f>
        <v>0</v>
      </c>
      <c r="H137" s="318">
        <f>+'C1'!H87</f>
        <v>0</v>
      </c>
    </row>
    <row r="138" spans="2:8" ht="13.5" thickBot="1">
      <c r="B138" s="319">
        <v>79</v>
      </c>
      <c r="C138" s="318" t="str">
        <f>+'C1'!C88</f>
        <v>VODAFON</v>
      </c>
      <c r="D138" s="318">
        <f>+'C1'!D88</f>
        <v>0</v>
      </c>
      <c r="E138" s="318">
        <f>+'C1'!E88</f>
        <v>0</v>
      </c>
      <c r="F138" s="318">
        <f>+'C1'!F88</f>
        <v>0</v>
      </c>
      <c r="G138" s="318">
        <f>+'C1'!G88</f>
        <v>0</v>
      </c>
      <c r="H138" s="318">
        <f>+'C1'!H88</f>
        <v>0</v>
      </c>
    </row>
    <row r="139" spans="2:8" ht="13.5" thickBot="1">
      <c r="B139" s="317">
        <v>80</v>
      </c>
      <c r="C139" s="318" t="str">
        <f>+'C1'!C89</f>
        <v>YLLI NUSHAJ</v>
      </c>
      <c r="D139" s="318">
        <f>+'C1'!D89</f>
        <v>0</v>
      </c>
      <c r="E139" s="318">
        <f>+'C1'!E89</f>
        <v>75000</v>
      </c>
      <c r="F139" s="318">
        <f>+'C1'!F89</f>
        <v>75000</v>
      </c>
      <c r="G139" s="318">
        <f>+'C1'!G89</f>
        <v>0</v>
      </c>
      <c r="H139" s="318">
        <f>+'C1'!H89</f>
        <v>0</v>
      </c>
    </row>
    <row r="140" spans="2:8" ht="13.5" thickBot="1">
      <c r="B140" s="319">
        <v>81</v>
      </c>
      <c r="C140" s="318" t="str">
        <f>+'C1'!C90</f>
        <v>ZYRA E PUNES</v>
      </c>
      <c r="D140" s="318">
        <f>+'C1'!D90</f>
        <v>0</v>
      </c>
      <c r="E140" s="318">
        <f>+'C1'!E90</f>
        <v>173490</v>
      </c>
      <c r="F140" s="318">
        <f>+'C1'!F90</f>
        <v>173490</v>
      </c>
      <c r="G140" s="318">
        <f>+'C1'!G90</f>
        <v>0</v>
      </c>
      <c r="H140" s="318">
        <f>+'C1'!H90</f>
        <v>0</v>
      </c>
    </row>
    <row r="141" spans="2:8" ht="12.75">
      <c r="B141" s="317"/>
      <c r="C141" s="318"/>
      <c r="D141" s="318"/>
      <c r="E141" s="318"/>
      <c r="F141" s="318"/>
      <c r="G141" s="318"/>
      <c r="H141" s="318">
        <f>SUM(H60:H140)</f>
        <v>0</v>
      </c>
    </row>
    <row r="142" spans="2:8" ht="13.5" thickBot="1">
      <c r="B142" s="1347" t="s">
        <v>389</v>
      </c>
      <c r="C142" s="1348"/>
      <c r="D142" s="320">
        <f>SUM(D60:D141)</f>
        <v>3577824</v>
      </c>
      <c r="E142" s="320">
        <f>SUM(E60:E141)</f>
        <v>136442069.64</v>
      </c>
      <c r="F142" s="320">
        <f>SUM(F60:F141)</f>
        <v>133637744.64</v>
      </c>
      <c r="G142" s="320">
        <f>SUM(G60:G141)</f>
        <v>6382149</v>
      </c>
      <c r="H142" s="320">
        <f>SUM(H60:H141)</f>
        <v>0</v>
      </c>
    </row>
    <row r="143" spans="2:3" ht="12.75">
      <c r="B143" s="241"/>
      <c r="C143" s="241"/>
    </row>
    <row r="144" spans="1:3" ht="12.75">
      <c r="A144" s="233" t="s">
        <v>431</v>
      </c>
      <c r="B144" s="241"/>
      <c r="C144" s="241"/>
    </row>
    <row r="145" spans="1:4" ht="12.75">
      <c r="A145" s="241" t="s">
        <v>432</v>
      </c>
      <c r="B145" s="101" t="s">
        <v>475</v>
      </c>
      <c r="C145" s="101"/>
      <c r="D145" s="88">
        <f>'AKTIVI '!E13</f>
        <v>0</v>
      </c>
    </row>
    <row r="146" spans="1:3" ht="12.75">
      <c r="A146" s="241" t="s">
        <v>433</v>
      </c>
      <c r="B146" s="101"/>
      <c r="C146" s="101"/>
    </row>
    <row r="147" spans="1:4" ht="12.75">
      <c r="A147" s="239" t="s">
        <v>434</v>
      </c>
      <c r="B147" s="101"/>
      <c r="C147" s="101"/>
      <c r="D147" s="21" t="s">
        <v>926</v>
      </c>
    </row>
    <row r="148" spans="1:3" ht="13.5" thickBot="1">
      <c r="A148" s="101"/>
      <c r="B148" s="101"/>
      <c r="C148" s="101"/>
    </row>
    <row r="149" spans="2:7" ht="13.5" thickBot="1">
      <c r="B149" s="242" t="s">
        <v>1</v>
      </c>
      <c r="C149" s="243" t="s">
        <v>266</v>
      </c>
      <c r="D149" s="243" t="s">
        <v>267</v>
      </c>
      <c r="E149" s="243" t="s">
        <v>268</v>
      </c>
      <c r="F149" s="243" t="s">
        <v>269</v>
      </c>
      <c r="G149" s="244" t="s">
        <v>270</v>
      </c>
    </row>
    <row r="150" spans="2:7" ht="13.5" thickBot="1">
      <c r="B150" s="848" t="s">
        <v>120</v>
      </c>
      <c r="C150" s="849">
        <v>0</v>
      </c>
      <c r="D150" s="849">
        <v>0</v>
      </c>
      <c r="E150" s="849">
        <v>0</v>
      </c>
      <c r="F150" s="849">
        <v>0</v>
      </c>
      <c r="G150" s="849">
        <f>'D1'!I41</f>
        <v>0</v>
      </c>
    </row>
    <row r="151" spans="2:7" ht="12.75">
      <c r="B151" s="31"/>
      <c r="C151" s="240"/>
      <c r="D151" s="240"/>
      <c r="E151" s="240"/>
      <c r="F151" s="240"/>
      <c r="G151" s="240"/>
    </row>
    <row r="152" spans="2:7" ht="12.75">
      <c r="B152" s="31"/>
      <c r="C152" s="22"/>
      <c r="D152" s="22"/>
      <c r="E152" s="22"/>
      <c r="F152" s="22"/>
      <c r="G152" s="245">
        <f>E152*F152</f>
        <v>0</v>
      </c>
    </row>
    <row r="153" spans="2:7" ht="12.75">
      <c r="B153" s="850" t="s">
        <v>121</v>
      </c>
      <c r="C153" s="851"/>
      <c r="D153" s="851"/>
      <c r="E153" s="851"/>
      <c r="F153" s="851"/>
      <c r="G153" s="851">
        <f>'D2'!H44</f>
        <v>0</v>
      </c>
    </row>
    <row r="154" spans="2:7" ht="12.75">
      <c r="B154" s="31"/>
      <c r="C154" s="22"/>
      <c r="D154" s="22"/>
      <c r="E154" s="22"/>
      <c r="F154" s="22"/>
      <c r="G154" s="22"/>
    </row>
    <row r="155" spans="2:7" ht="12.75">
      <c r="B155" s="31"/>
      <c r="C155" s="22"/>
      <c r="D155" s="22"/>
      <c r="E155" s="22"/>
      <c r="F155" s="22"/>
      <c r="G155" s="245">
        <f>E155*F155</f>
        <v>0</v>
      </c>
    </row>
    <row r="156" spans="2:7" ht="12.75">
      <c r="B156" s="850" t="s">
        <v>122</v>
      </c>
      <c r="C156" s="851"/>
      <c r="D156" s="851"/>
      <c r="E156" s="851"/>
      <c r="F156" s="851"/>
      <c r="G156" s="851">
        <f>'D3'!H43</f>
        <v>0</v>
      </c>
    </row>
    <row r="157" spans="2:7" ht="12.75">
      <c r="B157" s="31"/>
      <c r="C157" s="22"/>
      <c r="D157" s="22"/>
      <c r="E157" s="22"/>
      <c r="F157" s="22"/>
      <c r="G157" s="245">
        <f>E157*F157</f>
        <v>0</v>
      </c>
    </row>
    <row r="158" spans="2:7" ht="12.75">
      <c r="B158" s="850" t="s">
        <v>126</v>
      </c>
      <c r="C158" s="851"/>
      <c r="D158" s="851"/>
      <c r="E158" s="851"/>
      <c r="F158" s="851"/>
      <c r="G158" s="852">
        <f>'D4'!H52</f>
        <v>2524257</v>
      </c>
    </row>
    <row r="159" spans="2:7" ht="12.75">
      <c r="B159" s="987"/>
      <c r="C159" s="988"/>
      <c r="D159" s="988"/>
      <c r="E159" s="988"/>
      <c r="F159" s="988"/>
      <c r="G159" s="989"/>
    </row>
    <row r="160" spans="2:7" ht="12.75">
      <c r="B160" s="987"/>
      <c r="C160" s="988"/>
      <c r="D160" s="988"/>
      <c r="E160" s="988"/>
      <c r="F160" s="988"/>
      <c r="G160" s="989"/>
    </row>
    <row r="161" spans="2:7" ht="12.75">
      <c r="B161" s="850" t="s">
        <v>1033</v>
      </c>
      <c r="C161" s="851"/>
      <c r="D161" s="851"/>
      <c r="E161" s="851"/>
      <c r="F161" s="851"/>
      <c r="G161" s="852">
        <f>'D 6'!H52</f>
        <v>0</v>
      </c>
    </row>
    <row r="162" spans="2:7" ht="13.5" thickBot="1">
      <c r="B162" s="31"/>
      <c r="C162" s="22"/>
      <c r="D162" s="22"/>
      <c r="E162" s="22"/>
      <c r="F162" s="22"/>
      <c r="G162" s="245"/>
    </row>
    <row r="163" spans="2:7" ht="13.5" thickBot="1">
      <c r="B163" s="1349" t="s">
        <v>265</v>
      </c>
      <c r="C163" s="1350"/>
      <c r="D163" s="1350"/>
      <c r="E163" s="1350"/>
      <c r="F163" s="1351"/>
      <c r="G163" s="246">
        <f>G150+G153+G156+G158+G161</f>
        <v>2524257</v>
      </c>
    </row>
    <row r="165" spans="1:4" ht="12.75">
      <c r="A165" s="101"/>
      <c r="B165" s="101"/>
      <c r="C165" s="101"/>
      <c r="D165" s="101"/>
    </row>
    <row r="166" spans="1:4" ht="12.75">
      <c r="A166" s="233" t="s">
        <v>435</v>
      </c>
      <c r="B166" s="101"/>
      <c r="C166" s="101"/>
      <c r="D166" s="101"/>
    </row>
    <row r="167" spans="1:4" ht="12.75">
      <c r="A167" s="233" t="s">
        <v>436</v>
      </c>
      <c r="B167" s="101"/>
      <c r="C167" s="101"/>
      <c r="D167" s="101"/>
    </row>
    <row r="168" spans="1:4" ht="12.75">
      <c r="A168" s="101"/>
      <c r="B168" s="101"/>
      <c r="C168" s="101"/>
      <c r="D168" s="101"/>
    </row>
    <row r="169" spans="1:4" ht="12.75">
      <c r="A169" s="101"/>
      <c r="B169" s="101"/>
      <c r="C169" s="101"/>
      <c r="D169" s="101"/>
    </row>
    <row r="170" ht="15">
      <c r="A170" s="238" t="s">
        <v>437</v>
      </c>
    </row>
    <row r="171" ht="13.5" thickBot="1">
      <c r="A171" s="239" t="s">
        <v>1032</v>
      </c>
    </row>
    <row r="172" spans="1:7" ht="12.75">
      <c r="A172" s="101"/>
      <c r="B172" s="1352" t="s">
        <v>199</v>
      </c>
      <c r="C172" s="1352" t="s">
        <v>388</v>
      </c>
      <c r="D172" s="1352" t="s">
        <v>1034</v>
      </c>
      <c r="E172" s="1352" t="s">
        <v>399</v>
      </c>
      <c r="F172" s="1343" t="s">
        <v>400</v>
      </c>
      <c r="G172" s="1352" t="s">
        <v>401</v>
      </c>
    </row>
    <row r="173" spans="1:7" ht="13.5" thickBot="1">
      <c r="A173" s="101"/>
      <c r="B173" s="1353"/>
      <c r="C173" s="1353"/>
      <c r="D173" s="1353"/>
      <c r="E173" s="1353"/>
      <c r="F173" s="1344"/>
      <c r="G173" s="1353"/>
    </row>
    <row r="174" spans="2:7" ht="12.75">
      <c r="B174" s="204">
        <f>'M1'!C12</f>
        <v>1</v>
      </c>
      <c r="C174" s="1292" t="str">
        <f>'M1'!D12</f>
        <v>Europetrol</v>
      </c>
      <c r="D174" s="1292">
        <f>'M1'!E12</f>
        <v>6400804</v>
      </c>
      <c r="E174" s="1292">
        <f>'M1'!F12</f>
        <v>0</v>
      </c>
      <c r="F174" s="1292">
        <f>'M1'!G12</f>
        <v>6400804</v>
      </c>
      <c r="G174" s="1293">
        <f>'M1'!H12</f>
        <v>0</v>
      </c>
    </row>
    <row r="175" spans="2:7" ht="12.75">
      <c r="B175" s="204">
        <f>'M1'!C13</f>
        <v>2</v>
      </c>
      <c r="C175" s="1292" t="str">
        <f>'M1'!D13</f>
        <v>bolv-oil</v>
      </c>
      <c r="D175" s="1292">
        <f>'M1'!E13</f>
        <v>6040883</v>
      </c>
      <c r="E175" s="1292">
        <f>'M1'!F13</f>
        <v>49745245</v>
      </c>
      <c r="F175" s="1292">
        <f>'M1'!G13</f>
        <v>54011187</v>
      </c>
      <c r="G175" s="1294">
        <f>'M1'!H13</f>
        <v>1774941</v>
      </c>
    </row>
    <row r="176" spans="2:7" ht="12.75">
      <c r="B176" s="204">
        <f>'M1'!C14</f>
        <v>3</v>
      </c>
      <c r="C176" s="1292" t="str">
        <f>'M1'!D14</f>
        <v>Kast petrol</v>
      </c>
      <c r="D176" s="1292">
        <f>'M1'!E14</f>
        <v>1767643</v>
      </c>
      <c r="E176" s="1292">
        <f>'M1'!F14</f>
        <v>0</v>
      </c>
      <c r="F176" s="1292">
        <f>'M1'!G14</f>
        <v>1767643</v>
      </c>
      <c r="G176" s="1294">
        <f>'M1'!H14</f>
        <v>0</v>
      </c>
    </row>
    <row r="177" spans="2:7" ht="12.75">
      <c r="B177" s="204">
        <f>'M1'!C15</f>
        <v>4</v>
      </c>
      <c r="C177" s="1292" t="str">
        <f>'M1'!D15</f>
        <v>COBEIN</v>
      </c>
      <c r="D177" s="1292">
        <f>'M1'!E15</f>
        <v>14810190</v>
      </c>
      <c r="E177" s="1292">
        <f>'M1'!F15</f>
        <v>8811475</v>
      </c>
      <c r="F177" s="1292">
        <f>'M1'!G15</f>
        <v>384147</v>
      </c>
      <c r="G177" s="1294">
        <f>'M1'!H15</f>
        <v>23237518</v>
      </c>
    </row>
    <row r="178" spans="2:7" ht="12.75">
      <c r="B178" s="204">
        <f>'M1'!C16</f>
        <v>5</v>
      </c>
      <c r="C178" s="1292" t="str">
        <f>'M1'!D16</f>
        <v>ARLINDO</v>
      </c>
      <c r="D178" s="1292">
        <f>'M1'!E16</f>
        <v>349380</v>
      </c>
      <c r="E178" s="1292">
        <f>'M1'!F16</f>
        <v>0</v>
      </c>
      <c r="F178" s="1292">
        <f>'M1'!G16</f>
        <v>349380</v>
      </c>
      <c r="G178" s="1294">
        <f>'M1'!H16</f>
        <v>0</v>
      </c>
    </row>
    <row r="179" spans="2:7" ht="12.75">
      <c r="B179" s="204">
        <f>'M1'!C17</f>
        <v>6</v>
      </c>
      <c r="C179" s="1292" t="str">
        <f>'M1'!D17</f>
        <v>AES</v>
      </c>
      <c r="D179" s="1292">
        <f>'M1'!E17</f>
        <v>243885</v>
      </c>
      <c r="E179" s="1292">
        <f>'M1'!F17</f>
        <v>0</v>
      </c>
      <c r="F179" s="1292">
        <f>'M1'!G17</f>
        <v>243885</v>
      </c>
      <c r="G179" s="1294">
        <f>'M1'!H17</f>
        <v>0</v>
      </c>
    </row>
    <row r="180" spans="2:7" ht="12.75">
      <c r="B180" s="204">
        <f>'M1'!C18</f>
        <v>7</v>
      </c>
      <c r="C180" s="1292" t="str">
        <f>'M1'!D18</f>
        <v>A&amp;E AUDITING</v>
      </c>
      <c r="D180" s="1292">
        <f>'M1'!E18</f>
        <v>0</v>
      </c>
      <c r="E180" s="1292">
        <f>'M1'!F18</f>
        <v>126000</v>
      </c>
      <c r="F180" s="1292">
        <f>'M1'!G18</f>
        <v>126000</v>
      </c>
      <c r="G180" s="1294">
        <f>'M1'!H18</f>
        <v>0</v>
      </c>
    </row>
    <row r="181" spans="2:7" ht="12.75">
      <c r="B181" s="204">
        <f>'M1'!C19</f>
        <v>8</v>
      </c>
      <c r="C181" s="1292" t="str">
        <f>'M1'!D19</f>
        <v>AEDISTRUBUTOR </v>
      </c>
      <c r="D181" s="1292">
        <f>'M1'!E19</f>
        <v>0</v>
      </c>
      <c r="E181" s="1292">
        <f>'M1'!F19</f>
        <v>59000</v>
      </c>
      <c r="F181" s="1292">
        <f>'M1'!G19</f>
        <v>59000</v>
      </c>
      <c r="G181" s="1294">
        <f>'M1'!H19</f>
        <v>0</v>
      </c>
    </row>
    <row r="182" spans="1:7" ht="12.75">
      <c r="A182" s="101"/>
      <c r="B182" s="204">
        <f>'M1'!C20</f>
        <v>9</v>
      </c>
      <c r="C182" s="1292" t="str">
        <f>'M1'!D20</f>
        <v>BYLYBASH ZYBERAJ</v>
      </c>
      <c r="D182" s="1292">
        <f>'M1'!E20</f>
        <v>0</v>
      </c>
      <c r="E182" s="1292">
        <f>'M1'!F20</f>
        <v>15000</v>
      </c>
      <c r="F182" s="1292">
        <f>'M1'!G20</f>
        <v>15000</v>
      </c>
      <c r="G182" s="1294">
        <f>'M1'!H20</f>
        <v>0</v>
      </c>
    </row>
    <row r="183" spans="1:7" ht="12.75">
      <c r="A183" s="101"/>
      <c r="B183" s="204">
        <f>'M1'!C21</f>
        <v>10</v>
      </c>
      <c r="C183" s="1292" t="str">
        <f>'M1'!D21</f>
        <v>CEZ SHPENDARJE</v>
      </c>
      <c r="D183" s="1292">
        <f>'M1'!E21</f>
        <v>0</v>
      </c>
      <c r="E183" s="1292">
        <f>'M1'!F21</f>
        <v>215720</v>
      </c>
      <c r="F183" s="1292">
        <f>'M1'!G21</f>
        <v>215720</v>
      </c>
      <c r="G183" s="1294">
        <f>'M1'!H21</f>
        <v>0</v>
      </c>
    </row>
    <row r="184" spans="1:7" ht="12.75">
      <c r="A184" s="101"/>
      <c r="B184" s="204">
        <f>'M1'!C22</f>
        <v>11</v>
      </c>
      <c r="C184" s="1292" t="str">
        <f>'M1'!D22</f>
        <v>VODAFONE</v>
      </c>
      <c r="D184" s="1292">
        <f>'M1'!E22</f>
        <v>0</v>
      </c>
      <c r="E184" s="1292">
        <f>'M1'!F22</f>
        <v>230554</v>
      </c>
      <c r="F184" s="1292">
        <f>'M1'!G22</f>
        <v>230554</v>
      </c>
      <c r="G184" s="1294">
        <f>'M1'!H22</f>
        <v>0</v>
      </c>
    </row>
    <row r="185" spans="1:7" ht="12.75">
      <c r="A185" s="101"/>
      <c r="B185" s="204">
        <f>'M1'!C23</f>
        <v>12</v>
      </c>
      <c r="C185" s="1292" t="str">
        <f>'M1'!D23</f>
        <v>ANILA HASANI</v>
      </c>
      <c r="D185" s="1292">
        <f>'M1'!E23</f>
        <v>0</v>
      </c>
      <c r="E185" s="1292">
        <f>'M1'!F23</f>
        <v>0</v>
      </c>
      <c r="F185" s="1292">
        <f>'M1'!G23</f>
        <v>0</v>
      </c>
      <c r="G185" s="1294">
        <f>'M1'!H23</f>
        <v>0</v>
      </c>
    </row>
    <row r="186" spans="1:7" ht="12.75">
      <c r="A186" s="101"/>
      <c r="B186" s="204">
        <f>'M1'!C24</f>
        <v>13</v>
      </c>
      <c r="C186" s="1292" t="str">
        <f>'M1'!D24</f>
        <v>ALB IMPEX</v>
      </c>
      <c r="D186" s="1292">
        <f>'M1'!E24</f>
        <v>0</v>
      </c>
      <c r="E186" s="1292">
        <f>'M1'!F24</f>
        <v>0</v>
      </c>
      <c r="F186" s="1292">
        <f>'M1'!G24</f>
        <v>0</v>
      </c>
      <c r="G186" s="1294">
        <f>'M1'!H24</f>
        <v>0</v>
      </c>
    </row>
    <row r="187" spans="1:7" ht="12.75">
      <c r="A187" s="101"/>
      <c r="B187" s="204">
        <f>'M1'!C25</f>
        <v>14</v>
      </c>
      <c r="C187" s="1292" t="str">
        <f>'M1'!D25</f>
        <v>ALTIN SINANI</v>
      </c>
      <c r="D187" s="1292">
        <f>'M1'!E25</f>
        <v>0</v>
      </c>
      <c r="E187" s="1292">
        <f>'M1'!F25</f>
        <v>207000</v>
      </c>
      <c r="F187" s="1292">
        <f>'M1'!G25</f>
        <v>207000</v>
      </c>
      <c r="G187" s="1294">
        <f>'M1'!H25</f>
        <v>0</v>
      </c>
    </row>
    <row r="188" spans="1:7" ht="12.75">
      <c r="A188" s="101"/>
      <c r="B188" s="204">
        <f>'M1'!C26</f>
        <v>15</v>
      </c>
      <c r="C188" s="1292" t="str">
        <f>'M1'!D26</f>
        <v>CEKA</v>
      </c>
      <c r="D188" s="1292">
        <f>'M1'!E26</f>
        <v>0</v>
      </c>
      <c r="E188" s="1292">
        <f>'M1'!F26</f>
        <v>1083882</v>
      </c>
      <c r="F188" s="1292">
        <f>'M1'!G26</f>
        <v>1083882</v>
      </c>
      <c r="G188" s="1294">
        <f>'M1'!H26</f>
        <v>0</v>
      </c>
    </row>
    <row r="189" spans="1:7" ht="12.75">
      <c r="A189" s="101"/>
      <c r="B189" s="204">
        <f>'M1'!C27</f>
        <v>16</v>
      </c>
      <c r="C189" s="1292" t="str">
        <f>'M1'!D27</f>
        <v>COLOR &amp; DISAGN</v>
      </c>
      <c r="D189" s="1292">
        <f>'M1'!E27</f>
        <v>0</v>
      </c>
      <c r="E189" s="1292">
        <f>'M1'!F27</f>
        <v>132000</v>
      </c>
      <c r="F189" s="1292">
        <f>'M1'!G27</f>
        <v>132000</v>
      </c>
      <c r="G189" s="1294">
        <f>'M1'!H27</f>
        <v>0</v>
      </c>
    </row>
    <row r="190" spans="1:7" ht="12.75">
      <c r="A190" s="101"/>
      <c r="B190" s="204">
        <f>'M1'!C28</f>
        <v>17</v>
      </c>
      <c r="C190" s="1292" t="str">
        <f>'M1'!D28</f>
        <v>CANAJ </v>
      </c>
      <c r="D190" s="1292">
        <f>'M1'!E28</f>
        <v>0</v>
      </c>
      <c r="E190" s="1292">
        <f>'M1'!F28</f>
        <v>0</v>
      </c>
      <c r="F190" s="1292">
        <f>'M1'!G28</f>
        <v>0</v>
      </c>
      <c r="G190" s="1294">
        <f>'M1'!H28</f>
        <v>0</v>
      </c>
    </row>
    <row r="191" spans="1:7" ht="12.75">
      <c r="A191" s="101"/>
      <c r="B191" s="204">
        <f>'M1'!C29</f>
        <v>18</v>
      </c>
      <c r="C191" s="1292" t="str">
        <f>'M1'!D29</f>
        <v>DPM</v>
      </c>
      <c r="D191" s="1292">
        <f>'M1'!E29</f>
        <v>0</v>
      </c>
      <c r="E191" s="1292">
        <f>'M1'!F29</f>
        <v>43200</v>
      </c>
      <c r="F191" s="1292">
        <f>'M1'!G29</f>
        <v>43200</v>
      </c>
      <c r="G191" s="1294">
        <f>'M1'!H29</f>
        <v>0</v>
      </c>
    </row>
    <row r="192" spans="1:7" ht="12.75">
      <c r="A192" s="101"/>
      <c r="B192" s="204">
        <f>'M1'!C30</f>
        <v>19</v>
      </c>
      <c r="C192" s="1292" t="str">
        <f>'M1'!D30</f>
        <v>GABILI</v>
      </c>
      <c r="D192" s="1292">
        <f>'M1'!E30</f>
        <v>0</v>
      </c>
      <c r="E192" s="1292">
        <f>'M1'!F30</f>
        <v>1011996</v>
      </c>
      <c r="F192" s="1292">
        <f>'M1'!G30</f>
        <v>1011996</v>
      </c>
      <c r="G192" s="1294">
        <f>'M1'!H30</f>
        <v>0</v>
      </c>
    </row>
    <row r="193" spans="1:7" ht="12.75">
      <c r="A193" s="101"/>
      <c r="B193" s="204">
        <f>'M1'!C31</f>
        <v>20</v>
      </c>
      <c r="C193" s="1292" t="str">
        <f>'M1'!D31</f>
        <v>KUID</v>
      </c>
      <c r="D193" s="1292">
        <f>'M1'!E31</f>
        <v>0</v>
      </c>
      <c r="E193" s="1292">
        <f>'M1'!F31</f>
        <v>0</v>
      </c>
      <c r="F193" s="1292">
        <f>'M1'!G31</f>
        <v>0</v>
      </c>
      <c r="G193" s="1294">
        <f>'M1'!H31</f>
        <v>0</v>
      </c>
    </row>
    <row r="194" spans="1:7" ht="12.75">
      <c r="A194" s="101"/>
      <c r="B194" s="204">
        <f>'M1'!C32</f>
        <v>21</v>
      </c>
      <c r="C194" s="1292" t="str">
        <f>'M1'!D32</f>
        <v>PEK OIL</v>
      </c>
      <c r="D194" s="1292">
        <f>'M1'!E32</f>
        <v>0</v>
      </c>
      <c r="E194" s="1292">
        <f>'M1'!F32</f>
        <v>1200000</v>
      </c>
      <c r="F194" s="1292">
        <f>'M1'!G32</f>
        <v>1200000</v>
      </c>
      <c r="G194" s="1294">
        <f>'M1'!H32</f>
        <v>0</v>
      </c>
    </row>
    <row r="195" spans="1:7" ht="12.75">
      <c r="A195" s="101"/>
      <c r="B195" s="204">
        <f>'M1'!C33</f>
        <v>22</v>
      </c>
      <c r="C195" s="1292" t="str">
        <f>'M1'!D33</f>
        <v>SALI ELEKTRIK</v>
      </c>
      <c r="D195" s="1292">
        <f>'M1'!E33</f>
        <v>0</v>
      </c>
      <c r="E195" s="1292">
        <f>'M1'!F33</f>
        <v>30159</v>
      </c>
      <c r="F195" s="1292">
        <f>'M1'!G33</f>
        <v>30159</v>
      </c>
      <c r="G195" s="1294">
        <f>'M1'!H33</f>
        <v>0</v>
      </c>
    </row>
    <row r="196" spans="1:7" ht="12.75">
      <c r="A196" s="101"/>
      <c r="B196" s="204">
        <f>'M1'!C34</f>
        <v>23</v>
      </c>
      <c r="C196" s="1292" t="str">
        <f>'M1'!D34</f>
        <v>TROCI KONSTR</v>
      </c>
      <c r="D196" s="1292">
        <f>'M1'!E34</f>
        <v>0</v>
      </c>
      <c r="E196" s="1292">
        <f>'M1'!F34</f>
        <v>15376555</v>
      </c>
      <c r="F196" s="1292">
        <f>'M1'!G34</f>
        <v>0</v>
      </c>
      <c r="G196" s="1294">
        <f>'M1'!H34</f>
        <v>15376555</v>
      </c>
    </row>
    <row r="197" spans="1:7" ht="12.75">
      <c r="A197" s="101"/>
      <c r="B197" s="204">
        <f>'M1'!C35</f>
        <v>24</v>
      </c>
      <c r="C197" s="1292" t="str">
        <f>'M1'!D35</f>
        <v>TACI OIL</v>
      </c>
      <c r="D197" s="1292">
        <f>'M1'!E35</f>
        <v>0</v>
      </c>
      <c r="E197" s="1292">
        <f>'M1'!F35</f>
        <v>3821090</v>
      </c>
      <c r="F197" s="1292">
        <f>'M1'!G35</f>
        <v>0</v>
      </c>
      <c r="G197" s="1294">
        <f>'M1'!H35</f>
        <v>3821090</v>
      </c>
    </row>
    <row r="198" spans="1:7" ht="13.5" thickBot="1">
      <c r="A198" s="101"/>
      <c r="B198" s="204">
        <f>'M1'!C36</f>
        <v>25</v>
      </c>
      <c r="C198" s="1292" t="str">
        <f>'M1'!D36</f>
        <v>TOT TRADING</v>
      </c>
      <c r="D198" s="1292">
        <f>'M1'!E36</f>
        <v>0</v>
      </c>
      <c r="E198" s="1292">
        <f>'M1'!F36</f>
        <v>58317108</v>
      </c>
      <c r="F198" s="1292">
        <f>'M1'!G36</f>
        <v>50356643</v>
      </c>
      <c r="G198" s="1294">
        <f>'M1'!H36</f>
        <v>7960465</v>
      </c>
    </row>
    <row r="199" spans="1:7" ht="13.5" thickBot="1">
      <c r="A199" s="101"/>
      <c r="B199" s="203">
        <v>43</v>
      </c>
      <c r="C199" s="1295" t="s">
        <v>164</v>
      </c>
      <c r="D199" s="1296">
        <f>SUM(D174:D198)</f>
        <v>29612785</v>
      </c>
      <c r="E199" s="1296">
        <f>SUM(E174:E198)</f>
        <v>140425984</v>
      </c>
      <c r="F199" s="1296">
        <f>SUM(F174:F198)</f>
        <v>117868200</v>
      </c>
      <c r="G199" s="1296">
        <f>SUM(G174:G198)</f>
        <v>52170569</v>
      </c>
    </row>
    <row r="200" spans="1:5" ht="12.75">
      <c r="A200" s="247" t="s">
        <v>438</v>
      </c>
      <c r="B200" s="61"/>
      <c r="C200" s="101"/>
      <c r="E200" s="133">
        <f>'PASIVI '!E14</f>
        <v>162994</v>
      </c>
    </row>
    <row r="201" spans="1:5" ht="12.75">
      <c r="A201" s="247" t="s">
        <v>439</v>
      </c>
      <c r="B201" s="61"/>
      <c r="C201" s="101"/>
      <c r="E201" s="133">
        <f>'PASIVI '!E15</f>
        <v>55939.5</v>
      </c>
    </row>
    <row r="202" spans="1:5" ht="12.75">
      <c r="A202" s="247" t="s">
        <v>440</v>
      </c>
      <c r="B202" s="61"/>
      <c r="C202" s="101"/>
      <c r="E202" s="133">
        <f>'PASIVI '!E16</f>
        <v>15050</v>
      </c>
    </row>
    <row r="203" spans="1:5" ht="12.75">
      <c r="A203" s="247" t="s">
        <v>441</v>
      </c>
      <c r="B203" s="61"/>
      <c r="C203" s="101"/>
      <c r="E203" s="133">
        <f>'PASIVI '!E17</f>
        <v>0</v>
      </c>
    </row>
    <row r="204" spans="1:5" ht="12.75">
      <c r="A204" s="247" t="s">
        <v>442</v>
      </c>
      <c r="B204" s="61"/>
      <c r="C204" s="101"/>
      <c r="E204" s="133">
        <f>'PASIVI '!E18</f>
        <v>0</v>
      </c>
    </row>
    <row r="205" spans="1:5" ht="12.75">
      <c r="A205" s="247" t="s">
        <v>443</v>
      </c>
      <c r="B205" s="61"/>
      <c r="C205" s="101"/>
      <c r="E205" s="133">
        <f>'PASIVI '!E19</f>
        <v>0</v>
      </c>
    </row>
    <row r="206" spans="1:5" ht="12.75">
      <c r="A206" s="247" t="s">
        <v>444</v>
      </c>
      <c r="B206" s="61"/>
      <c r="C206" s="101"/>
      <c r="E206" s="133">
        <f>E207+E208</f>
        <v>0</v>
      </c>
    </row>
    <row r="207" spans="1:5" ht="12.75">
      <c r="A207" s="247" t="s">
        <v>445</v>
      </c>
      <c r="B207" s="61"/>
      <c r="C207" s="101"/>
      <c r="E207" s="133">
        <f>'PASIVI '!E8</f>
        <v>0</v>
      </c>
    </row>
    <row r="208" spans="1:5" ht="12.75">
      <c r="A208" s="247" t="s">
        <v>446</v>
      </c>
      <c r="B208" s="61"/>
      <c r="C208" s="101"/>
      <c r="E208" s="133">
        <f>'PASIVI '!E27</f>
        <v>0</v>
      </c>
    </row>
    <row r="209" spans="1:5" ht="12.75">
      <c r="A209" s="247" t="s">
        <v>447</v>
      </c>
      <c r="B209" s="61"/>
      <c r="C209" s="101"/>
      <c r="E209">
        <f>'PASIVI '!E22</f>
        <v>0</v>
      </c>
    </row>
    <row r="210" spans="1:3" ht="12.75">
      <c r="A210" s="61"/>
      <c r="B210" s="61"/>
      <c r="C210" s="101"/>
    </row>
    <row r="211" ht="15">
      <c r="A211" s="238" t="s">
        <v>448</v>
      </c>
    </row>
    <row r="212" ht="12.75">
      <c r="A212" s="101"/>
    </row>
    <row r="213" ht="12.75">
      <c r="A213" s="233" t="s">
        <v>449</v>
      </c>
    </row>
    <row r="214" ht="12.75">
      <c r="A214" s="233" t="s">
        <v>450</v>
      </c>
    </row>
    <row r="215" spans="1:6" ht="13.5" thickBot="1">
      <c r="A215" s="233" t="s">
        <v>451</v>
      </c>
      <c r="B215" s="1"/>
      <c r="C215" s="1"/>
      <c r="D215" s="1"/>
      <c r="E215" s="1"/>
      <c r="F215" s="1"/>
    </row>
    <row r="216" spans="1:9" ht="13.5" thickBot="1">
      <c r="A216" s="248"/>
      <c r="B216" s="102" t="s">
        <v>72</v>
      </c>
      <c r="C216" s="854" t="s">
        <v>297</v>
      </c>
      <c r="D216" s="855"/>
      <c r="E216" s="249"/>
      <c r="F216" s="249"/>
      <c r="G216" s="250"/>
      <c r="H216" s="103"/>
      <c r="I216" s="875">
        <f>'Ardh e shp - natyres'!E8</f>
        <v>105559294</v>
      </c>
    </row>
    <row r="217" spans="1:9" ht="13.5" thickBot="1">
      <c r="A217" s="248"/>
      <c r="B217" s="853">
        <v>1</v>
      </c>
      <c r="C217" s="990" t="s">
        <v>1035</v>
      </c>
      <c r="D217" s="991"/>
      <c r="E217" s="17"/>
      <c r="F217" s="199"/>
      <c r="G217" s="199"/>
      <c r="H217" s="251" t="s">
        <v>1036</v>
      </c>
      <c r="I217" s="876">
        <f>'Ardh e shp - natyres'!E9+'Ardh e shp - natyres'!E10</f>
        <v>95307999</v>
      </c>
    </row>
    <row r="218" spans="1:9" ht="13.5" thickBot="1">
      <c r="A218" s="248"/>
      <c r="B218" s="24">
        <v>2</v>
      </c>
      <c r="C218" s="257" t="s">
        <v>452</v>
      </c>
      <c r="D218" s="38"/>
      <c r="E218" s="253"/>
      <c r="F218" s="254"/>
      <c r="G218" s="255"/>
      <c r="H218" s="251" t="s">
        <v>1036</v>
      </c>
      <c r="I218" s="876">
        <f>'Ardh e shp - natyres'!E11+'Ardh e shp - natyres'!E12</f>
        <v>10251295</v>
      </c>
    </row>
    <row r="219" spans="1:9" ht="13.5" thickBot="1">
      <c r="A219" s="248"/>
      <c r="B219" s="256">
        <v>3</v>
      </c>
      <c r="C219" s="257" t="s">
        <v>453</v>
      </c>
      <c r="D219" s="1"/>
      <c r="E219" s="1"/>
      <c r="F219" s="61"/>
      <c r="G219" s="61"/>
      <c r="H219" s="251" t="s">
        <v>1036</v>
      </c>
      <c r="I219" s="876">
        <f>'Ardh e shp - natyres'!E13+'Ardh e shp - natyres'!E14</f>
        <v>0</v>
      </c>
    </row>
    <row r="220" spans="1:9" ht="12.75">
      <c r="A220" s="248"/>
      <c r="B220" s="24">
        <v>4</v>
      </c>
      <c r="C220" s="252" t="s">
        <v>454</v>
      </c>
      <c r="D220" s="253"/>
      <c r="E220" s="253"/>
      <c r="F220" s="254"/>
      <c r="G220" s="255"/>
      <c r="H220" s="251" t="s">
        <v>1036</v>
      </c>
      <c r="I220" s="876">
        <f>'Ardh e shp - natyres'!E15</f>
        <v>0</v>
      </c>
    </row>
    <row r="221" spans="1:9" ht="12.75">
      <c r="A221" s="248"/>
      <c r="B221" s="258" t="s">
        <v>78</v>
      </c>
      <c r="C221" s="260" t="s">
        <v>240</v>
      </c>
      <c r="D221" s="261"/>
      <c r="E221" s="261"/>
      <c r="F221" s="261"/>
      <c r="G221" s="262"/>
      <c r="H221" s="105"/>
      <c r="I221" s="877">
        <f>'Ardh e shp - natyres'!E16</f>
        <v>99788687.063</v>
      </c>
    </row>
    <row r="222" spans="1:9" ht="12.75">
      <c r="A222" s="248"/>
      <c r="B222" s="83">
        <v>5</v>
      </c>
      <c r="C222" s="252" t="s">
        <v>454</v>
      </c>
      <c r="D222" s="61"/>
      <c r="E222" s="61"/>
      <c r="F222" s="61"/>
      <c r="G222" s="61"/>
      <c r="H222" s="264"/>
      <c r="I222" s="878">
        <f>'Ardh e shp - natyres'!E17</f>
        <v>0</v>
      </c>
    </row>
    <row r="223" spans="1:9" ht="12.75">
      <c r="A223" s="248"/>
      <c r="B223" s="24">
        <v>6</v>
      </c>
      <c r="C223" s="252" t="s">
        <v>56</v>
      </c>
      <c r="D223" s="253"/>
      <c r="E223" s="253"/>
      <c r="F223" s="254"/>
      <c r="G223" s="255"/>
      <c r="H223" s="55" t="s">
        <v>156</v>
      </c>
      <c r="I223" s="879">
        <f>'Ardh e shp - natyres'!E18</f>
        <v>94821458.713</v>
      </c>
    </row>
    <row r="224" spans="1:9" ht="12.75">
      <c r="A224" s="248"/>
      <c r="B224" s="259">
        <v>7</v>
      </c>
      <c r="C224" s="856" t="s">
        <v>57</v>
      </c>
      <c r="D224" s="38"/>
      <c r="E224" s="253"/>
      <c r="F224" s="254"/>
      <c r="G224" s="255"/>
      <c r="H224" s="55" t="s">
        <v>157</v>
      </c>
      <c r="I224" s="879">
        <f>'Ardh e shp - natyres'!E19</f>
        <v>2390366.1</v>
      </c>
    </row>
    <row r="225" spans="1:9" ht="12.75">
      <c r="A225" s="248"/>
      <c r="B225" s="256"/>
      <c r="C225" s="257" t="s">
        <v>58</v>
      </c>
      <c r="D225" s="1"/>
      <c r="E225" s="1"/>
      <c r="F225" s="61"/>
      <c r="G225" s="61"/>
      <c r="H225" s="55"/>
      <c r="I225" s="879">
        <f>'Ardh e shp - natyres'!E20</f>
        <v>2048300</v>
      </c>
    </row>
    <row r="226" spans="1:9" ht="12.75">
      <c r="A226" s="248"/>
      <c r="B226" s="24"/>
      <c r="C226" s="252" t="s">
        <v>59</v>
      </c>
      <c r="D226" s="253"/>
      <c r="E226" s="253"/>
      <c r="F226" s="254"/>
      <c r="G226" s="255"/>
      <c r="H226" s="55"/>
      <c r="I226" s="879">
        <f>'Ardh e shp - natyres'!E21</f>
        <v>342066.1</v>
      </c>
    </row>
    <row r="227" spans="1:9" ht="12.75">
      <c r="A227" s="248"/>
      <c r="B227" s="256">
        <v>8</v>
      </c>
      <c r="C227" s="257" t="s">
        <v>60</v>
      </c>
      <c r="D227" s="1"/>
      <c r="E227" s="1"/>
      <c r="F227" s="61"/>
      <c r="G227" s="61"/>
      <c r="H227" s="55" t="s">
        <v>158</v>
      </c>
      <c r="I227" s="879">
        <f>'Ardh e shp - natyres'!E22</f>
        <v>2341412.25</v>
      </c>
    </row>
    <row r="228" spans="1:9" ht="12.75">
      <c r="A228" s="248"/>
      <c r="B228" s="259">
        <v>9</v>
      </c>
      <c r="C228" s="252" t="s">
        <v>263</v>
      </c>
      <c r="D228" s="253"/>
      <c r="E228" s="253"/>
      <c r="F228" s="254"/>
      <c r="G228" s="255"/>
      <c r="H228" s="55" t="s">
        <v>159</v>
      </c>
      <c r="I228" s="879">
        <f>'Ardh e shp - natyres'!E23+'Ardh e shp - natyres'!E24+'Ardh e shp - natyres'!E25</f>
        <v>235450</v>
      </c>
    </row>
    <row r="229" spans="1:9" ht="12.75">
      <c r="A229" s="248"/>
      <c r="B229" s="104" t="s">
        <v>83</v>
      </c>
      <c r="C229" s="260" t="s">
        <v>61</v>
      </c>
      <c r="D229" s="261"/>
      <c r="E229" s="261"/>
      <c r="F229" s="261"/>
      <c r="G229" s="262"/>
      <c r="H229" s="105"/>
      <c r="I229" s="877">
        <f>'Ardh e shp - natyres'!E26</f>
        <v>5770606.937000006</v>
      </c>
    </row>
    <row r="230" spans="1:9" ht="12.75">
      <c r="A230" s="248"/>
      <c r="B230" s="256">
        <v>10</v>
      </c>
      <c r="C230" s="257" t="s">
        <v>63</v>
      </c>
      <c r="D230" s="1"/>
      <c r="E230" s="1"/>
      <c r="F230" s="61"/>
      <c r="G230" s="61"/>
      <c r="H230" s="55"/>
      <c r="I230" s="879"/>
    </row>
    <row r="231" spans="1:9" ht="12.75">
      <c r="A231" s="248"/>
      <c r="B231" s="24">
        <v>11</v>
      </c>
      <c r="C231" s="252" t="s">
        <v>62</v>
      </c>
      <c r="D231" s="253"/>
      <c r="E231" s="253"/>
      <c r="F231" s="254"/>
      <c r="G231" s="255"/>
      <c r="H231" s="55"/>
      <c r="I231" s="879"/>
    </row>
    <row r="232" spans="1:9" ht="12.75">
      <c r="A232" s="248"/>
      <c r="B232" s="256">
        <v>12</v>
      </c>
      <c r="C232" s="257" t="s">
        <v>64</v>
      </c>
      <c r="D232" s="1"/>
      <c r="E232" s="1"/>
      <c r="F232" s="61"/>
      <c r="G232" s="61"/>
      <c r="H232" s="55"/>
      <c r="I232" s="879">
        <f>'Ardh e shp - natyres'!E29</f>
        <v>14260</v>
      </c>
    </row>
    <row r="233" spans="1:9" ht="12.75">
      <c r="A233" s="248"/>
      <c r="B233" s="24"/>
      <c r="C233" s="832" t="s">
        <v>904</v>
      </c>
      <c r="D233" s="253"/>
      <c r="E233" s="253"/>
      <c r="F233" s="254"/>
      <c r="G233" s="255"/>
      <c r="H233" s="55"/>
      <c r="I233" s="879"/>
    </row>
    <row r="234" spans="1:9" ht="12.75">
      <c r="A234" s="248"/>
      <c r="B234" s="256"/>
      <c r="C234" s="833" t="s">
        <v>905</v>
      </c>
      <c r="D234" s="1"/>
      <c r="E234" s="1"/>
      <c r="F234" s="61"/>
      <c r="G234" s="61"/>
      <c r="H234" s="55"/>
      <c r="I234" s="879">
        <f>'Ardh e shp - natyres'!E31</f>
        <v>14260</v>
      </c>
    </row>
    <row r="235" spans="1:9" ht="12.75">
      <c r="A235" s="248"/>
      <c r="B235" s="24"/>
      <c r="C235" s="832" t="s">
        <v>906</v>
      </c>
      <c r="D235" s="253"/>
      <c r="E235" s="253"/>
      <c r="F235" s="254"/>
      <c r="G235" s="255"/>
      <c r="H235" s="55"/>
      <c r="I235" s="879"/>
    </row>
    <row r="236" spans="1:9" ht="12.75">
      <c r="A236" s="248"/>
      <c r="B236" s="256"/>
      <c r="C236" s="833" t="s">
        <v>907</v>
      </c>
      <c r="D236" s="1"/>
      <c r="E236" s="1"/>
      <c r="F236" s="61"/>
      <c r="G236" s="61"/>
      <c r="H236" s="55"/>
      <c r="I236" s="879">
        <f>'Ardh e shp - natyres'!E33</f>
        <v>0</v>
      </c>
    </row>
    <row r="237" spans="1:9" ht="12.75">
      <c r="A237" s="248"/>
      <c r="B237" s="104" t="s">
        <v>114</v>
      </c>
      <c r="C237" s="260" t="s">
        <v>65</v>
      </c>
      <c r="D237" s="261"/>
      <c r="E237" s="261"/>
      <c r="F237" s="261"/>
      <c r="G237" s="262"/>
      <c r="H237" s="105"/>
      <c r="I237" s="880">
        <f>I230+I231+I232</f>
        <v>14260</v>
      </c>
    </row>
    <row r="238" spans="1:9" ht="12.75">
      <c r="A238" s="248"/>
      <c r="B238" s="256">
        <v>14</v>
      </c>
      <c r="C238" s="263" t="s">
        <v>66</v>
      </c>
      <c r="D238" s="1"/>
      <c r="E238" s="1"/>
      <c r="F238" s="61"/>
      <c r="G238" s="61"/>
      <c r="H238" s="264"/>
      <c r="I238" s="878">
        <f>I229+I237</f>
        <v>5784866.937000006</v>
      </c>
    </row>
    <row r="239" spans="1:9" ht="12.75">
      <c r="A239" s="248"/>
      <c r="B239" s="24"/>
      <c r="C239" s="265" t="s">
        <v>455</v>
      </c>
      <c r="D239" s="253"/>
      <c r="E239" s="253"/>
      <c r="F239" s="254"/>
      <c r="G239" s="255"/>
      <c r="H239" s="264" t="s">
        <v>159</v>
      </c>
      <c r="I239" s="878">
        <f>'Ardh e shp - natyres'!E36</f>
        <v>0</v>
      </c>
    </row>
    <row r="240" spans="1:9" ht="12.75">
      <c r="A240" s="248"/>
      <c r="B240" s="256">
        <v>15</v>
      </c>
      <c r="C240" s="257" t="s">
        <v>67</v>
      </c>
      <c r="D240" s="1"/>
      <c r="E240" s="1"/>
      <c r="F240" s="61"/>
      <c r="G240" s="61"/>
      <c r="H240" s="264"/>
      <c r="I240" s="881">
        <f>(I238+I239)*0.1</f>
        <v>578486.6937000006</v>
      </c>
    </row>
    <row r="241" spans="1:9" ht="12.75">
      <c r="A241" s="248"/>
      <c r="B241" s="104">
        <v>16</v>
      </c>
      <c r="C241" s="260" t="s">
        <v>68</v>
      </c>
      <c r="D241" s="261"/>
      <c r="E241" s="261"/>
      <c r="F241" s="261"/>
      <c r="G241" s="262"/>
      <c r="H241" s="105"/>
      <c r="I241" s="877">
        <f>I238-I240</f>
        <v>5206380.243300006</v>
      </c>
    </row>
    <row r="242" spans="1:9" ht="13.5" thickBot="1">
      <c r="A242" s="248"/>
      <c r="B242" s="25">
        <v>17</v>
      </c>
      <c r="C242" s="266" t="s">
        <v>69</v>
      </c>
      <c r="D242" s="267"/>
      <c r="E242" s="267"/>
      <c r="F242" s="268"/>
      <c r="G242" s="269"/>
      <c r="H242" s="56"/>
      <c r="I242" s="94"/>
    </row>
    <row r="243" spans="1:9" ht="12.75">
      <c r="A243" s="248"/>
      <c r="B243" s="248"/>
      <c r="C243" s="101"/>
      <c r="D243" s="270"/>
      <c r="E243" s="271"/>
      <c r="F243" s="61"/>
      <c r="G243" s="101"/>
      <c r="H243" s="101"/>
      <c r="I243" s="101"/>
    </row>
    <row r="244" spans="1:2" ht="13.5" customHeight="1">
      <c r="A244" s="1"/>
      <c r="B244" s="1"/>
    </row>
    <row r="245" spans="1:5" ht="15">
      <c r="A245" s="238" t="s">
        <v>456</v>
      </c>
      <c r="B245" s="101"/>
      <c r="C245" s="101"/>
      <c r="D245" s="101"/>
      <c r="E245" s="101"/>
    </row>
    <row r="246" spans="1:5" ht="12.75">
      <c r="A246" s="101"/>
      <c r="B246" s="101"/>
      <c r="C246" s="101"/>
      <c r="D246" s="101"/>
      <c r="E246" s="101"/>
    </row>
    <row r="247" spans="1:5" ht="12.75">
      <c r="A247" s="101" t="s">
        <v>457</v>
      </c>
      <c r="B247" s="101"/>
      <c r="C247" s="101"/>
      <c r="D247" s="101"/>
      <c r="E247" s="101"/>
    </row>
    <row r="248" spans="1:5" ht="13.5" thickBot="1">
      <c r="A248" s="101"/>
      <c r="B248" s="101"/>
      <c r="C248" s="101"/>
      <c r="D248" s="272"/>
      <c r="E248" s="61"/>
    </row>
    <row r="249" spans="1:8" ht="15.75">
      <c r="A249" s="101"/>
      <c r="B249" s="273" t="s">
        <v>72</v>
      </c>
      <c r="C249" s="274" t="s">
        <v>73</v>
      </c>
      <c r="D249" s="275"/>
      <c r="E249" s="275"/>
      <c r="F249" s="275"/>
      <c r="G249" s="276"/>
      <c r="H249" s="277">
        <f>H250-H251-H252-H253-H254</f>
        <v>26682751.174399994</v>
      </c>
    </row>
    <row r="250" spans="1:8" ht="15.75">
      <c r="A250" s="101"/>
      <c r="B250" s="278"/>
      <c r="C250" s="40" t="s">
        <v>74</v>
      </c>
      <c r="D250" s="1"/>
      <c r="E250" s="61"/>
      <c r="F250" s="1"/>
      <c r="G250" s="1"/>
      <c r="H250" s="882">
        <f>' Fluksit mon - direkte'!D9</f>
        <v>123466827.8</v>
      </c>
    </row>
    <row r="251" spans="1:8" ht="15.75">
      <c r="A251" s="101"/>
      <c r="B251" s="279"/>
      <c r="C251" s="22" t="s">
        <v>75</v>
      </c>
      <c r="D251" s="253"/>
      <c r="E251" s="254"/>
      <c r="F251" s="253"/>
      <c r="G251" s="43"/>
      <c r="H251" s="882">
        <f>' Fluksit mon - direkte'!D10</f>
        <v>94604929.2256</v>
      </c>
    </row>
    <row r="252" spans="1:8" ht="15.75">
      <c r="A252" s="101"/>
      <c r="B252" s="278"/>
      <c r="C252" s="40" t="s">
        <v>76</v>
      </c>
      <c r="D252" s="1"/>
      <c r="E252" s="61"/>
      <c r="F252" s="1"/>
      <c r="G252" s="1"/>
      <c r="H252" s="882">
        <f>' Fluksit mon - direkte'!D11</f>
        <v>0</v>
      </c>
    </row>
    <row r="253" spans="1:8" ht="15.75">
      <c r="A253" s="101"/>
      <c r="B253" s="279"/>
      <c r="C253" s="22" t="s">
        <v>300</v>
      </c>
      <c r="D253" s="253"/>
      <c r="E253" s="254"/>
      <c r="F253" s="253"/>
      <c r="G253" s="43"/>
      <c r="H253" s="882">
        <f>' Fluksit mon - direkte'!D12</f>
        <v>1943697.4</v>
      </c>
    </row>
    <row r="254" spans="1:8" ht="15.75">
      <c r="A254" s="101"/>
      <c r="B254" s="278"/>
      <c r="C254" s="40" t="s">
        <v>351</v>
      </c>
      <c r="D254" s="1"/>
      <c r="E254" s="61"/>
      <c r="F254" s="1"/>
      <c r="G254" s="1"/>
      <c r="H254" s="882">
        <f>' Fluksit mon - direkte'!D13</f>
        <v>235450</v>
      </c>
    </row>
    <row r="255" spans="1:8" ht="15.75">
      <c r="A255" s="101"/>
      <c r="B255" s="279"/>
      <c r="C255" s="34" t="s">
        <v>77</v>
      </c>
      <c r="D255" s="253"/>
      <c r="E255" s="254"/>
      <c r="F255" s="253"/>
      <c r="G255" s="43"/>
      <c r="H255" s="883" t="s">
        <v>133</v>
      </c>
    </row>
    <row r="256" spans="1:8" ht="15.75">
      <c r="A256" s="101"/>
      <c r="B256" s="280" t="s">
        <v>78</v>
      </c>
      <c r="C256" s="281" t="s">
        <v>140</v>
      </c>
      <c r="D256" s="282"/>
      <c r="E256" s="282"/>
      <c r="F256" s="282"/>
      <c r="G256" s="282"/>
      <c r="H256" s="884">
        <f>H257-H258-H259-H260-H261</f>
        <v>-26400026.4</v>
      </c>
    </row>
    <row r="257" spans="1:8" ht="15.75">
      <c r="A257" s="101"/>
      <c r="B257" s="279"/>
      <c r="C257" s="22" t="s">
        <v>79</v>
      </c>
      <c r="D257" s="253"/>
      <c r="E257" s="254"/>
      <c r="F257" s="253"/>
      <c r="G257" s="43"/>
      <c r="H257" s="882">
        <f>' Fluksit mon - direkte'!D16</f>
        <v>0</v>
      </c>
    </row>
    <row r="258" spans="1:8" ht="15.75">
      <c r="A258" s="101"/>
      <c r="B258" s="278"/>
      <c r="C258" s="40" t="s">
        <v>80</v>
      </c>
      <c r="D258" s="1"/>
      <c r="E258" s="61"/>
      <c r="F258" s="1"/>
      <c r="G258" s="1"/>
      <c r="H258" s="882">
        <f>' Fluksit mon - direkte'!D17</f>
        <v>26400026.4</v>
      </c>
    </row>
    <row r="259" spans="1:8" ht="15.75">
      <c r="A259" s="101"/>
      <c r="B259" s="283"/>
      <c r="C259" s="22" t="s">
        <v>387</v>
      </c>
      <c r="D259" s="253"/>
      <c r="E259" s="254"/>
      <c r="F259" s="253"/>
      <c r="G259" s="253"/>
      <c r="H259" s="882">
        <f>' Fluksit mon - direkte'!D18</f>
        <v>0</v>
      </c>
    </row>
    <row r="260" spans="1:8" ht="15.75">
      <c r="A260" s="101"/>
      <c r="B260" s="279"/>
      <c r="C260" s="40" t="s">
        <v>81</v>
      </c>
      <c r="D260" s="1"/>
      <c r="E260" s="61"/>
      <c r="F260" s="1"/>
      <c r="G260" s="1"/>
      <c r="H260" s="882">
        <f>' Fluksit mon - direkte'!D19</f>
        <v>0</v>
      </c>
    </row>
    <row r="261" spans="1:8" ht="15.75">
      <c r="A261" s="101"/>
      <c r="B261" s="279"/>
      <c r="C261" s="22" t="s">
        <v>82</v>
      </c>
      <c r="D261" s="253"/>
      <c r="E261" s="254"/>
      <c r="F261" s="253"/>
      <c r="G261" s="253"/>
      <c r="H261" s="882">
        <f>' Fluksit mon - direkte'!D20</f>
        <v>0</v>
      </c>
    </row>
    <row r="262" spans="1:8" ht="15.75">
      <c r="A262" s="101"/>
      <c r="B262" s="278"/>
      <c r="C262" s="284" t="s">
        <v>139</v>
      </c>
      <c r="D262" s="1"/>
      <c r="E262" s="61"/>
      <c r="F262" s="1"/>
      <c r="G262" s="1"/>
      <c r="H262" s="882">
        <f>' Fluksit mon - direkte'!D21</f>
        <v>0</v>
      </c>
    </row>
    <row r="263" spans="1:8" ht="15.75">
      <c r="A263" s="101"/>
      <c r="B263" s="285" t="s">
        <v>83</v>
      </c>
      <c r="C263" s="286" t="s">
        <v>84</v>
      </c>
      <c r="D263" s="287"/>
      <c r="E263" s="287"/>
      <c r="F263" s="287"/>
      <c r="G263" s="287"/>
      <c r="H263" s="884">
        <f>H264-H265-H266-H267</f>
        <v>-14260</v>
      </c>
    </row>
    <row r="264" spans="1:8" ht="12.75">
      <c r="A264" s="101"/>
      <c r="B264" s="288"/>
      <c r="C264" s="40" t="s">
        <v>85</v>
      </c>
      <c r="D264" s="1"/>
      <c r="E264" s="61"/>
      <c r="F264" s="1"/>
      <c r="G264" s="1"/>
      <c r="H264" s="885"/>
    </row>
    <row r="265" spans="1:8" ht="12.75">
      <c r="A265" s="101"/>
      <c r="B265" s="33"/>
      <c r="C265" s="22" t="s">
        <v>86</v>
      </c>
      <c r="D265" s="253"/>
      <c r="E265" s="254"/>
      <c r="F265" s="253"/>
      <c r="G265" s="253"/>
      <c r="H265" s="882">
        <f>' Fluksit mon - direkte'!D24</f>
        <v>0</v>
      </c>
    </row>
    <row r="266" spans="1:8" ht="12.75">
      <c r="A266" s="101"/>
      <c r="B266" s="288"/>
      <c r="C266" s="40" t="s">
        <v>87</v>
      </c>
      <c r="D266" s="1"/>
      <c r="E266" s="61"/>
      <c r="F266" s="1"/>
      <c r="G266" s="1"/>
      <c r="H266" s="885">
        <f>' Fluksit mon - direkte'!D25</f>
        <v>14260</v>
      </c>
    </row>
    <row r="267" spans="1:8" ht="12.75">
      <c r="A267" s="101"/>
      <c r="B267" s="31"/>
      <c r="C267" s="22" t="s">
        <v>88</v>
      </c>
      <c r="D267" s="253"/>
      <c r="E267" s="254"/>
      <c r="F267" s="253"/>
      <c r="G267" s="253"/>
      <c r="H267" s="882">
        <f>' Fluksit mon - direkte'!D26</f>
        <v>0</v>
      </c>
    </row>
    <row r="268" spans="1:8" ht="12.75">
      <c r="A268" s="101"/>
      <c r="B268" s="58"/>
      <c r="C268" s="40" t="s">
        <v>89</v>
      </c>
      <c r="D268" s="1"/>
      <c r="E268" s="61"/>
      <c r="F268" s="1"/>
      <c r="G268" s="1"/>
      <c r="H268" s="885">
        <f>H263</f>
        <v>-14260</v>
      </c>
    </row>
    <row r="269" spans="1:8" ht="12.75">
      <c r="A269" s="101"/>
      <c r="B269" s="289"/>
      <c r="C269" s="106" t="s">
        <v>141</v>
      </c>
      <c r="D269" s="287"/>
      <c r="E269" s="287"/>
      <c r="F269" s="287"/>
      <c r="G269" s="287"/>
      <c r="H269" s="886">
        <f>' Fluksit mon - direkte'!D28</f>
        <v>296984.7743999958</v>
      </c>
    </row>
    <row r="270" spans="1:8" ht="12.75">
      <c r="A270" s="101"/>
      <c r="B270" s="58"/>
      <c r="C270" s="290" t="s">
        <v>91</v>
      </c>
      <c r="D270" s="1"/>
      <c r="E270" s="61"/>
      <c r="F270" s="1"/>
      <c r="G270" s="1"/>
      <c r="H270" s="886">
        <f>' Fluksit mon - direkte'!D29</f>
        <v>5698309</v>
      </c>
    </row>
    <row r="271" spans="1:8" ht="13.5" thickBot="1">
      <c r="A271" s="101"/>
      <c r="B271" s="291"/>
      <c r="C271" s="292" t="s">
        <v>90</v>
      </c>
      <c r="D271" s="293"/>
      <c r="E271" s="293"/>
      <c r="F271" s="293"/>
      <c r="G271" s="293"/>
      <c r="H271" s="886">
        <f>' Fluksit mon - direkte'!D30</f>
        <v>5995293.774399996</v>
      </c>
    </row>
    <row r="272" spans="1:5" ht="12.75">
      <c r="A272" s="101"/>
      <c r="B272" s="101"/>
      <c r="C272" s="101"/>
      <c r="D272" s="272"/>
      <c r="E272" s="61"/>
    </row>
    <row r="273" ht="21">
      <c r="A273" s="294" t="s">
        <v>458</v>
      </c>
    </row>
    <row r="274" ht="12.75">
      <c r="B274" s="21" t="s">
        <v>1037</v>
      </c>
    </row>
    <row r="275" spans="1:3" ht="12.75">
      <c r="A275" s="101"/>
      <c r="B275" s="101"/>
      <c r="C275" s="101"/>
    </row>
    <row r="276" spans="1:7" ht="12.75">
      <c r="A276" s="239" t="s">
        <v>459</v>
      </c>
      <c r="B276" s="101"/>
      <c r="C276" s="101"/>
      <c r="G276" s="101"/>
    </row>
    <row r="277" spans="1:7" ht="13.5" thickBot="1">
      <c r="A277" s="101"/>
      <c r="B277" s="101"/>
      <c r="C277" s="101"/>
      <c r="G277" s="101"/>
    </row>
    <row r="278" spans="1:10" ht="53.25" thickBot="1">
      <c r="A278" s="295" t="s">
        <v>460</v>
      </c>
      <c r="B278" s="867" t="s">
        <v>1038</v>
      </c>
      <c r="C278" s="867" t="s">
        <v>461</v>
      </c>
      <c r="D278" s="867" t="s">
        <v>462</v>
      </c>
      <c r="E278" s="867" t="s">
        <v>1039</v>
      </c>
      <c r="F278" s="867" t="s">
        <v>1040</v>
      </c>
      <c r="G278" s="868" t="s">
        <v>1041</v>
      </c>
      <c r="H278" s="867" t="s">
        <v>909</v>
      </c>
      <c r="I278" s="867" t="s">
        <v>953</v>
      </c>
      <c r="J278" s="836"/>
    </row>
    <row r="279" spans="1:10" ht="21.75" thickBot="1">
      <c r="A279" s="834" t="s">
        <v>908</v>
      </c>
      <c r="B279" s="835">
        <f>U!E9</f>
        <v>0</v>
      </c>
      <c r="C279" s="835">
        <f>U!F9</f>
        <v>0</v>
      </c>
      <c r="D279" s="835">
        <f>U!G9</f>
        <v>0</v>
      </c>
      <c r="E279" s="835">
        <f>U!H9</f>
        <v>0</v>
      </c>
      <c r="F279" s="835">
        <f>U!J9</f>
        <v>0</v>
      </c>
      <c r="G279" s="835">
        <f>U!L9</f>
        <v>0</v>
      </c>
      <c r="H279" s="835">
        <f>U!M9</f>
        <v>0</v>
      </c>
      <c r="I279" s="835">
        <f>U!O9</f>
        <v>0</v>
      </c>
      <c r="J279" s="836"/>
    </row>
    <row r="280" spans="1:10" ht="34.5" thickBot="1">
      <c r="A280" s="296" t="s">
        <v>154</v>
      </c>
      <c r="B280" s="324">
        <f>U!E13</f>
        <v>30583481</v>
      </c>
      <c r="C280" s="324">
        <f>U!F13</f>
        <v>20156692</v>
      </c>
      <c r="D280" s="324">
        <f>U!G13</f>
        <v>0</v>
      </c>
      <c r="E280" s="324">
        <f>U!H13</f>
        <v>50740173</v>
      </c>
      <c r="F280" s="324">
        <f>U!J13</f>
        <v>0</v>
      </c>
      <c r="G280" s="324">
        <f>U!L13</f>
        <v>1529174.0499999998</v>
      </c>
      <c r="H280" s="324">
        <f>U!M13</f>
        <v>0</v>
      </c>
      <c r="I280" s="324">
        <f>U!O13</f>
        <v>49210998.95</v>
      </c>
      <c r="J280" s="837"/>
    </row>
    <row r="281" spans="1:10" ht="57" thickBot="1">
      <c r="A281" s="297" t="s">
        <v>463</v>
      </c>
      <c r="B281" s="330">
        <f>U!E28</f>
        <v>1635000</v>
      </c>
      <c r="C281" s="330">
        <f>U!F28</f>
        <v>0</v>
      </c>
      <c r="D281" s="330">
        <f>U!G28</f>
        <v>0</v>
      </c>
      <c r="E281" s="330">
        <f>U!H28</f>
        <v>1635000</v>
      </c>
      <c r="F281" s="330">
        <f>U!J28</f>
        <v>891084</v>
      </c>
      <c r="G281" s="324">
        <f>U!L28</f>
        <v>148783.2</v>
      </c>
      <c r="H281" s="324">
        <f>U!M28</f>
        <v>0</v>
      </c>
      <c r="I281" s="324">
        <f>U!O28</f>
        <v>595132.8</v>
      </c>
      <c r="J281" s="837"/>
    </row>
    <row r="282" spans="1:10" ht="57" thickBot="1">
      <c r="A282" s="297" t="s">
        <v>464</v>
      </c>
      <c r="B282" s="330">
        <f>U!E35</f>
        <v>0</v>
      </c>
      <c r="C282" s="330">
        <f>U!F35</f>
        <v>0</v>
      </c>
      <c r="D282" s="330">
        <f>U!G35</f>
        <v>0</v>
      </c>
      <c r="E282" s="330">
        <f>U!H35</f>
        <v>0</v>
      </c>
      <c r="F282" s="330">
        <f>U!J35</f>
        <v>0</v>
      </c>
      <c r="G282" s="324">
        <f>U!L35</f>
        <v>0</v>
      </c>
      <c r="H282" s="324">
        <f>U!M35</f>
        <v>0</v>
      </c>
      <c r="I282" s="324">
        <f>U!O35</f>
        <v>0</v>
      </c>
      <c r="J282" s="837"/>
    </row>
    <row r="283" spans="1:10" ht="78.75">
      <c r="A283" s="297" t="s">
        <v>465</v>
      </c>
      <c r="B283" s="330">
        <f>U!E47</f>
        <v>4291764</v>
      </c>
      <c r="C283" s="330">
        <f>U!F47</f>
        <v>1843330</v>
      </c>
      <c r="D283" s="330">
        <f>U!G47</f>
        <v>0</v>
      </c>
      <c r="E283" s="330">
        <f>U!H47</f>
        <v>6135094</v>
      </c>
      <c r="F283" s="330">
        <f>U!J47</f>
        <v>974489</v>
      </c>
      <c r="G283" s="324">
        <f>U!K47</f>
        <v>3317275</v>
      </c>
      <c r="H283" s="324">
        <f>U!L47</f>
        <v>663455</v>
      </c>
      <c r="I283" s="324">
        <f>U!O47</f>
        <v>4497150</v>
      </c>
      <c r="J283" s="837"/>
    </row>
    <row r="284" spans="1:10" ht="23.25" thickBot="1">
      <c r="A284" s="298" t="s">
        <v>398</v>
      </c>
      <c r="B284" s="331">
        <f>SUM(B279:B283)</f>
        <v>36510245</v>
      </c>
      <c r="C284" s="331">
        <f aca="true" t="shared" si="0" ref="C284:I284">SUM(C279:C283)</f>
        <v>22000022</v>
      </c>
      <c r="D284" s="331">
        <f t="shared" si="0"/>
        <v>0</v>
      </c>
      <c r="E284" s="331">
        <f t="shared" si="0"/>
        <v>58510267</v>
      </c>
      <c r="F284" s="331">
        <f t="shared" si="0"/>
        <v>1865573</v>
      </c>
      <c r="G284" s="331">
        <f t="shared" si="0"/>
        <v>4995232.25</v>
      </c>
      <c r="H284" s="331">
        <f t="shared" si="0"/>
        <v>663455</v>
      </c>
      <c r="I284" s="331">
        <f t="shared" si="0"/>
        <v>54303281.75</v>
      </c>
      <c r="J284" s="838"/>
    </row>
    <row r="285" spans="1:7" ht="12.75">
      <c r="A285" s="101"/>
      <c r="B285" s="248"/>
      <c r="D285" s="61"/>
      <c r="E285" s="61"/>
      <c r="F285" s="61"/>
      <c r="G285" s="61"/>
    </row>
    <row r="286" spans="1:7" ht="12.75">
      <c r="A286" s="101"/>
      <c r="B286" s="299"/>
      <c r="D286" s="61"/>
      <c r="E286" s="61"/>
      <c r="F286" s="61"/>
      <c r="G286" s="61"/>
    </row>
    <row r="287" spans="1:3" ht="12.75">
      <c r="A287" s="239" t="s">
        <v>466</v>
      </c>
      <c r="B287" s="101"/>
      <c r="C287" s="101"/>
    </row>
    <row r="288" spans="1:3" ht="13.5" thickBot="1">
      <c r="A288" s="101"/>
      <c r="B288" s="101"/>
      <c r="C288" s="101"/>
    </row>
    <row r="289" spans="2:9" ht="30" customHeight="1" thickBot="1">
      <c r="B289" s="300" t="s">
        <v>1</v>
      </c>
      <c r="C289" s="301" t="s">
        <v>96</v>
      </c>
      <c r="D289" s="864" t="s">
        <v>97</v>
      </c>
      <c r="E289" s="865" t="s">
        <v>98</v>
      </c>
      <c r="F289" s="865" t="s">
        <v>352</v>
      </c>
      <c r="G289" s="865" t="s">
        <v>105</v>
      </c>
      <c r="H289" s="865" t="s">
        <v>99</v>
      </c>
      <c r="I289" s="302" t="s">
        <v>94</v>
      </c>
    </row>
    <row r="290" spans="2:9" ht="19.5" customHeight="1" thickBot="1">
      <c r="B290" s="857" t="s">
        <v>4</v>
      </c>
      <c r="C290" s="866" t="str">
        <f>'Pasq e ndrysh te kap 2'!C6</f>
        <v>Pozicioni me 31 Dhjetor 2010</v>
      </c>
      <c r="D290" s="1299">
        <f>+'Pasq e ndrysh te kap 2'!D6</f>
        <v>16578558</v>
      </c>
      <c r="E290" s="1299">
        <f>+'Pasq e ndrysh te kap 2'!E6</f>
        <v>0</v>
      </c>
      <c r="F290" s="1299">
        <f>+'Pasq e ndrysh te kap 2'!F6</f>
        <v>0</v>
      </c>
      <c r="G290" s="1299">
        <f>+'Pasq e ndrysh te kap 2'!G6</f>
        <v>872554</v>
      </c>
      <c r="H290" s="1299">
        <f>+'Pasq e ndrysh te kap 2'!H6</f>
        <v>0</v>
      </c>
      <c r="I290" s="1300">
        <f>+'Pasq e ndrysh te kap 2'!I6</f>
        <v>17451112</v>
      </c>
    </row>
    <row r="291" spans="2:9" ht="13.5" thickBot="1">
      <c r="B291" s="859" t="s">
        <v>72</v>
      </c>
      <c r="C291" s="858" t="str">
        <f>'Pasq e ndrysh te kap 2'!C7</f>
        <v>Efekti I ndryshimit ne polit kontabel </v>
      </c>
      <c r="D291" s="1299">
        <f>+'Pasq e ndrysh te kap 2'!D7</f>
        <v>0</v>
      </c>
      <c r="E291" s="1299">
        <f>+'Pasq e ndrysh te kap 2'!E7</f>
        <v>0</v>
      </c>
      <c r="F291" s="1299">
        <f>+'Pasq e ndrysh te kap 2'!F7</f>
        <v>0</v>
      </c>
      <c r="G291" s="1299">
        <f>+'Pasq e ndrysh te kap 2'!G7</f>
        <v>0</v>
      </c>
      <c r="H291" s="1299">
        <f>+'Pasq e ndrysh te kap 2'!H7</f>
        <v>0</v>
      </c>
      <c r="I291" s="1300">
        <f>+'Pasq e ndrysh te kap 2'!I7</f>
        <v>0</v>
      </c>
    </row>
    <row r="292" spans="2:9" ht="13.5" thickBot="1">
      <c r="B292" s="860" t="s">
        <v>78</v>
      </c>
      <c r="C292" s="858" t="str">
        <f>'Pasq e ndrysh te kap 2'!C8</f>
        <v>Pozicioni I rregulluar</v>
      </c>
      <c r="D292" s="1299">
        <f>+'Pasq e ndrysh te kap 2'!D8</f>
        <v>0</v>
      </c>
      <c r="E292" s="1299">
        <f>+'Pasq e ndrysh te kap 2'!E8</f>
        <v>0</v>
      </c>
      <c r="F292" s="1299">
        <f>+'Pasq e ndrysh te kap 2'!F8</f>
        <v>0</v>
      </c>
      <c r="G292" s="1299">
        <f>+'Pasq e ndrysh te kap 2'!G8</f>
        <v>0</v>
      </c>
      <c r="H292" s="1299">
        <f>+'Pasq e ndrysh te kap 2'!H8</f>
        <v>0</v>
      </c>
      <c r="I292" s="1300">
        <f>+'Pasq e ndrysh te kap 2'!I8</f>
        <v>0</v>
      </c>
    </row>
    <row r="293" spans="2:9" ht="13.5" thickBot="1">
      <c r="B293" s="304">
        <v>1</v>
      </c>
      <c r="C293" s="863" t="str">
        <f>'Pasq e ndrysh te kap 2'!C9</f>
        <v>Fitimi Neto per periudhen Kontabel</v>
      </c>
      <c r="D293" s="1301">
        <f>+'Pasq e ndrysh te kap 2'!D9</f>
        <v>0</v>
      </c>
      <c r="E293" s="1301">
        <f>+'Pasq e ndrysh te kap 2'!E9</f>
        <v>0</v>
      </c>
      <c r="F293" s="1301">
        <f>+'Pasq e ndrysh te kap 2'!F9</f>
        <v>0</v>
      </c>
      <c r="G293" s="1301">
        <f>+'Pasq e ndrysh te kap 2'!G9</f>
        <v>0</v>
      </c>
      <c r="H293" s="1301">
        <f>+'Pasq e ndrysh te kap 2'!H9</f>
        <v>0</v>
      </c>
      <c r="I293" s="1302">
        <f>+'Pasq e ndrysh te kap 2'!I9</f>
        <v>0</v>
      </c>
    </row>
    <row r="294" spans="2:9" ht="13.5" thickBot="1">
      <c r="B294" s="304">
        <v>2</v>
      </c>
      <c r="C294" s="863" t="str">
        <f>'Pasq e ndrysh te kap 2'!C10</f>
        <v>Dividentet e paguar</v>
      </c>
      <c r="D294" s="1301">
        <f>+'Pasq e ndrysh te kap 2'!D10</f>
        <v>0</v>
      </c>
      <c r="E294" s="1301">
        <f>+'Pasq e ndrysh te kap 2'!E10</f>
        <v>0</v>
      </c>
      <c r="F294" s="1301">
        <f>+'Pasq e ndrysh te kap 2'!F10</f>
        <v>0</v>
      </c>
      <c r="G294" s="1301">
        <f>+'Pasq e ndrysh te kap 2'!G10</f>
        <v>0</v>
      </c>
      <c r="H294" s="1301">
        <f>+'Pasq e ndrysh te kap 2'!H10</f>
        <v>0</v>
      </c>
      <c r="I294" s="1302">
        <f>+'Pasq e ndrysh te kap 2'!I10</f>
        <v>0</v>
      </c>
    </row>
    <row r="295" spans="2:9" ht="13.5" thickBot="1">
      <c r="B295" s="304">
        <v>3</v>
      </c>
      <c r="C295" s="863" t="str">
        <f>'Pasq e ndrysh te kap 2'!C11</f>
        <v>Rritja e rezerves te kapitalit</v>
      </c>
      <c r="D295" s="1301">
        <f>+'Pasq e ndrysh te kap 2'!D11</f>
        <v>0</v>
      </c>
      <c r="E295" s="1301">
        <f>+'Pasq e ndrysh te kap 2'!E11</f>
        <v>0</v>
      </c>
      <c r="F295" s="1301">
        <f>+'Pasq e ndrysh te kap 2'!F11</f>
        <v>0</v>
      </c>
      <c r="G295" s="1301">
        <f>+'Pasq e ndrysh te kap 2'!G11</f>
        <v>0</v>
      </c>
      <c r="H295" s="1301">
        <f>+'Pasq e ndrysh te kap 2'!H11</f>
        <v>0</v>
      </c>
      <c r="I295" s="1302">
        <f>+'Pasq e ndrysh te kap 2'!I11</f>
        <v>0</v>
      </c>
    </row>
    <row r="296" spans="2:9" ht="13.5" thickBot="1">
      <c r="B296" s="307">
        <v>4</v>
      </c>
      <c r="C296" s="863" t="str">
        <f>'Pasq e ndrysh te kap 2'!C12</f>
        <v>Emetimi I Aksioneve, fitime te mbartura</v>
      </c>
      <c r="D296" s="1301">
        <f>+'Pasq e ndrysh te kap 2'!D12</f>
        <v>0</v>
      </c>
      <c r="E296" s="1301">
        <f>+'Pasq e ndrysh te kap 2'!E12</f>
        <v>0</v>
      </c>
      <c r="F296" s="1301">
        <f>+'Pasq e ndrysh te kap 2'!F12</f>
        <v>0</v>
      </c>
      <c r="G296" s="1301">
        <f>+'Pasq e ndrysh te kap 2'!G12</f>
        <v>0</v>
      </c>
      <c r="H296" s="1301">
        <f>+'Pasq e ndrysh te kap 2'!H12</f>
        <v>0</v>
      </c>
      <c r="I296" s="1302">
        <f>+'Pasq e ndrysh te kap 2'!I12</f>
        <v>0</v>
      </c>
    </row>
    <row r="297" spans="2:9" ht="23.25" customHeight="1" thickBot="1">
      <c r="B297" s="861" t="s">
        <v>19</v>
      </c>
      <c r="C297" s="866" t="str">
        <f>'Pasq e ndrysh te kap 2'!C13</f>
        <v>Pozicioni me 31 Dhjetor 2011</v>
      </c>
      <c r="D297" s="1299">
        <f>+'Pasq e ndrysh te kap 2'!D13</f>
        <v>16578558</v>
      </c>
      <c r="E297" s="1299">
        <f>+'Pasq e ndrysh te kap 2'!E13</f>
        <v>0</v>
      </c>
      <c r="F297" s="1299">
        <f>+'Pasq e ndrysh te kap 2'!F13</f>
        <v>0</v>
      </c>
      <c r="G297" s="1299">
        <f>+'Pasq e ndrysh te kap 2'!G13</f>
        <v>872554</v>
      </c>
      <c r="H297" s="1299">
        <f>+'Pasq e ndrysh te kap 2'!H13</f>
        <v>0</v>
      </c>
      <c r="I297" s="1300">
        <f>+'Pasq e ndrysh te kap 2'!I13</f>
        <v>17451112</v>
      </c>
    </row>
    <row r="298" spans="2:9" ht="13.5" thickBot="1">
      <c r="B298" s="303">
        <v>1</v>
      </c>
      <c r="C298" s="863" t="str">
        <f>'Pasq e ndrysh te kap 2'!C14</f>
        <v>Fitimi Neto per periudhen Kontabel</v>
      </c>
      <c r="D298" s="1301">
        <f>+'Pasq e ndrysh te kap 2'!D14</f>
        <v>0</v>
      </c>
      <c r="E298" s="1301">
        <f>+'Pasq e ndrysh te kap 2'!E14</f>
        <v>0</v>
      </c>
      <c r="F298" s="1301">
        <f>+'Pasq e ndrysh te kap 2'!F14</f>
        <v>0</v>
      </c>
      <c r="G298" s="1301">
        <f>+'Pasq e ndrysh te kap 2'!G14</f>
        <v>0</v>
      </c>
      <c r="H298" s="1301">
        <f>+'Pasq e ndrysh te kap 2'!H14</f>
        <v>5206380.243300006</v>
      </c>
      <c r="I298" s="1302">
        <f>+'Pasq e ndrysh te kap 2'!I14</f>
        <v>5206380.243300006</v>
      </c>
    </row>
    <row r="299" spans="2:9" ht="13.5" thickBot="1">
      <c r="B299" s="304">
        <v>2</v>
      </c>
      <c r="C299" s="863" t="str">
        <f>'Pasq e ndrysh te kap 2'!C15</f>
        <v>Dividentet e paguar</v>
      </c>
      <c r="D299" s="1301">
        <f>+'Pasq e ndrysh te kap 2'!D15</f>
        <v>0</v>
      </c>
      <c r="E299" s="1301">
        <f>+'Pasq e ndrysh te kap 2'!E15</f>
        <v>0</v>
      </c>
      <c r="F299" s="1301">
        <f>+'Pasq e ndrysh te kap 2'!F15</f>
        <v>0</v>
      </c>
      <c r="G299" s="1301">
        <f>+'Pasq e ndrysh te kap 2'!G15</f>
        <v>0</v>
      </c>
      <c r="H299" s="1301">
        <f>+'Pasq e ndrysh te kap 2'!H15</f>
        <v>0</v>
      </c>
      <c r="I299" s="1302">
        <f>+'Pasq e ndrysh te kap 2'!I15</f>
        <v>0</v>
      </c>
    </row>
    <row r="300" spans="2:9" ht="13.5" thickBot="1">
      <c r="B300" s="304">
        <v>3</v>
      </c>
      <c r="C300" s="863" t="str">
        <f>'Pasq e ndrysh te kap 2'!C16</f>
        <v>Emetimi I kapitalit Aksioner</v>
      </c>
      <c r="D300" s="1301">
        <f>+'Pasq e ndrysh te kap 2'!D16</f>
        <v>0</v>
      </c>
      <c r="E300" s="1301">
        <f>+'Pasq e ndrysh te kap 2'!E16</f>
        <v>0</v>
      </c>
      <c r="F300" s="1301">
        <f>+'Pasq e ndrysh te kap 2'!F16</f>
        <v>0</v>
      </c>
      <c r="G300" s="1301">
        <f>+'Pasq e ndrysh te kap 2'!G16</f>
        <v>0</v>
      </c>
      <c r="H300" s="1301">
        <f>+'Pasq e ndrysh te kap 2'!H16</f>
        <v>0</v>
      </c>
      <c r="I300" s="1302">
        <f>+'Pasq e ndrysh te kap 2'!I16</f>
        <v>0</v>
      </c>
    </row>
    <row r="301" spans="2:9" ht="13.5" thickBot="1">
      <c r="B301" s="573">
        <v>4</v>
      </c>
      <c r="C301" s="863" t="str">
        <f>'Pasq e ndrysh te kap 2'!C17</f>
        <v>Aksione te thesarit te riblera</v>
      </c>
      <c r="D301" s="1301">
        <f>+'Pasq e ndrysh te kap 2'!D17</f>
        <v>0</v>
      </c>
      <c r="E301" s="1301">
        <f>+'Pasq e ndrysh te kap 2'!E17</f>
        <v>0</v>
      </c>
      <c r="F301" s="1301">
        <f>+'Pasq e ndrysh te kap 2'!F17</f>
        <v>0</v>
      </c>
      <c r="G301" s="1301">
        <f>+'Pasq e ndrysh te kap 2'!G17</f>
        <v>0</v>
      </c>
      <c r="H301" s="1301">
        <f>+'Pasq e ndrysh te kap 2'!H17</f>
        <v>0</v>
      </c>
      <c r="I301" s="1302">
        <f>+'Pasq e ndrysh te kap 2'!I17</f>
        <v>0</v>
      </c>
    </row>
    <row r="302" spans="2:9" ht="21" customHeight="1" thickBot="1">
      <c r="B302" s="1297" t="s">
        <v>44</v>
      </c>
      <c r="C302" s="1298" t="str">
        <f>'Pasq e ndrysh te kap 2'!C18</f>
        <v>Pozicioni me 31 Dhjetor 2012</v>
      </c>
      <c r="D302" s="1303">
        <f>+'Pasq e ndrysh te kap 2'!D18</f>
        <v>16578558</v>
      </c>
      <c r="E302" s="1303">
        <f>+'Pasq e ndrysh te kap 2'!E18</f>
        <v>0</v>
      </c>
      <c r="F302" s="1303">
        <f>+'Pasq e ndrysh te kap 2'!F18</f>
        <v>0</v>
      </c>
      <c r="G302" s="1303">
        <f>+'Pasq e ndrysh te kap 2'!G18</f>
        <v>872554</v>
      </c>
      <c r="H302" s="1303">
        <f>+'Pasq e ndrysh te kap 2'!H18</f>
        <v>5206380.243300006</v>
      </c>
      <c r="I302" s="1304">
        <f>+'Pasq e ndrysh te kap 2'!I18</f>
        <v>22657492.243300006</v>
      </c>
    </row>
    <row r="303" spans="4:9" ht="12.75">
      <c r="D303" s="189"/>
      <c r="E303" s="189"/>
      <c r="F303" s="189"/>
      <c r="G303" s="189"/>
      <c r="H303" s="189"/>
      <c r="I303" s="189"/>
    </row>
    <row r="304" spans="1:3" ht="12.75">
      <c r="A304" s="101"/>
      <c r="B304" s="101"/>
      <c r="C304" s="101"/>
    </row>
    <row r="305" spans="1:3" ht="12.75">
      <c r="A305" s="239" t="s">
        <v>467</v>
      </c>
      <c r="B305" s="101"/>
      <c r="C305" s="101"/>
    </row>
    <row r="306" spans="1:3" ht="12.75">
      <c r="A306" s="101"/>
      <c r="B306" s="101"/>
      <c r="C306" s="101"/>
    </row>
    <row r="307" spans="1:3" ht="12.75">
      <c r="A307" s="233" t="s">
        <v>468</v>
      </c>
      <c r="B307" s="233"/>
      <c r="C307" s="101"/>
    </row>
    <row r="308" spans="1:3" ht="12.75">
      <c r="A308" s="233" t="s">
        <v>469</v>
      </c>
      <c r="B308" s="233"/>
      <c r="C308" s="101"/>
    </row>
    <row r="309" spans="1:3" ht="12.75">
      <c r="A309" s="233"/>
      <c r="B309" s="233"/>
      <c r="C309" s="101"/>
    </row>
    <row r="310" spans="1:3" ht="12.75">
      <c r="A310" s="233"/>
      <c r="B310" s="233"/>
      <c r="C310" s="101"/>
    </row>
    <row r="311" spans="1:3" ht="12.75">
      <c r="A311" s="233" t="s">
        <v>470</v>
      </c>
      <c r="B311" s="233"/>
      <c r="C311" s="101"/>
    </row>
    <row r="312" spans="1:3" ht="12.75">
      <c r="A312" s="233" t="s">
        <v>471</v>
      </c>
      <c r="B312" s="233"/>
      <c r="C312" s="101"/>
    </row>
    <row r="313" spans="1:3" ht="12.75">
      <c r="A313" s="101"/>
      <c r="B313" s="101"/>
      <c r="C313" s="101"/>
    </row>
    <row r="314" spans="1:3" ht="12.75">
      <c r="A314" s="101"/>
      <c r="B314" s="101"/>
      <c r="C314" s="101"/>
    </row>
    <row r="315" spans="2:6" ht="12.75">
      <c r="B315" s="19" t="s">
        <v>472</v>
      </c>
      <c r="F315" s="19" t="s">
        <v>473</v>
      </c>
    </row>
    <row r="317" spans="1:7" ht="13.5" thickBot="1">
      <c r="A317" s="8"/>
      <c r="B317" s="8"/>
      <c r="C317" s="8"/>
      <c r="E317" s="862"/>
      <c r="F317" s="862" t="str">
        <f>E9</f>
        <v>SILVANA SADIRAJ </v>
      </c>
      <c r="G317" s="862"/>
    </row>
  </sheetData>
  <sheetProtection/>
  <mergeCells count="16">
    <mergeCell ref="G58:G59"/>
    <mergeCell ref="H58:H59"/>
    <mergeCell ref="B142:C142"/>
    <mergeCell ref="B163:F163"/>
    <mergeCell ref="G172:G173"/>
    <mergeCell ref="C172:C173"/>
    <mergeCell ref="B172:B173"/>
    <mergeCell ref="D172:D173"/>
    <mergeCell ref="E172:E173"/>
    <mergeCell ref="D38:F38"/>
    <mergeCell ref="B58:B59"/>
    <mergeCell ref="C58:C59"/>
    <mergeCell ref="D58:D59"/>
    <mergeCell ref="F172:F173"/>
    <mergeCell ref="E58:E59"/>
    <mergeCell ref="F58:F59"/>
  </mergeCells>
  <printOptions/>
  <pageMargins left="0" right="0" top="0" bottom="0" header="0" footer="0"/>
  <pageSetup horizontalDpi="600" verticalDpi="600" orientation="portrait" paperSize="9" scale="90" r:id="rId2"/>
  <rowBreaks count="3" manualBreakCount="3">
    <brk id="53" max="255" man="1"/>
    <brk id="142" max="255" man="1"/>
    <brk id="243" max="255" man="1"/>
  </rowBreaks>
  <ignoredErrors>
    <ignoredError sqref="G156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47"/>
  <sheetViews>
    <sheetView zoomScalePageLayoutView="0" workbookViewId="0" topLeftCell="A31">
      <selection activeCell="N18" sqref="N18"/>
    </sheetView>
  </sheetViews>
  <sheetFormatPr defaultColWidth="9.140625" defaultRowHeight="12.75"/>
  <cols>
    <col min="1" max="1" width="5.8515625" style="0" customWidth="1"/>
    <col min="2" max="2" width="8.421875" style="0" customWidth="1"/>
    <col min="3" max="3" width="8.28125" style="0" customWidth="1"/>
    <col min="4" max="4" width="24.00390625" style="0" customWidth="1"/>
    <col min="5" max="5" width="3.00390625" style="0" customWidth="1"/>
    <col min="6" max="6" width="12.8515625" style="0" customWidth="1"/>
    <col min="7" max="7" width="6.140625" style="0" customWidth="1"/>
    <col min="8" max="8" width="6.57421875" style="0" customWidth="1"/>
    <col min="9" max="9" width="5.140625" style="0" customWidth="1"/>
  </cols>
  <sheetData>
    <row r="1" spans="2:5" ht="12.75">
      <c r="B1" s="2"/>
      <c r="C1" s="51"/>
      <c r="D1" s="51"/>
      <c r="E1" s="2"/>
    </row>
    <row r="2" spans="2:5" ht="12.75">
      <c r="B2" s="54" t="s">
        <v>130</v>
      </c>
      <c r="C2" s="2" t="str">
        <f>'Kopertina '!F4</f>
        <v>FJORTES </v>
      </c>
      <c r="D2" s="2"/>
      <c r="E2" s="2"/>
    </row>
    <row r="3" spans="2:8" ht="12.75">
      <c r="B3" s="1"/>
      <c r="C3" s="1"/>
      <c r="D3" s="1"/>
      <c r="E3" s="2"/>
      <c r="F3" s="2"/>
      <c r="G3" s="2"/>
      <c r="H3" s="2" t="s">
        <v>115</v>
      </c>
    </row>
    <row r="4" spans="2:6" ht="12.75">
      <c r="B4" s="1"/>
      <c r="C4" s="1337" t="s">
        <v>132</v>
      </c>
      <c r="D4" s="1337"/>
      <c r="E4" s="1337"/>
      <c r="F4" s="1337"/>
    </row>
    <row r="5" spans="2:7" ht="12.75">
      <c r="B5" s="1"/>
      <c r="C5" s="1"/>
      <c r="D5" s="1"/>
      <c r="E5" s="2" t="s">
        <v>131</v>
      </c>
      <c r="F5" s="19"/>
      <c r="G5" s="19">
        <f>'Kopertina '!F29</f>
        <v>2012</v>
      </c>
    </row>
    <row r="6" spans="2:5" ht="13.5" thickBot="1">
      <c r="B6" s="1"/>
      <c r="C6" s="1"/>
      <c r="D6" s="1"/>
      <c r="E6" s="1"/>
    </row>
    <row r="7" spans="2:8" ht="13.5" thickBot="1">
      <c r="B7" s="16"/>
      <c r="C7" s="17"/>
      <c r="D7" s="17"/>
      <c r="E7" s="17"/>
      <c r="F7" s="17"/>
      <c r="G7" s="17"/>
      <c r="H7" s="18"/>
    </row>
    <row r="8" spans="2:8" ht="12.75">
      <c r="B8" s="5"/>
      <c r="C8" s="1"/>
      <c r="D8" s="2" t="s">
        <v>871</v>
      </c>
      <c r="E8" s="1"/>
      <c r="F8" s="433">
        <f>'AKTIVI '!F8</f>
        <v>0</v>
      </c>
      <c r="G8" s="1"/>
      <c r="H8" s="6"/>
    </row>
    <row r="9" spans="2:8" ht="12.75">
      <c r="B9" s="5"/>
      <c r="C9" s="2"/>
      <c r="D9" s="2" t="s">
        <v>872</v>
      </c>
      <c r="E9" s="51"/>
      <c r="F9" s="434">
        <v>0</v>
      </c>
      <c r="G9" s="51"/>
      <c r="H9" s="6"/>
    </row>
    <row r="10" spans="2:8" ht="13.5" thickBot="1">
      <c r="B10" s="5"/>
      <c r="C10" s="2"/>
      <c r="D10" s="2" t="s">
        <v>873</v>
      </c>
      <c r="E10" s="51"/>
      <c r="F10" s="435">
        <v>0</v>
      </c>
      <c r="G10" s="51"/>
      <c r="H10" s="6"/>
    </row>
    <row r="11" spans="2:8" ht="13.5" thickBot="1">
      <c r="B11" s="5"/>
      <c r="C11" s="2"/>
      <c r="D11" s="2"/>
      <c r="E11" s="51"/>
      <c r="F11" s="51"/>
      <c r="G11" s="51"/>
      <c r="H11" s="6"/>
    </row>
    <row r="12" spans="2:8" ht="13.5" thickBot="1">
      <c r="B12" s="5"/>
      <c r="C12" s="2"/>
      <c r="D12" s="2" t="s">
        <v>874</v>
      </c>
      <c r="E12" s="2"/>
      <c r="F12" s="436">
        <f>F8+F9-F10</f>
        <v>0</v>
      </c>
      <c r="G12" s="2"/>
      <c r="H12" s="6"/>
    </row>
    <row r="13" spans="2:8" ht="12.75">
      <c r="B13" s="5"/>
      <c r="C13" s="2"/>
      <c r="D13" s="3"/>
      <c r="E13" s="51"/>
      <c r="F13" s="51"/>
      <c r="G13" s="51"/>
      <c r="H13" s="6"/>
    </row>
    <row r="14" spans="2:8" ht="12.75">
      <c r="B14" s="5"/>
      <c r="C14" s="1"/>
      <c r="D14" s="1"/>
      <c r="E14" s="432"/>
      <c r="F14" s="432"/>
      <c r="G14" s="432"/>
      <c r="H14" s="6"/>
    </row>
    <row r="15" spans="2:8" ht="12.75">
      <c r="B15" s="5"/>
      <c r="C15" s="1"/>
      <c r="D15" s="1"/>
      <c r="E15" s="1"/>
      <c r="F15" s="1">
        <v>0</v>
      </c>
      <c r="G15" s="1"/>
      <c r="H15" s="6"/>
    </row>
    <row r="16" spans="2:8" ht="12.75">
      <c r="B16" s="5"/>
      <c r="C16" s="1"/>
      <c r="D16" s="1"/>
      <c r="E16" s="1"/>
      <c r="F16" s="1"/>
      <c r="G16" s="1"/>
      <c r="H16" s="6"/>
    </row>
    <row r="17" spans="2:8" ht="12.75">
      <c r="B17" s="5"/>
      <c r="C17" s="1"/>
      <c r="D17" s="1"/>
      <c r="E17" s="1"/>
      <c r="F17" s="1"/>
      <c r="G17" s="1"/>
      <c r="H17" s="6"/>
    </row>
    <row r="18" spans="2:8" ht="12.75">
      <c r="B18" s="5"/>
      <c r="C18" s="1"/>
      <c r="D18" s="1"/>
      <c r="E18" s="1"/>
      <c r="F18" s="1"/>
      <c r="G18" s="1"/>
      <c r="H18" s="6"/>
    </row>
    <row r="19" spans="2:8" ht="12.75">
      <c r="B19" s="5"/>
      <c r="C19" s="1"/>
      <c r="D19" s="1"/>
      <c r="E19" s="1"/>
      <c r="F19" s="1"/>
      <c r="G19" s="1"/>
      <c r="H19" s="6"/>
    </row>
    <row r="20" spans="2:8" ht="12.75">
      <c r="B20" s="5"/>
      <c r="C20" s="1"/>
      <c r="D20" s="1"/>
      <c r="E20" s="1"/>
      <c r="F20" s="1"/>
      <c r="G20" s="1"/>
      <c r="H20" s="6"/>
    </row>
    <row r="21" spans="2:8" ht="12.75">
      <c r="B21" s="5"/>
      <c r="C21" s="1"/>
      <c r="D21" s="1"/>
      <c r="E21" s="1"/>
      <c r="F21" s="1"/>
      <c r="G21" s="1"/>
      <c r="H21" s="6"/>
    </row>
    <row r="22" spans="2:8" ht="12.75">
      <c r="B22" s="5"/>
      <c r="C22" s="1"/>
      <c r="D22" s="1"/>
      <c r="E22" s="1"/>
      <c r="F22" s="1"/>
      <c r="G22" s="1"/>
      <c r="H22" s="6"/>
    </row>
    <row r="23" spans="2:8" ht="12.75">
      <c r="B23" s="5"/>
      <c r="C23" s="1"/>
      <c r="D23" s="1"/>
      <c r="E23" s="1"/>
      <c r="F23" s="1"/>
      <c r="G23" s="1"/>
      <c r="H23" s="6"/>
    </row>
    <row r="24" spans="2:8" ht="12.75">
      <c r="B24" s="5"/>
      <c r="C24" s="1"/>
      <c r="D24" s="1"/>
      <c r="E24" s="1"/>
      <c r="F24" s="1"/>
      <c r="G24" s="1"/>
      <c r="H24" s="6"/>
    </row>
    <row r="25" spans="2:8" ht="12.75">
      <c r="B25" s="5"/>
      <c r="C25" s="1"/>
      <c r="D25" s="1"/>
      <c r="E25" s="1"/>
      <c r="F25" s="1"/>
      <c r="G25" s="1"/>
      <c r="H25" s="6"/>
    </row>
    <row r="26" spans="2:8" ht="12.75">
      <c r="B26" s="5"/>
      <c r="C26" s="1"/>
      <c r="D26" s="1"/>
      <c r="E26" s="1"/>
      <c r="F26" s="1"/>
      <c r="G26" s="1"/>
      <c r="H26" s="6"/>
    </row>
    <row r="27" spans="2:8" ht="12.75">
      <c r="B27" s="5"/>
      <c r="C27" s="1"/>
      <c r="D27" s="1"/>
      <c r="E27" s="1"/>
      <c r="F27" s="1"/>
      <c r="G27" s="1"/>
      <c r="H27" s="6"/>
    </row>
    <row r="28" spans="2:8" ht="12.75">
      <c r="B28" s="5"/>
      <c r="C28" s="1"/>
      <c r="D28" s="1"/>
      <c r="E28" s="1"/>
      <c r="F28" s="1"/>
      <c r="G28" s="1"/>
      <c r="H28" s="6"/>
    </row>
    <row r="29" spans="2:8" ht="12.75">
      <c r="B29" s="5"/>
      <c r="C29" s="1"/>
      <c r="D29" s="1"/>
      <c r="E29" s="1"/>
      <c r="F29" s="1"/>
      <c r="G29" s="1"/>
      <c r="H29" s="6"/>
    </row>
    <row r="30" spans="2:8" ht="12.75">
      <c r="B30" s="5"/>
      <c r="C30" s="1"/>
      <c r="D30" s="1"/>
      <c r="E30" s="1"/>
      <c r="F30" s="1"/>
      <c r="G30" s="1"/>
      <c r="H30" s="6"/>
    </row>
    <row r="31" spans="2:8" ht="12.75">
      <c r="B31" s="5"/>
      <c r="C31" s="1"/>
      <c r="D31" s="1"/>
      <c r="E31" s="1"/>
      <c r="F31" s="1"/>
      <c r="G31" s="1"/>
      <c r="H31" s="6"/>
    </row>
    <row r="32" spans="2:8" ht="12.75">
      <c r="B32" s="5"/>
      <c r="C32" s="1"/>
      <c r="D32" s="1"/>
      <c r="E32" s="1"/>
      <c r="F32" s="1"/>
      <c r="G32" s="1"/>
      <c r="H32" s="6"/>
    </row>
    <row r="33" spans="2:8" ht="12.75">
      <c r="B33" s="5"/>
      <c r="C33" s="1"/>
      <c r="D33" s="1"/>
      <c r="E33" s="1"/>
      <c r="F33" s="1"/>
      <c r="G33" s="1"/>
      <c r="H33" s="6"/>
    </row>
    <row r="34" spans="2:8" ht="12.75">
      <c r="B34" s="5"/>
      <c r="C34" s="1"/>
      <c r="D34" s="1"/>
      <c r="E34" s="1"/>
      <c r="F34" s="1"/>
      <c r="G34" s="1"/>
      <c r="H34" s="6"/>
    </row>
    <row r="35" spans="2:8" ht="12.75">
      <c r="B35" s="5"/>
      <c r="C35" s="1"/>
      <c r="D35" s="1"/>
      <c r="E35" s="1"/>
      <c r="F35" s="1"/>
      <c r="G35" s="1"/>
      <c r="H35" s="6"/>
    </row>
    <row r="36" spans="2:8" ht="12.75">
      <c r="B36" s="5"/>
      <c r="C36" s="1"/>
      <c r="D36" s="1"/>
      <c r="E36" s="1"/>
      <c r="F36" s="1"/>
      <c r="G36" s="1"/>
      <c r="H36" s="6"/>
    </row>
    <row r="37" spans="2:8" ht="12.75">
      <c r="B37" s="5"/>
      <c r="C37" s="1"/>
      <c r="D37" s="1"/>
      <c r="E37" s="1"/>
      <c r="F37" s="1"/>
      <c r="G37" s="1"/>
      <c r="H37" s="6"/>
    </row>
    <row r="38" spans="2:8" ht="12.75">
      <c r="B38" s="5"/>
      <c r="C38" s="1"/>
      <c r="D38" s="1"/>
      <c r="E38" s="1"/>
      <c r="F38" s="1"/>
      <c r="G38" s="1"/>
      <c r="H38" s="6"/>
    </row>
    <row r="39" spans="2:8" ht="12.75">
      <c r="B39" s="5"/>
      <c r="C39" s="1"/>
      <c r="D39" s="1"/>
      <c r="E39" s="1"/>
      <c r="F39" s="1"/>
      <c r="G39" s="1"/>
      <c r="H39" s="6"/>
    </row>
    <row r="40" spans="2:8" ht="12.75">
      <c r="B40" s="5"/>
      <c r="C40" s="1"/>
      <c r="D40" s="1"/>
      <c r="E40" s="1"/>
      <c r="F40" s="1"/>
      <c r="G40" s="1"/>
      <c r="H40" s="6"/>
    </row>
    <row r="41" spans="2:8" ht="12.75">
      <c r="B41" s="5"/>
      <c r="C41" s="1"/>
      <c r="D41" s="1"/>
      <c r="E41" s="1"/>
      <c r="F41" s="1"/>
      <c r="G41" s="1"/>
      <c r="H41" s="6"/>
    </row>
    <row r="42" spans="2:8" ht="12.75">
      <c r="B42" s="5"/>
      <c r="C42" s="1"/>
      <c r="D42" s="1"/>
      <c r="E42" s="1"/>
      <c r="F42" s="1"/>
      <c r="G42" s="1"/>
      <c r="H42" s="6"/>
    </row>
    <row r="43" spans="2:8" ht="12.75">
      <c r="B43" s="5"/>
      <c r="C43" s="1"/>
      <c r="D43" s="1"/>
      <c r="E43" s="1"/>
      <c r="F43" s="1"/>
      <c r="G43" s="1"/>
      <c r="H43" s="6"/>
    </row>
    <row r="44" spans="2:8" ht="12.75">
      <c r="B44" s="5"/>
      <c r="C44" s="1"/>
      <c r="D44" s="1"/>
      <c r="E44" s="1"/>
      <c r="F44" s="1"/>
      <c r="G44" s="1"/>
      <c r="H44" s="6"/>
    </row>
    <row r="45" spans="2:8" ht="12.75">
      <c r="B45" s="5"/>
      <c r="C45" s="1"/>
      <c r="D45" s="1"/>
      <c r="E45" s="1"/>
      <c r="F45" s="1"/>
      <c r="G45" s="1"/>
      <c r="H45" s="6"/>
    </row>
    <row r="46" spans="2:8" ht="12.75">
      <c r="B46" s="5"/>
      <c r="C46" s="1"/>
      <c r="D46" s="1"/>
      <c r="E46" s="1"/>
      <c r="F46" s="1"/>
      <c r="G46" s="1"/>
      <c r="H46" s="6"/>
    </row>
    <row r="47" spans="2:8" ht="13.5" thickBot="1">
      <c r="B47" s="7"/>
      <c r="C47" s="8"/>
      <c r="D47" s="8"/>
      <c r="E47" s="8"/>
      <c r="F47" s="8"/>
      <c r="G47" s="8"/>
      <c r="H47" s="9"/>
    </row>
  </sheetData>
  <sheetProtection/>
  <mergeCells count="1">
    <mergeCell ref="C4:F4"/>
  </mergeCells>
  <printOptions/>
  <pageMargins left="0.25" right="0.25" top="0.25" bottom="0.2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Plam</cp:lastModifiedBy>
  <cp:lastPrinted>2013-04-01T16:01:19Z</cp:lastPrinted>
  <dcterms:created xsi:type="dcterms:W3CDTF">2008-12-07T08:59:09Z</dcterms:created>
  <dcterms:modified xsi:type="dcterms:W3CDTF">2013-04-01T16:01:21Z</dcterms:modified>
  <cp:category/>
  <cp:version/>
  <cp:contentType/>
  <cp:contentStatus/>
</cp:coreProperties>
</file>