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47" activeTab="2"/>
  </bookViews>
  <sheets>
    <sheet name="Kopertina" sheetId="1" r:id="rId1"/>
    <sheet name="Aktive" sheetId="2" r:id="rId2"/>
    <sheet name="Pasivet" sheetId="3" r:id="rId3"/>
    <sheet name="Rezultati" sheetId="4" r:id="rId4"/>
    <sheet name="Cash Flow" sheetId="5" r:id="rId5"/>
    <sheet name="Kapitali" sheetId="6" r:id="rId6"/>
    <sheet name="Shenime Shpjeg 1" sheetId="7" r:id="rId7"/>
    <sheet name="Shenime Shpjeguese nr 2" sheetId="8" r:id="rId8"/>
    <sheet name="Shperndarje e intesave te kredi" sheetId="9" r:id="rId9"/>
    <sheet name="Aktivet afatfjata 201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<sst xmlns="http://schemas.openxmlformats.org/spreadsheetml/2006/main" count="928" uniqueCount="500">
  <si>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</si>
  <si>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</si>
  <si>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</si>
  <si>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</si>
  <si>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</si>
  <si>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</si>
  <si>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</si>
  <si>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</si>
  <si>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</si>
  <si>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</si>
  <si>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</si>
  <si>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</si>
  <si>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</si>
  <si>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</si>
  <si>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</si>
  <si>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 xml:space="preserve">  Periudha  Kontabel e Pasqyrave Financiare</t>
  </si>
  <si>
    <t>Nga</t>
  </si>
  <si>
    <t>Deri</t>
  </si>
  <si>
    <t xml:space="preserve">  Data  e  mbylljes se Pasqyrave Financiare</t>
  </si>
  <si>
    <t>Ne   Leke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</si>
  <si>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</si>
  <si>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</si>
  <si>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</si>
  <si>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</si>
  <si>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</si>
  <si>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</si>
  <si>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</si>
  <si>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</si>
  <si>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</si>
  <si>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</si>
  <si>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</si>
  <si>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</si>
  <si>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</si>
  <si>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</si>
  <si>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</si>
  <si>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</si>
  <si>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</si>
  <si>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</si>
  <si>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</si>
  <si>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</si>
  <si>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</si>
  <si>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</si>
  <si>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</si>
  <si>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</si>
  <si>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</si>
  <si>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</si>
  <si>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</si>
  <si>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</si>
  <si>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</si>
  <si>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</si>
  <si>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</si>
  <si>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</si>
  <si>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</si>
  <si>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</si>
  <si>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</si>
  <si>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</si>
  <si>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</si>
  <si>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</si>
  <si>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</si>
  <si>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</si>
  <si>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</si>
  <si>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PASIVET  DHE  KAPITALI</t>
  </si>
  <si>
    <t>P A S I V E T      A F A T S H K U R T E R A</t>
  </si>
  <si>
    <t>Derivativet</t>
  </si>
  <si>
    <t>Huamarjet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</si>
  <si>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</si>
  <si>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</si>
  <si>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</si>
  <si>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</si>
  <si>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</si>
  <si>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</si>
  <si>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</si>
  <si>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</si>
  <si>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</si>
  <si>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</si>
  <si>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</si>
  <si>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</si>
  <si>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</si>
  <si>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</si>
  <si>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</si>
  <si>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</si>
  <si>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</si>
  <si>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</si>
  <si>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</si>
  <si>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</si>
  <si>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</si>
  <si>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</si>
  <si>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</si>
  <si>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</si>
  <si>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</si>
  <si>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</si>
  <si>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</si>
  <si>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</si>
  <si>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</si>
  <si>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</si>
  <si>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(  Bazuar ne klasifikimin e Shpenzimeve sipas Natyres  )</t>
  </si>
  <si>
    <t>Pershkrimi  i  Elementeve</t>
  </si>
  <si>
    <t>Shitjet neto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</si>
  <si>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</si>
  <si>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</si>
  <si>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</si>
  <si>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</si>
  <si>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</si>
  <si>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</si>
  <si>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</si>
  <si>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</si>
  <si>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</si>
  <si>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</si>
  <si>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</si>
  <si>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</si>
  <si>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</si>
  <si>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</si>
  <si>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</si>
  <si>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</si>
  <si>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</si>
  <si>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</si>
  <si>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</si>
  <si>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</si>
  <si>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</si>
  <si>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</si>
  <si>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</si>
  <si>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</si>
  <si>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</si>
  <si>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</si>
  <si>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</si>
  <si>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</si>
  <si>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</si>
  <si>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</si>
  <si>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</si>
  <si>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</si>
  <si>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</si>
  <si>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</si>
  <si>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</si>
  <si>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</si>
  <si>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</si>
  <si>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</si>
  <si>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</si>
  <si>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</si>
  <si>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</si>
  <si>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</si>
  <si>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</si>
  <si>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</si>
  <si>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</si>
  <si>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</si>
  <si>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</si>
  <si>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</si>
  <si>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</si>
  <si>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</si>
  <si>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</si>
  <si>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</si>
  <si>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Emertimi</t>
  </si>
  <si>
    <t>Amortizimi</t>
  </si>
  <si>
    <t>Nje pasqyre e pa Konsoliduar</t>
  </si>
  <si>
    <t>Aksione thesari</t>
  </si>
  <si>
    <t>Rezerva stat.ligjore</t>
  </si>
  <si>
    <t xml:space="preserve">Fitimi pashperndare 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</si>
  <si>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</si>
  <si>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</si>
  <si>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</si>
  <si>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</si>
  <si>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</si>
  <si>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</si>
  <si>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</si>
  <si>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Emetimi kapitali aksionar</t>
  </si>
  <si>
    <t>Sasia</t>
  </si>
  <si>
    <t>Shtesa</t>
  </si>
  <si>
    <t>Pakesime</t>
  </si>
  <si>
    <t xml:space="preserve">             TOTALI</t>
  </si>
  <si>
    <t>Vl.mbetur</t>
  </si>
  <si>
    <t>Shuma mak.paisje</t>
  </si>
  <si>
    <t xml:space="preserve">Debitore dhe Kreditore te tjere </t>
  </si>
  <si>
    <r>
      <t xml:space="preserve">Huamarje te tjera afatgjata  </t>
    </r>
    <r>
      <rPr>
        <b/>
        <sz val="10"/>
        <color indexed="10"/>
        <rFont val="Arial"/>
        <family val="2"/>
      </rPr>
      <t xml:space="preserve"> Interes maturuar</t>
    </r>
  </si>
  <si>
    <r>
      <t xml:space="preserve">Grantet dhe .. </t>
    </r>
    <r>
      <rPr>
        <b/>
        <sz val="10"/>
        <color indexed="10"/>
        <rFont val="Arial"/>
        <family val="2"/>
      </rPr>
      <t>Kapital i Dhuruar</t>
    </r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</si>
  <si>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</si>
  <si>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</si>
  <si>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</si>
  <si>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</si>
  <si>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</si>
  <si>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</si>
  <si>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</si>
  <si>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</si>
  <si>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</si>
  <si>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</si>
  <si>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</si>
  <si>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</si>
  <si>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</si>
  <si>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</si>
  <si>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</si>
  <si>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</si>
  <si>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</si>
  <si>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</si>
  <si>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</si>
  <si>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</si>
  <si>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</si>
  <si>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</si>
  <si>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</si>
  <si>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</si>
  <si>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</si>
  <si>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</si>
  <si>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</si>
  <si>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</si>
  <si>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</si>
  <si>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</si>
  <si>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</si>
  <si>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</si>
  <si>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</si>
  <si>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</si>
  <si>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</si>
  <si>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</si>
  <si>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</si>
  <si>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</si>
  <si>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</si>
  <si>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</si>
  <si>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</si>
  <si>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</si>
  <si>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</si>
  <si>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</si>
  <si>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</si>
  <si>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</si>
  <si>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</si>
  <si>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</si>
  <si>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</si>
  <si>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</si>
  <si>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</si>
  <si>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</si>
  <si>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</si>
  <si>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</si>
  <si>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</si>
  <si>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</si>
  <si>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</si>
  <si>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</si>
  <si>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</si>
  <si>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</si>
  <si>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</si>
  <si>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</si>
  <si>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</si>
  <si>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</si>
  <si>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</si>
  <si>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</si>
  <si>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</si>
  <si>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</si>
  <si>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</si>
  <si>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</si>
  <si>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</si>
  <si>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</si>
  <si>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</si>
  <si>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</si>
  <si>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</si>
  <si>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</si>
  <si>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</si>
  <si>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</si>
  <si>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</si>
  <si>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Makineri,paisje</t>
  </si>
  <si>
    <t xml:space="preserve">AAM te tjera </t>
  </si>
  <si>
    <t>PASIVET  AFATSHKURTRA</t>
  </si>
  <si>
    <t>Te pagueshme ndaj furnitoreve</t>
  </si>
  <si>
    <t>Fatura mbi 300 mije leke te kontab.</t>
  </si>
  <si>
    <t>Te pagueshme ndaj punonjesve</t>
  </si>
  <si>
    <t>Debitore dhe Kreditore te tjere</t>
  </si>
  <si>
    <t>PASIVET  AFATGJATA</t>
  </si>
  <si>
    <t>Huamarje te tjera afatgjata</t>
  </si>
  <si>
    <t xml:space="preserve">KAPITALI </t>
  </si>
  <si>
    <t>●</t>
  </si>
  <si>
    <t>Shpenzime te pa zbriteshme</t>
  </si>
  <si>
    <t>Tatimi mbi fitimin</t>
  </si>
  <si>
    <t>C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</si>
  <si>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</si>
  <si>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</si>
  <si>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</si>
  <si>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</si>
  <si>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</si>
  <si>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Plus vlerat e rivleresimit</t>
  </si>
  <si>
    <t>Makineri</t>
  </si>
  <si>
    <t xml:space="preserve">     Kuadri kontabel i aplikuar : Standardet Kombetare te Kontabilitetit ne Shqiperi.(SKK 2; 49)</t>
  </si>
  <si>
    <t xml:space="preserve">qene te qarta dhe te kuptueshme per perdorues te jashtem qe kane njohuri te pergjitheshme te </t>
  </si>
  <si>
    <t xml:space="preserve">     Per percaktimin e kostos se inventareve eshte zgjedhur metoda "Kosto mesatare e Ponderuar"</t>
  </si>
  <si>
    <t>(SKK 4: 15)</t>
  </si>
  <si>
    <t xml:space="preserve">     Per vleresimi i mepaseshem i AAM eshte zgjedhur modeli i Fair Value = vlera e drejte  </t>
  </si>
  <si>
    <t>duke i paraqitur ne bilanc me vlere tregu minus amortizimin e akumuluar. (SKK 5;)</t>
  </si>
  <si>
    <t>Banka Kombetare Tregetare</t>
  </si>
  <si>
    <t>Lek</t>
  </si>
  <si>
    <t xml:space="preserve">Pro Credit Bank </t>
  </si>
  <si>
    <t>Banka Popullore</t>
  </si>
  <si>
    <t>Banka e Tiranes</t>
  </si>
  <si>
    <t>Raiffeisen Bank</t>
  </si>
  <si>
    <t>Alpha Bank</t>
  </si>
  <si>
    <t>Banka Credins</t>
  </si>
  <si>
    <t>BIS banka</t>
  </si>
  <si>
    <t>Intesa san Poulo</t>
  </si>
  <si>
    <t xml:space="preserve">NBG </t>
  </si>
  <si>
    <t>Euro</t>
  </si>
  <si>
    <t>Banka Tiranes</t>
  </si>
  <si>
    <t>Emporiki</t>
  </si>
  <si>
    <t>USD</t>
  </si>
  <si>
    <t>I derdhur qe ne periudhen e vitit 2004</t>
  </si>
  <si>
    <t>TRUALL</t>
  </si>
  <si>
    <t>Truall fab kartonit</t>
  </si>
  <si>
    <t>Truall reparti i kutive</t>
  </si>
  <si>
    <t>Truall fab letres</t>
  </si>
  <si>
    <t>Truall fab letres pusi</t>
  </si>
  <si>
    <t>Truall  ish adminisrtrates</t>
  </si>
  <si>
    <t>Truall  sheshi para letres</t>
  </si>
  <si>
    <t>Shuma Truall</t>
  </si>
  <si>
    <t>NDERTESA</t>
  </si>
  <si>
    <t>Ndertesa fab kartonit</t>
  </si>
  <si>
    <t>Ndertesa fab kutive</t>
  </si>
  <si>
    <t>Ndertesa fab letres</t>
  </si>
  <si>
    <t>Ndertesa ish administrata</t>
  </si>
  <si>
    <t>Shuma Ndertesa</t>
  </si>
  <si>
    <t>MAKINERI</t>
  </si>
  <si>
    <t>Linja e kartonit</t>
  </si>
  <si>
    <t>Makineri te tjera kartoni</t>
  </si>
  <si>
    <t>Linja e letres</t>
  </si>
  <si>
    <t>Makineri te tjera letra</t>
  </si>
  <si>
    <t>Pusi</t>
  </si>
  <si>
    <t>Ofiçna mekanike</t>
  </si>
  <si>
    <t>TE TJERA PAJISJE</t>
  </si>
  <si>
    <t>Pajisje informatike</t>
  </si>
  <si>
    <t>Mobilje dhe orendi</t>
  </si>
  <si>
    <t>Mjete transporti</t>
  </si>
  <si>
    <t>Shuma  te tjera pajisje</t>
  </si>
  <si>
    <t>Truall</t>
  </si>
  <si>
    <t>Makineri Fabrika e kutive</t>
  </si>
  <si>
    <t>_____EDIPACK sha_______</t>
  </si>
  <si>
    <t xml:space="preserve"> </t>
  </si>
  <si>
    <t xml:space="preserve"> Interes maturuar i huase afatgjate</t>
  </si>
  <si>
    <t xml:space="preserve">Plus Vlera rivleresimi </t>
  </si>
  <si>
    <t>( Vleresim Aseteve me vlere tregu)</t>
  </si>
  <si>
    <t>TOTAL</t>
  </si>
  <si>
    <t xml:space="preserve">EDIPACK sha </t>
  </si>
  <si>
    <t>J61818524A</t>
  </si>
  <si>
    <t>Rr Proto Romano</t>
  </si>
  <si>
    <t>Durres</t>
  </si>
  <si>
    <t>25.01.1993</t>
  </si>
  <si>
    <t>Prodhim Kartoni dhe kuti Kartoni</t>
  </si>
  <si>
    <t>Prodhim Leter Riciklim</t>
  </si>
  <si>
    <t>Shoqeria  EDIPACK sha</t>
  </si>
  <si>
    <t>Shoqeria EDIPACK sha</t>
  </si>
  <si>
    <t>21-0051120001</t>
  </si>
  <si>
    <t>0310-303021-100</t>
  </si>
  <si>
    <t>3200-472-708</t>
  </si>
  <si>
    <t>214650110021-69</t>
  </si>
  <si>
    <t>127716100000-12</t>
  </si>
  <si>
    <t>21-0051140002</t>
  </si>
  <si>
    <t>0300-303021-100</t>
  </si>
  <si>
    <t>009420200000-599</t>
  </si>
  <si>
    <t>Velra ne</t>
  </si>
  <si>
    <t>LEK</t>
  </si>
  <si>
    <t>Shuma te arketuara per porosi</t>
  </si>
  <si>
    <r>
      <t>Njesite ose aksionet.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Plus Vlera Rivleresim</t>
    </r>
    <r>
      <rPr>
        <sz val="10"/>
        <color indexed="10"/>
        <rFont val="Arial"/>
        <family val="2"/>
      </rPr>
      <t>i</t>
    </r>
  </si>
  <si>
    <t>Njesite ose aksionet. Plus vlera rivleresimi</t>
  </si>
  <si>
    <t>Primi i aksionit nga emetimi i aksioneve te reja BERZH</t>
  </si>
  <si>
    <t>Pasqyra Financiare jane te rumbullakosura ne leke</t>
  </si>
  <si>
    <t>Kapitali aksionar 167,102AZ *1000 lek/AZ</t>
  </si>
  <si>
    <t>B.K.T</t>
  </si>
  <si>
    <t>Raifaizen $</t>
  </si>
  <si>
    <t>055 472708</t>
  </si>
  <si>
    <t>N.B.G  kredise</t>
  </si>
  <si>
    <t>N.B.G  Overdraft</t>
  </si>
  <si>
    <t>Raifaizen</t>
  </si>
  <si>
    <t>3201-472708</t>
  </si>
  <si>
    <t>12771641016014</t>
  </si>
  <si>
    <t>12771619016019</t>
  </si>
  <si>
    <t>Depozita ma afat</t>
  </si>
  <si>
    <t>Punime ne proces</t>
  </si>
  <si>
    <t>Ndertese e re bashkuese</t>
  </si>
  <si>
    <t>v mbetur</t>
  </si>
  <si>
    <t>Produkte te gatshme dhe te ndermjetme</t>
  </si>
  <si>
    <t>Rivleresimi i vitit 2008</t>
  </si>
  <si>
    <t xml:space="preserve">_____EDIPACK sha_______  PASQYRA E AKTIVEVE TE QENDRUSHME </t>
  </si>
  <si>
    <t>_____EDIPACK sha_______  PASQYRA E AMORTIZIMEVE</t>
  </si>
  <si>
    <t>IV</t>
  </si>
  <si>
    <t>V</t>
  </si>
  <si>
    <t>Pozicioni me 31 dhjetor 2009</t>
  </si>
  <si>
    <t>mbi bazen e vleftes se mbetur ndersa normat e amortizimit qe jane perdorur jane si me poshte</t>
  </si>
  <si>
    <t>Hua afatgjate ne ProCredit Bank</t>
  </si>
  <si>
    <t>Kapital aksioner</t>
  </si>
  <si>
    <t>Hartuesi</t>
  </si>
  <si>
    <t>VENETO BIS banka</t>
  </si>
  <si>
    <t>Vlera mbi te cilen llogaritet amortizimi</t>
  </si>
  <si>
    <t>Ndertesa e re mbi tunele</t>
  </si>
  <si>
    <t xml:space="preserve">Linja e re prodhimit te kartonit </t>
  </si>
  <si>
    <t xml:space="preserve">   Bardhyl Balteza</t>
  </si>
  <si>
    <r>
      <t xml:space="preserve">Te ardhura te tjera nga veprimtaria e shfrytezimit  </t>
    </r>
    <r>
      <rPr>
        <sz val="10"/>
        <color indexed="10"/>
        <rFont val="Arial"/>
        <family val="2"/>
      </rPr>
      <t xml:space="preserve"> ( Eksport)</t>
    </r>
  </si>
  <si>
    <t>Himbje nga viti i kaluar</t>
  </si>
  <si>
    <t>Pjese ndrimi</t>
  </si>
  <si>
    <t>Pasqyra  e  Ndryshimeve  ne  Kapital  2010</t>
  </si>
  <si>
    <t>Pozicioni me 31 dhjetor 2010</t>
  </si>
  <si>
    <t>Fitimi neto per periudhen kontabel(  Humbje)</t>
  </si>
  <si>
    <t>Parapagime per personelin</t>
  </si>
  <si>
    <t>Detyrime per Muajin Dhjetor 2010</t>
  </si>
  <si>
    <t xml:space="preserve">Pagese detyrim tatim ne burim per qirane </t>
  </si>
  <si>
    <t>Fitimi (Humbja) e vitit te kaluar</t>
  </si>
  <si>
    <t>Fitimi  e vitit financiar</t>
  </si>
  <si>
    <t>Fitimi i ushtrimit</t>
  </si>
  <si>
    <t>Pasqyra   e   te   Ardhurave   dhe   Shpenzimeve</t>
  </si>
  <si>
    <t>Te ardhura nga Shitjet</t>
  </si>
  <si>
    <t>Te ardhura te tjera nga veprimtarite e shfrytezimit</t>
  </si>
  <si>
    <t>Ndryshim ne gjendjen e produktit te gatshem</t>
  </si>
  <si>
    <t>Lende te para</t>
  </si>
  <si>
    <t>Kostot e punes</t>
  </si>
  <si>
    <t>Pagat</t>
  </si>
  <si>
    <t>Sigurimet shoqerore</t>
  </si>
  <si>
    <t>Amortizim i ndertesave</t>
  </si>
  <si>
    <t>Amortizim i makinerive dhe pajisjeve</t>
  </si>
  <si>
    <t>Shpenzime te tjera perbehen nga:</t>
  </si>
  <si>
    <t>Energji , avull , uje</t>
  </si>
  <si>
    <t>Mirembajtje dhe riparime</t>
  </si>
  <si>
    <t>Administrative</t>
  </si>
  <si>
    <t>Udhetime dhe dieta</t>
  </si>
  <si>
    <t>Telefona</t>
  </si>
  <si>
    <t>Gjoba</t>
  </si>
  <si>
    <t>Fitimet dhe humbjet nga kursi i kembimit</t>
  </si>
  <si>
    <t>Fitime nga kurset e kembimit</t>
  </si>
  <si>
    <t>Humbje nga kurset e kembimit</t>
  </si>
  <si>
    <t xml:space="preserve">Fitimi (humbja) neto e vitit financiar </t>
  </si>
  <si>
    <t>Pasqyra   e   Fluksit   Monetar  -  Metoda  Indirekte</t>
  </si>
  <si>
    <t xml:space="preserve">Ne fluksin monetar kane ndikuar </t>
  </si>
  <si>
    <t>Pozitivisht :</t>
  </si>
  <si>
    <t>dhe Negativisht :</t>
  </si>
  <si>
    <t xml:space="preserve">Rritje/renie ne tepricen e detyrimeve per tu paguar </t>
  </si>
  <si>
    <t>Tatim mbi fitimin i ushtrimit</t>
  </si>
  <si>
    <t>Kapitali fillestar</t>
  </si>
  <si>
    <t>Kapitali neto ne fund te periudhes</t>
  </si>
  <si>
    <t>Shënime të tjera shpjegeuse</t>
  </si>
  <si>
    <t>(________________________)</t>
  </si>
  <si>
    <t>(   ________________  )</t>
  </si>
  <si>
    <t>Eksport</t>
  </si>
  <si>
    <t>Nga te cilat ( Blerje gjate ushtrimit)</t>
  </si>
  <si>
    <t xml:space="preserve"> ndyshimi I gjendjes se magazines</t>
  </si>
  <si>
    <t>Amortizim i te gjitha aktiveve te tjera</t>
  </si>
  <si>
    <t>Subvensione dhe ndihma( Donacion Bashkia Shkoder)</t>
  </si>
  <si>
    <t>Taksa Bashkia</t>
  </si>
  <si>
    <t>Reklame , publicitet</t>
  </si>
  <si>
    <t>Shpenzim ruajtje objekti</t>
  </si>
  <si>
    <t>Total shpenzime te tjera</t>
  </si>
  <si>
    <t>Komisione bankare</t>
  </si>
  <si>
    <t>Fitimi neto i vitit financiar</t>
  </si>
  <si>
    <t xml:space="preserve"> Administratori</t>
  </si>
  <si>
    <t>Aktivet Afatgjata Materiale  Bruto viti  2011</t>
  </si>
  <si>
    <t>Gjendje 01.01.2011</t>
  </si>
  <si>
    <t>Gjendje 31.12.2011</t>
  </si>
  <si>
    <t>Amortizimi  i  akumuluar  i A.A.Materiale  2011</t>
  </si>
  <si>
    <t>Vlera Kontabel Neto e A.A.Materiale ne daten 31.12.2011</t>
  </si>
  <si>
    <t>Vlera e AQ ne dt 01.01.2011</t>
  </si>
  <si>
    <t>Shtesa viti 2011</t>
  </si>
  <si>
    <t>Shtesa viti 2011 nga interesat e kredive</t>
  </si>
  <si>
    <t>Pakesime viti 2011</t>
  </si>
  <si>
    <t>Vlera e AQ ne dt 31.12.2011</t>
  </si>
  <si>
    <t>Amortizimi i vitit 2011</t>
  </si>
  <si>
    <t>Amortizimi i akumuluar me 31.12.2011</t>
  </si>
  <si>
    <t>Vlera e mbetur me 31.12.2011</t>
  </si>
  <si>
    <t>Amortizimi ne dt 01.01.2011</t>
  </si>
  <si>
    <t xml:space="preserve">Vlera historike </t>
  </si>
  <si>
    <t>Pasqyra   e   te   Ardhurave   dhe   Shpenzimeve     2011</t>
  </si>
  <si>
    <t>Fitimi para Tatimit</t>
  </si>
  <si>
    <t>Shpenzime te pazbritshme</t>
  </si>
  <si>
    <t xml:space="preserve">Kontata Deloid </t>
  </si>
  <si>
    <t>Pagesa Tatim fitimi akt Kontrolli</t>
  </si>
  <si>
    <t xml:space="preserve">Fitimi i tatueshem </t>
  </si>
  <si>
    <t>Tatim Fitimi</t>
  </si>
  <si>
    <t>Viti   2011</t>
  </si>
  <si>
    <t>01.01.2011</t>
  </si>
  <si>
    <t>31.12.2011</t>
  </si>
  <si>
    <t>30.03.2012</t>
  </si>
  <si>
    <t>Pasqyrat    Financiare    te    Vitit   2011</t>
  </si>
  <si>
    <t>Parapagesa per Blerje</t>
  </si>
  <si>
    <t>Pasqyra   e   Fluksit   Monetar  -  Metoda  Indirekte   2011</t>
  </si>
  <si>
    <t>Te ardhura nga shitja e paisjeve( nxjerje jashte perdorimit )</t>
  </si>
  <si>
    <t>Pasqyra  e  Ndryshimeve  ne  Kapital  2011</t>
  </si>
  <si>
    <t>Pozicioni me 31 dhjetor 2011</t>
  </si>
  <si>
    <t xml:space="preserve">                - Per paisjet dhe instalimet 20 % ne vit te vleres se mbetur.</t>
  </si>
  <si>
    <t xml:space="preserve">                - Kompjutera e sisteme informacioni me 25 % te vleftes se mbetur</t>
  </si>
  <si>
    <t xml:space="preserve">                - Te gjitha AAM te tjera me 15 % te vleftes se mbetur</t>
  </si>
  <si>
    <t xml:space="preserve">     Per llogaritjen e amortizimit te AAJM (SKK 5: 59) njesia ekonomike raportuese ka </t>
  </si>
  <si>
    <t>percaktuar si metode te amortizimit metoden lineare ndersa normen e amortizimit me 15 % ne vit.</t>
  </si>
  <si>
    <t xml:space="preserve">                - Per ndertesat  me 5 % ne vit te vleres se mbetur </t>
  </si>
  <si>
    <t xml:space="preserve">BKT Euro </t>
  </si>
  <si>
    <t>I derdhur per periudhen e vitit 2009-2010</t>
  </si>
  <si>
    <t>I derdhur per periudhen e vitit 2011</t>
  </si>
  <si>
    <t>Tvsh per tu kthyer nga rimbursimi viti 2009</t>
  </si>
  <si>
    <t>Detyrime per Muajin Dhjetor 2011</t>
  </si>
  <si>
    <t>Detyrim ndaj ortakut</t>
  </si>
  <si>
    <t xml:space="preserve">Rezerva ligjore </t>
  </si>
  <si>
    <t>Rezerva te tjera per investime</t>
  </si>
  <si>
    <t>Shpenzime qiraje njesi shperndarje</t>
  </si>
  <si>
    <t>Sherbime nga te tretet</t>
  </si>
  <si>
    <t>Transport blerje</t>
  </si>
  <si>
    <t>Blerje te tjera ne ndihme te aktivitetit</t>
  </si>
  <si>
    <t>Mjeku i ndermarjes</t>
  </si>
  <si>
    <t>Shpenzime te raportuara me librin e blerjes</t>
  </si>
  <si>
    <t>Shpenzime te  pa raportuara me librin e blerjes</t>
  </si>
  <si>
    <t>Vlera kontabel e aktiveve Jashte perdorimit</t>
  </si>
  <si>
    <t>Shpenzime te peridhave te ardhshme</t>
  </si>
  <si>
    <t>Ritje /Renie ne tepricen e iventarit</t>
  </si>
  <si>
    <t>Nxjere jashte perdorimit te automjeteve</t>
  </si>
  <si>
    <t>Rritje/renie ne tepricen e iventarit</t>
  </si>
  <si>
    <t>Rritje/renie te ardhura nga huamarje afatgjata</t>
  </si>
  <si>
    <t>Gjendja e Mj.Monetare me 31.12.2011</t>
  </si>
  <si>
    <t>Rritje/renie neto e mjeteve monetare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</si>
</sst>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_L_e_k_-;\-* #,##0.00_L_e_k_-;_-* &quot;-&quot;??_L_e_k_-;_-@_-"/>
    <numFmt numFmtId="166" formatCode="_(* #,##0_);_(* \(#,##0\);_(* &quot;-&quot;??_);_(@_)"/>
    <numFmt numFmtId="167" formatCode="_(* #,##0.0_);_(* \(#,##0.0\);_(* &quot;-&quot;??_);_(@_)"/>
    <numFmt numFmtId="168" formatCode="#,##0.0000000000"/>
    <numFmt numFmtId="169" formatCode="#,##0.000000000"/>
    <numFmt numFmtId="170" formatCode="#,##0.00000000"/>
    <numFmt numFmtId="171" formatCode="#,##0.0000000"/>
    <numFmt numFmtId="172" formatCode="#,##0.000000"/>
    <numFmt numFmtId="173" formatCode="#,##0.00000"/>
    <numFmt numFmtId="174" formatCode="#,##0.0000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#,##0.00000000000"/>
    <numFmt numFmtId="180" formatCode="_-* #,##0.0_L_e_k_-;\-* #,##0.0_L_e_k_-;_-* &quot;-&quot;??_L_e_k_-;_-@_-"/>
  </numFmts>
  <fonts count="66">
    <font>
      <sz val="10"/>
      <name val="Arial"/>
      <family val="0"/>
    </font>
    <font>
      <sz val="9"/>
      <name val="Arial"/>
      <family val="2"/>
    </font>
    <font>
      <b/>
      <sz val="16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10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u val="singleAccounting"/>
      <sz val="9"/>
      <name val="Arial"/>
      <family val="2"/>
    </font>
    <font>
      <sz val="14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164" fontId="0" fillId="0" borderId="19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3" fontId="14" fillId="0" borderId="22" xfId="4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/>
    </xf>
    <xf numFmtId="3" fontId="14" fillId="0" borderId="22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/>
    </xf>
    <xf numFmtId="4" fontId="9" fillId="0" borderId="12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11" fillId="0" borderId="13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11" fillId="0" borderId="3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" fontId="0" fillId="0" borderId="22" xfId="0" applyNumberFormat="1" applyFont="1" applyFill="1" applyBorder="1" applyAlignment="1">
      <alignment vertical="center"/>
    </xf>
    <xf numFmtId="3" fontId="1" fillId="33" borderId="38" xfId="0" applyNumberFormat="1" applyFont="1" applyFill="1" applyBorder="1" applyAlignment="1">
      <alignment vertical="center"/>
    </xf>
    <xf numFmtId="3" fontId="1" fillId="33" borderId="39" xfId="0" applyNumberFormat="1" applyFont="1" applyFill="1" applyBorder="1" applyAlignment="1">
      <alignment vertical="center"/>
    </xf>
    <xf numFmtId="3" fontId="1" fillId="33" borderId="20" xfId="0" applyNumberFormat="1" applyFont="1" applyFill="1" applyBorder="1" applyAlignment="1">
      <alignment vertical="center"/>
    </xf>
    <xf numFmtId="3" fontId="1" fillId="33" borderId="40" xfId="0" applyNumberFormat="1" applyFont="1" applyFill="1" applyBorder="1" applyAlignment="1">
      <alignment vertical="center"/>
    </xf>
    <xf numFmtId="3" fontId="0" fillId="33" borderId="22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43" fontId="1" fillId="0" borderId="21" xfId="42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43" fontId="1" fillId="0" borderId="21" xfId="42" applyFont="1" applyFill="1" applyBorder="1" applyAlignment="1">
      <alignment horizontal="center"/>
    </xf>
    <xf numFmtId="43" fontId="1" fillId="0" borderId="22" xfId="42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42" applyFont="1" applyFill="1" applyAlignment="1">
      <alignment/>
    </xf>
    <xf numFmtId="43" fontId="22" fillId="0" borderId="0" xfId="42" applyFont="1" applyFill="1" applyAlignment="1">
      <alignment horizontal="center"/>
    </xf>
    <xf numFmtId="0" fontId="20" fillId="0" borderId="0" xfId="0" applyFont="1" applyFill="1" applyBorder="1" applyAlignment="1">
      <alignment/>
    </xf>
    <xf numFmtId="166" fontId="20" fillId="0" borderId="0" xfId="42" applyNumberFormat="1" applyFont="1" applyFill="1" applyBorder="1" applyAlignment="1">
      <alignment/>
    </xf>
    <xf numFmtId="166" fontId="20" fillId="0" borderId="0" xfId="42" applyNumberFormat="1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43" fontId="0" fillId="0" borderId="0" xfId="42" applyFill="1" applyAlignment="1">
      <alignment/>
    </xf>
    <xf numFmtId="3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14" fillId="0" borderId="41" xfId="0" applyNumberFormat="1" applyFont="1" applyBorder="1" applyAlignment="1">
      <alignment vertical="center"/>
    </xf>
    <xf numFmtId="166" fontId="0" fillId="0" borderId="0" xfId="42" applyNumberFormat="1" applyFont="1" applyAlignment="1">
      <alignment/>
    </xf>
    <xf numFmtId="166" fontId="0" fillId="0" borderId="22" xfId="42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3" fontId="25" fillId="0" borderId="22" xfId="42" applyFont="1" applyFill="1" applyBorder="1" applyAlignment="1">
      <alignment vertical="center"/>
    </xf>
    <xf numFmtId="43" fontId="25" fillId="0" borderId="22" xfId="42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9" fillId="0" borderId="22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66" fontId="0" fillId="0" borderId="0" xfId="42" applyNumberFormat="1" applyAlignment="1">
      <alignment/>
    </xf>
    <xf numFmtId="166" fontId="14" fillId="0" borderId="22" xfId="42" applyNumberFormat="1" applyFont="1" applyBorder="1" applyAlignment="1">
      <alignment vertical="center"/>
    </xf>
    <xf numFmtId="166" fontId="0" fillId="0" borderId="22" xfId="42" applyNumberFormat="1" applyFont="1" applyBorder="1" applyAlignment="1">
      <alignment vertical="center"/>
    </xf>
    <xf numFmtId="3" fontId="0" fillId="0" borderId="14" xfId="0" applyNumberFormat="1" applyBorder="1" applyAlignment="1">
      <alignment/>
    </xf>
    <xf numFmtId="166" fontId="15" fillId="0" borderId="22" xfId="42" applyNumberFormat="1" applyFont="1" applyBorder="1" applyAlignment="1">
      <alignment vertical="center" wrapText="1"/>
    </xf>
    <xf numFmtId="3" fontId="14" fillId="0" borderId="22" xfId="0" applyNumberFormat="1" applyFont="1" applyBorder="1" applyAlignment="1">
      <alignment/>
    </xf>
    <xf numFmtId="3" fontId="14" fillId="0" borderId="22" xfId="0" applyNumberFormat="1" applyFont="1" applyBorder="1" applyAlignment="1">
      <alignment horizontal="center" vertical="center" wrapText="1"/>
    </xf>
    <xf numFmtId="3" fontId="15" fillId="0" borderId="22" xfId="0" applyNumberFormat="1" applyFont="1" applyBorder="1" applyAlignment="1">
      <alignment horizontal="center" vertical="center" wrapText="1"/>
    </xf>
    <xf numFmtId="3" fontId="15" fillId="0" borderId="22" xfId="44" applyNumberFormat="1" applyFont="1" applyBorder="1" applyAlignment="1">
      <alignment vertical="center"/>
    </xf>
    <xf numFmtId="166" fontId="0" fillId="0" borderId="0" xfId="0" applyNumberFormat="1" applyFont="1" applyAlignment="1">
      <alignment vertical="center"/>
    </xf>
    <xf numFmtId="0" fontId="15" fillId="0" borderId="22" xfId="0" applyFont="1" applyBorder="1" applyAlignment="1">
      <alignment horizontal="center" vertical="center"/>
    </xf>
    <xf numFmtId="3" fontId="14" fillId="0" borderId="22" xfId="44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 vertical="center"/>
    </xf>
    <xf numFmtId="3" fontId="0" fillId="33" borderId="28" xfId="0" applyNumberFormat="1" applyFont="1" applyFill="1" applyBorder="1" applyAlignment="1">
      <alignment/>
    </xf>
    <xf numFmtId="166" fontId="0" fillId="0" borderId="10" xfId="42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0" applyNumberFormat="1" applyFont="1" applyAlignment="1">
      <alignment vertical="center"/>
    </xf>
    <xf numFmtId="166" fontId="0" fillId="0" borderId="13" xfId="42" applyNumberFormat="1" applyFont="1" applyBorder="1" applyAlignment="1">
      <alignment horizontal="center" vertical="center" wrapText="1"/>
    </xf>
    <xf numFmtId="166" fontId="0" fillId="0" borderId="41" xfId="42" applyNumberFormat="1" applyFont="1" applyBorder="1" applyAlignment="1">
      <alignment vertical="center"/>
    </xf>
    <xf numFmtId="166" fontId="0" fillId="0" borderId="0" xfId="42" applyNumberFormat="1" applyFont="1" applyAlignment="1">
      <alignment/>
    </xf>
    <xf numFmtId="166" fontId="0" fillId="0" borderId="0" xfId="42" applyNumberFormat="1" applyFont="1" applyAlignment="1">
      <alignment vertical="center"/>
    </xf>
    <xf numFmtId="3" fontId="0" fillId="0" borderId="0" xfId="0" applyNumberFormat="1" applyFont="1" applyBorder="1" applyAlignment="1">
      <alignment/>
    </xf>
    <xf numFmtId="43" fontId="1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43" fontId="1" fillId="0" borderId="11" xfId="42" applyFont="1" applyBorder="1" applyAlignment="1">
      <alignment/>
    </xf>
    <xf numFmtId="0" fontId="1" fillId="0" borderId="12" xfId="0" applyFont="1" applyBorder="1" applyAlignment="1">
      <alignment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3" fontId="26" fillId="0" borderId="0" xfId="42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6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35" xfId="0" applyFont="1" applyBorder="1" applyAlignment="1">
      <alignment/>
    </xf>
    <xf numFmtId="43" fontId="1" fillId="0" borderId="0" xfId="42" applyFont="1" applyBorder="1" applyAlignment="1">
      <alignment/>
    </xf>
    <xf numFmtId="0" fontId="1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3" fontId="1" fillId="0" borderId="0" xfId="42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20" xfId="42" applyFont="1" applyFill="1" applyBorder="1" applyAlignment="1">
      <alignment horizontal="center"/>
    </xf>
    <xf numFmtId="43" fontId="1" fillId="0" borderId="10" xfId="42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43" fontId="1" fillId="0" borderId="21" xfId="42" applyFont="1" applyFill="1" applyBorder="1" applyAlignment="1">
      <alignment horizontal="center"/>
    </xf>
    <xf numFmtId="43" fontId="1" fillId="0" borderId="17" xfId="42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43" fontId="1" fillId="0" borderId="22" xfId="42" applyFont="1" applyFill="1" applyBorder="1" applyAlignment="1">
      <alignment/>
    </xf>
    <xf numFmtId="43" fontId="1" fillId="0" borderId="22" xfId="42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3" fontId="1" fillId="0" borderId="19" xfId="42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43" fontId="1" fillId="0" borderId="22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22" xfId="42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22" xfId="42" applyNumberFormat="1" applyFont="1" applyFill="1" applyBorder="1" applyAlignment="1">
      <alignment/>
    </xf>
    <xf numFmtId="0" fontId="1" fillId="0" borderId="17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1" fillId="0" borderId="18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43" fontId="1" fillId="0" borderId="14" xfId="42" applyFont="1" applyBorder="1" applyAlignment="1">
      <alignment horizontal="center"/>
    </xf>
    <xf numFmtId="4" fontId="1" fillId="0" borderId="0" xfId="0" applyNumberFormat="1" applyFont="1" applyBorder="1" applyAlignment="1">
      <alignment vertical="center"/>
    </xf>
    <xf numFmtId="43" fontId="1" fillId="0" borderId="16" xfId="42" applyFont="1" applyBorder="1" applyAlignment="1">
      <alignment/>
    </xf>
    <xf numFmtId="43" fontId="1" fillId="0" borderId="14" xfId="42" applyNumberFormat="1" applyFont="1" applyFill="1" applyBorder="1" applyAlignment="1">
      <alignment/>
    </xf>
    <xf numFmtId="43" fontId="1" fillId="0" borderId="0" xfId="0" applyNumberFormat="1" applyFont="1" applyBorder="1" applyAlignment="1">
      <alignment horizontal="center"/>
    </xf>
    <xf numFmtId="43" fontId="1" fillId="0" borderId="14" xfId="42" applyNumberFormat="1" applyFont="1" applyBorder="1" applyAlignment="1">
      <alignment vertical="center"/>
    </xf>
    <xf numFmtId="43" fontId="1" fillId="0" borderId="16" xfId="42" applyNumberFormat="1" applyFont="1" applyBorder="1" applyAlignment="1">
      <alignment horizontal="center"/>
    </xf>
    <xf numFmtId="43" fontId="1" fillId="0" borderId="14" xfId="42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14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43" fontId="1" fillId="0" borderId="11" xfId="42" applyFont="1" applyBorder="1" applyAlignment="1">
      <alignment horizontal="center"/>
    </xf>
    <xf numFmtId="43" fontId="1" fillId="0" borderId="11" xfId="42" applyFont="1" applyBorder="1" applyAlignment="1">
      <alignment/>
    </xf>
    <xf numFmtId="0" fontId="27" fillId="0" borderId="0" xfId="0" applyFont="1" applyBorder="1" applyAlignment="1">
      <alignment horizontal="left"/>
    </xf>
    <xf numFmtId="43" fontId="1" fillId="0" borderId="0" xfId="42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66" fontId="1" fillId="0" borderId="22" xfId="42" applyNumberFormat="1" applyFont="1" applyBorder="1" applyAlignment="1">
      <alignment/>
    </xf>
    <xf numFmtId="166" fontId="1" fillId="0" borderId="22" xfId="42" applyNumberFormat="1" applyFont="1" applyBorder="1" applyAlignment="1">
      <alignment horizontal="center"/>
    </xf>
    <xf numFmtId="166" fontId="1" fillId="0" borderId="22" xfId="42" applyNumberFormat="1" applyFont="1" applyBorder="1" applyAlignment="1">
      <alignment vertical="center"/>
    </xf>
    <xf numFmtId="167" fontId="1" fillId="0" borderId="22" xfId="42" applyNumberFormat="1" applyFont="1" applyBorder="1" applyAlignment="1">
      <alignment/>
    </xf>
    <xf numFmtId="0" fontId="1" fillId="33" borderId="22" xfId="0" applyFont="1" applyFill="1" applyBorder="1" applyAlignment="1">
      <alignment/>
    </xf>
    <xf numFmtId="166" fontId="1" fillId="33" borderId="22" xfId="0" applyNumberFormat="1" applyFont="1" applyFill="1" applyBorder="1" applyAlignment="1">
      <alignment/>
    </xf>
    <xf numFmtId="166" fontId="12" fillId="0" borderId="0" xfId="0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3" fontId="1" fillId="0" borderId="0" xfId="42" applyFont="1" applyFill="1" applyBorder="1" applyAlignment="1">
      <alignment/>
    </xf>
    <xf numFmtId="43" fontId="1" fillId="0" borderId="0" xfId="42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43" fontId="1" fillId="0" borderId="14" xfId="42" applyFont="1" applyFill="1" applyBorder="1" applyAlignment="1">
      <alignment/>
    </xf>
    <xf numFmtId="43" fontId="1" fillId="0" borderId="16" xfId="42" applyFont="1" applyFill="1" applyBorder="1" applyAlignment="1">
      <alignment/>
    </xf>
    <xf numFmtId="4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43" fontId="28" fillId="0" borderId="0" xfId="42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43" fontId="1" fillId="0" borderId="0" xfId="42" applyFont="1" applyAlignment="1">
      <alignment/>
    </xf>
    <xf numFmtId="4" fontId="1" fillId="0" borderId="22" xfId="42" applyNumberFormat="1" applyFont="1" applyFill="1" applyBorder="1" applyAlignment="1">
      <alignment/>
    </xf>
    <xf numFmtId="4" fontId="1" fillId="0" borderId="22" xfId="42" applyNumberFormat="1" applyFont="1" applyFill="1" applyBorder="1" applyAlignment="1">
      <alignment/>
    </xf>
    <xf numFmtId="166" fontId="1" fillId="0" borderId="22" xfId="0" applyNumberFormat="1" applyFont="1" applyFill="1" applyBorder="1" applyAlignment="1">
      <alignment vertical="center"/>
    </xf>
    <xf numFmtId="43" fontId="1" fillId="0" borderId="0" xfId="0" applyNumberFormat="1" applyFont="1" applyFill="1" applyAlignment="1">
      <alignment vertical="center"/>
    </xf>
    <xf numFmtId="4" fontId="1" fillId="0" borderId="11" xfId="0" applyNumberFormat="1" applyFont="1" applyBorder="1" applyAlignment="1">
      <alignment vertical="center"/>
    </xf>
    <xf numFmtId="43" fontId="1" fillId="0" borderId="12" xfId="42" applyFont="1" applyBorder="1" applyAlignment="1">
      <alignment/>
    </xf>
    <xf numFmtId="43" fontId="26" fillId="0" borderId="15" xfId="42" applyFont="1" applyBorder="1" applyAlignment="1">
      <alignment horizontal="center" vertical="center"/>
    </xf>
    <xf numFmtId="43" fontId="1" fillId="0" borderId="15" xfId="42" applyFont="1" applyBorder="1" applyAlignment="1">
      <alignment/>
    </xf>
    <xf numFmtId="43" fontId="1" fillId="0" borderId="15" xfId="42" applyFont="1" applyBorder="1" applyAlignment="1">
      <alignment/>
    </xf>
    <xf numFmtId="43" fontId="1" fillId="0" borderId="15" xfId="0" applyNumberFormat="1" applyFont="1" applyFill="1" applyBorder="1" applyAlignment="1">
      <alignment vertical="center"/>
    </xf>
    <xf numFmtId="43" fontId="1" fillId="0" borderId="15" xfId="42" applyFont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23" xfId="42" applyFont="1" applyBorder="1" applyAlignment="1">
      <alignment/>
    </xf>
    <xf numFmtId="43" fontId="1" fillId="0" borderId="15" xfId="42" applyFont="1" applyBorder="1" applyAlignment="1">
      <alignment vertical="center"/>
    </xf>
    <xf numFmtId="43" fontId="12" fillId="0" borderId="15" xfId="42" applyFont="1" applyBorder="1" applyAlignment="1">
      <alignment/>
    </xf>
    <xf numFmtId="0" fontId="27" fillId="0" borderId="15" xfId="0" applyFont="1" applyBorder="1" applyAlignment="1">
      <alignment vertical="center"/>
    </xf>
    <xf numFmtId="43" fontId="12" fillId="0" borderId="18" xfId="42" applyFont="1" applyBorder="1" applyAlignment="1">
      <alignment/>
    </xf>
    <xf numFmtId="43" fontId="12" fillId="0" borderId="12" xfId="42" applyFont="1" applyBorder="1" applyAlignment="1">
      <alignment/>
    </xf>
    <xf numFmtId="43" fontId="1" fillId="0" borderId="15" xfId="42" applyFont="1" applyFill="1" applyBorder="1" applyAlignment="1">
      <alignment horizontal="center" vertical="center"/>
    </xf>
    <xf numFmtId="43" fontId="1" fillId="0" borderId="15" xfId="42" applyFont="1" applyFill="1" applyBorder="1" applyAlignment="1">
      <alignment/>
    </xf>
    <xf numFmtId="43" fontId="1" fillId="0" borderId="15" xfId="42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42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3" fontId="9" fillId="0" borderId="11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6" xfId="42" applyFont="1" applyBorder="1" applyAlignment="1">
      <alignment/>
    </xf>
    <xf numFmtId="0" fontId="27" fillId="0" borderId="0" xfId="0" applyFont="1" applyFill="1" applyBorder="1" applyAlignment="1">
      <alignment horizontal="left"/>
    </xf>
    <xf numFmtId="43" fontId="0" fillId="0" borderId="14" xfId="42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10" fillId="8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16" xfId="42" applyFont="1" applyFill="1" applyBorder="1" applyAlignment="1">
      <alignment/>
    </xf>
    <xf numFmtId="43" fontId="1" fillId="0" borderId="16" xfId="42" applyFont="1" applyBorder="1" applyAlignment="1">
      <alignment horizontal="right"/>
    </xf>
    <xf numFmtId="43" fontId="0" fillId="8" borderId="22" xfId="0" applyNumberFormat="1" applyFill="1" applyBorder="1" applyAlignment="1">
      <alignment/>
    </xf>
    <xf numFmtId="4" fontId="0" fillId="0" borderId="14" xfId="42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29" fillId="0" borderId="0" xfId="0" applyFont="1" applyBorder="1" applyAlignment="1">
      <alignment/>
    </xf>
    <xf numFmtId="4" fontId="0" fillId="0" borderId="16" xfId="42" applyNumberFormat="1" applyFont="1" applyBorder="1" applyAlignment="1">
      <alignment/>
    </xf>
    <xf numFmtId="0" fontId="8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0" fillId="0" borderId="11" xfId="42" applyFont="1" applyBorder="1" applyAlignment="1">
      <alignment/>
    </xf>
    <xf numFmtId="0" fontId="29" fillId="0" borderId="15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43" fontId="1" fillId="0" borderId="12" xfId="42" applyFont="1" applyBorder="1" applyAlignment="1">
      <alignment vertical="center"/>
    </xf>
    <xf numFmtId="0" fontId="0" fillId="0" borderId="11" xfId="0" applyFont="1" applyBorder="1" applyAlignment="1">
      <alignment/>
    </xf>
    <xf numFmtId="3" fontId="30" fillId="0" borderId="0" xfId="0" applyNumberFormat="1" applyFont="1" applyAlignment="1">
      <alignment horizontal="right" vertical="center"/>
    </xf>
    <xf numFmtId="43" fontId="0" fillId="0" borderId="0" xfId="42" applyFont="1" applyFill="1" applyAlignment="1">
      <alignment/>
    </xf>
    <xf numFmtId="43" fontId="1" fillId="0" borderId="22" xfId="42" applyFont="1" applyFill="1" applyBorder="1" applyAlignment="1">
      <alignment horizontal="center"/>
    </xf>
    <xf numFmtId="43" fontId="1" fillId="0" borderId="22" xfId="42" applyFont="1" applyFill="1" applyBorder="1" applyAlignment="1">
      <alignment horizontal="center" vertical="center"/>
    </xf>
    <xf numFmtId="4" fontId="30" fillId="0" borderId="22" xfId="0" applyNumberFormat="1" applyFont="1" applyBorder="1" applyAlignment="1">
      <alignment horizontal="right" vertical="center"/>
    </xf>
    <xf numFmtId="4" fontId="1" fillId="0" borderId="22" xfId="42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166" fontId="0" fillId="0" borderId="0" xfId="0" applyNumberFormat="1" applyFont="1" applyAlignment="1">
      <alignment/>
    </xf>
    <xf numFmtId="166" fontId="14" fillId="0" borderId="22" xfId="42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66" fontId="0" fillId="0" borderId="14" xfId="42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3" fontId="14" fillId="0" borderId="22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166" fontId="0" fillId="0" borderId="14" xfId="42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31" fillId="0" borderId="22" xfId="0" applyNumberFormat="1" applyFont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4" fontId="0" fillId="7" borderId="0" xfId="0" applyNumberFormat="1" applyFont="1" applyFill="1" applyBorder="1" applyAlignment="1">
      <alignment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horizontal="right"/>
    </xf>
    <xf numFmtId="166" fontId="12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67" fontId="1" fillId="0" borderId="14" xfId="42" applyNumberFormat="1" applyFont="1" applyFill="1" applyBorder="1" applyAlignment="1">
      <alignment horizontal="center"/>
    </xf>
    <xf numFmtId="43" fontId="1" fillId="0" borderId="16" xfId="42" applyNumberFormat="1" applyFont="1" applyFill="1" applyBorder="1" applyAlignment="1">
      <alignment horizontal="center"/>
    </xf>
    <xf numFmtId="4" fontId="1" fillId="0" borderId="0" xfId="42" applyNumberFormat="1" applyFont="1" applyFill="1" applyBorder="1" applyAlignment="1">
      <alignment/>
    </xf>
    <xf numFmtId="4" fontId="1" fillId="0" borderId="16" xfId="42" applyNumberFormat="1" applyFont="1" applyFill="1" applyBorder="1" applyAlignment="1">
      <alignment/>
    </xf>
    <xf numFmtId="43" fontId="1" fillId="0" borderId="15" xfId="0" applyNumberFormat="1" applyFont="1" applyBorder="1" applyAlignment="1">
      <alignment/>
    </xf>
    <xf numFmtId="0" fontId="0" fillId="0" borderId="23" xfId="0" applyBorder="1" applyAlignment="1">
      <alignment horizontal="left" vertical="center"/>
    </xf>
    <xf numFmtId="43" fontId="0" fillId="4" borderId="14" xfId="42" applyFont="1" applyFill="1" applyBorder="1" applyAlignment="1">
      <alignment/>
    </xf>
    <xf numFmtId="43" fontId="0" fillId="4" borderId="16" xfId="42" applyFont="1" applyFill="1" applyBorder="1" applyAlignment="1">
      <alignment/>
    </xf>
    <xf numFmtId="4" fontId="0" fillId="0" borderId="0" xfId="42" applyNumberFormat="1" applyFont="1" applyBorder="1" applyAlignment="1">
      <alignment/>
    </xf>
    <xf numFmtId="43" fontId="0" fillId="0" borderId="0" xfId="42" applyFont="1" applyFill="1" applyBorder="1" applyAlignment="1">
      <alignment/>
    </xf>
    <xf numFmtId="0" fontId="0" fillId="4" borderId="0" xfId="0" applyFill="1" applyBorder="1" applyAlignment="1">
      <alignment/>
    </xf>
    <xf numFmtId="43" fontId="0" fillId="4" borderId="0" xfId="0" applyNumberForma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43" fontId="1" fillId="4" borderId="0" xfId="42" applyFont="1" applyFill="1" applyBorder="1" applyAlignment="1">
      <alignment horizontal="center"/>
    </xf>
    <xf numFmtId="43" fontId="0" fillId="4" borderId="14" xfId="42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43" fontId="1" fillId="0" borderId="14" xfId="42" applyFont="1" applyBorder="1" applyAlignment="1">
      <alignment horizontal="center"/>
    </xf>
    <xf numFmtId="43" fontId="1" fillId="0" borderId="18" xfId="42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 wrapText="1"/>
    </xf>
    <xf numFmtId="166" fontId="0" fillId="0" borderId="10" xfId="42" applyNumberFormat="1" applyFont="1" applyBorder="1" applyAlignment="1">
      <alignment horizontal="center" vertical="center" wrapText="1"/>
    </xf>
    <xf numFmtId="166" fontId="0" fillId="0" borderId="17" xfId="42" applyNumberFormat="1" applyFont="1" applyBorder="1" applyAlignment="1">
      <alignment horizontal="center" vertical="center" wrapText="1"/>
    </xf>
    <xf numFmtId="166" fontId="0" fillId="0" borderId="22" xfId="42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20" xfId="42" applyNumberFormat="1" applyFont="1" applyFill="1" applyBorder="1" applyAlignment="1">
      <alignment horizontal="center" vertical="center"/>
    </xf>
    <xf numFmtId="49" fontId="1" fillId="0" borderId="21" xfId="42" applyNumberFormat="1" applyFont="1" applyFill="1" applyBorder="1" applyAlignment="1">
      <alignment horizontal="center" vertical="center"/>
    </xf>
    <xf numFmtId="49" fontId="1" fillId="0" borderId="20" xfId="42" applyNumberFormat="1" applyFont="1" applyFill="1" applyBorder="1" applyAlignment="1">
      <alignment horizontal="center" vertical="center" wrapText="1"/>
    </xf>
    <xf numFmtId="49" fontId="1" fillId="0" borderId="21" xfId="4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3" fontId="1" fillId="0" borderId="0" xfId="42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ipack%20sha\Desktop\PF%20-%202009%20Beba%20Cosme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et"/>
      <sheetName val="Pasivet"/>
      <sheetName val="Rezultati"/>
      <sheetName val="Fluksi"/>
      <sheetName val="Kapitali"/>
      <sheetName val="Kopertina"/>
      <sheetName val="1"/>
      <sheetName val="Shenime shpjg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8">
      <selection activeCell="A1" sqref="A1:K48"/>
    </sheetView>
  </sheetViews>
  <sheetFormatPr defaultColWidth="9.140625" defaultRowHeight="12.75"/>
  <cols>
    <col min="1" max="2" width="9.140625" style="1" customWidth="1"/>
    <col min="3" max="3" width="9.28125" style="1" customWidth="1"/>
    <col min="4" max="4" width="11.421875" style="1" customWidth="1"/>
    <col min="5" max="5" width="12.8515625" style="1" customWidth="1"/>
    <col min="6" max="6" width="5.421875" style="1" customWidth="1"/>
    <col min="7" max="8" width="9.140625" style="1" customWidth="1"/>
    <col min="9" max="9" width="3.140625" style="1" customWidth="1"/>
    <col min="10" max="10" width="9.140625" style="1" customWidth="1"/>
    <col min="11" max="11" width="1.8515625" style="1" customWidth="1"/>
    <col min="12" max="16384" width="9.140625" style="1" customWidth="1"/>
  </cols>
  <sheetData>
    <row r="1" ht="6.75" customHeight="1"/>
    <row r="2" spans="1:10" ht="12.7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s="5" customFormat="1" ht="21" customHeight="1">
      <c r="A3" s="6"/>
      <c r="B3" s="7" t="s">
        <v>0</v>
      </c>
      <c r="C3" s="7"/>
      <c r="D3" s="7"/>
      <c r="E3" s="8" t="s">
        <v>329</v>
      </c>
      <c r="F3" s="9"/>
      <c r="G3" s="10"/>
      <c r="H3" s="11"/>
      <c r="I3" s="7"/>
      <c r="J3" s="12"/>
    </row>
    <row r="4" spans="1:10" s="5" customFormat="1" ht="13.5" customHeight="1">
      <c r="A4" s="6"/>
      <c r="B4" s="7" t="s">
        <v>1</v>
      </c>
      <c r="C4" s="7"/>
      <c r="D4" s="7"/>
      <c r="E4" s="11" t="s">
        <v>330</v>
      </c>
      <c r="F4" s="13"/>
      <c r="G4" s="14"/>
      <c r="H4" s="15"/>
      <c r="I4" s="15"/>
      <c r="J4" s="12"/>
    </row>
    <row r="5" spans="1:10" s="5" customFormat="1" ht="13.5" customHeight="1">
      <c r="A5" s="6"/>
      <c r="B5" s="7" t="s">
        <v>2</v>
      </c>
      <c r="C5" s="7"/>
      <c r="D5" s="7"/>
      <c r="E5" s="16" t="s">
        <v>331</v>
      </c>
      <c r="F5" s="11"/>
      <c r="G5" s="11"/>
      <c r="H5" s="11"/>
      <c r="I5" s="11"/>
      <c r="J5" s="12"/>
    </row>
    <row r="6" spans="1:10" s="5" customFormat="1" ht="13.5" customHeight="1">
      <c r="A6" s="6"/>
      <c r="B6" s="7"/>
      <c r="C6" s="7"/>
      <c r="D6" s="7"/>
      <c r="E6" s="7"/>
      <c r="F6" s="7"/>
      <c r="G6" s="17" t="s">
        <v>332</v>
      </c>
      <c r="H6" s="17"/>
      <c r="I6" s="15"/>
      <c r="J6" s="12"/>
    </row>
    <row r="7" spans="1:10" s="5" customFormat="1" ht="13.5" customHeight="1">
      <c r="A7" s="6"/>
      <c r="B7" s="7" t="s">
        <v>3</v>
      </c>
      <c r="C7" s="7"/>
      <c r="D7" s="7"/>
      <c r="E7" s="11" t="s">
        <v>333</v>
      </c>
      <c r="F7" s="18"/>
      <c r="G7" s="7"/>
      <c r="H7" s="7"/>
      <c r="I7" s="7"/>
      <c r="J7" s="12"/>
    </row>
    <row r="8" spans="1:10" s="5" customFormat="1" ht="13.5" customHeight="1">
      <c r="A8" s="6"/>
      <c r="B8" s="7" t="s">
        <v>4</v>
      </c>
      <c r="C8" s="7"/>
      <c r="D8" s="7"/>
      <c r="E8" s="16">
        <v>960</v>
      </c>
      <c r="F8" s="19"/>
      <c r="G8" s="7"/>
      <c r="H8" s="7"/>
      <c r="I8" s="7"/>
      <c r="J8" s="12"/>
    </row>
    <row r="9" spans="1:10" s="5" customFormat="1" ht="13.5" customHeight="1">
      <c r="A9" s="6"/>
      <c r="B9" s="7"/>
      <c r="C9" s="7"/>
      <c r="D9" s="7"/>
      <c r="E9" s="7"/>
      <c r="F9" s="7"/>
      <c r="G9" s="7"/>
      <c r="H9" s="7"/>
      <c r="I9" s="7"/>
      <c r="J9" s="12"/>
    </row>
    <row r="10" spans="1:10" s="5" customFormat="1" ht="13.5" customHeight="1">
      <c r="A10" s="6"/>
      <c r="B10" s="7" t="s">
        <v>5</v>
      </c>
      <c r="C10" s="7"/>
      <c r="D10" s="7"/>
      <c r="E10" s="11" t="s">
        <v>334</v>
      </c>
      <c r="F10" s="11"/>
      <c r="G10" s="11"/>
      <c r="H10" s="11"/>
      <c r="I10" s="11"/>
      <c r="J10" s="12"/>
    </row>
    <row r="11" spans="1:10" s="5" customFormat="1" ht="13.5" customHeight="1">
      <c r="A11" s="6"/>
      <c r="B11" s="7"/>
      <c r="C11" s="7"/>
      <c r="D11" s="7"/>
      <c r="E11" s="16" t="s">
        <v>335</v>
      </c>
      <c r="F11" s="16"/>
      <c r="G11" s="16"/>
      <c r="H11" s="16"/>
      <c r="I11" s="16"/>
      <c r="J11" s="12"/>
    </row>
    <row r="12" spans="1:10" s="5" customFormat="1" ht="13.5" customHeight="1">
      <c r="A12" s="6"/>
      <c r="B12" s="7"/>
      <c r="C12" s="7"/>
      <c r="D12" s="7"/>
      <c r="E12" s="16"/>
      <c r="F12" s="16"/>
      <c r="G12" s="16"/>
      <c r="H12" s="16"/>
      <c r="I12" s="16"/>
      <c r="J12" s="12"/>
    </row>
    <row r="13" spans="1:10" ht="12.75">
      <c r="A13" s="20"/>
      <c r="B13" s="21"/>
      <c r="C13" s="21"/>
      <c r="D13" s="21"/>
      <c r="E13" s="21"/>
      <c r="F13" s="21"/>
      <c r="G13" s="21"/>
      <c r="H13" s="21"/>
      <c r="I13" s="21"/>
      <c r="J13" s="22"/>
    </row>
    <row r="14" spans="1:10" ht="12.75">
      <c r="A14" s="20"/>
      <c r="B14" s="21"/>
      <c r="C14" s="21"/>
      <c r="D14" s="21"/>
      <c r="E14" s="21"/>
      <c r="F14" s="21"/>
      <c r="G14" s="21"/>
      <c r="H14" s="21"/>
      <c r="I14" s="21"/>
      <c r="J14" s="22"/>
    </row>
    <row r="15" spans="1:10" ht="12.75">
      <c r="A15" s="20"/>
      <c r="B15" s="21"/>
      <c r="C15" s="21"/>
      <c r="D15" s="21"/>
      <c r="E15" s="21"/>
      <c r="F15" s="21"/>
      <c r="G15" s="21"/>
      <c r="H15" s="21"/>
      <c r="I15" s="21"/>
      <c r="J15" s="22"/>
    </row>
    <row r="16" spans="1:10" ht="12.75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2.75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2.75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2.75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2.75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.75">
      <c r="A21" s="20"/>
      <c r="C21" s="21"/>
      <c r="D21" s="21"/>
      <c r="E21" s="21"/>
      <c r="F21" s="21"/>
      <c r="G21" s="21"/>
      <c r="H21" s="21"/>
      <c r="I21" s="21"/>
      <c r="J21" s="22"/>
    </row>
    <row r="22" spans="1:10" ht="12.75">
      <c r="A22" s="20"/>
      <c r="B22" s="21"/>
      <c r="C22" s="21"/>
      <c r="D22" s="21"/>
      <c r="E22" s="21"/>
      <c r="F22" s="21"/>
      <c r="G22" s="21"/>
      <c r="H22" s="21"/>
      <c r="I22" s="21"/>
      <c r="J22" s="22"/>
    </row>
    <row r="23" spans="1:10" ht="12.75">
      <c r="A23" s="20"/>
      <c r="B23" s="21"/>
      <c r="C23" s="21"/>
      <c r="D23" s="21"/>
      <c r="E23" s="21"/>
      <c r="F23" s="21"/>
      <c r="G23" s="21"/>
      <c r="H23" s="21"/>
      <c r="I23" s="21"/>
      <c r="J23" s="22"/>
    </row>
    <row r="24" spans="1:10" ht="12.75">
      <c r="A24" s="20"/>
      <c r="B24" s="21"/>
      <c r="C24" s="21"/>
      <c r="D24" s="21"/>
      <c r="E24" s="21"/>
      <c r="F24" s="21"/>
      <c r="G24" s="21"/>
      <c r="H24" s="21"/>
      <c r="I24" s="21"/>
      <c r="J24" s="22"/>
    </row>
    <row r="25" spans="1:10" ht="33.75">
      <c r="A25" s="483" t="s">
        <v>6</v>
      </c>
      <c r="B25" s="484"/>
      <c r="C25" s="484"/>
      <c r="D25" s="484"/>
      <c r="E25" s="484"/>
      <c r="F25" s="484"/>
      <c r="G25" s="484"/>
      <c r="H25" s="484"/>
      <c r="I25" s="484"/>
      <c r="J25" s="485"/>
    </row>
    <row r="26" spans="1:10" ht="12.75">
      <c r="A26" s="20"/>
      <c r="B26" s="486" t="s">
        <v>7</v>
      </c>
      <c r="C26" s="486"/>
      <c r="D26" s="486"/>
      <c r="E26" s="486"/>
      <c r="F26" s="486"/>
      <c r="G26" s="486"/>
      <c r="H26" s="486"/>
      <c r="I26" s="486"/>
      <c r="J26" s="22"/>
    </row>
    <row r="27" spans="1:10" ht="12.75">
      <c r="A27" s="20"/>
      <c r="B27" s="486" t="s">
        <v>8</v>
      </c>
      <c r="C27" s="486"/>
      <c r="D27" s="486"/>
      <c r="E27" s="486"/>
      <c r="F27" s="486"/>
      <c r="G27" s="486"/>
      <c r="H27" s="486"/>
      <c r="I27" s="486"/>
      <c r="J27" s="22"/>
    </row>
    <row r="28" spans="1:10" ht="12.75">
      <c r="A28" s="20"/>
      <c r="B28" s="21"/>
      <c r="C28" s="21"/>
      <c r="D28" s="21"/>
      <c r="E28" s="21"/>
      <c r="F28" s="21"/>
      <c r="G28" s="21"/>
      <c r="H28" s="21"/>
      <c r="I28" s="21"/>
      <c r="J28" s="22"/>
    </row>
    <row r="29" spans="1:10" ht="12.75">
      <c r="A29" s="20"/>
      <c r="B29" s="21"/>
      <c r="C29" s="21"/>
      <c r="D29" s="21"/>
      <c r="E29" s="21"/>
      <c r="F29" s="21"/>
      <c r="G29" s="21"/>
      <c r="H29" s="21"/>
      <c r="I29" s="21"/>
      <c r="J29" s="22"/>
    </row>
    <row r="30" spans="1:10" ht="33.75">
      <c r="A30" s="20"/>
      <c r="B30" s="21"/>
      <c r="C30" s="21"/>
      <c r="D30" s="21"/>
      <c r="E30" s="23" t="s">
        <v>461</v>
      </c>
      <c r="F30" s="21"/>
      <c r="G30" s="21"/>
      <c r="H30" s="21"/>
      <c r="I30" s="21"/>
      <c r="J30" s="22"/>
    </row>
    <row r="31" spans="1:10" ht="12.75">
      <c r="A31" s="20"/>
      <c r="B31" s="21"/>
      <c r="C31" s="21"/>
      <c r="D31" s="21"/>
      <c r="E31" s="21"/>
      <c r="F31" s="21"/>
      <c r="G31" s="21"/>
      <c r="H31" s="21"/>
      <c r="I31" s="21"/>
      <c r="J31" s="22"/>
    </row>
    <row r="32" spans="1:10" ht="12.75">
      <c r="A32" s="20"/>
      <c r="B32" s="21"/>
      <c r="C32" s="21"/>
      <c r="D32" s="21"/>
      <c r="E32" s="21"/>
      <c r="F32" s="21"/>
      <c r="G32" s="21"/>
      <c r="H32" s="21"/>
      <c r="I32" s="21"/>
      <c r="J32" s="22"/>
    </row>
    <row r="33" spans="1:10" ht="12.75">
      <c r="A33" s="20"/>
      <c r="B33" s="21"/>
      <c r="C33" s="21"/>
      <c r="D33" s="21"/>
      <c r="E33" s="21"/>
      <c r="F33" s="21"/>
      <c r="G33" s="21"/>
      <c r="H33" s="21"/>
      <c r="I33" s="21"/>
      <c r="J33" s="22"/>
    </row>
    <row r="34" spans="1:10" ht="12.75">
      <c r="A34" s="20"/>
      <c r="B34" s="21"/>
      <c r="C34" s="21"/>
      <c r="D34" s="21"/>
      <c r="E34" s="21"/>
      <c r="F34" s="21"/>
      <c r="G34" s="21"/>
      <c r="H34" s="21"/>
      <c r="I34" s="21"/>
      <c r="J34" s="22"/>
    </row>
    <row r="35" spans="1:10" ht="9" customHeight="1">
      <c r="A35" s="20"/>
      <c r="B35" s="21"/>
      <c r="C35" s="21"/>
      <c r="D35" s="21"/>
      <c r="E35" s="21"/>
      <c r="F35" s="21"/>
      <c r="G35" s="21"/>
      <c r="H35" s="21"/>
      <c r="I35" s="21"/>
      <c r="J35" s="22"/>
    </row>
    <row r="36" spans="1:10" ht="12.75">
      <c r="A36" s="20"/>
      <c r="B36" s="21"/>
      <c r="C36" s="21"/>
      <c r="D36" s="21"/>
      <c r="E36" s="21"/>
      <c r="F36" s="21"/>
      <c r="G36" s="21"/>
      <c r="H36" s="21"/>
      <c r="I36" s="21"/>
      <c r="J36" s="22"/>
    </row>
    <row r="37" spans="1:10" ht="12.75">
      <c r="A37" s="20"/>
      <c r="B37" s="21"/>
      <c r="C37" s="21"/>
      <c r="D37" s="21"/>
      <c r="E37" s="21"/>
      <c r="F37" s="21"/>
      <c r="G37" s="21"/>
      <c r="H37" s="21"/>
      <c r="I37" s="21"/>
      <c r="J37" s="22"/>
    </row>
    <row r="38" spans="1:10" s="5" customFormat="1" ht="12.75" customHeight="1">
      <c r="A38" s="6"/>
      <c r="B38" s="7" t="s">
        <v>9</v>
      </c>
      <c r="C38" s="7"/>
      <c r="D38" s="7"/>
      <c r="E38" s="7"/>
      <c r="F38" s="7"/>
      <c r="G38" s="487" t="s">
        <v>10</v>
      </c>
      <c r="H38" s="487"/>
      <c r="I38" s="7"/>
      <c r="J38" s="12"/>
    </row>
    <row r="39" spans="1:10" s="5" customFormat="1" ht="12.75" customHeight="1">
      <c r="A39" s="6"/>
      <c r="B39" s="7" t="s">
        <v>11</v>
      </c>
      <c r="C39" s="7"/>
      <c r="D39" s="7"/>
      <c r="E39" s="7"/>
      <c r="F39" s="7"/>
      <c r="G39" s="488" t="s">
        <v>12</v>
      </c>
      <c r="H39" s="488"/>
      <c r="I39" s="7"/>
      <c r="J39" s="12"/>
    </row>
    <row r="40" spans="1:10" s="5" customFormat="1" ht="12.75" customHeight="1">
      <c r="A40" s="6"/>
      <c r="B40" s="7" t="s">
        <v>13</v>
      </c>
      <c r="C40" s="7"/>
      <c r="D40" s="7"/>
      <c r="E40" s="7"/>
      <c r="F40" s="7"/>
      <c r="G40" s="488" t="s">
        <v>14</v>
      </c>
      <c r="H40" s="488"/>
      <c r="I40" s="7"/>
      <c r="J40" s="12"/>
    </row>
    <row r="41" spans="1:10" s="5" customFormat="1" ht="12.75" customHeight="1">
      <c r="A41" s="6"/>
      <c r="B41" s="7" t="s">
        <v>352</v>
      </c>
      <c r="C41" s="7"/>
      <c r="D41" s="7"/>
      <c r="E41" s="7"/>
      <c r="F41" s="7"/>
      <c r="G41" s="488" t="s">
        <v>12</v>
      </c>
      <c r="H41" s="488"/>
      <c r="I41" s="7"/>
      <c r="J41" s="12"/>
    </row>
    <row r="42" spans="1:10" ht="12.75">
      <c r="A42" s="20"/>
      <c r="B42" s="21"/>
      <c r="C42" s="21"/>
      <c r="D42" s="21"/>
      <c r="E42" s="21"/>
      <c r="F42" s="21"/>
      <c r="G42" s="21"/>
      <c r="H42" s="21"/>
      <c r="I42" s="21"/>
      <c r="J42" s="22"/>
    </row>
    <row r="43" spans="1:10" s="24" customFormat="1" ht="12.75" customHeight="1">
      <c r="A43" s="25"/>
      <c r="B43" s="7" t="s">
        <v>15</v>
      </c>
      <c r="C43" s="7"/>
      <c r="D43" s="7"/>
      <c r="E43" s="7"/>
      <c r="F43" s="19" t="s">
        <v>16</v>
      </c>
      <c r="G43" s="487" t="s">
        <v>462</v>
      </c>
      <c r="H43" s="487"/>
      <c r="I43" s="26"/>
      <c r="J43" s="27"/>
    </row>
    <row r="44" spans="1:10" s="24" customFormat="1" ht="12.75" customHeight="1">
      <c r="A44" s="25"/>
      <c r="B44" s="7"/>
      <c r="C44" s="7"/>
      <c r="D44" s="7"/>
      <c r="E44" s="7"/>
      <c r="F44" s="19" t="s">
        <v>17</v>
      </c>
      <c r="G44" s="488" t="s">
        <v>463</v>
      </c>
      <c r="H44" s="488"/>
      <c r="I44" s="26"/>
      <c r="J44" s="27"/>
    </row>
    <row r="45" spans="1:10" s="24" customFormat="1" ht="7.5" customHeight="1">
      <c r="A45" s="25"/>
      <c r="B45" s="7"/>
      <c r="C45" s="7"/>
      <c r="D45" s="7"/>
      <c r="E45" s="7"/>
      <c r="F45" s="19"/>
      <c r="G45" s="19"/>
      <c r="H45" s="19"/>
      <c r="I45" s="26"/>
      <c r="J45" s="27"/>
    </row>
    <row r="46" spans="1:10" s="24" customFormat="1" ht="12.75" customHeight="1">
      <c r="A46" s="25"/>
      <c r="B46" s="7" t="s">
        <v>18</v>
      </c>
      <c r="C46" s="7"/>
      <c r="D46" s="7"/>
      <c r="E46" s="19"/>
      <c r="F46" s="7"/>
      <c r="G46" s="487" t="s">
        <v>464</v>
      </c>
      <c r="H46" s="487"/>
      <c r="I46" s="26"/>
      <c r="J46" s="27"/>
    </row>
    <row r="47" spans="1:10" ht="22.5" customHeight="1">
      <c r="A47" s="28"/>
      <c r="B47" s="29"/>
      <c r="C47" s="29"/>
      <c r="D47" s="29"/>
      <c r="E47" s="29"/>
      <c r="F47" s="29"/>
      <c r="G47" s="29"/>
      <c r="H47" s="29"/>
      <c r="I47" s="29"/>
      <c r="J47" s="30"/>
    </row>
    <row r="48" ht="6.75" customHeight="1"/>
  </sheetData>
  <sheetProtection/>
  <mergeCells count="10">
    <mergeCell ref="A25:J25"/>
    <mergeCell ref="B26:I26"/>
    <mergeCell ref="B27:I27"/>
    <mergeCell ref="G38:H38"/>
    <mergeCell ref="G46:H46"/>
    <mergeCell ref="G44:H44"/>
    <mergeCell ref="G39:H39"/>
    <mergeCell ref="G40:H40"/>
    <mergeCell ref="G41:H41"/>
    <mergeCell ref="G43:H43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0">
      <selection activeCell="I32" sqref="I32"/>
    </sheetView>
  </sheetViews>
  <sheetFormatPr defaultColWidth="9.140625" defaultRowHeight="12.75"/>
  <cols>
    <col min="1" max="1" width="3.57421875" style="157" customWidth="1"/>
    <col min="2" max="2" width="18.421875" style="157" customWidth="1"/>
    <col min="3" max="3" width="18.140625" style="192" customWidth="1"/>
    <col min="4" max="5" width="17.7109375" style="192" customWidth="1"/>
    <col min="6" max="6" width="13.28125" style="192" customWidth="1"/>
    <col min="7" max="7" width="15.7109375" style="192" customWidth="1"/>
    <col min="8" max="8" width="9.140625" style="157" customWidth="1"/>
    <col min="9" max="9" width="13.7109375" style="430" customWidth="1"/>
    <col min="10" max="10" width="16.00390625" style="157" customWidth="1"/>
    <col min="11" max="12" width="10.8515625" style="157" customWidth="1"/>
    <col min="13" max="13" width="11.28125" style="157" customWidth="1"/>
    <col min="14" max="14" width="10.421875" style="157" customWidth="1"/>
    <col min="15" max="15" width="9.140625" style="157" customWidth="1"/>
    <col min="16" max="16" width="7.28125" style="157" customWidth="1"/>
    <col min="17" max="17" width="19.00390625" style="157" customWidth="1"/>
    <col min="18" max="22" width="9.140625" style="157" customWidth="1"/>
    <col min="23" max="23" width="10.421875" style="157" customWidth="1"/>
    <col min="24" max="24" width="10.7109375" style="157" customWidth="1"/>
    <col min="25" max="25" width="10.421875" style="157" customWidth="1"/>
    <col min="26" max="26" width="11.140625" style="157" customWidth="1"/>
    <col min="27" max="27" width="13.7109375" style="157" customWidth="1"/>
    <col min="28" max="16384" width="9.140625" style="157" customWidth="1"/>
  </cols>
  <sheetData>
    <row r="1" ht="18">
      <c r="B1" s="158" t="s">
        <v>323</v>
      </c>
    </row>
    <row r="2" spans="2:7" ht="18" customHeight="1">
      <c r="B2" s="565" t="s">
        <v>439</v>
      </c>
      <c r="C2" s="566"/>
      <c r="D2" s="566"/>
      <c r="E2" s="566"/>
      <c r="F2" s="566"/>
      <c r="G2" s="566"/>
    </row>
    <row r="4" spans="1:9" s="174" customFormat="1" ht="15" customHeight="1">
      <c r="A4" s="559" t="s">
        <v>20</v>
      </c>
      <c r="B4" s="559" t="s">
        <v>150</v>
      </c>
      <c r="C4" s="561" t="s">
        <v>164</v>
      </c>
      <c r="D4" s="563" t="s">
        <v>440</v>
      </c>
      <c r="E4" s="563" t="s">
        <v>165</v>
      </c>
      <c r="F4" s="563" t="s">
        <v>166</v>
      </c>
      <c r="G4" s="563" t="s">
        <v>441</v>
      </c>
      <c r="I4" s="183"/>
    </row>
    <row r="5" spans="1:9" s="174" customFormat="1" ht="21.75" customHeight="1">
      <c r="A5" s="560"/>
      <c r="B5" s="560"/>
      <c r="C5" s="562"/>
      <c r="D5" s="564"/>
      <c r="E5" s="564"/>
      <c r="F5" s="564"/>
      <c r="G5" s="564"/>
      <c r="I5" s="183"/>
    </row>
    <row r="6" spans="1:9" s="174" customFormat="1" ht="15" customHeight="1">
      <c r="A6" s="169">
        <v>0</v>
      </c>
      <c r="B6" s="175" t="s">
        <v>321</v>
      </c>
      <c r="C6" s="431"/>
      <c r="D6" s="431">
        <v>133982770</v>
      </c>
      <c r="E6" s="431"/>
      <c r="F6" s="432">
        <v>0</v>
      </c>
      <c r="G6" s="177">
        <f aca="true" t="shared" si="0" ref="G6:G11">C6+D6+E6-F6</f>
        <v>133982770</v>
      </c>
      <c r="I6" s="183"/>
    </row>
    <row r="7" spans="1:9" s="174" customFormat="1" ht="12">
      <c r="A7" s="178">
        <v>1</v>
      </c>
      <c r="B7" s="175" t="s">
        <v>53</v>
      </c>
      <c r="C7" s="177"/>
      <c r="D7" s="177">
        <v>289815348.56</v>
      </c>
      <c r="E7" s="433">
        <v>13156125.7775</v>
      </c>
      <c r="F7" s="177">
        <v>0</v>
      </c>
      <c r="G7" s="177">
        <f t="shared" si="0"/>
        <v>302971474.3375</v>
      </c>
      <c r="I7" s="183"/>
    </row>
    <row r="8" spans="1:9" s="174" customFormat="1" ht="12">
      <c r="A8" s="178">
        <v>2</v>
      </c>
      <c r="B8" s="175" t="s">
        <v>272</v>
      </c>
      <c r="C8" s="177"/>
      <c r="D8" s="177">
        <v>693774396.1099999</v>
      </c>
      <c r="E8" s="433">
        <f>45096816.41+44339799</f>
        <v>89436615.41</v>
      </c>
      <c r="F8" s="177"/>
      <c r="G8" s="177">
        <f t="shared" si="0"/>
        <v>783211011.5199999</v>
      </c>
      <c r="I8" s="183"/>
    </row>
    <row r="9" spans="1:9" s="174" customFormat="1" ht="12">
      <c r="A9" s="178">
        <v>3</v>
      </c>
      <c r="B9" s="179" t="s">
        <v>317</v>
      </c>
      <c r="C9" s="177"/>
      <c r="D9" s="177">
        <v>2163141.26</v>
      </c>
      <c r="E9" s="434">
        <f>23000+179893</f>
        <v>202893</v>
      </c>
      <c r="F9" s="177">
        <v>0</v>
      </c>
      <c r="G9" s="177">
        <f t="shared" si="0"/>
        <v>2366034.26</v>
      </c>
      <c r="I9" s="183"/>
    </row>
    <row r="10" spans="1:9" s="174" customFormat="1" ht="12">
      <c r="A10" s="178">
        <v>4</v>
      </c>
      <c r="B10" s="179" t="s">
        <v>318</v>
      </c>
      <c r="C10" s="177"/>
      <c r="D10" s="177">
        <v>1048547</v>
      </c>
      <c r="E10" s="177"/>
      <c r="F10" s="177">
        <v>0</v>
      </c>
      <c r="G10" s="177">
        <f t="shared" si="0"/>
        <v>1048547</v>
      </c>
      <c r="I10" s="183"/>
    </row>
    <row r="11" spans="1:9" s="174" customFormat="1" ht="12">
      <c r="A11" s="178">
        <v>5</v>
      </c>
      <c r="B11" s="179" t="s">
        <v>319</v>
      </c>
      <c r="C11" s="177"/>
      <c r="D11" s="177">
        <v>11629945.58</v>
      </c>
      <c r="E11" s="177"/>
      <c r="F11" s="177">
        <v>2500000</v>
      </c>
      <c r="G11" s="177">
        <f t="shared" si="0"/>
        <v>9129945.58</v>
      </c>
      <c r="I11" s="183"/>
    </row>
    <row r="12" spans="1:9" s="174" customFormat="1" ht="12">
      <c r="A12" s="178">
        <v>6</v>
      </c>
      <c r="B12" s="175" t="s">
        <v>364</v>
      </c>
      <c r="C12" s="177"/>
      <c r="D12" s="177"/>
      <c r="E12" s="177"/>
      <c r="F12" s="177"/>
      <c r="G12" s="177">
        <f>C12+D12-F12</f>
        <v>0</v>
      </c>
      <c r="I12" s="183"/>
    </row>
    <row r="13" spans="1:10" s="182" customFormat="1" ht="30" customHeight="1">
      <c r="A13" s="180"/>
      <c r="B13" s="181" t="s">
        <v>167</v>
      </c>
      <c r="C13" s="199">
        <f>SUM(C6:C12)</f>
        <v>0</v>
      </c>
      <c r="D13" s="199">
        <f>SUM(D6:D12)</f>
        <v>1132414148.5099998</v>
      </c>
      <c r="E13" s="199">
        <f>SUM(E6:E12)</f>
        <v>102795634.1875</v>
      </c>
      <c r="F13" s="199">
        <f>SUM(F6:F12)</f>
        <v>2500000</v>
      </c>
      <c r="G13" s="199">
        <f>SUM(G6:G12)</f>
        <v>1232709782.6974998</v>
      </c>
      <c r="I13" s="429"/>
      <c r="J13" s="358"/>
    </row>
    <row r="14" spans="3:9" s="174" customFormat="1" ht="12">
      <c r="C14" s="183"/>
      <c r="D14" s="183"/>
      <c r="E14" s="183"/>
      <c r="F14" s="183"/>
      <c r="G14" s="183"/>
      <c r="I14" s="429"/>
    </row>
    <row r="15" spans="2:9" s="174" customFormat="1" ht="15">
      <c r="B15" s="231" t="s">
        <v>442</v>
      </c>
      <c r="C15" s="201"/>
      <c r="D15" s="201"/>
      <c r="E15" s="201"/>
      <c r="F15" s="201"/>
      <c r="G15" s="201"/>
      <c r="I15" s="183"/>
    </row>
    <row r="16" spans="3:9" s="174" customFormat="1" ht="12">
      <c r="C16" s="183"/>
      <c r="D16" s="183"/>
      <c r="E16" s="183"/>
      <c r="F16" s="183"/>
      <c r="G16" s="183"/>
      <c r="I16" s="183"/>
    </row>
    <row r="17" spans="1:9" s="174" customFormat="1" ht="24" customHeight="1">
      <c r="A17" s="559" t="s">
        <v>20</v>
      </c>
      <c r="B17" s="559" t="s">
        <v>150</v>
      </c>
      <c r="C17" s="561" t="s">
        <v>164</v>
      </c>
      <c r="D17" s="563" t="s">
        <v>440</v>
      </c>
      <c r="E17" s="563" t="s">
        <v>165</v>
      </c>
      <c r="F17" s="563" t="s">
        <v>166</v>
      </c>
      <c r="G17" s="563" t="s">
        <v>441</v>
      </c>
      <c r="I17" s="183"/>
    </row>
    <row r="18" spans="1:9" s="174" customFormat="1" ht="10.5" customHeight="1">
      <c r="A18" s="560"/>
      <c r="B18" s="560"/>
      <c r="C18" s="562"/>
      <c r="D18" s="564"/>
      <c r="E18" s="564"/>
      <c r="F18" s="564"/>
      <c r="G18" s="564"/>
      <c r="I18" s="183"/>
    </row>
    <row r="19" spans="1:9" s="174" customFormat="1" ht="12">
      <c r="A19" s="169">
        <v>0</v>
      </c>
      <c r="B19" s="175" t="s">
        <v>321</v>
      </c>
      <c r="C19" s="176">
        <v>0</v>
      </c>
      <c r="D19" s="170">
        <v>0</v>
      </c>
      <c r="E19" s="176">
        <v>0</v>
      </c>
      <c r="F19" s="170"/>
      <c r="G19" s="177">
        <f>+D19+E19-F19</f>
        <v>0</v>
      </c>
      <c r="I19" s="183"/>
    </row>
    <row r="20" spans="1:9" s="174" customFormat="1" ht="12">
      <c r="A20" s="178">
        <v>1</v>
      </c>
      <c r="B20" s="175" t="s">
        <v>53</v>
      </c>
      <c r="C20" s="177"/>
      <c r="D20" s="177">
        <v>6899153.24</v>
      </c>
      <c r="E20" s="177">
        <v>419799</v>
      </c>
      <c r="F20" s="177"/>
      <c r="G20" s="177">
        <f aca="true" t="shared" si="1" ref="G20:G25">+D20+E20-F20</f>
        <v>7318952.24</v>
      </c>
      <c r="I20" s="183"/>
    </row>
    <row r="21" spans="1:9" s="174" customFormat="1" ht="12">
      <c r="A21" s="178">
        <v>2</v>
      </c>
      <c r="B21" s="175" t="s">
        <v>272</v>
      </c>
      <c r="C21" s="177"/>
      <c r="D21" s="177">
        <v>10326828</v>
      </c>
      <c r="E21" s="177">
        <v>1025171</v>
      </c>
      <c r="F21" s="177"/>
      <c r="G21" s="177">
        <f t="shared" si="1"/>
        <v>11351999</v>
      </c>
      <c r="I21" s="183"/>
    </row>
    <row r="22" spans="1:9" s="174" customFormat="1" ht="12">
      <c r="A22" s="178">
        <v>3</v>
      </c>
      <c r="B22" s="179" t="s">
        <v>317</v>
      </c>
      <c r="C22" s="177"/>
      <c r="D22" s="177">
        <v>321643.8</v>
      </c>
      <c r="E22" s="177">
        <v>92075</v>
      </c>
      <c r="F22" s="177"/>
      <c r="G22" s="177">
        <f t="shared" si="1"/>
        <v>413718.8</v>
      </c>
      <c r="I22" s="183"/>
    </row>
    <row r="23" spans="1:9" s="174" customFormat="1" ht="12">
      <c r="A23" s="178">
        <v>4</v>
      </c>
      <c r="B23" s="179" t="s">
        <v>318</v>
      </c>
      <c r="C23" s="177"/>
      <c r="D23" s="177">
        <v>206612</v>
      </c>
      <c r="E23" s="177">
        <v>42161</v>
      </c>
      <c r="F23" s="177"/>
      <c r="G23" s="177">
        <f t="shared" si="1"/>
        <v>248773</v>
      </c>
      <c r="I23" s="183"/>
    </row>
    <row r="24" spans="1:9" s="174" customFormat="1" ht="12">
      <c r="A24" s="178">
        <v>5</v>
      </c>
      <c r="B24" s="179" t="s">
        <v>319</v>
      </c>
      <c r="C24" s="177"/>
      <c r="D24" s="177">
        <v>3844049</v>
      </c>
      <c r="E24" s="177">
        <v>389294</v>
      </c>
      <c r="F24" s="177">
        <v>2221460</v>
      </c>
      <c r="G24" s="177">
        <f t="shared" si="1"/>
        <v>2011883</v>
      </c>
      <c r="I24" s="183"/>
    </row>
    <row r="25" spans="1:9" s="174" customFormat="1" ht="12">
      <c r="A25" s="178"/>
      <c r="B25" s="175"/>
      <c r="C25" s="177"/>
      <c r="D25" s="177"/>
      <c r="E25" s="177"/>
      <c r="F25" s="177"/>
      <c r="G25" s="177">
        <f t="shared" si="1"/>
        <v>0</v>
      </c>
      <c r="I25" s="183"/>
    </row>
    <row r="26" spans="1:10" s="174" customFormat="1" ht="30" customHeight="1">
      <c r="A26" s="180"/>
      <c r="B26" s="181" t="s">
        <v>167</v>
      </c>
      <c r="C26" s="199"/>
      <c r="D26" s="200">
        <f>SUM(D20:D25)</f>
        <v>21598286.040000003</v>
      </c>
      <c r="E26" s="199">
        <f>SUM(E19:E25)</f>
        <v>1968500</v>
      </c>
      <c r="F26" s="199">
        <f>SUM(F19:F25)</f>
        <v>2221460</v>
      </c>
      <c r="G26" s="199">
        <f>SUM(G19:G25)</f>
        <v>21345326.040000003</v>
      </c>
      <c r="I26" s="183"/>
      <c r="J26" s="239"/>
    </row>
    <row r="27" spans="3:9" s="174" customFormat="1" ht="6.75" customHeight="1">
      <c r="C27" s="183"/>
      <c r="D27" s="183"/>
      <c r="E27" s="183"/>
      <c r="F27" s="183"/>
      <c r="G27" s="183"/>
      <c r="I27" s="183"/>
    </row>
    <row r="28" spans="2:9" s="174" customFormat="1" ht="15">
      <c r="B28" s="231" t="s">
        <v>443</v>
      </c>
      <c r="C28" s="201"/>
      <c r="D28" s="201"/>
      <c r="E28" s="201"/>
      <c r="F28" s="201"/>
      <c r="G28" s="201"/>
      <c r="I28" s="183"/>
    </row>
    <row r="29" spans="3:9" s="174" customFormat="1" ht="12">
      <c r="C29" s="183"/>
      <c r="D29" s="183"/>
      <c r="E29" s="183"/>
      <c r="F29" s="183"/>
      <c r="G29" s="183"/>
      <c r="I29" s="183"/>
    </row>
    <row r="30" spans="1:9" s="174" customFormat="1" ht="12" customHeight="1">
      <c r="A30" s="559" t="s">
        <v>20</v>
      </c>
      <c r="B30" s="559" t="s">
        <v>150</v>
      </c>
      <c r="C30" s="561" t="s">
        <v>164</v>
      </c>
      <c r="D30" s="563" t="s">
        <v>440</v>
      </c>
      <c r="E30" s="563" t="s">
        <v>165</v>
      </c>
      <c r="F30" s="563" t="s">
        <v>166</v>
      </c>
      <c r="G30" s="563" t="s">
        <v>441</v>
      </c>
      <c r="I30" s="183"/>
    </row>
    <row r="31" spans="1:9" s="174" customFormat="1" ht="27" customHeight="1">
      <c r="A31" s="560"/>
      <c r="B31" s="560"/>
      <c r="C31" s="562"/>
      <c r="D31" s="564"/>
      <c r="E31" s="564"/>
      <c r="F31" s="564"/>
      <c r="G31" s="564"/>
      <c r="I31" s="183"/>
    </row>
    <row r="32" spans="1:9" s="174" customFormat="1" ht="12">
      <c r="A32" s="169">
        <v>0</v>
      </c>
      <c r="B32" s="175" t="s">
        <v>321</v>
      </c>
      <c r="C32" s="177"/>
      <c r="D32" s="177">
        <f aca="true" t="shared" si="2" ref="D32:D37">+G6</f>
        <v>133982770</v>
      </c>
      <c r="E32" s="177"/>
      <c r="F32" s="177">
        <f aca="true" t="shared" si="3" ref="F32:F37">+G19</f>
        <v>0</v>
      </c>
      <c r="G32" s="177">
        <f aca="true" t="shared" si="4" ref="G32:G37">+D32+E32-F32</f>
        <v>133982770</v>
      </c>
      <c r="I32" s="183"/>
    </row>
    <row r="33" spans="1:9" s="174" customFormat="1" ht="12">
      <c r="A33" s="178">
        <v>1</v>
      </c>
      <c r="B33" s="175" t="s">
        <v>53</v>
      </c>
      <c r="C33" s="177"/>
      <c r="D33" s="177">
        <f t="shared" si="2"/>
        <v>302971474.3375</v>
      </c>
      <c r="E33" s="177"/>
      <c r="F33" s="177">
        <f t="shared" si="3"/>
        <v>7318952.24</v>
      </c>
      <c r="G33" s="177">
        <f t="shared" si="4"/>
        <v>295652522.09749997</v>
      </c>
      <c r="I33" s="183"/>
    </row>
    <row r="34" spans="1:9" s="174" customFormat="1" ht="12">
      <c r="A34" s="178">
        <v>2</v>
      </c>
      <c r="B34" s="175" t="s">
        <v>272</v>
      </c>
      <c r="C34" s="177"/>
      <c r="D34" s="177">
        <f t="shared" si="2"/>
        <v>783211011.5199999</v>
      </c>
      <c r="E34" s="177"/>
      <c r="F34" s="177">
        <f t="shared" si="3"/>
        <v>11351999</v>
      </c>
      <c r="G34" s="177">
        <f t="shared" si="4"/>
        <v>771859012.5199999</v>
      </c>
      <c r="I34" s="183"/>
    </row>
    <row r="35" spans="1:9" s="174" customFormat="1" ht="12">
      <c r="A35" s="178">
        <v>3</v>
      </c>
      <c r="B35" s="179" t="s">
        <v>317</v>
      </c>
      <c r="C35" s="177"/>
      <c r="D35" s="177">
        <f t="shared" si="2"/>
        <v>2366034.26</v>
      </c>
      <c r="E35" s="177"/>
      <c r="F35" s="177">
        <f t="shared" si="3"/>
        <v>413718.8</v>
      </c>
      <c r="G35" s="177">
        <f t="shared" si="4"/>
        <v>1952315.4599999997</v>
      </c>
      <c r="I35" s="183"/>
    </row>
    <row r="36" spans="1:9" s="174" customFormat="1" ht="12">
      <c r="A36" s="178">
        <v>4</v>
      </c>
      <c r="B36" s="179" t="s">
        <v>318</v>
      </c>
      <c r="C36" s="177"/>
      <c r="D36" s="177">
        <f t="shared" si="2"/>
        <v>1048547</v>
      </c>
      <c r="E36" s="177"/>
      <c r="F36" s="177">
        <f t="shared" si="3"/>
        <v>248773</v>
      </c>
      <c r="G36" s="177">
        <f t="shared" si="4"/>
        <v>799774</v>
      </c>
      <c r="I36" s="183"/>
    </row>
    <row r="37" spans="1:9" s="174" customFormat="1" ht="12">
      <c r="A37" s="178">
        <v>5</v>
      </c>
      <c r="B37" s="179" t="s">
        <v>319</v>
      </c>
      <c r="C37" s="177"/>
      <c r="D37" s="177">
        <f t="shared" si="2"/>
        <v>9129945.58</v>
      </c>
      <c r="E37" s="177"/>
      <c r="F37" s="177">
        <f t="shared" si="3"/>
        <v>2011883</v>
      </c>
      <c r="G37" s="177">
        <f t="shared" si="4"/>
        <v>7118062.58</v>
      </c>
      <c r="I37" s="183"/>
    </row>
    <row r="38" spans="1:9" s="174" customFormat="1" ht="12">
      <c r="A38" s="178"/>
      <c r="B38" s="175"/>
      <c r="C38" s="177"/>
      <c r="D38" s="177">
        <f>+D12-D25</f>
        <v>0</v>
      </c>
      <c r="E38" s="177"/>
      <c r="F38" s="177"/>
      <c r="G38" s="177"/>
      <c r="I38" s="183"/>
    </row>
    <row r="39" spans="1:9" s="174" customFormat="1" ht="19.5" customHeight="1">
      <c r="A39" s="180"/>
      <c r="B39" s="181" t="s">
        <v>167</v>
      </c>
      <c r="C39" s="199">
        <f>SUM(C32:C38)</f>
        <v>0</v>
      </c>
      <c r="D39" s="199">
        <f>SUM(D32:D38)</f>
        <v>1232709782.6974998</v>
      </c>
      <c r="E39" s="199">
        <f>SUM(E32:E38)</f>
        <v>0</v>
      </c>
      <c r="F39" s="199">
        <f>SUM(F32:F38)</f>
        <v>21345326.040000003</v>
      </c>
      <c r="G39" s="199">
        <f>SUM(G32:G38)</f>
        <v>1211364456.6574998</v>
      </c>
      <c r="I39" s="183"/>
    </row>
    <row r="40" spans="3:9" s="174" customFormat="1" ht="12">
      <c r="C40" s="183"/>
      <c r="D40" s="183"/>
      <c r="E40" s="183"/>
      <c r="F40" s="183"/>
      <c r="G40" s="183"/>
      <c r="H40" s="184" t="s">
        <v>438</v>
      </c>
      <c r="I40" s="183"/>
    </row>
    <row r="41" spans="3:9" s="174" customFormat="1" ht="12.75" customHeight="1">
      <c r="C41" s="183"/>
      <c r="D41" s="183"/>
      <c r="E41" s="183"/>
      <c r="F41" s="184"/>
      <c r="G41" s="567" t="s">
        <v>382</v>
      </c>
      <c r="H41" s="567"/>
      <c r="I41" s="567"/>
    </row>
    <row r="42" spans="3:9" s="174" customFormat="1" ht="12">
      <c r="C42" s="183"/>
      <c r="D42" s="183"/>
      <c r="E42" s="183"/>
      <c r="F42" s="183"/>
      <c r="G42" s="232"/>
      <c r="I42" s="183"/>
    </row>
    <row r="43" spans="3:9" s="174" customFormat="1" ht="12">
      <c r="C43" s="183"/>
      <c r="D43" s="183"/>
      <c r="E43" s="184"/>
      <c r="F43" s="183"/>
      <c r="G43" s="184"/>
      <c r="I43" s="183"/>
    </row>
    <row r="44" spans="5:7" ht="12.75">
      <c r="E44" s="183"/>
      <c r="G44" s="232"/>
    </row>
    <row r="51" spans="3:7" ht="12.75">
      <c r="C51" s="166"/>
      <c r="D51" s="166"/>
      <c r="E51" s="166"/>
      <c r="F51" s="166"/>
      <c r="G51" s="166"/>
    </row>
    <row r="52" spans="3:7" ht="12.75">
      <c r="C52" s="190"/>
      <c r="D52" s="190"/>
      <c r="E52" s="191"/>
      <c r="F52" s="191"/>
      <c r="G52" s="191"/>
    </row>
    <row r="53" spans="3:7" ht="12.75">
      <c r="C53" s="190"/>
      <c r="D53" s="190"/>
      <c r="E53" s="168"/>
      <c r="F53" s="168"/>
      <c r="G53" s="168"/>
    </row>
    <row r="54" spans="3:7" ht="12.75">
      <c r="C54" s="185"/>
      <c r="D54" s="185"/>
      <c r="E54" s="186"/>
      <c r="F54" s="186"/>
      <c r="G54" s="186"/>
    </row>
    <row r="55" spans="3:7" ht="12.75">
      <c r="C55" s="185"/>
      <c r="D55" s="185"/>
      <c r="E55" s="186"/>
      <c r="F55" s="186"/>
      <c r="G55" s="186"/>
    </row>
    <row r="56" spans="3:7" ht="12.75">
      <c r="C56" s="185"/>
      <c r="D56" s="185"/>
      <c r="E56" s="186"/>
      <c r="F56" s="186"/>
      <c r="G56" s="187"/>
    </row>
    <row r="57" spans="3:7" ht="12.75">
      <c r="C57" s="185"/>
      <c r="D57" s="185"/>
      <c r="E57" s="186"/>
      <c r="F57" s="186"/>
      <c r="G57" s="186"/>
    </row>
    <row r="58" spans="3:7" ht="12.75">
      <c r="C58" s="185"/>
      <c r="D58" s="185"/>
      <c r="E58" s="188"/>
      <c r="F58" s="188"/>
      <c r="G58" s="188"/>
    </row>
    <row r="59" spans="3:7" ht="12.75">
      <c r="C59" s="166"/>
      <c r="D59" s="167"/>
      <c r="E59" s="167"/>
      <c r="F59" s="167"/>
      <c r="G59" s="167"/>
    </row>
    <row r="60" spans="3:7" ht="12.75">
      <c r="C60" s="189"/>
      <c r="D60" s="189"/>
      <c r="E60" s="189"/>
      <c r="F60" s="189"/>
      <c r="G60" s="189"/>
    </row>
  </sheetData>
  <sheetProtection/>
  <mergeCells count="23">
    <mergeCell ref="G41:I41"/>
    <mergeCell ref="G17:G18"/>
    <mergeCell ref="A30:A31"/>
    <mergeCell ref="B30:B31"/>
    <mergeCell ref="C30:C31"/>
    <mergeCell ref="D30:D31"/>
    <mergeCell ref="E30:E31"/>
    <mergeCell ref="F30:F31"/>
    <mergeCell ref="G30:G31"/>
    <mergeCell ref="A17:A18"/>
    <mergeCell ref="B17:B18"/>
    <mergeCell ref="C17:C18"/>
    <mergeCell ref="D17:D18"/>
    <mergeCell ref="E17:E18"/>
    <mergeCell ref="F17:F18"/>
    <mergeCell ref="B2:G2"/>
    <mergeCell ref="G4:G5"/>
    <mergeCell ref="A4:A5"/>
    <mergeCell ref="B4:B5"/>
    <mergeCell ref="C4:C5"/>
    <mergeCell ref="D4:D5"/>
    <mergeCell ref="E4:E5"/>
    <mergeCell ref="F4:F5"/>
  </mergeCells>
  <printOptions/>
  <pageMargins left="0.27" right="0.38" top="0" bottom="0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35">
      <selection activeCell="A1" sqref="A1:G46"/>
    </sheetView>
  </sheetViews>
  <sheetFormatPr defaultColWidth="9.140625" defaultRowHeight="12.75"/>
  <cols>
    <col min="1" max="1" width="3.7109375" style="31" customWidth="1"/>
    <col min="2" max="2" width="2.7109375" style="31" customWidth="1"/>
    <col min="3" max="3" width="4.00390625" style="31" customWidth="1"/>
    <col min="4" max="4" width="43.140625" style="1" customWidth="1"/>
    <col min="5" max="5" width="6.00390625" style="1" customWidth="1"/>
    <col min="6" max="6" width="15.7109375" style="454" customWidth="1"/>
    <col min="7" max="7" width="15.7109375" style="107" customWidth="1"/>
    <col min="8" max="8" width="1.421875" style="1" customWidth="1"/>
    <col min="9" max="10" width="9.140625" style="1" customWidth="1"/>
    <col min="11" max="11" width="10.140625" style="1" bestFit="1" customWidth="1"/>
    <col min="12" max="16384" width="9.140625" style="1" customWidth="1"/>
  </cols>
  <sheetData>
    <row r="1" ht="17.25" customHeight="1"/>
    <row r="2" spans="1:7" s="33" customFormat="1" ht="18">
      <c r="A2" s="34" t="s">
        <v>336</v>
      </c>
      <c r="B2" s="35"/>
      <c r="C2" s="35"/>
      <c r="D2" s="36"/>
      <c r="F2" s="203"/>
      <c r="G2" s="108"/>
    </row>
    <row r="3" spans="1:7" s="33" customFormat="1" ht="9" customHeight="1">
      <c r="A3" s="34"/>
      <c r="B3" s="35"/>
      <c r="C3" s="35"/>
      <c r="D3" s="36"/>
      <c r="F3" s="455"/>
      <c r="G3" s="109"/>
    </row>
    <row r="4" spans="1:7" s="33" customFormat="1" ht="18" customHeight="1">
      <c r="A4" s="492" t="s">
        <v>465</v>
      </c>
      <c r="B4" s="492"/>
      <c r="C4" s="492"/>
      <c r="D4" s="492"/>
      <c r="E4" s="492"/>
      <c r="F4" s="492"/>
      <c r="G4" s="492"/>
    </row>
    <row r="5" ht="6.75" customHeight="1"/>
    <row r="6" spans="1:7" ht="12" customHeight="1">
      <c r="A6" s="493" t="s">
        <v>20</v>
      </c>
      <c r="B6" s="495" t="s">
        <v>21</v>
      </c>
      <c r="C6" s="496"/>
      <c r="D6" s="497"/>
      <c r="E6" s="493" t="s">
        <v>22</v>
      </c>
      <c r="F6" s="456" t="s">
        <v>23</v>
      </c>
      <c r="G6" s="110" t="s">
        <v>23</v>
      </c>
    </row>
    <row r="7" spans="1:7" ht="12" customHeight="1">
      <c r="A7" s="494"/>
      <c r="B7" s="498"/>
      <c r="C7" s="499"/>
      <c r="D7" s="500"/>
      <c r="E7" s="494"/>
      <c r="F7" s="457" t="s">
        <v>24</v>
      </c>
      <c r="G7" s="111" t="s">
        <v>24</v>
      </c>
    </row>
    <row r="8" spans="1:7" s="33" customFormat="1" ht="24.75" customHeight="1">
      <c r="A8" s="43" t="s">
        <v>26</v>
      </c>
      <c r="B8" s="489" t="s">
        <v>27</v>
      </c>
      <c r="C8" s="490"/>
      <c r="D8" s="491"/>
      <c r="E8" s="45">
        <v>1</v>
      </c>
      <c r="F8" s="202">
        <f>F9+F13+F14+F22+F30+F31+F32</f>
        <v>106258068.36</v>
      </c>
      <c r="G8" s="113">
        <f>G9+G13+G14+G22+G30+G31+G32</f>
        <v>177205341.36</v>
      </c>
    </row>
    <row r="9" spans="1:7" s="33" customFormat="1" ht="16.5" customHeight="1">
      <c r="A9" s="47"/>
      <c r="B9" s="44">
        <v>1</v>
      </c>
      <c r="C9" s="48" t="s">
        <v>28</v>
      </c>
      <c r="D9" s="49"/>
      <c r="E9" s="50">
        <f>+E8+1</f>
        <v>2</v>
      </c>
      <c r="F9" s="202">
        <f>F10+F11+F12</f>
        <v>19043805.36</v>
      </c>
      <c r="G9" s="113">
        <f>G10+G11+G12</f>
        <v>54388707.36</v>
      </c>
    </row>
    <row r="10" spans="1:7" s="33" customFormat="1" ht="16.5" customHeight="1">
      <c r="A10" s="47"/>
      <c r="B10" s="44"/>
      <c r="C10" s="51" t="s">
        <v>29</v>
      </c>
      <c r="D10" s="52" t="s">
        <v>30</v>
      </c>
      <c r="E10" s="50">
        <f aca="true" t="shared" si="0" ref="E10:E46">+E9+1</f>
        <v>3</v>
      </c>
      <c r="F10" s="159">
        <f>19043808-27270</f>
        <v>19016538</v>
      </c>
      <c r="G10" s="159">
        <v>54347849</v>
      </c>
    </row>
    <row r="11" spans="1:7" s="33" customFormat="1" ht="16.5" customHeight="1">
      <c r="A11" s="47"/>
      <c r="B11" s="44"/>
      <c r="C11" s="51" t="s">
        <v>29</v>
      </c>
      <c r="D11" s="52" t="s">
        <v>31</v>
      </c>
      <c r="E11" s="50">
        <f t="shared" si="0"/>
        <v>4</v>
      </c>
      <c r="F11" s="159">
        <f>27270-2.64</f>
        <v>27267.36</v>
      </c>
      <c r="G11" s="159">
        <f>40863-4.64</f>
        <v>40858.36</v>
      </c>
    </row>
    <row r="12" spans="1:7" s="33" customFormat="1" ht="16.5" customHeight="1">
      <c r="A12" s="47"/>
      <c r="B12" s="44"/>
      <c r="C12" s="51" t="s">
        <v>29</v>
      </c>
      <c r="D12" s="52" t="s">
        <v>363</v>
      </c>
      <c r="E12" s="50">
        <f t="shared" si="0"/>
        <v>5</v>
      </c>
      <c r="F12" s="159"/>
      <c r="G12" s="159"/>
    </row>
    <row r="13" spans="1:7" s="33" customFormat="1" ht="16.5" customHeight="1">
      <c r="A13" s="47"/>
      <c r="B13" s="44">
        <v>2</v>
      </c>
      <c r="C13" s="48" t="s">
        <v>32</v>
      </c>
      <c r="D13" s="49"/>
      <c r="E13" s="50">
        <f t="shared" si="0"/>
        <v>6</v>
      </c>
      <c r="F13" s="159"/>
      <c r="G13" s="159"/>
    </row>
    <row r="14" spans="1:7" s="33" customFormat="1" ht="16.5" customHeight="1">
      <c r="A14" s="47"/>
      <c r="B14" s="44">
        <v>3</v>
      </c>
      <c r="C14" s="48" t="s">
        <v>33</v>
      </c>
      <c r="D14" s="49"/>
      <c r="E14" s="50">
        <f t="shared" si="0"/>
        <v>7</v>
      </c>
      <c r="F14" s="202">
        <f>F15+F16+F17+F18+F19+F20+F21</f>
        <v>40544127</v>
      </c>
      <c r="G14" s="202">
        <f>G15+G16+G17+G18+G19+G20+G21</f>
        <v>81087372</v>
      </c>
    </row>
    <row r="15" spans="1:7" s="33" customFormat="1" ht="16.5" customHeight="1">
      <c r="A15" s="47"/>
      <c r="B15" s="53"/>
      <c r="C15" s="51" t="s">
        <v>29</v>
      </c>
      <c r="D15" s="52" t="s">
        <v>34</v>
      </c>
      <c r="E15" s="50">
        <f t="shared" si="0"/>
        <v>8</v>
      </c>
      <c r="F15" s="159">
        <v>19705242</v>
      </c>
      <c r="G15" s="159">
        <v>21503226</v>
      </c>
    </row>
    <row r="16" spans="1:7" s="33" customFormat="1" ht="16.5" customHeight="1">
      <c r="A16" s="47"/>
      <c r="B16" s="53"/>
      <c r="C16" s="51" t="s">
        <v>29</v>
      </c>
      <c r="D16" s="52" t="s">
        <v>35</v>
      </c>
      <c r="E16" s="50">
        <f t="shared" si="0"/>
        <v>9</v>
      </c>
      <c r="F16" s="159">
        <v>43240</v>
      </c>
      <c r="G16" s="159">
        <v>60000</v>
      </c>
    </row>
    <row r="17" spans="1:7" s="33" customFormat="1" ht="16.5" customHeight="1">
      <c r="A17" s="47"/>
      <c r="B17" s="53"/>
      <c r="C17" s="51" t="s">
        <v>29</v>
      </c>
      <c r="D17" s="52" t="s">
        <v>36</v>
      </c>
      <c r="E17" s="50">
        <f t="shared" si="0"/>
        <v>10</v>
      </c>
      <c r="F17" s="159">
        <f>2022259+746631</f>
        <v>2768890</v>
      </c>
      <c r="G17" s="159">
        <v>2022259</v>
      </c>
    </row>
    <row r="18" spans="1:7" s="33" customFormat="1" ht="16.5" customHeight="1">
      <c r="A18" s="47"/>
      <c r="B18" s="53"/>
      <c r="C18" s="51" t="s">
        <v>29</v>
      </c>
      <c r="D18" s="52" t="s">
        <v>37</v>
      </c>
      <c r="E18" s="50">
        <f t="shared" si="0"/>
        <v>11</v>
      </c>
      <c r="F18" s="159">
        <v>16722303</v>
      </c>
      <c r="G18" s="159">
        <v>11551842</v>
      </c>
    </row>
    <row r="19" spans="1:7" s="33" customFormat="1" ht="16.5" customHeight="1">
      <c r="A19" s="47"/>
      <c r="B19" s="53"/>
      <c r="C19" s="51" t="s">
        <v>29</v>
      </c>
      <c r="D19" s="52" t="s">
        <v>466</v>
      </c>
      <c r="E19" s="50">
        <f t="shared" si="0"/>
        <v>12</v>
      </c>
      <c r="F19" s="159">
        <v>0</v>
      </c>
      <c r="G19" s="159">
        <v>44339799</v>
      </c>
    </row>
    <row r="20" spans="1:7" s="33" customFormat="1" ht="16.5" customHeight="1">
      <c r="A20" s="47"/>
      <c r="B20" s="53"/>
      <c r="C20" s="51" t="s">
        <v>29</v>
      </c>
      <c r="D20" s="52" t="s">
        <v>43</v>
      </c>
      <c r="E20" s="50">
        <f t="shared" si="0"/>
        <v>13</v>
      </c>
      <c r="F20" s="159">
        <v>1304452</v>
      </c>
      <c r="G20" s="159">
        <v>1610246</v>
      </c>
    </row>
    <row r="21" spans="1:7" s="33" customFormat="1" ht="16.5" customHeight="1">
      <c r="A21" s="47"/>
      <c r="B21" s="53"/>
      <c r="C21" s="51" t="s">
        <v>29</v>
      </c>
      <c r="D21" s="52"/>
      <c r="E21" s="50">
        <f t="shared" si="0"/>
        <v>14</v>
      </c>
      <c r="F21" s="159"/>
      <c r="G21" s="159"/>
    </row>
    <row r="22" spans="1:7" s="33" customFormat="1" ht="16.5" customHeight="1">
      <c r="A22" s="47"/>
      <c r="B22" s="44">
        <v>4</v>
      </c>
      <c r="C22" s="48" t="s">
        <v>39</v>
      </c>
      <c r="D22" s="49"/>
      <c r="E22" s="50">
        <f t="shared" si="0"/>
        <v>15</v>
      </c>
      <c r="F22" s="202">
        <f>F23+F24+F25+F26+F27+F28+F29</f>
        <v>45852361</v>
      </c>
      <c r="G22" s="202">
        <f>G23+G24+G25+G26+G27+G28+G29</f>
        <v>41729262</v>
      </c>
    </row>
    <row r="23" spans="1:7" s="33" customFormat="1" ht="16.5" customHeight="1">
      <c r="A23" s="47"/>
      <c r="B23" s="53"/>
      <c r="C23" s="51" t="s">
        <v>29</v>
      </c>
      <c r="D23" s="52" t="s">
        <v>40</v>
      </c>
      <c r="E23" s="50">
        <f t="shared" si="0"/>
        <v>16</v>
      </c>
      <c r="F23" s="159">
        <f>33390892-535220-5695300</f>
        <v>27160372</v>
      </c>
      <c r="G23" s="159">
        <f>35261470-6872334</f>
        <v>28389136</v>
      </c>
    </row>
    <row r="24" spans="1:7" s="33" customFormat="1" ht="16.5" customHeight="1">
      <c r="A24" s="47"/>
      <c r="B24" s="53"/>
      <c r="C24" s="51" t="s">
        <v>29</v>
      </c>
      <c r="D24" s="52" t="s">
        <v>41</v>
      </c>
      <c r="E24" s="50">
        <f t="shared" si="0"/>
        <v>17</v>
      </c>
      <c r="F24" s="159">
        <v>535220</v>
      </c>
      <c r="G24" s="159">
        <v>535220</v>
      </c>
    </row>
    <row r="25" spans="1:7" s="33" customFormat="1" ht="16.5" customHeight="1">
      <c r="A25" s="47"/>
      <c r="B25" s="53"/>
      <c r="C25" s="51" t="s">
        <v>29</v>
      </c>
      <c r="D25" s="52" t="s">
        <v>42</v>
      </c>
      <c r="E25" s="50">
        <f t="shared" si="0"/>
        <v>18</v>
      </c>
      <c r="F25" s="159"/>
      <c r="G25" s="159"/>
    </row>
    <row r="26" spans="1:7" s="33" customFormat="1" ht="16.5" customHeight="1">
      <c r="A26" s="47"/>
      <c r="B26" s="53"/>
      <c r="C26" s="51" t="s">
        <v>29</v>
      </c>
      <c r="D26" s="52" t="s">
        <v>367</v>
      </c>
      <c r="E26" s="50">
        <f t="shared" si="0"/>
        <v>19</v>
      </c>
      <c r="F26" s="159">
        <v>12461469</v>
      </c>
      <c r="G26" s="159">
        <v>7109606</v>
      </c>
    </row>
    <row r="27" spans="1:7" s="33" customFormat="1" ht="16.5" customHeight="1">
      <c r="A27" s="47"/>
      <c r="B27" s="53"/>
      <c r="C27" s="51" t="s">
        <v>29</v>
      </c>
      <c r="D27" s="52" t="s">
        <v>385</v>
      </c>
      <c r="E27" s="50">
        <f t="shared" si="0"/>
        <v>20</v>
      </c>
      <c r="F27" s="159">
        <v>5695300</v>
      </c>
      <c r="G27" s="112">
        <v>5695300</v>
      </c>
    </row>
    <row r="28" spans="1:7" s="33" customFormat="1" ht="16.5" customHeight="1">
      <c r="A28" s="47"/>
      <c r="B28" s="53"/>
      <c r="C28" s="51" t="s">
        <v>29</v>
      </c>
      <c r="D28" s="52" t="s">
        <v>43</v>
      </c>
      <c r="E28" s="50">
        <f t="shared" si="0"/>
        <v>21</v>
      </c>
      <c r="F28" s="159"/>
      <c r="G28" s="112"/>
    </row>
    <row r="29" spans="1:7" s="33" customFormat="1" ht="16.5" customHeight="1">
      <c r="A29" s="47"/>
      <c r="B29" s="53"/>
      <c r="C29" s="51" t="s">
        <v>29</v>
      </c>
      <c r="D29" s="52"/>
      <c r="E29" s="50">
        <f t="shared" si="0"/>
        <v>22</v>
      </c>
      <c r="F29" s="159"/>
      <c r="G29" s="112"/>
    </row>
    <row r="30" spans="1:7" s="33" customFormat="1" ht="16.5" customHeight="1">
      <c r="A30" s="47"/>
      <c r="B30" s="44">
        <v>5</v>
      </c>
      <c r="C30" s="48" t="s">
        <v>44</v>
      </c>
      <c r="D30" s="49"/>
      <c r="E30" s="50">
        <f t="shared" si="0"/>
        <v>23</v>
      </c>
      <c r="F30" s="159"/>
      <c r="G30" s="112"/>
    </row>
    <row r="31" spans="1:7" s="33" customFormat="1" ht="16.5" customHeight="1">
      <c r="A31" s="47"/>
      <c r="B31" s="44">
        <v>6</v>
      </c>
      <c r="C31" s="48" t="s">
        <v>45</v>
      </c>
      <c r="D31" s="49"/>
      <c r="E31" s="50">
        <f t="shared" si="0"/>
        <v>24</v>
      </c>
      <c r="F31" s="159"/>
      <c r="G31" s="112"/>
    </row>
    <row r="32" spans="1:7" s="33" customFormat="1" ht="16.5" customHeight="1">
      <c r="A32" s="47"/>
      <c r="B32" s="44">
        <v>7</v>
      </c>
      <c r="C32" s="48" t="s">
        <v>46</v>
      </c>
      <c r="D32" s="49"/>
      <c r="E32" s="50">
        <f t="shared" si="0"/>
        <v>25</v>
      </c>
      <c r="F32" s="458">
        <f>+F33</f>
        <v>817775</v>
      </c>
      <c r="G32" s="112"/>
    </row>
    <row r="33" spans="1:7" s="33" customFormat="1" ht="16.5" customHeight="1">
      <c r="A33" s="47"/>
      <c r="B33" s="44"/>
      <c r="C33" s="51" t="s">
        <v>29</v>
      </c>
      <c r="D33" s="49" t="s">
        <v>47</v>
      </c>
      <c r="E33" s="50">
        <f t="shared" si="0"/>
        <v>26</v>
      </c>
      <c r="F33" s="159">
        <v>817775</v>
      </c>
      <c r="G33" s="112"/>
    </row>
    <row r="34" spans="1:7" s="33" customFormat="1" ht="16.5" customHeight="1">
      <c r="A34" s="47"/>
      <c r="B34" s="44"/>
      <c r="C34" s="51" t="s">
        <v>29</v>
      </c>
      <c r="D34" s="49"/>
      <c r="E34" s="50">
        <f t="shared" si="0"/>
        <v>27</v>
      </c>
      <c r="F34" s="159"/>
      <c r="G34" s="112"/>
    </row>
    <row r="35" spans="1:7" s="33" customFormat="1" ht="24.75" customHeight="1">
      <c r="A35" s="54" t="s">
        <v>48</v>
      </c>
      <c r="B35" s="489" t="s">
        <v>49</v>
      </c>
      <c r="C35" s="490"/>
      <c r="D35" s="491"/>
      <c r="E35" s="50">
        <f t="shared" si="0"/>
        <v>28</v>
      </c>
      <c r="F35" s="202">
        <f>F36+F37+F42+F43+F44+F45</f>
        <v>1211364456</v>
      </c>
      <c r="G35" s="113">
        <f>G36+G37+G42+G43+G44+G45</f>
        <v>1110815862</v>
      </c>
    </row>
    <row r="36" spans="1:7" s="33" customFormat="1" ht="16.5" customHeight="1">
      <c r="A36" s="47"/>
      <c r="B36" s="44">
        <v>1</v>
      </c>
      <c r="C36" s="48" t="s">
        <v>50</v>
      </c>
      <c r="D36" s="49"/>
      <c r="E36" s="50">
        <f t="shared" si="0"/>
        <v>29</v>
      </c>
      <c r="F36" s="159"/>
      <c r="G36" s="112"/>
    </row>
    <row r="37" spans="1:7" s="33" customFormat="1" ht="16.5" customHeight="1">
      <c r="A37" s="47"/>
      <c r="B37" s="44">
        <v>2</v>
      </c>
      <c r="C37" s="48" t="s">
        <v>51</v>
      </c>
      <c r="D37" s="55"/>
      <c r="E37" s="50">
        <f t="shared" si="0"/>
        <v>30</v>
      </c>
      <c r="F37" s="202">
        <f>F38+F39+F40+F41</f>
        <v>1211364456</v>
      </c>
      <c r="G37" s="113">
        <f>G38+G39+G40+G41</f>
        <v>1110815862</v>
      </c>
    </row>
    <row r="38" spans="1:7" s="33" customFormat="1" ht="16.5" customHeight="1">
      <c r="A38" s="47"/>
      <c r="B38" s="53"/>
      <c r="C38" s="51" t="s">
        <v>29</v>
      </c>
      <c r="D38" s="52" t="s">
        <v>52</v>
      </c>
      <c r="E38" s="50">
        <f t="shared" si="0"/>
        <v>31</v>
      </c>
      <c r="F38" s="159">
        <v>133982770</v>
      </c>
      <c r="G38" s="112">
        <v>133982770</v>
      </c>
    </row>
    <row r="39" spans="1:7" s="33" customFormat="1" ht="16.5" customHeight="1">
      <c r="A39" s="47"/>
      <c r="B39" s="53"/>
      <c r="C39" s="51" t="s">
        <v>29</v>
      </c>
      <c r="D39" s="52" t="s">
        <v>53</v>
      </c>
      <c r="E39" s="50">
        <f t="shared" si="0"/>
        <v>32</v>
      </c>
      <c r="F39" s="159">
        <v>295652522</v>
      </c>
      <c r="G39" s="112">
        <v>282916196</v>
      </c>
    </row>
    <row r="40" spans="1:7" s="33" customFormat="1" ht="16.5" customHeight="1">
      <c r="A40" s="47"/>
      <c r="B40" s="53"/>
      <c r="C40" s="51" t="s">
        <v>29</v>
      </c>
      <c r="D40" s="52" t="s">
        <v>54</v>
      </c>
      <c r="E40" s="50">
        <f t="shared" si="0"/>
        <v>33</v>
      </c>
      <c r="F40" s="159">
        <v>771859012</v>
      </c>
      <c r="G40" s="112">
        <v>683447568</v>
      </c>
    </row>
    <row r="41" spans="1:11" s="33" customFormat="1" ht="16.5" customHeight="1">
      <c r="A41" s="47"/>
      <c r="B41" s="53"/>
      <c r="C41" s="51" t="s">
        <v>29</v>
      </c>
      <c r="D41" s="52" t="s">
        <v>55</v>
      </c>
      <c r="E41" s="50">
        <f t="shared" si="0"/>
        <v>34</v>
      </c>
      <c r="F41" s="159">
        <f>1952315+799774+7118063</f>
        <v>9870152</v>
      </c>
      <c r="G41" s="159">
        <v>10469328</v>
      </c>
      <c r="K41" s="108"/>
    </row>
    <row r="42" spans="1:7" s="33" customFormat="1" ht="16.5" customHeight="1">
      <c r="A42" s="47"/>
      <c r="B42" s="44">
        <v>3</v>
      </c>
      <c r="C42" s="48" t="s">
        <v>56</v>
      </c>
      <c r="D42" s="49"/>
      <c r="E42" s="50">
        <f t="shared" si="0"/>
        <v>35</v>
      </c>
      <c r="F42" s="159"/>
      <c r="G42" s="112"/>
    </row>
    <row r="43" spans="1:7" s="33" customFormat="1" ht="16.5" customHeight="1">
      <c r="A43" s="47"/>
      <c r="B43" s="44">
        <v>4</v>
      </c>
      <c r="C43" s="48" t="s">
        <v>57</v>
      </c>
      <c r="D43" s="49"/>
      <c r="E43" s="50">
        <f t="shared" si="0"/>
        <v>36</v>
      </c>
      <c r="F43" s="159"/>
      <c r="G43" s="112"/>
    </row>
    <row r="44" spans="1:7" s="33" customFormat="1" ht="16.5" customHeight="1">
      <c r="A44" s="47"/>
      <c r="B44" s="44">
        <v>5</v>
      </c>
      <c r="C44" s="48" t="s">
        <v>58</v>
      </c>
      <c r="D44" s="49"/>
      <c r="E44" s="50">
        <f t="shared" si="0"/>
        <v>37</v>
      </c>
      <c r="F44" s="159"/>
      <c r="G44" s="112"/>
    </row>
    <row r="45" spans="1:7" s="33" customFormat="1" ht="16.5" customHeight="1">
      <c r="A45" s="47"/>
      <c r="B45" s="44">
        <v>6</v>
      </c>
      <c r="C45" s="48" t="s">
        <v>59</v>
      </c>
      <c r="D45" s="49"/>
      <c r="E45" s="50">
        <f t="shared" si="0"/>
        <v>38</v>
      </c>
      <c r="F45" s="459"/>
      <c r="G45" s="114"/>
    </row>
    <row r="46" spans="1:7" s="33" customFormat="1" ht="27.75" customHeight="1">
      <c r="A46" s="50"/>
      <c r="B46" s="489" t="s">
        <v>60</v>
      </c>
      <c r="C46" s="490"/>
      <c r="D46" s="491"/>
      <c r="E46" s="50">
        <f t="shared" si="0"/>
        <v>39</v>
      </c>
      <c r="F46" s="202">
        <f>F8+F35</f>
        <v>1317622524.36</v>
      </c>
      <c r="G46" s="113">
        <f>G8+G35</f>
        <v>1288021203.3600001</v>
      </c>
    </row>
    <row r="47" spans="1:7" s="33" customFormat="1" ht="9.75" customHeight="1">
      <c r="A47" s="56"/>
      <c r="B47" s="56"/>
      <c r="C47" s="56"/>
      <c r="D47" s="56"/>
      <c r="E47" s="57"/>
      <c r="F47" s="240"/>
      <c r="G47" s="115"/>
    </row>
    <row r="48" spans="1:7" s="33" customFormat="1" ht="15.75" customHeight="1">
      <c r="A48" s="56"/>
      <c r="B48" s="56"/>
      <c r="C48" s="56"/>
      <c r="D48" s="56"/>
      <c r="E48" s="57"/>
      <c r="F48" s="240"/>
      <c r="G48" s="115"/>
    </row>
  </sheetData>
  <sheetProtection/>
  <mergeCells count="7">
    <mergeCell ref="B8:D8"/>
    <mergeCell ref="B35:D35"/>
    <mergeCell ref="B46:D46"/>
    <mergeCell ref="A4:G4"/>
    <mergeCell ref="A6:A7"/>
    <mergeCell ref="B6:D7"/>
    <mergeCell ref="E6:E7"/>
  </mergeCells>
  <printOptions/>
  <pageMargins left="0.75" right="0.75" top="0.12" bottom="0.12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6"/>
  <sheetViews>
    <sheetView tabSelected="1" zoomScalePageLayoutView="0" workbookViewId="0" topLeftCell="A35">
      <selection activeCell="A1" sqref="A1:G45"/>
    </sheetView>
  </sheetViews>
  <sheetFormatPr defaultColWidth="9.140625" defaultRowHeight="12.75"/>
  <cols>
    <col min="1" max="1" width="3.7109375" style="31" customWidth="1"/>
    <col min="2" max="2" width="2.7109375" style="31" customWidth="1"/>
    <col min="3" max="3" width="4.00390625" style="31" customWidth="1"/>
    <col min="4" max="4" width="40.57421875" style="1" customWidth="1"/>
    <col min="5" max="5" width="7.140625" style="1" customWidth="1"/>
    <col min="6" max="6" width="15.7109375" style="454" customWidth="1"/>
    <col min="7" max="7" width="15.7109375" style="107" customWidth="1"/>
    <col min="8" max="8" width="1.421875" style="1" customWidth="1"/>
    <col min="9" max="9" width="14.421875" style="1" bestFit="1" customWidth="1"/>
    <col min="10" max="10" width="10.140625" style="1" bestFit="1" customWidth="1"/>
    <col min="11" max="11" width="11.7109375" style="1" bestFit="1" customWidth="1"/>
    <col min="12" max="12" width="15.7109375" style="1" customWidth="1"/>
    <col min="13" max="16384" width="9.140625" style="1" customWidth="1"/>
  </cols>
  <sheetData>
    <row r="2" spans="1:7" s="33" customFormat="1" ht="18">
      <c r="A2" s="34" t="s">
        <v>336</v>
      </c>
      <c r="B2" s="35"/>
      <c r="C2" s="35"/>
      <c r="D2" s="36"/>
      <c r="F2" s="203"/>
      <c r="G2" s="108"/>
    </row>
    <row r="3" spans="1:7" s="33" customFormat="1" ht="6" customHeight="1">
      <c r="A3" s="34"/>
      <c r="B3" s="35"/>
      <c r="C3" s="35"/>
      <c r="D3" s="36"/>
      <c r="F3" s="455"/>
      <c r="G3" s="109"/>
    </row>
    <row r="4" spans="1:7" s="33" customFormat="1" ht="18" customHeight="1">
      <c r="A4" s="492" t="s">
        <v>465</v>
      </c>
      <c r="B4" s="492"/>
      <c r="C4" s="492"/>
      <c r="D4" s="492"/>
      <c r="E4" s="492"/>
      <c r="F4" s="492"/>
      <c r="G4" s="492"/>
    </row>
    <row r="5" ht="6.75" customHeight="1"/>
    <row r="6" spans="1:7" s="33" customFormat="1" ht="15.75" customHeight="1">
      <c r="A6" s="493" t="s">
        <v>20</v>
      </c>
      <c r="B6" s="495" t="s">
        <v>61</v>
      </c>
      <c r="C6" s="496"/>
      <c r="D6" s="497"/>
      <c r="E6" s="493" t="s">
        <v>22</v>
      </c>
      <c r="F6" s="456" t="s">
        <v>23</v>
      </c>
      <c r="G6" s="110" t="s">
        <v>23</v>
      </c>
    </row>
    <row r="7" spans="1:7" s="33" customFormat="1" ht="15.75" customHeight="1">
      <c r="A7" s="494"/>
      <c r="B7" s="498"/>
      <c r="C7" s="499"/>
      <c r="D7" s="500"/>
      <c r="E7" s="494"/>
      <c r="F7" s="457" t="s">
        <v>24</v>
      </c>
      <c r="G7" s="111" t="s">
        <v>24</v>
      </c>
    </row>
    <row r="8" spans="1:9" s="33" customFormat="1" ht="24.75" customHeight="1">
      <c r="A8" s="54" t="s">
        <v>26</v>
      </c>
      <c r="B8" s="489" t="s">
        <v>62</v>
      </c>
      <c r="C8" s="490"/>
      <c r="D8" s="491"/>
      <c r="E8" s="50">
        <f>1+Aktive!E46</f>
        <v>40</v>
      </c>
      <c r="F8" s="202">
        <f>F9+F10+F13+F24+F25</f>
        <v>60914086</v>
      </c>
      <c r="G8" s="113">
        <f>G9+G10+G13+G24+G25</f>
        <v>18392803</v>
      </c>
      <c r="I8" s="108"/>
    </row>
    <row r="9" spans="1:7" s="33" customFormat="1" ht="15.75" customHeight="1">
      <c r="A9" s="47"/>
      <c r="B9" s="44">
        <v>1</v>
      </c>
      <c r="C9" s="48" t="s">
        <v>63</v>
      </c>
      <c r="D9" s="49"/>
      <c r="E9" s="50">
        <f>+E8+1</f>
        <v>41</v>
      </c>
      <c r="F9" s="159"/>
      <c r="G9" s="112"/>
    </row>
    <row r="10" spans="1:7" s="33" customFormat="1" ht="15.75" customHeight="1">
      <c r="A10" s="47"/>
      <c r="B10" s="44">
        <v>2</v>
      </c>
      <c r="C10" s="48" t="s">
        <v>64</v>
      </c>
      <c r="D10" s="49"/>
      <c r="E10" s="50">
        <f aca="true" t="shared" si="0" ref="E10:E45">+E9+1</f>
        <v>42</v>
      </c>
      <c r="F10" s="202">
        <f>F11+F12</f>
        <v>28114000</v>
      </c>
      <c r="G10" s="113">
        <f>G11+G12</f>
        <v>0</v>
      </c>
    </row>
    <row r="11" spans="1:12" s="33" customFormat="1" ht="15.75" customHeight="1">
      <c r="A11" s="47"/>
      <c r="B11" s="53"/>
      <c r="C11" s="51" t="s">
        <v>29</v>
      </c>
      <c r="D11" s="52" t="s">
        <v>65</v>
      </c>
      <c r="E11" s="50">
        <f t="shared" si="0"/>
        <v>43</v>
      </c>
      <c r="F11" s="159">
        <v>28114000</v>
      </c>
      <c r="G11" s="112"/>
      <c r="L11" s="108"/>
    </row>
    <row r="12" spans="1:7" s="33" customFormat="1" ht="15.75" customHeight="1">
      <c r="A12" s="47"/>
      <c r="B12" s="53"/>
      <c r="C12" s="51" t="s">
        <v>29</v>
      </c>
      <c r="D12" s="52" t="s">
        <v>66</v>
      </c>
      <c r="E12" s="50">
        <f t="shared" si="0"/>
        <v>44</v>
      </c>
      <c r="F12" s="159"/>
      <c r="G12" s="112"/>
    </row>
    <row r="13" spans="1:9" s="33" customFormat="1" ht="15.75" customHeight="1">
      <c r="A13" s="47"/>
      <c r="B13" s="44">
        <v>3</v>
      </c>
      <c r="C13" s="48" t="s">
        <v>67</v>
      </c>
      <c r="D13" s="49"/>
      <c r="E13" s="50">
        <f t="shared" si="0"/>
        <v>45</v>
      </c>
      <c r="F13" s="202">
        <f>F14+F15+F16+F17+F18+F19+F20+F21+F22+F23</f>
        <v>32800086</v>
      </c>
      <c r="G13" s="113">
        <f>G14+G15+G16+G17+G18+G19+G20+G21+G22+G23</f>
        <v>18392803</v>
      </c>
      <c r="I13" s="108"/>
    </row>
    <row r="14" spans="1:7" s="33" customFormat="1" ht="15.75" customHeight="1">
      <c r="A14" s="47"/>
      <c r="B14" s="53"/>
      <c r="C14" s="51" t="s">
        <v>29</v>
      </c>
      <c r="D14" s="52" t="s">
        <v>68</v>
      </c>
      <c r="E14" s="50">
        <f t="shared" si="0"/>
        <v>46</v>
      </c>
      <c r="F14" s="159">
        <v>21114066</v>
      </c>
      <c r="G14" s="112">
        <v>15662296</v>
      </c>
    </row>
    <row r="15" spans="1:9" s="33" customFormat="1" ht="15.75" customHeight="1">
      <c r="A15" s="47"/>
      <c r="B15" s="53"/>
      <c r="C15" s="51" t="s">
        <v>29</v>
      </c>
      <c r="D15" s="52" t="s">
        <v>69</v>
      </c>
      <c r="E15" s="50">
        <f t="shared" si="0"/>
        <v>47</v>
      </c>
      <c r="F15" s="159"/>
      <c r="G15" s="112"/>
      <c r="I15" s="108"/>
    </row>
    <row r="16" spans="1:7" s="33" customFormat="1" ht="15.75" customHeight="1">
      <c r="A16" s="47"/>
      <c r="B16" s="53"/>
      <c r="C16" s="51" t="s">
        <v>29</v>
      </c>
      <c r="D16" s="52" t="s">
        <v>70</v>
      </c>
      <c r="E16" s="50">
        <f t="shared" si="0"/>
        <v>48</v>
      </c>
      <c r="F16" s="159">
        <v>546091</v>
      </c>
      <c r="G16" s="112">
        <v>502871</v>
      </c>
    </row>
    <row r="17" spans="1:7" s="33" customFormat="1" ht="15.75" customHeight="1">
      <c r="A17" s="47"/>
      <c r="B17" s="53"/>
      <c r="C17" s="51" t="s">
        <v>29</v>
      </c>
      <c r="D17" s="52" t="s">
        <v>71</v>
      </c>
      <c r="E17" s="50">
        <f t="shared" si="0"/>
        <v>49</v>
      </c>
      <c r="F17" s="159">
        <v>194181</v>
      </c>
      <c r="G17" s="112">
        <v>191490</v>
      </c>
    </row>
    <row r="18" spans="1:7" s="33" customFormat="1" ht="15.75" customHeight="1">
      <c r="A18" s="47"/>
      <c r="B18" s="53"/>
      <c r="C18" s="51" t="s">
        <v>29</v>
      </c>
      <c r="D18" s="52" t="s">
        <v>72</v>
      </c>
      <c r="E18" s="50">
        <f t="shared" si="0"/>
        <v>50</v>
      </c>
      <c r="F18" s="159"/>
      <c r="G18" s="112"/>
    </row>
    <row r="19" spans="1:7" s="33" customFormat="1" ht="15.75" customHeight="1">
      <c r="A19" s="47"/>
      <c r="B19" s="53"/>
      <c r="C19" s="51" t="s">
        <v>29</v>
      </c>
      <c r="D19" s="52" t="s">
        <v>73</v>
      </c>
      <c r="E19" s="50">
        <f t="shared" si="0"/>
        <v>51</v>
      </c>
      <c r="F19" s="159"/>
      <c r="G19" s="112"/>
    </row>
    <row r="20" spans="1:7" s="33" customFormat="1" ht="15.75" customHeight="1">
      <c r="A20" s="47"/>
      <c r="B20" s="53"/>
      <c r="C20" s="51" t="s">
        <v>29</v>
      </c>
      <c r="D20" s="52" t="s">
        <v>74</v>
      </c>
      <c r="E20" s="50">
        <f t="shared" si="0"/>
        <v>52</v>
      </c>
      <c r="F20" s="159">
        <v>132000</v>
      </c>
      <c r="G20" s="112">
        <v>60000</v>
      </c>
    </row>
    <row r="21" spans="1:7" s="33" customFormat="1" ht="15.75" customHeight="1">
      <c r="A21" s="47"/>
      <c r="B21" s="53"/>
      <c r="C21" s="51" t="s">
        <v>29</v>
      </c>
      <c r="D21" s="52" t="s">
        <v>38</v>
      </c>
      <c r="E21" s="50">
        <f t="shared" si="0"/>
        <v>53</v>
      </c>
      <c r="F21" s="159"/>
      <c r="G21" s="112"/>
    </row>
    <row r="22" spans="1:7" s="33" customFormat="1" ht="15.75" customHeight="1">
      <c r="A22" s="47"/>
      <c r="B22" s="53"/>
      <c r="C22" s="51" t="s">
        <v>29</v>
      </c>
      <c r="D22" s="52" t="s">
        <v>348</v>
      </c>
      <c r="E22" s="50">
        <f t="shared" si="0"/>
        <v>54</v>
      </c>
      <c r="F22" s="159">
        <v>1563748</v>
      </c>
      <c r="G22" s="112">
        <v>1706146</v>
      </c>
    </row>
    <row r="23" spans="1:7" s="33" customFormat="1" ht="15.75" customHeight="1">
      <c r="A23" s="47"/>
      <c r="B23" s="53"/>
      <c r="C23" s="51" t="s">
        <v>29</v>
      </c>
      <c r="D23" s="52" t="s">
        <v>170</v>
      </c>
      <c r="E23" s="50">
        <f t="shared" si="0"/>
        <v>55</v>
      </c>
      <c r="F23" s="159">
        <v>9250000</v>
      </c>
      <c r="G23" s="112">
        <v>270000</v>
      </c>
    </row>
    <row r="24" spans="1:7" s="33" customFormat="1" ht="15.75" customHeight="1">
      <c r="A24" s="47"/>
      <c r="B24" s="44">
        <v>4</v>
      </c>
      <c r="C24" s="48" t="s">
        <v>75</v>
      </c>
      <c r="D24" s="49"/>
      <c r="E24" s="50">
        <f t="shared" si="0"/>
        <v>56</v>
      </c>
      <c r="F24" s="159"/>
      <c r="G24" s="112"/>
    </row>
    <row r="25" spans="1:7" s="33" customFormat="1" ht="15.75" customHeight="1">
      <c r="A25" s="47"/>
      <c r="B25" s="44">
        <v>5</v>
      </c>
      <c r="C25" s="48" t="s">
        <v>76</v>
      </c>
      <c r="D25" s="49"/>
      <c r="E25" s="50">
        <f t="shared" si="0"/>
        <v>57</v>
      </c>
      <c r="F25" s="159"/>
      <c r="G25" s="112"/>
    </row>
    <row r="26" spans="1:9" s="33" customFormat="1" ht="24.75" customHeight="1">
      <c r="A26" s="54" t="s">
        <v>48</v>
      </c>
      <c r="B26" s="489" t="s">
        <v>77</v>
      </c>
      <c r="C26" s="490"/>
      <c r="D26" s="491"/>
      <c r="E26" s="50">
        <f t="shared" si="0"/>
        <v>58</v>
      </c>
      <c r="F26" s="202">
        <f>F27+F30+F31+F32</f>
        <v>415199443</v>
      </c>
      <c r="G26" s="113">
        <f>G27+G30+G31+G32</f>
        <v>431278148</v>
      </c>
      <c r="I26" s="108"/>
    </row>
    <row r="27" spans="1:9" s="33" customFormat="1" ht="15.75" customHeight="1">
      <c r="A27" s="47"/>
      <c r="B27" s="44">
        <v>1</v>
      </c>
      <c r="C27" s="48" t="s">
        <v>78</v>
      </c>
      <c r="D27" s="55"/>
      <c r="E27" s="50">
        <f t="shared" si="0"/>
        <v>59</v>
      </c>
      <c r="F27" s="159">
        <f>F28+F29</f>
        <v>413146560</v>
      </c>
      <c r="G27" s="112">
        <f>G28+G29</f>
        <v>429424181</v>
      </c>
      <c r="I27" s="108"/>
    </row>
    <row r="28" spans="1:9" s="33" customFormat="1" ht="15.75" customHeight="1">
      <c r="A28" s="47"/>
      <c r="B28" s="53"/>
      <c r="C28" s="51" t="s">
        <v>29</v>
      </c>
      <c r="D28" s="52" t="s">
        <v>79</v>
      </c>
      <c r="E28" s="50">
        <f t="shared" si="0"/>
        <v>60</v>
      </c>
      <c r="F28" s="159">
        <f>359433166+53713394</f>
        <v>413146560</v>
      </c>
      <c r="G28" s="112">
        <f>373916181+55508000</f>
        <v>429424181</v>
      </c>
      <c r="I28" s="108"/>
    </row>
    <row r="29" spans="1:7" s="33" customFormat="1" ht="15.75" customHeight="1">
      <c r="A29" s="47"/>
      <c r="B29" s="53"/>
      <c r="C29" s="51" t="s">
        <v>29</v>
      </c>
      <c r="D29" s="52" t="s">
        <v>80</v>
      </c>
      <c r="E29" s="50">
        <f t="shared" si="0"/>
        <v>61</v>
      </c>
      <c r="F29" s="159"/>
      <c r="G29" s="112"/>
    </row>
    <row r="30" spans="1:10" s="33" customFormat="1" ht="15.75" customHeight="1">
      <c r="A30" s="47"/>
      <c r="B30" s="44">
        <v>2</v>
      </c>
      <c r="C30" s="48" t="s">
        <v>171</v>
      </c>
      <c r="D30" s="49"/>
      <c r="E30" s="50">
        <f t="shared" si="0"/>
        <v>62</v>
      </c>
      <c r="F30" s="159">
        <v>2052883</v>
      </c>
      <c r="G30" s="112">
        <v>1853967</v>
      </c>
      <c r="I30" s="108"/>
      <c r="J30" s="108"/>
    </row>
    <row r="31" spans="1:7" s="33" customFormat="1" ht="15.75" customHeight="1">
      <c r="A31" s="47"/>
      <c r="B31" s="44">
        <v>3</v>
      </c>
      <c r="C31" s="48" t="s">
        <v>172</v>
      </c>
      <c r="D31" s="49"/>
      <c r="E31" s="50">
        <f t="shared" si="0"/>
        <v>63</v>
      </c>
      <c r="F31" s="159">
        <v>0</v>
      </c>
      <c r="G31" s="112">
        <v>0</v>
      </c>
    </row>
    <row r="32" spans="1:7" s="33" customFormat="1" ht="15.75" customHeight="1">
      <c r="A32" s="47"/>
      <c r="B32" s="44">
        <v>4</v>
      </c>
      <c r="C32" s="48" t="s">
        <v>81</v>
      </c>
      <c r="D32" s="49"/>
      <c r="E32" s="50">
        <f t="shared" si="0"/>
        <v>64</v>
      </c>
      <c r="F32" s="159"/>
      <c r="G32" s="112"/>
    </row>
    <row r="33" spans="1:7" s="33" customFormat="1" ht="24.75" customHeight="1">
      <c r="A33" s="47"/>
      <c r="B33" s="489" t="s">
        <v>82</v>
      </c>
      <c r="C33" s="490"/>
      <c r="D33" s="491"/>
      <c r="E33" s="50">
        <f t="shared" si="0"/>
        <v>65</v>
      </c>
      <c r="F33" s="202">
        <f>F8+F26</f>
        <v>476113529</v>
      </c>
      <c r="G33" s="113">
        <f>G8+G26</f>
        <v>449670951</v>
      </c>
    </row>
    <row r="34" spans="1:7" s="33" customFormat="1" ht="24.75" customHeight="1">
      <c r="A34" s="54" t="s">
        <v>83</v>
      </c>
      <c r="B34" s="489" t="s">
        <v>84</v>
      </c>
      <c r="C34" s="490"/>
      <c r="D34" s="491"/>
      <c r="E34" s="50">
        <f t="shared" si="0"/>
        <v>66</v>
      </c>
      <c r="F34" s="202">
        <f>F35+F36+F37+F38+F39+F40+F41+F42+F43+F44</f>
        <v>841508995.36</v>
      </c>
      <c r="G34" s="113">
        <f>G35+G36+G37+G38+G39+G40+G41+G42+G43+G44</f>
        <v>838350252.36</v>
      </c>
    </row>
    <row r="35" spans="1:7" s="33" customFormat="1" ht="15.75" customHeight="1">
      <c r="A35" s="47"/>
      <c r="B35" s="44">
        <v>1</v>
      </c>
      <c r="C35" s="48" t="s">
        <v>85</v>
      </c>
      <c r="D35" s="49"/>
      <c r="E35" s="50">
        <f t="shared" si="0"/>
        <v>67</v>
      </c>
      <c r="F35" s="159"/>
      <c r="G35" s="112"/>
    </row>
    <row r="36" spans="1:7" s="33" customFormat="1" ht="15.75" customHeight="1">
      <c r="A36" s="47"/>
      <c r="B36" s="58">
        <v>2</v>
      </c>
      <c r="C36" s="48" t="s">
        <v>86</v>
      </c>
      <c r="D36" s="49"/>
      <c r="E36" s="50">
        <f t="shared" si="0"/>
        <v>68</v>
      </c>
      <c r="F36" s="159"/>
      <c r="G36" s="112"/>
    </row>
    <row r="37" spans="1:7" s="33" customFormat="1" ht="15.75" customHeight="1">
      <c r="A37" s="47"/>
      <c r="B37" s="44">
        <v>3</v>
      </c>
      <c r="C37" s="48" t="s">
        <v>353</v>
      </c>
      <c r="D37" s="49"/>
      <c r="E37" s="50">
        <f t="shared" si="0"/>
        <v>69</v>
      </c>
      <c r="F37" s="159">
        <v>167102000</v>
      </c>
      <c r="G37" s="112">
        <v>167102000</v>
      </c>
    </row>
    <row r="38" spans="1:7" s="33" customFormat="1" ht="15.75" customHeight="1">
      <c r="A38" s="47"/>
      <c r="B38" s="58">
        <v>4</v>
      </c>
      <c r="C38" s="48" t="s">
        <v>88</v>
      </c>
      <c r="D38" s="49"/>
      <c r="E38" s="50">
        <f t="shared" si="0"/>
        <v>70</v>
      </c>
      <c r="F38" s="159">
        <v>195798000</v>
      </c>
      <c r="G38" s="112">
        <v>195798000</v>
      </c>
    </row>
    <row r="39" spans="1:7" s="33" customFormat="1" ht="15.75" customHeight="1">
      <c r="A39" s="47"/>
      <c r="B39" s="44">
        <v>5</v>
      </c>
      <c r="C39" s="48" t="s">
        <v>349</v>
      </c>
      <c r="D39" s="49"/>
      <c r="E39" s="50">
        <f t="shared" si="0"/>
        <v>71</v>
      </c>
      <c r="F39" s="159">
        <v>540083814</v>
      </c>
      <c r="G39" s="112">
        <v>540083814</v>
      </c>
    </row>
    <row r="40" spans="1:7" s="33" customFormat="1" ht="15.75" customHeight="1">
      <c r="A40" s="47"/>
      <c r="B40" s="58">
        <v>6</v>
      </c>
      <c r="C40" s="48" t="s">
        <v>89</v>
      </c>
      <c r="D40" s="49"/>
      <c r="E40" s="50">
        <f t="shared" si="0"/>
        <v>72</v>
      </c>
      <c r="F40" s="159"/>
      <c r="G40" s="112"/>
    </row>
    <row r="41" spans="1:11" s="33" customFormat="1" ht="15.75" customHeight="1">
      <c r="A41" s="47"/>
      <c r="B41" s="44">
        <v>7</v>
      </c>
      <c r="C41" s="48" t="s">
        <v>90</v>
      </c>
      <c r="D41" s="49"/>
      <c r="E41" s="50">
        <f t="shared" si="0"/>
        <v>73</v>
      </c>
      <c r="F41" s="159">
        <v>1908818</v>
      </c>
      <c r="G41" s="112">
        <v>1838040</v>
      </c>
      <c r="K41" s="108"/>
    </row>
    <row r="42" spans="1:11" s="33" customFormat="1" ht="15.75" customHeight="1">
      <c r="A42" s="47"/>
      <c r="B42" s="58">
        <v>8</v>
      </c>
      <c r="C42" s="48" t="s">
        <v>91</v>
      </c>
      <c r="D42" s="49"/>
      <c r="E42" s="50">
        <f t="shared" si="0"/>
        <v>74</v>
      </c>
      <c r="F42" s="159">
        <v>1344776</v>
      </c>
      <c r="G42" s="112"/>
      <c r="K42" s="108"/>
    </row>
    <row r="43" spans="1:7" s="33" customFormat="1" ht="15.75" customHeight="1">
      <c r="A43" s="47"/>
      <c r="B43" s="44">
        <v>9</v>
      </c>
      <c r="C43" s="48" t="s">
        <v>384</v>
      </c>
      <c r="D43" s="49"/>
      <c r="E43" s="50">
        <f t="shared" si="0"/>
        <v>75</v>
      </c>
      <c r="F43" s="159">
        <f>+G43</f>
        <v>-67887155.64</v>
      </c>
      <c r="G43" s="112">
        <v>-67887155.64</v>
      </c>
    </row>
    <row r="44" spans="1:10" s="33" customFormat="1" ht="15.75" customHeight="1">
      <c r="A44" s="47"/>
      <c r="B44" s="58">
        <v>10</v>
      </c>
      <c r="C44" s="48" t="s">
        <v>93</v>
      </c>
      <c r="D44" s="49"/>
      <c r="E44" s="50">
        <f t="shared" si="0"/>
        <v>76</v>
      </c>
      <c r="F44" s="159">
        <f>+Rezultati!E30</f>
        <v>3158743</v>
      </c>
      <c r="G44" s="112">
        <v>1415554</v>
      </c>
      <c r="J44" s="108"/>
    </row>
    <row r="45" spans="1:7" s="33" customFormat="1" ht="24.75" customHeight="1">
      <c r="A45" s="47"/>
      <c r="B45" s="489" t="s">
        <v>94</v>
      </c>
      <c r="C45" s="490"/>
      <c r="D45" s="491"/>
      <c r="E45" s="50">
        <f t="shared" si="0"/>
        <v>77</v>
      </c>
      <c r="F45" s="202">
        <f>F33+F34</f>
        <v>1317622524.3600001</v>
      </c>
      <c r="G45" s="113">
        <f>G33+G34</f>
        <v>1288021203.3600001</v>
      </c>
    </row>
    <row r="46" spans="1:7" s="33" customFormat="1" ht="15.75" customHeight="1">
      <c r="A46" s="56"/>
      <c r="B46" s="56"/>
      <c r="C46" s="59"/>
      <c r="D46" s="57"/>
      <c r="E46" s="57"/>
      <c r="F46" s="240"/>
      <c r="G46" s="115"/>
    </row>
    <row r="47" spans="1:7" s="33" customFormat="1" ht="15.75" customHeight="1">
      <c r="A47" s="56"/>
      <c r="B47" s="56"/>
      <c r="C47" s="59"/>
      <c r="D47" s="57"/>
      <c r="E47" s="57"/>
      <c r="F47" s="240"/>
      <c r="G47" s="115"/>
    </row>
    <row r="48" spans="1:7" s="33" customFormat="1" ht="15.75" customHeight="1">
      <c r="A48" s="56"/>
      <c r="B48" s="56"/>
      <c r="C48" s="59"/>
      <c r="D48" s="57"/>
      <c r="E48" s="57"/>
      <c r="F48" s="240"/>
      <c r="G48" s="115"/>
    </row>
    <row r="49" spans="1:7" s="33" customFormat="1" ht="15.75" customHeight="1">
      <c r="A49" s="56"/>
      <c r="B49" s="56"/>
      <c r="C49" s="59"/>
      <c r="D49" s="57"/>
      <c r="E49" s="57"/>
      <c r="F49" s="240"/>
      <c r="G49" s="115"/>
    </row>
    <row r="50" spans="1:7" s="33" customFormat="1" ht="15.75" customHeight="1">
      <c r="A50" s="56"/>
      <c r="B50" s="56"/>
      <c r="C50" s="59"/>
      <c r="D50" s="57"/>
      <c r="E50" s="57"/>
      <c r="F50" s="240"/>
      <c r="G50" s="115"/>
    </row>
    <row r="51" spans="1:7" s="33" customFormat="1" ht="15.75" customHeight="1">
      <c r="A51" s="56"/>
      <c r="B51" s="56"/>
      <c r="C51" s="59"/>
      <c r="D51" s="57"/>
      <c r="E51" s="57"/>
      <c r="F51" s="240"/>
      <c r="G51" s="115"/>
    </row>
    <row r="52" spans="1:7" s="33" customFormat="1" ht="15.75" customHeight="1">
      <c r="A52" s="56"/>
      <c r="B52" s="56"/>
      <c r="C52" s="59"/>
      <c r="D52" s="57"/>
      <c r="E52" s="57"/>
      <c r="F52" s="240"/>
      <c r="G52" s="115"/>
    </row>
    <row r="53" spans="1:7" s="33" customFormat="1" ht="15.75" customHeight="1">
      <c r="A53" s="56"/>
      <c r="B53" s="56"/>
      <c r="C53" s="59"/>
      <c r="D53" s="57"/>
      <c r="E53" s="57"/>
      <c r="F53" s="240"/>
      <c r="G53" s="115"/>
    </row>
    <row r="54" spans="1:7" s="33" customFormat="1" ht="15.75" customHeight="1">
      <c r="A54" s="56"/>
      <c r="B54" s="56"/>
      <c r="C54" s="59"/>
      <c r="D54" s="57"/>
      <c r="E54" s="57"/>
      <c r="F54" s="240"/>
      <c r="G54" s="115"/>
    </row>
    <row r="55" spans="1:7" s="33" customFormat="1" ht="15.75" customHeight="1">
      <c r="A55" s="56"/>
      <c r="B55" s="56"/>
      <c r="C55" s="56"/>
      <c r="D55" s="56"/>
      <c r="E55" s="57"/>
      <c r="F55" s="240"/>
      <c r="G55" s="115"/>
    </row>
    <row r="56" spans="1:7" ht="12.75">
      <c r="A56" s="60"/>
      <c r="B56" s="60"/>
      <c r="C56" s="61"/>
      <c r="D56" s="21"/>
      <c r="E56" s="21"/>
      <c r="F56" s="466"/>
      <c r="G56" s="116"/>
    </row>
  </sheetData>
  <sheetProtection/>
  <mergeCells count="9">
    <mergeCell ref="A4:G4"/>
    <mergeCell ref="A6:A7"/>
    <mergeCell ref="B6:D7"/>
    <mergeCell ref="E6:E7"/>
    <mergeCell ref="B45:D45"/>
    <mergeCell ref="B8:D8"/>
    <mergeCell ref="B26:D26"/>
    <mergeCell ref="B33:D33"/>
    <mergeCell ref="B34:D34"/>
  </mergeCells>
  <printOptions/>
  <pageMargins left="0.75" right="0.75" top="0.5" bottom="0.2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24">
      <selection activeCell="A1" sqref="A1:F31"/>
    </sheetView>
  </sheetViews>
  <sheetFormatPr defaultColWidth="9.140625" defaultRowHeight="12.75"/>
  <cols>
    <col min="1" max="1" width="3.7109375" style="31" customWidth="1"/>
    <col min="2" max="2" width="5.28125" style="31" customWidth="1"/>
    <col min="3" max="3" width="2.7109375" style="31" customWidth="1"/>
    <col min="4" max="4" width="43.00390625" style="1" customWidth="1"/>
    <col min="5" max="6" width="17.00390625" style="107" customWidth="1"/>
    <col min="7" max="7" width="1.421875" style="1" customWidth="1"/>
    <col min="8" max="16384" width="9.140625" style="1" customWidth="1"/>
  </cols>
  <sheetData>
    <row r="2" spans="1:6" s="33" customFormat="1" ht="18">
      <c r="A2" s="34" t="s">
        <v>336</v>
      </c>
      <c r="B2" s="34"/>
      <c r="C2" s="35"/>
      <c r="D2" s="36"/>
      <c r="E2" s="108"/>
      <c r="F2" s="108"/>
    </row>
    <row r="3" spans="1:6" s="33" customFormat="1" ht="7.5" customHeight="1">
      <c r="A3" s="34"/>
      <c r="B3" s="34"/>
      <c r="C3" s="35"/>
      <c r="D3" s="36"/>
      <c r="E3" s="109"/>
      <c r="F3" s="109"/>
    </row>
    <row r="4" spans="1:6" s="33" customFormat="1" ht="29.25" customHeight="1">
      <c r="A4" s="509" t="s">
        <v>454</v>
      </c>
      <c r="B4" s="509"/>
      <c r="C4" s="509"/>
      <c r="D4" s="509"/>
      <c r="E4" s="509"/>
      <c r="F4" s="509"/>
    </row>
    <row r="5" spans="1:6" s="33" customFormat="1" ht="18.75" customHeight="1">
      <c r="A5" s="510" t="s">
        <v>95</v>
      </c>
      <c r="B5" s="510"/>
      <c r="C5" s="510"/>
      <c r="D5" s="510"/>
      <c r="E5" s="510"/>
      <c r="F5" s="510"/>
    </row>
    <row r="6" ht="7.5" customHeight="1"/>
    <row r="7" spans="1:6" s="33" customFormat="1" ht="15.75" customHeight="1">
      <c r="A7" s="511" t="s">
        <v>20</v>
      </c>
      <c r="B7" s="513" t="s">
        <v>96</v>
      </c>
      <c r="C7" s="514"/>
      <c r="D7" s="515"/>
      <c r="E7" s="117" t="s">
        <v>23</v>
      </c>
      <c r="F7" s="117" t="s">
        <v>23</v>
      </c>
    </row>
    <row r="8" spans="1:6" s="33" customFormat="1" ht="15.75" customHeight="1">
      <c r="A8" s="512"/>
      <c r="B8" s="516"/>
      <c r="C8" s="517"/>
      <c r="D8" s="518"/>
      <c r="E8" s="118" t="s">
        <v>24</v>
      </c>
      <c r="F8" s="118" t="s">
        <v>24</v>
      </c>
    </row>
    <row r="9" spans="1:6" s="33" customFormat="1" ht="24.75" customHeight="1">
      <c r="A9" s="47">
        <v>1</v>
      </c>
      <c r="B9" s="503" t="s">
        <v>97</v>
      </c>
      <c r="C9" s="504"/>
      <c r="D9" s="505"/>
      <c r="E9" s="119">
        <v>178288496</v>
      </c>
      <c r="F9" s="119">
        <v>158058787</v>
      </c>
    </row>
    <row r="10" spans="1:6" s="33" customFormat="1" ht="24.75" customHeight="1">
      <c r="A10" s="47">
        <v>2</v>
      </c>
      <c r="B10" s="519" t="s">
        <v>383</v>
      </c>
      <c r="C10" s="504"/>
      <c r="D10" s="505"/>
      <c r="E10" s="119">
        <v>41663554</v>
      </c>
      <c r="F10" s="119">
        <v>1202998</v>
      </c>
    </row>
    <row r="11" spans="1:6" s="33" customFormat="1" ht="24.75" customHeight="1">
      <c r="A11" s="39">
        <v>3</v>
      </c>
      <c r="B11" s="503" t="s">
        <v>98</v>
      </c>
      <c r="C11" s="504"/>
      <c r="D11" s="505"/>
      <c r="E11" s="453">
        <v>5351833</v>
      </c>
      <c r="F11" s="120">
        <v>-4422794</v>
      </c>
    </row>
    <row r="12" spans="1:6" s="33" customFormat="1" ht="24.75" customHeight="1">
      <c r="A12" s="39">
        <v>4</v>
      </c>
      <c r="B12" s="503" t="s">
        <v>99</v>
      </c>
      <c r="C12" s="504"/>
      <c r="D12" s="505"/>
      <c r="E12" s="453">
        <f>150278116+1</f>
        <v>150278117</v>
      </c>
      <c r="F12" s="120">
        <v>95885362</v>
      </c>
    </row>
    <row r="13" spans="1:6" s="33" customFormat="1" ht="24.75" customHeight="1">
      <c r="A13" s="39">
        <v>5</v>
      </c>
      <c r="B13" s="503" t="s">
        <v>100</v>
      </c>
      <c r="C13" s="504"/>
      <c r="D13" s="505"/>
      <c r="E13" s="120">
        <f>E14+E15</f>
        <v>30937483</v>
      </c>
      <c r="F13" s="120">
        <f>F14+F15</f>
        <v>29804884</v>
      </c>
    </row>
    <row r="14" spans="1:6" s="33" customFormat="1" ht="24.75" customHeight="1">
      <c r="A14" s="39"/>
      <c r="B14" s="38"/>
      <c r="C14" s="501" t="s">
        <v>101</v>
      </c>
      <c r="D14" s="502"/>
      <c r="E14" s="120">
        <v>27028494</v>
      </c>
      <c r="F14" s="120">
        <v>26033270</v>
      </c>
    </row>
    <row r="15" spans="1:6" s="33" customFormat="1" ht="24.75" customHeight="1">
      <c r="A15" s="39"/>
      <c r="B15" s="38"/>
      <c r="C15" s="501" t="s">
        <v>102</v>
      </c>
      <c r="D15" s="502"/>
      <c r="E15" s="120">
        <v>3908989</v>
      </c>
      <c r="F15" s="120">
        <v>3771614</v>
      </c>
    </row>
    <row r="16" spans="1:6" s="33" customFormat="1" ht="24.75" customHeight="1">
      <c r="A16" s="47">
        <v>6</v>
      </c>
      <c r="B16" s="503" t="s">
        <v>103</v>
      </c>
      <c r="C16" s="504"/>
      <c r="D16" s="505"/>
      <c r="E16" s="119">
        <v>1968500</v>
      </c>
      <c r="F16" s="119">
        <v>1780870</v>
      </c>
    </row>
    <row r="17" spans="1:6" s="33" customFormat="1" ht="24.75" customHeight="1">
      <c r="A17" s="47">
        <v>7</v>
      </c>
      <c r="B17" s="503" t="s">
        <v>104</v>
      </c>
      <c r="C17" s="504"/>
      <c r="D17" s="505"/>
      <c r="E17" s="119">
        <f>13178980-1603873+19022770</f>
        <v>30597877</v>
      </c>
      <c r="F17" s="119">
        <f>40000+47825+801660+23387153-422020</f>
        <v>23854618</v>
      </c>
    </row>
    <row r="18" spans="1:6" s="33" customFormat="1" ht="39.75" customHeight="1">
      <c r="A18" s="47">
        <v>8</v>
      </c>
      <c r="B18" s="489" t="s">
        <v>105</v>
      </c>
      <c r="C18" s="490"/>
      <c r="D18" s="491"/>
      <c r="E18" s="119">
        <f>E12+E13+E16+E17-E11</f>
        <v>208430144</v>
      </c>
      <c r="F18" s="119">
        <f>F12+F13+F16+F17</f>
        <v>151325734</v>
      </c>
    </row>
    <row r="19" spans="1:6" s="33" customFormat="1" ht="39.75" customHeight="1">
      <c r="A19" s="47">
        <v>9</v>
      </c>
      <c r="B19" s="506" t="s">
        <v>106</v>
      </c>
      <c r="C19" s="507"/>
      <c r="D19" s="508"/>
      <c r="E19" s="119">
        <f>(E9+E10)-E18</f>
        <v>11521906</v>
      </c>
      <c r="F19" s="119">
        <f>(F9+F10+F11)-F18</f>
        <v>3513257</v>
      </c>
    </row>
    <row r="20" spans="1:6" s="33" customFormat="1" ht="24.75" customHeight="1">
      <c r="A20" s="47">
        <v>10</v>
      </c>
      <c r="B20" s="503" t="s">
        <v>107</v>
      </c>
      <c r="C20" s="504"/>
      <c r="D20" s="505"/>
      <c r="E20" s="119"/>
      <c r="F20" s="119"/>
    </row>
    <row r="21" spans="1:6" s="33" customFormat="1" ht="24.75" customHeight="1">
      <c r="A21" s="47">
        <v>11</v>
      </c>
      <c r="B21" s="503" t="s">
        <v>108</v>
      </c>
      <c r="C21" s="504"/>
      <c r="D21" s="505"/>
      <c r="E21" s="119"/>
      <c r="F21" s="119"/>
    </row>
    <row r="22" spans="1:6" s="33" customFormat="1" ht="24.75" customHeight="1">
      <c r="A22" s="47">
        <v>12</v>
      </c>
      <c r="B22" s="503" t="s">
        <v>109</v>
      </c>
      <c r="C22" s="504"/>
      <c r="D22" s="505"/>
      <c r="E22" s="119">
        <f>E23+E24+E25+E26</f>
        <v>-7749794</v>
      </c>
      <c r="F22" s="119">
        <f>F23+F24+F25+F26</f>
        <v>-1705276</v>
      </c>
    </row>
    <row r="23" spans="1:6" s="33" customFormat="1" ht="24.75" customHeight="1">
      <c r="A23" s="47"/>
      <c r="B23" s="65">
        <v>121</v>
      </c>
      <c r="C23" s="501" t="s">
        <v>110</v>
      </c>
      <c r="D23" s="502"/>
      <c r="E23" s="119"/>
      <c r="F23" s="119"/>
    </row>
    <row r="24" spans="1:6" s="33" customFormat="1" ht="24.75" customHeight="1">
      <c r="A24" s="47"/>
      <c r="B24" s="38">
        <v>122</v>
      </c>
      <c r="C24" s="501" t="s">
        <v>111</v>
      </c>
      <c r="D24" s="502"/>
      <c r="E24" s="119">
        <v>-6441742</v>
      </c>
      <c r="F24" s="119">
        <v>961236</v>
      </c>
    </row>
    <row r="25" spans="1:6" s="33" customFormat="1" ht="24.75" customHeight="1">
      <c r="A25" s="47"/>
      <c r="B25" s="38">
        <v>123</v>
      </c>
      <c r="C25" s="501" t="s">
        <v>112</v>
      </c>
      <c r="D25" s="502"/>
      <c r="E25" s="119">
        <f>-58806+947479-592852</f>
        <v>295821</v>
      </c>
      <c r="F25" s="119">
        <f>-2718932+474440</f>
        <v>-2244492</v>
      </c>
    </row>
    <row r="26" spans="1:6" s="33" customFormat="1" ht="24.75" customHeight="1">
      <c r="A26" s="47"/>
      <c r="B26" s="38">
        <v>124</v>
      </c>
      <c r="C26" s="501" t="s">
        <v>113</v>
      </c>
      <c r="D26" s="502"/>
      <c r="E26" s="119">
        <v>-1603873</v>
      </c>
      <c r="F26" s="119">
        <v>-422020</v>
      </c>
    </row>
    <row r="27" spans="1:6" s="33" customFormat="1" ht="39.75" customHeight="1">
      <c r="A27" s="47">
        <v>13</v>
      </c>
      <c r="B27" s="506" t="s">
        <v>114</v>
      </c>
      <c r="C27" s="507"/>
      <c r="D27" s="508"/>
      <c r="E27" s="119">
        <f>E20+E21+E22</f>
        <v>-7749794</v>
      </c>
      <c r="F27" s="119">
        <f>F20+F21+F22</f>
        <v>-1705276</v>
      </c>
    </row>
    <row r="28" spans="1:6" s="33" customFormat="1" ht="39.75" customHeight="1">
      <c r="A28" s="47">
        <v>14</v>
      </c>
      <c r="B28" s="506" t="s">
        <v>115</v>
      </c>
      <c r="C28" s="507"/>
      <c r="D28" s="508"/>
      <c r="E28" s="119">
        <f>E19+E27</f>
        <v>3772112</v>
      </c>
      <c r="F28" s="119">
        <f>F19+F27</f>
        <v>1807981</v>
      </c>
    </row>
    <row r="29" spans="1:6" s="33" customFormat="1" ht="24.75" customHeight="1">
      <c r="A29" s="47">
        <v>15</v>
      </c>
      <c r="B29" s="503" t="s">
        <v>116</v>
      </c>
      <c r="C29" s="504"/>
      <c r="D29" s="505"/>
      <c r="E29" s="119">
        <v>613369</v>
      </c>
      <c r="F29" s="119">
        <v>392427</v>
      </c>
    </row>
    <row r="30" spans="1:6" s="33" customFormat="1" ht="39.75" customHeight="1">
      <c r="A30" s="47">
        <v>16</v>
      </c>
      <c r="B30" s="506" t="s">
        <v>117</v>
      </c>
      <c r="C30" s="507"/>
      <c r="D30" s="508"/>
      <c r="E30" s="119">
        <f>E28-E29</f>
        <v>3158743</v>
      </c>
      <c r="F30" s="119">
        <f>F28-F29</f>
        <v>1415554</v>
      </c>
    </row>
    <row r="31" spans="1:6" s="33" customFormat="1" ht="24.75" customHeight="1">
      <c r="A31" s="47">
        <v>17</v>
      </c>
      <c r="B31" s="503" t="s">
        <v>118</v>
      </c>
      <c r="C31" s="504"/>
      <c r="D31" s="505"/>
      <c r="E31" s="119"/>
      <c r="F31" s="119"/>
    </row>
    <row r="32" spans="1:6" s="33" customFormat="1" ht="15.75" customHeight="1">
      <c r="A32" s="56"/>
      <c r="B32" s="56"/>
      <c r="C32" s="56"/>
      <c r="D32" s="57"/>
      <c r="E32" s="115"/>
      <c r="F32" s="115"/>
    </row>
    <row r="33" spans="1:6" s="33" customFormat="1" ht="15.75" customHeight="1">
      <c r="A33" s="56"/>
      <c r="B33" s="56"/>
      <c r="C33" s="56"/>
      <c r="D33" s="57"/>
      <c r="E33" s="115"/>
      <c r="F33" s="115"/>
    </row>
    <row r="34" spans="1:6" s="33" customFormat="1" ht="15.75" customHeight="1">
      <c r="A34" s="56"/>
      <c r="B34" s="56"/>
      <c r="C34" s="56"/>
      <c r="D34" s="460" t="s">
        <v>455</v>
      </c>
      <c r="E34" s="461">
        <f>+E28</f>
        <v>3772112</v>
      </c>
      <c r="F34" s="115"/>
    </row>
    <row r="35" spans="1:6" s="33" customFormat="1" ht="15.75" customHeight="1">
      <c r="A35" s="56"/>
      <c r="D35" s="460" t="s">
        <v>456</v>
      </c>
      <c r="E35" s="461"/>
      <c r="F35" s="115"/>
    </row>
    <row r="36" spans="1:6" s="33" customFormat="1" ht="15.75" customHeight="1">
      <c r="A36" s="56"/>
      <c r="B36" s="56"/>
      <c r="D36" s="462" t="s">
        <v>457</v>
      </c>
      <c r="E36" s="461">
        <v>1278540</v>
      </c>
      <c r="F36" s="115"/>
    </row>
    <row r="37" spans="1:6" s="33" customFormat="1" ht="15.75" customHeight="1">
      <c r="A37" s="56"/>
      <c r="B37" s="56"/>
      <c r="C37" s="56"/>
      <c r="D37" s="460" t="s">
        <v>458</v>
      </c>
      <c r="E37" s="461">
        <v>1083035</v>
      </c>
      <c r="F37" s="115"/>
    </row>
    <row r="38" spans="1:6" s="33" customFormat="1" ht="15.75" customHeight="1">
      <c r="A38" s="56"/>
      <c r="B38" s="56"/>
      <c r="C38" s="56"/>
      <c r="D38" s="463"/>
      <c r="E38" s="461"/>
      <c r="F38" s="115"/>
    </row>
    <row r="39" spans="1:6" s="33" customFormat="1" ht="15.75" customHeight="1">
      <c r="A39" s="56"/>
      <c r="B39" s="56"/>
      <c r="C39" s="56"/>
      <c r="D39" s="460" t="s">
        <v>459</v>
      </c>
      <c r="E39" s="461">
        <f>+E34+E36+E37</f>
        <v>6133687</v>
      </c>
      <c r="F39" s="115"/>
    </row>
    <row r="40" spans="1:6" s="33" customFormat="1" ht="15.75" customHeight="1">
      <c r="A40" s="56"/>
      <c r="B40" s="56"/>
      <c r="C40" s="56"/>
      <c r="D40" s="460" t="s">
        <v>460</v>
      </c>
      <c r="E40" s="461">
        <f>+E39*10%</f>
        <v>613368.7000000001</v>
      </c>
      <c r="F40" s="115"/>
    </row>
    <row r="41" spans="1:6" s="33" customFormat="1" ht="15.75" customHeight="1">
      <c r="A41" s="56"/>
      <c r="B41" s="56"/>
      <c r="C41" s="56"/>
      <c r="D41" s="56"/>
      <c r="E41" s="115"/>
      <c r="F41" s="115"/>
    </row>
    <row r="42" spans="1:6" ht="12.75">
      <c r="A42" s="60"/>
      <c r="B42" s="60"/>
      <c r="C42" s="60"/>
      <c r="D42" s="150"/>
      <c r="E42" s="116"/>
      <c r="F42" s="116"/>
    </row>
  </sheetData>
  <sheetProtection/>
  <mergeCells count="27">
    <mergeCell ref="A4:F4"/>
    <mergeCell ref="A5:F5"/>
    <mergeCell ref="A7:A8"/>
    <mergeCell ref="B7:D8"/>
    <mergeCell ref="B9:D9"/>
    <mergeCell ref="B10:D10"/>
    <mergeCell ref="B11:D11"/>
    <mergeCell ref="B12:D12"/>
    <mergeCell ref="B13:D13"/>
    <mergeCell ref="C14:D14"/>
    <mergeCell ref="C15:D15"/>
    <mergeCell ref="B16:D16"/>
    <mergeCell ref="B17:D17"/>
    <mergeCell ref="B18:D18"/>
    <mergeCell ref="B19:D19"/>
    <mergeCell ref="B20:D20"/>
    <mergeCell ref="B21:D21"/>
    <mergeCell ref="B22:D22"/>
    <mergeCell ref="C23:D23"/>
    <mergeCell ref="C24:D24"/>
    <mergeCell ref="B29:D29"/>
    <mergeCell ref="B30:D30"/>
    <mergeCell ref="B31:D31"/>
    <mergeCell ref="C25:D25"/>
    <mergeCell ref="C26:D26"/>
    <mergeCell ref="B27:D27"/>
    <mergeCell ref="B28:D28"/>
  </mergeCells>
  <printOptions/>
  <pageMargins left="0.83" right="0.75" top="0.25" bottom="0.25" header="0.5" footer="0.5"/>
  <pageSetup fitToHeight="0" fitToWidth="0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28">
      <selection activeCell="A1" sqref="A1:F40"/>
    </sheetView>
  </sheetViews>
  <sheetFormatPr defaultColWidth="9.140625" defaultRowHeight="12.75"/>
  <cols>
    <col min="1" max="2" width="3.7109375" style="31" customWidth="1"/>
    <col min="3" max="3" width="4.00390625" style="31" customWidth="1"/>
    <col min="4" max="4" width="44.421875" style="1" customWidth="1"/>
    <col min="5" max="5" width="15.421875" style="220" customWidth="1"/>
    <col min="6" max="6" width="15.421875" style="32" customWidth="1"/>
    <col min="7" max="7" width="1.421875" style="1" customWidth="1"/>
    <col min="8" max="8" width="9.7109375" style="1" bestFit="1" customWidth="1"/>
    <col min="9" max="9" width="10.7109375" style="1" customWidth="1"/>
    <col min="10" max="16384" width="9.140625" style="1" customWidth="1"/>
  </cols>
  <sheetData>
    <row r="2" spans="1:6" s="33" customFormat="1" ht="18">
      <c r="A2" s="34" t="s">
        <v>336</v>
      </c>
      <c r="B2" s="34"/>
      <c r="C2" s="35"/>
      <c r="D2" s="36"/>
      <c r="E2" s="217"/>
      <c r="F2" s="37" t="s">
        <v>19</v>
      </c>
    </row>
    <row r="3" spans="1:6" s="33" customFormat="1" ht="7.5" customHeight="1">
      <c r="A3" s="34"/>
      <c r="B3" s="34"/>
      <c r="C3" s="35"/>
      <c r="D3" s="36"/>
      <c r="E3" s="218"/>
      <c r="F3" s="66"/>
    </row>
    <row r="4" spans="1:6" s="33" customFormat="1" ht="8.25" customHeight="1">
      <c r="A4" s="34"/>
      <c r="B4" s="34"/>
      <c r="C4" s="35"/>
      <c r="D4" s="36"/>
      <c r="E4" s="219"/>
      <c r="F4" s="62"/>
    </row>
    <row r="5" spans="1:6" s="33" customFormat="1" ht="18" customHeight="1">
      <c r="A5" s="509" t="s">
        <v>467</v>
      </c>
      <c r="B5" s="509"/>
      <c r="C5" s="509"/>
      <c r="D5" s="509"/>
      <c r="E5" s="509"/>
      <c r="F5" s="509"/>
    </row>
    <row r="6" ht="6.75" customHeight="1"/>
    <row r="7" spans="1:6" s="33" customFormat="1" ht="15.75" customHeight="1">
      <c r="A7" s="493" t="s">
        <v>20</v>
      </c>
      <c r="B7" s="513" t="s">
        <v>119</v>
      </c>
      <c r="C7" s="514"/>
      <c r="D7" s="515"/>
      <c r="E7" s="221" t="s">
        <v>23</v>
      </c>
      <c r="F7" s="40" t="s">
        <v>23</v>
      </c>
    </row>
    <row r="8" spans="1:6" s="33" customFormat="1" ht="15.75" customHeight="1">
      <c r="A8" s="494"/>
      <c r="B8" s="516"/>
      <c r="C8" s="517"/>
      <c r="D8" s="518"/>
      <c r="E8" s="222" t="s">
        <v>24</v>
      </c>
      <c r="F8" s="42" t="s">
        <v>25</v>
      </c>
    </row>
    <row r="9" spans="1:6" s="33" customFormat="1" ht="24.75" customHeight="1">
      <c r="A9" s="47"/>
      <c r="B9" s="67" t="s">
        <v>120</v>
      </c>
      <c r="C9" s="68"/>
      <c r="D9" s="55"/>
      <c r="E9" s="223"/>
      <c r="F9" s="46"/>
    </row>
    <row r="10" spans="1:6" s="33" customFormat="1" ht="19.5" customHeight="1">
      <c r="A10" s="47"/>
      <c r="B10" s="67"/>
      <c r="C10" s="49" t="s">
        <v>121</v>
      </c>
      <c r="D10" s="49"/>
      <c r="E10" s="216">
        <f>+Rezultati!E28</f>
        <v>3772112</v>
      </c>
      <c r="F10" s="216">
        <f>+Rezultati!F28</f>
        <v>1807981</v>
      </c>
    </row>
    <row r="11" spans="1:6" s="33" customFormat="1" ht="19.5" customHeight="1">
      <c r="A11" s="47"/>
      <c r="B11" s="69"/>
      <c r="C11" s="70" t="s">
        <v>122</v>
      </c>
      <c r="E11" s="223"/>
      <c r="F11" s="223"/>
    </row>
    <row r="12" spans="1:6" s="33" customFormat="1" ht="19.5" customHeight="1">
      <c r="A12" s="47"/>
      <c r="B12" s="67"/>
      <c r="C12" s="68"/>
      <c r="D12" s="63" t="s">
        <v>123</v>
      </c>
      <c r="E12" s="216">
        <f>+Rezultati!E16</f>
        <v>1968500</v>
      </c>
      <c r="F12" s="216">
        <f>+Rezultati!F16</f>
        <v>1780870</v>
      </c>
    </row>
    <row r="13" spans="1:6" s="33" customFormat="1" ht="19.5" customHeight="1">
      <c r="A13" s="47"/>
      <c r="B13" s="67"/>
      <c r="C13" s="68"/>
      <c r="D13" s="63" t="s">
        <v>124</v>
      </c>
      <c r="E13" s="216"/>
      <c r="F13" s="216"/>
    </row>
    <row r="14" spans="1:6" s="33" customFormat="1" ht="19.5" customHeight="1">
      <c r="A14" s="47"/>
      <c r="B14" s="67"/>
      <c r="C14" s="68"/>
      <c r="D14" s="63" t="s">
        <v>125</v>
      </c>
      <c r="E14" s="223"/>
      <c r="F14" s="223"/>
    </row>
    <row r="15" spans="1:6" s="33" customFormat="1" ht="19.5" customHeight="1">
      <c r="A15" s="47"/>
      <c r="B15" s="67"/>
      <c r="C15" s="68"/>
      <c r="D15" s="472" t="s">
        <v>493</v>
      </c>
      <c r="E15" s="216">
        <f>+Aktive!G32-Aktive!F32</f>
        <v>-817775</v>
      </c>
      <c r="F15" s="216"/>
    </row>
    <row r="16" spans="1:6" s="57" customFormat="1" ht="19.5" customHeight="1">
      <c r="A16" s="495"/>
      <c r="B16" s="513"/>
      <c r="C16" s="71" t="s">
        <v>126</v>
      </c>
      <c r="E16" s="520">
        <f>+Aktive!G14-Aktive!F14</f>
        <v>40543245</v>
      </c>
      <c r="F16" s="520">
        <v>-11299621</v>
      </c>
    </row>
    <row r="17" spans="1:6" s="57" customFormat="1" ht="19.5" customHeight="1">
      <c r="A17" s="498"/>
      <c r="B17" s="516"/>
      <c r="C17" s="72" t="s">
        <v>127</v>
      </c>
      <c r="E17" s="521"/>
      <c r="F17" s="521"/>
    </row>
    <row r="18" spans="1:6" s="33" customFormat="1" ht="19.5" customHeight="1">
      <c r="A18" s="41"/>
      <c r="B18" s="67"/>
      <c r="C18" s="49" t="s">
        <v>128</v>
      </c>
      <c r="D18" s="49"/>
      <c r="E18" s="224">
        <f>+Aktive!G22-Aktive!F22</f>
        <v>-4123099</v>
      </c>
      <c r="F18" s="224">
        <v>3198303</v>
      </c>
    </row>
    <row r="19" spans="1:6" s="33" customFormat="1" ht="19.5" customHeight="1">
      <c r="A19" s="493"/>
      <c r="B19" s="513"/>
      <c r="C19" s="71" t="s">
        <v>129</v>
      </c>
      <c r="D19" s="71"/>
      <c r="E19" s="522">
        <f>+Pasivet!F8-Pasivet!G8</f>
        <v>42521283</v>
      </c>
      <c r="F19" s="522">
        <v>-106027018</v>
      </c>
    </row>
    <row r="20" spans="1:6" s="33" customFormat="1" ht="19.5" customHeight="1">
      <c r="A20" s="494"/>
      <c r="B20" s="516"/>
      <c r="C20" s="70" t="s">
        <v>130</v>
      </c>
      <c r="D20" s="70"/>
      <c r="E20" s="523"/>
      <c r="F20" s="523"/>
    </row>
    <row r="21" spans="1:6" s="33" customFormat="1" ht="19.5" customHeight="1">
      <c r="A21" s="47"/>
      <c r="B21" s="67"/>
      <c r="C21" s="49" t="s">
        <v>131</v>
      </c>
      <c r="D21" s="49"/>
      <c r="E21" s="225"/>
      <c r="F21" s="225"/>
    </row>
    <row r="22" spans="1:6" s="33" customFormat="1" ht="19.5" customHeight="1">
      <c r="A22" s="47"/>
      <c r="B22" s="67"/>
      <c r="C22" s="49" t="s">
        <v>132</v>
      </c>
      <c r="D22" s="49"/>
      <c r="E22" s="223"/>
      <c r="F22" s="223"/>
    </row>
    <row r="23" spans="1:6" s="33" customFormat="1" ht="19.5" customHeight="1">
      <c r="A23" s="47"/>
      <c r="B23" s="67"/>
      <c r="C23" s="49" t="s">
        <v>133</v>
      </c>
      <c r="D23" s="49"/>
      <c r="E23" s="464">
        <f>-+Rezultati!E29</f>
        <v>-613369</v>
      </c>
      <c r="F23" s="228"/>
    </row>
    <row r="24" spans="1:6" s="33" customFormat="1" ht="19.5" customHeight="1">
      <c r="A24" s="47"/>
      <c r="B24" s="67"/>
      <c r="C24" s="52" t="s">
        <v>134</v>
      </c>
      <c r="D24" s="49"/>
      <c r="E24" s="223"/>
      <c r="F24" s="223"/>
    </row>
    <row r="25" spans="1:6" s="33" customFormat="1" ht="24.75" customHeight="1">
      <c r="A25" s="47"/>
      <c r="B25" s="73" t="s">
        <v>135</v>
      </c>
      <c r="C25" s="68"/>
      <c r="D25" s="49"/>
      <c r="E25" s="223"/>
      <c r="F25" s="223"/>
    </row>
    <row r="26" spans="1:6" s="33" customFormat="1" ht="19.5" customHeight="1">
      <c r="A26" s="47"/>
      <c r="B26" s="67"/>
      <c r="C26" s="49" t="s">
        <v>136</v>
      </c>
      <c r="D26" s="49"/>
      <c r="E26" s="223"/>
      <c r="F26" s="223"/>
    </row>
    <row r="27" spans="1:6" s="33" customFormat="1" ht="19.5" customHeight="1">
      <c r="A27" s="47"/>
      <c r="B27" s="67"/>
      <c r="C27" s="49" t="s">
        <v>137</v>
      </c>
      <c r="D27" s="49"/>
      <c r="E27" s="216">
        <v>-102795634.19</v>
      </c>
      <c r="F27" s="216">
        <v>-46796112</v>
      </c>
    </row>
    <row r="28" spans="1:6" s="33" customFormat="1" ht="19.5" customHeight="1">
      <c r="A28" s="47"/>
      <c r="B28" s="64"/>
      <c r="C28" s="241" t="s">
        <v>468</v>
      </c>
      <c r="D28" s="49"/>
      <c r="E28" s="216">
        <f>2500000-2221460</f>
        <v>278540</v>
      </c>
      <c r="F28" s="223"/>
    </row>
    <row r="29" spans="1:6" s="33" customFormat="1" ht="19.5" customHeight="1">
      <c r="A29" s="47"/>
      <c r="B29" s="53"/>
      <c r="C29" s="49" t="s">
        <v>138</v>
      </c>
      <c r="D29" s="49"/>
      <c r="E29" s="223"/>
      <c r="F29" s="223"/>
    </row>
    <row r="30" spans="1:6" s="33" customFormat="1" ht="19.5" customHeight="1">
      <c r="A30" s="47"/>
      <c r="B30" s="53"/>
      <c r="C30" s="49" t="s">
        <v>139</v>
      </c>
      <c r="D30" s="49"/>
      <c r="E30" s="223"/>
      <c r="F30" s="223"/>
    </row>
    <row r="31" spans="1:6" s="33" customFormat="1" ht="19.5" customHeight="1">
      <c r="A31" s="47"/>
      <c r="B31" s="53"/>
      <c r="C31" s="52" t="s">
        <v>140</v>
      </c>
      <c r="D31" s="49"/>
      <c r="E31" s="223"/>
      <c r="F31" s="223"/>
    </row>
    <row r="32" spans="1:6" s="33" customFormat="1" ht="24.75" customHeight="1">
      <c r="A32" s="47"/>
      <c r="B32" s="67" t="s">
        <v>141</v>
      </c>
      <c r="C32" s="74"/>
      <c r="D32" s="49"/>
      <c r="E32" s="223"/>
      <c r="F32" s="223"/>
    </row>
    <row r="33" spans="1:6" s="33" customFormat="1" ht="19.5" customHeight="1">
      <c r="A33" s="47"/>
      <c r="B33" s="53"/>
      <c r="C33" s="49" t="s">
        <v>142</v>
      </c>
      <c r="D33" s="49"/>
      <c r="E33" s="216"/>
      <c r="F33" s="216">
        <v>247600000</v>
      </c>
    </row>
    <row r="34" spans="1:6" s="33" customFormat="1" ht="19.5" customHeight="1">
      <c r="A34" s="47"/>
      <c r="B34" s="53"/>
      <c r="C34" s="49" t="s">
        <v>143</v>
      </c>
      <c r="D34" s="49"/>
      <c r="E34" s="216">
        <f>+Pasivet!F26-Pasivet!G26</f>
        <v>-16078705</v>
      </c>
      <c r="F34" s="216">
        <v>80280556</v>
      </c>
    </row>
    <row r="35" spans="1:6" s="33" customFormat="1" ht="19.5" customHeight="1">
      <c r="A35" s="47"/>
      <c r="B35" s="53"/>
      <c r="C35" s="49" t="s">
        <v>144</v>
      </c>
      <c r="D35" s="49"/>
      <c r="E35" s="223"/>
      <c r="F35" s="223"/>
    </row>
    <row r="36" spans="1:6" s="33" customFormat="1" ht="19.5" customHeight="1">
      <c r="A36" s="47"/>
      <c r="B36" s="53"/>
      <c r="C36" s="49" t="s">
        <v>145</v>
      </c>
      <c r="D36" s="49"/>
      <c r="E36" s="216"/>
      <c r="F36" s="216">
        <v>-3472243.74</v>
      </c>
    </row>
    <row r="37" spans="1:6" s="33" customFormat="1" ht="19.5" customHeight="1">
      <c r="A37" s="47"/>
      <c r="B37" s="53"/>
      <c r="C37" s="52" t="s">
        <v>146</v>
      </c>
      <c r="D37" s="49"/>
      <c r="E37" s="223"/>
      <c r="F37" s="223"/>
    </row>
    <row r="38" spans="1:9" ht="25.5" customHeight="1">
      <c r="A38" s="75"/>
      <c r="B38" s="73" t="s">
        <v>147</v>
      </c>
      <c r="C38" s="75"/>
      <c r="D38" s="76"/>
      <c r="E38" s="226">
        <f>SUM(E10:E37)</f>
        <v>-35344902.19</v>
      </c>
      <c r="F38" s="226">
        <f>SUM(F10:F37)</f>
        <v>167072715.26</v>
      </c>
      <c r="H38" s="32"/>
      <c r="I38" s="32"/>
    </row>
    <row r="39" spans="1:6" ht="25.5" customHeight="1">
      <c r="A39" s="75"/>
      <c r="B39" s="73" t="s">
        <v>148</v>
      </c>
      <c r="C39" s="75"/>
      <c r="D39" s="76"/>
      <c r="E39" s="226">
        <f>+Aktive!G9</f>
        <v>54388707.36</v>
      </c>
      <c r="F39" s="226">
        <v>6724479</v>
      </c>
    </row>
    <row r="40" spans="1:9" ht="25.5" customHeight="1">
      <c r="A40" s="75"/>
      <c r="B40" s="73" t="s">
        <v>149</v>
      </c>
      <c r="C40" s="75"/>
      <c r="D40" s="76"/>
      <c r="E40" s="226">
        <f>+E39+E38</f>
        <v>19043805.17</v>
      </c>
      <c r="F40" s="226">
        <f>+F39+F38</f>
        <v>173797194.26</v>
      </c>
      <c r="I40" s="32"/>
    </row>
    <row r="42" ht="12.75">
      <c r="E42" s="202"/>
    </row>
    <row r="43" ht="12.75">
      <c r="E43" s="227"/>
    </row>
    <row r="45" ht="12.75">
      <c r="E45" s="220">
        <f>+Aktive!F9</f>
        <v>19043805.36</v>
      </c>
    </row>
    <row r="47" ht="12.75">
      <c r="E47" s="220">
        <f>+E40-E45</f>
        <v>-0.1899999976158142</v>
      </c>
    </row>
  </sheetData>
  <sheetProtection/>
  <mergeCells count="11">
    <mergeCell ref="A5:F5"/>
    <mergeCell ref="A7:A8"/>
    <mergeCell ref="B7:D8"/>
    <mergeCell ref="A16:A17"/>
    <mergeCell ref="B16:B17"/>
    <mergeCell ref="E16:E17"/>
    <mergeCell ref="F16:F17"/>
    <mergeCell ref="A19:A20"/>
    <mergeCell ref="B19:B20"/>
    <mergeCell ref="E19:E20"/>
    <mergeCell ref="F19:F20"/>
  </mergeCells>
  <printOptions/>
  <pageMargins left="0.75" right="0.75" top="0.25" bottom="0.2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zoomScalePageLayoutView="0" workbookViewId="0" topLeftCell="A13">
      <selection activeCell="A1" sqref="A1:H23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2:8" ht="15">
      <c r="B2" s="34" t="s">
        <v>337</v>
      </c>
      <c r="G2" s="33"/>
      <c r="H2" s="37" t="s">
        <v>19</v>
      </c>
    </row>
    <row r="3" ht="6.75" customHeight="1"/>
    <row r="4" spans="1:8" ht="25.5" customHeight="1">
      <c r="A4" s="524" t="s">
        <v>469</v>
      </c>
      <c r="B4" s="524"/>
      <c r="C4" s="524"/>
      <c r="D4" s="524"/>
      <c r="E4" s="524"/>
      <c r="F4" s="524"/>
      <c r="G4" s="524"/>
      <c r="H4" s="524"/>
    </row>
    <row r="5" ht="6.75" customHeight="1"/>
    <row r="6" spans="2:7" ht="12.75" customHeight="1">
      <c r="B6" s="81" t="s">
        <v>152</v>
      </c>
      <c r="G6" s="82"/>
    </row>
    <row r="7" ht="6.75" customHeight="1" thickBot="1"/>
    <row r="8" spans="1:8" s="87" customFormat="1" ht="24.75" customHeight="1" thickTop="1">
      <c r="A8" s="83"/>
      <c r="B8" s="84"/>
      <c r="C8" s="84" t="s">
        <v>87</v>
      </c>
      <c r="D8" s="84" t="s">
        <v>88</v>
      </c>
      <c r="E8" s="85" t="s">
        <v>153</v>
      </c>
      <c r="F8" s="85" t="s">
        <v>154</v>
      </c>
      <c r="G8" s="151" t="s">
        <v>155</v>
      </c>
      <c r="H8" s="86" t="s">
        <v>156</v>
      </c>
    </row>
    <row r="9" spans="1:8" s="92" customFormat="1" ht="30" customHeight="1">
      <c r="A9" s="88" t="s">
        <v>26</v>
      </c>
      <c r="B9" s="89" t="s">
        <v>373</v>
      </c>
      <c r="C9" s="164">
        <f>57000000+110102000</f>
        <v>167102000</v>
      </c>
      <c r="D9" s="165"/>
      <c r="E9" s="165"/>
      <c r="F9" s="164">
        <f>+Pasivet!F42+Pasivet!F41</f>
        <v>3253594</v>
      </c>
      <c r="G9" s="164"/>
      <c r="H9" s="229">
        <f>SUM(C9:G9)</f>
        <v>170355594</v>
      </c>
    </row>
    <row r="10" spans="1:8" s="92" customFormat="1" ht="19.5" customHeight="1">
      <c r="A10" s="93" t="s">
        <v>157</v>
      </c>
      <c r="B10" s="94" t="s">
        <v>158</v>
      </c>
      <c r="C10" s="97"/>
      <c r="D10" s="90"/>
      <c r="E10" s="90"/>
      <c r="F10" s="90"/>
      <c r="G10" s="152"/>
      <c r="H10" s="91">
        <f aca="true" t="shared" si="0" ref="H10:H15">SUM(C10:G10)</f>
        <v>0</v>
      </c>
    </row>
    <row r="11" spans="1:8" s="92" customFormat="1" ht="19.5" customHeight="1">
      <c r="A11" s="88" t="s">
        <v>159</v>
      </c>
      <c r="B11" s="89" t="s">
        <v>160</v>
      </c>
      <c r="C11" s="90"/>
      <c r="D11" s="90"/>
      <c r="E11" s="90"/>
      <c r="F11" s="90"/>
      <c r="G11" s="152"/>
      <c r="H11" s="91">
        <f t="shared" si="0"/>
        <v>0</v>
      </c>
    </row>
    <row r="12" spans="1:8" s="92" customFormat="1" ht="19.5" customHeight="1">
      <c r="A12" s="95">
        <v>1</v>
      </c>
      <c r="B12" s="242" t="s">
        <v>388</v>
      </c>
      <c r="C12" s="46"/>
      <c r="D12" s="97"/>
      <c r="E12" s="97"/>
      <c r="F12" s="97"/>
      <c r="G12" s="153">
        <v>-67887155.64</v>
      </c>
      <c r="H12" s="91">
        <f t="shared" si="0"/>
        <v>-67887155.64</v>
      </c>
    </row>
    <row r="13" spans="1:8" s="92" customFormat="1" ht="19.5" customHeight="1">
      <c r="A13" s="95">
        <v>2</v>
      </c>
      <c r="B13" s="96" t="s">
        <v>162</v>
      </c>
      <c r="C13" s="97"/>
      <c r="D13" s="97"/>
      <c r="E13" s="97"/>
      <c r="F13" s="97"/>
      <c r="G13" s="153"/>
      <c r="H13" s="91">
        <f t="shared" si="0"/>
        <v>0</v>
      </c>
    </row>
    <row r="14" spans="1:8" s="92" customFormat="1" ht="19.5" customHeight="1">
      <c r="A14" s="95">
        <v>3</v>
      </c>
      <c r="B14" s="96" t="s">
        <v>163</v>
      </c>
      <c r="C14" s="90"/>
      <c r="D14" s="97">
        <v>195798000</v>
      </c>
      <c r="E14" s="97"/>
      <c r="F14" s="97"/>
      <c r="G14" s="153"/>
      <c r="H14" s="91">
        <f t="shared" si="0"/>
        <v>195798000</v>
      </c>
    </row>
    <row r="15" spans="1:8" s="92" customFormat="1" ht="19.5" customHeight="1">
      <c r="A15" s="95">
        <v>4</v>
      </c>
      <c r="B15" s="96" t="s">
        <v>271</v>
      </c>
      <c r="C15" s="97"/>
      <c r="D15" s="97">
        <v>540083814</v>
      </c>
      <c r="E15" s="97"/>
      <c r="F15" s="97"/>
      <c r="G15" s="153"/>
      <c r="H15" s="91">
        <f t="shared" si="0"/>
        <v>540083814</v>
      </c>
    </row>
    <row r="16" spans="1:8" s="92" customFormat="1" ht="30" customHeight="1">
      <c r="A16" s="88" t="s">
        <v>48</v>
      </c>
      <c r="B16" s="89" t="s">
        <v>387</v>
      </c>
      <c r="C16" s="162">
        <f aca="true" t="shared" si="1" ref="C16:H16">SUM(C9:C15)</f>
        <v>167102000</v>
      </c>
      <c r="D16" s="162">
        <f t="shared" si="1"/>
        <v>735881814</v>
      </c>
      <c r="E16" s="162">
        <f t="shared" si="1"/>
        <v>0</v>
      </c>
      <c r="F16" s="162">
        <f t="shared" si="1"/>
        <v>3253594</v>
      </c>
      <c r="G16" s="162">
        <f t="shared" si="1"/>
        <v>-67887155.64</v>
      </c>
      <c r="H16" s="163">
        <f t="shared" si="1"/>
        <v>838350252.36</v>
      </c>
    </row>
    <row r="17" spans="1:8" s="92" customFormat="1" ht="19.5" customHeight="1">
      <c r="A17" s="93" t="s">
        <v>265</v>
      </c>
      <c r="B17" s="94" t="s">
        <v>158</v>
      </c>
      <c r="C17" s="97"/>
      <c r="D17" s="90"/>
      <c r="E17" s="90"/>
      <c r="F17" s="90"/>
      <c r="G17" s="152"/>
      <c r="H17" s="91">
        <f>SUM(C17:G17)</f>
        <v>0</v>
      </c>
    </row>
    <row r="18" spans="1:8" s="92" customFormat="1" ht="19.5" customHeight="1">
      <c r="A18" s="93">
        <v>1</v>
      </c>
      <c r="B18" s="96" t="s">
        <v>161</v>
      </c>
      <c r="C18" s="97"/>
      <c r="D18" s="97"/>
      <c r="E18" s="97"/>
      <c r="F18" s="97"/>
      <c r="G18" s="153">
        <f>+Pasivet!F44</f>
        <v>3158743</v>
      </c>
      <c r="H18" s="91">
        <f>SUM(C18:G18)</f>
        <v>3158743</v>
      </c>
    </row>
    <row r="19" spans="1:8" s="92" customFormat="1" ht="19.5" customHeight="1">
      <c r="A19" s="93">
        <v>2</v>
      </c>
      <c r="B19" s="96" t="s">
        <v>162</v>
      </c>
      <c r="C19" s="97"/>
      <c r="D19" s="90"/>
      <c r="E19" s="97"/>
      <c r="F19" s="97"/>
      <c r="G19" s="153"/>
      <c r="H19" s="91">
        <f>SUM(C19:G19)</f>
        <v>0</v>
      </c>
    </row>
    <row r="20" spans="1:8" s="92" customFormat="1" ht="19.5" customHeight="1">
      <c r="A20" s="93">
        <v>3</v>
      </c>
      <c r="B20" s="96" t="s">
        <v>163</v>
      </c>
      <c r="C20" s="90"/>
      <c r="D20" s="90"/>
      <c r="E20" s="97"/>
      <c r="F20" s="97"/>
      <c r="G20" s="153"/>
      <c r="H20" s="91">
        <f>SUM(C20:G20)</f>
        <v>0</v>
      </c>
    </row>
    <row r="21" spans="1:8" s="92" customFormat="1" ht="19.5" customHeight="1">
      <c r="A21" s="93">
        <v>4</v>
      </c>
      <c r="B21" s="96" t="s">
        <v>271</v>
      </c>
      <c r="C21" s="97"/>
      <c r="D21" s="97"/>
      <c r="E21" s="97"/>
      <c r="F21" s="97"/>
      <c r="G21" s="153"/>
      <c r="H21" s="91">
        <f>SUM(C21:G21)</f>
        <v>0</v>
      </c>
    </row>
    <row r="22" spans="1:8" s="92" customFormat="1" ht="30" customHeight="1" thickBot="1">
      <c r="A22" s="98" t="s">
        <v>83</v>
      </c>
      <c r="B22" s="99" t="s">
        <v>470</v>
      </c>
      <c r="C22" s="160">
        <f aca="true" t="shared" si="2" ref="C22:H22">SUM(C16:C21)</f>
        <v>167102000</v>
      </c>
      <c r="D22" s="160">
        <f t="shared" si="2"/>
        <v>735881814</v>
      </c>
      <c r="E22" s="160">
        <f t="shared" si="2"/>
        <v>0</v>
      </c>
      <c r="F22" s="160">
        <f t="shared" si="2"/>
        <v>3253594</v>
      </c>
      <c r="G22" s="160">
        <f>SUM(G16:G21)</f>
        <v>-64728412.64</v>
      </c>
      <c r="H22" s="161">
        <f t="shared" si="2"/>
        <v>841508995.36</v>
      </c>
    </row>
    <row r="23" ht="13.5" customHeight="1" thickTop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1">
    <mergeCell ref="A4:H4"/>
  </mergeCells>
  <printOptions/>
  <pageMargins left="0.75" right="0.75" top="1" bottom="1" header="0.5" footer="0.5"/>
  <pageSetup fitToHeight="1" fitToWidth="1" horizontalDpi="300" verticalDpi="300" orientation="landscape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2"/>
  <sheetViews>
    <sheetView zoomScalePageLayoutView="0" workbookViewId="0" topLeftCell="A46">
      <selection activeCell="A1" sqref="A1:E63"/>
    </sheetView>
  </sheetViews>
  <sheetFormatPr defaultColWidth="4.7109375" defaultRowHeight="12.75"/>
  <cols>
    <col min="1" max="1" width="6.42187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21"/>
      <c r="C2" s="122"/>
      <c r="D2" s="122"/>
      <c r="E2" s="123"/>
    </row>
    <row r="3" spans="2:5" s="124" customFormat="1" ht="33" customHeight="1">
      <c r="B3" s="525" t="s">
        <v>173</v>
      </c>
      <c r="C3" s="526"/>
      <c r="D3" s="526"/>
      <c r="E3" s="527"/>
    </row>
    <row r="4" spans="2:5" s="129" customFormat="1" ht="12.75">
      <c r="B4" s="125"/>
      <c r="C4" s="126" t="s">
        <v>174</v>
      </c>
      <c r="D4" s="127"/>
      <c r="E4" s="128"/>
    </row>
    <row r="5" spans="2:5" s="129" customFormat="1" ht="11.25">
      <c r="B5" s="125"/>
      <c r="C5" s="130"/>
      <c r="D5" s="131" t="s">
        <v>175</v>
      </c>
      <c r="E5" s="128"/>
    </row>
    <row r="6" spans="2:5" s="129" customFormat="1" ht="11.25">
      <c r="B6" s="125"/>
      <c r="C6" s="130"/>
      <c r="D6" s="131" t="s">
        <v>176</v>
      </c>
      <c r="E6" s="128"/>
    </row>
    <row r="7" spans="2:5" s="129" customFormat="1" ht="11.25">
      <c r="B7" s="125"/>
      <c r="C7" s="130" t="s">
        <v>177</v>
      </c>
      <c r="D7" s="132"/>
      <c r="E7" s="128"/>
    </row>
    <row r="8" spans="2:5" s="129" customFormat="1" ht="11.25">
      <c r="B8" s="125"/>
      <c r="C8" s="130"/>
      <c r="D8" s="131" t="s">
        <v>178</v>
      </c>
      <c r="E8" s="128"/>
    </row>
    <row r="9" spans="2:5" s="129" customFormat="1" ht="11.25">
      <c r="B9" s="125"/>
      <c r="C9" s="133"/>
      <c r="D9" s="131" t="s">
        <v>179</v>
      </c>
      <c r="E9" s="128"/>
    </row>
    <row r="10" spans="2:5" s="129" customFormat="1" ht="11.25">
      <c r="B10" s="125"/>
      <c r="C10" s="134"/>
      <c r="D10" s="135" t="s">
        <v>180</v>
      </c>
      <c r="E10" s="128"/>
    </row>
    <row r="11" spans="2:5" ht="5.25" customHeight="1">
      <c r="B11" s="136"/>
      <c r="C11" s="137"/>
      <c r="D11" s="137"/>
      <c r="E11" s="138"/>
    </row>
    <row r="12" spans="2:5" ht="15.75">
      <c r="B12" s="136"/>
      <c r="C12" s="139" t="s">
        <v>181</v>
      </c>
      <c r="D12" s="140" t="s">
        <v>182</v>
      </c>
      <c r="E12" s="138"/>
    </row>
    <row r="13" spans="2:5" ht="6" customHeight="1">
      <c r="B13" s="136"/>
      <c r="C13" s="141"/>
      <c r="E13" s="138"/>
    </row>
    <row r="14" spans="2:5" ht="12.75">
      <c r="B14" s="136"/>
      <c r="C14" s="61">
        <v>1</v>
      </c>
      <c r="D14" s="142" t="s">
        <v>183</v>
      </c>
      <c r="E14" s="138"/>
    </row>
    <row r="15" spans="2:5" ht="12.75">
      <c r="B15" s="136"/>
      <c r="C15" s="61">
        <v>2</v>
      </c>
      <c r="D15" s="1" t="s">
        <v>273</v>
      </c>
      <c r="E15" s="138"/>
    </row>
    <row r="16" spans="2:5" ht="12.75">
      <c r="B16" s="136"/>
      <c r="C16" s="21">
        <v>3</v>
      </c>
      <c r="D16" s="1" t="s">
        <v>184</v>
      </c>
      <c r="E16" s="138"/>
    </row>
    <row r="17" spans="2:5" s="1" customFormat="1" ht="12.75">
      <c r="B17" s="20"/>
      <c r="C17" s="21">
        <v>4</v>
      </c>
      <c r="D17" s="21" t="s">
        <v>185</v>
      </c>
      <c r="E17" s="22"/>
    </row>
    <row r="18" spans="2:5" s="1" customFormat="1" ht="12.75">
      <c r="B18" s="20"/>
      <c r="C18" s="21"/>
      <c r="D18" s="142" t="s">
        <v>186</v>
      </c>
      <c r="E18" s="22"/>
    </row>
    <row r="19" spans="2:5" s="1" customFormat="1" ht="12.75">
      <c r="B19" s="20"/>
      <c r="C19" s="21" t="s">
        <v>187</v>
      </c>
      <c r="D19" s="21"/>
      <c r="E19" s="22"/>
    </row>
    <row r="20" spans="2:5" s="1" customFormat="1" ht="12.75">
      <c r="B20" s="20"/>
      <c r="C20" s="21"/>
      <c r="D20" s="142" t="s">
        <v>188</v>
      </c>
      <c r="E20" s="22"/>
    </row>
    <row r="21" spans="2:5" s="1" customFormat="1" ht="12.75">
      <c r="B21" s="20"/>
      <c r="C21" s="21" t="s">
        <v>189</v>
      </c>
      <c r="D21" s="21"/>
      <c r="E21" s="22"/>
    </row>
    <row r="22" spans="2:5" s="1" customFormat="1" ht="12.75">
      <c r="B22" s="20"/>
      <c r="C22" s="21"/>
      <c r="D22" s="142" t="s">
        <v>190</v>
      </c>
      <c r="E22" s="22"/>
    </row>
    <row r="23" spans="2:5" s="1" customFormat="1" ht="12.75">
      <c r="B23" s="20"/>
      <c r="C23" s="21" t="s">
        <v>191</v>
      </c>
      <c r="D23" s="21"/>
      <c r="E23" s="22"/>
    </row>
    <row r="24" spans="2:5" s="1" customFormat="1" ht="12.75">
      <c r="B24" s="20"/>
      <c r="C24" s="21"/>
      <c r="D24" s="21" t="s">
        <v>192</v>
      </c>
      <c r="E24" s="22"/>
    </row>
    <row r="25" spans="2:5" s="1" customFormat="1" ht="12.75">
      <c r="B25" s="20"/>
      <c r="C25" s="21" t="s">
        <v>274</v>
      </c>
      <c r="D25" s="21"/>
      <c r="E25" s="22"/>
    </row>
    <row r="26" spans="2:5" s="1" customFormat="1" ht="12.75">
      <c r="B26" s="20"/>
      <c r="C26" s="142" t="s">
        <v>193</v>
      </c>
      <c r="D26" s="21"/>
      <c r="E26" s="22"/>
    </row>
    <row r="27" spans="2:5" s="1" customFormat="1" ht="12.75">
      <c r="B27" s="20"/>
      <c r="C27" s="21"/>
      <c r="D27" s="21" t="s">
        <v>194</v>
      </c>
      <c r="E27" s="22"/>
    </row>
    <row r="28" spans="2:5" s="1" customFormat="1" ht="12.75">
      <c r="B28" s="20"/>
      <c r="C28" s="142" t="s">
        <v>195</v>
      </c>
      <c r="D28" s="21"/>
      <c r="E28" s="22"/>
    </row>
    <row r="29" spans="2:5" s="1" customFormat="1" ht="12.75">
      <c r="B29" s="20"/>
      <c r="C29" s="21"/>
      <c r="D29" s="21" t="s">
        <v>196</v>
      </c>
      <c r="E29" s="22"/>
    </row>
    <row r="30" spans="2:5" s="1" customFormat="1" ht="12.75">
      <c r="B30" s="20"/>
      <c r="C30" s="142" t="s">
        <v>197</v>
      </c>
      <c r="D30" s="21"/>
      <c r="E30" s="22"/>
    </row>
    <row r="31" spans="2:5" s="1" customFormat="1" ht="12.75">
      <c r="B31" s="20"/>
      <c r="C31" s="21" t="s">
        <v>198</v>
      </c>
      <c r="D31" s="21" t="s">
        <v>199</v>
      </c>
      <c r="E31" s="22"/>
    </row>
    <row r="32" spans="2:5" s="1" customFormat="1" ht="12.75">
      <c r="B32" s="20"/>
      <c r="C32" s="21"/>
      <c r="D32" s="142" t="s">
        <v>200</v>
      </c>
      <c r="E32" s="22"/>
    </row>
    <row r="33" spans="2:5" s="1" customFormat="1" ht="12.75">
      <c r="B33" s="20"/>
      <c r="C33" s="21"/>
      <c r="D33" s="142" t="s">
        <v>201</v>
      </c>
      <c r="E33" s="22"/>
    </row>
    <row r="34" spans="2:5" s="1" customFormat="1" ht="12.75">
      <c r="B34" s="20"/>
      <c r="C34" s="21"/>
      <c r="D34" s="142" t="s">
        <v>202</v>
      </c>
      <c r="E34" s="22"/>
    </row>
    <row r="35" spans="2:5" s="1" customFormat="1" ht="12.75">
      <c r="B35" s="20"/>
      <c r="C35" s="21"/>
      <c r="D35" s="142" t="s">
        <v>203</v>
      </c>
      <c r="E35" s="22"/>
    </row>
    <row r="36" spans="2:5" s="1" customFormat="1" ht="12.75">
      <c r="B36" s="20"/>
      <c r="C36" s="21"/>
      <c r="D36" s="142" t="s">
        <v>204</v>
      </c>
      <c r="E36" s="22"/>
    </row>
    <row r="37" spans="2:5" s="1" customFormat="1" ht="12.75">
      <c r="B37" s="20"/>
      <c r="C37" s="21"/>
      <c r="D37" s="142" t="s">
        <v>205</v>
      </c>
      <c r="E37" s="22"/>
    </row>
    <row r="38" spans="2:5" s="1" customFormat="1" ht="6" customHeight="1">
      <c r="B38" s="20"/>
      <c r="C38" s="21"/>
      <c r="D38" s="21"/>
      <c r="E38" s="22"/>
    </row>
    <row r="39" spans="2:5" s="1" customFormat="1" ht="15.75">
      <c r="B39" s="20"/>
      <c r="C39" s="139" t="s">
        <v>206</v>
      </c>
      <c r="D39" s="140" t="s">
        <v>207</v>
      </c>
      <c r="E39" s="22"/>
    </row>
    <row r="40" spans="2:5" s="1" customFormat="1" ht="4.5" customHeight="1">
      <c r="B40" s="20"/>
      <c r="C40" s="21"/>
      <c r="D40" s="21"/>
      <c r="E40" s="22"/>
    </row>
    <row r="41" spans="2:5" s="1" customFormat="1" ht="12.75">
      <c r="B41" s="20"/>
      <c r="C41" s="21"/>
      <c r="D41" s="142" t="s">
        <v>275</v>
      </c>
      <c r="E41" s="22"/>
    </row>
    <row r="42" spans="2:5" s="1" customFormat="1" ht="12.75">
      <c r="B42" s="20"/>
      <c r="C42" s="21" t="s">
        <v>276</v>
      </c>
      <c r="D42" s="21"/>
      <c r="E42" s="22"/>
    </row>
    <row r="43" spans="2:5" s="1" customFormat="1" ht="12.75">
      <c r="B43" s="20"/>
      <c r="C43" s="21"/>
      <c r="D43" s="21" t="s">
        <v>208</v>
      </c>
      <c r="E43" s="22"/>
    </row>
    <row r="44" spans="2:5" s="1" customFormat="1" ht="12.75">
      <c r="B44" s="20"/>
      <c r="C44" s="21" t="s">
        <v>209</v>
      </c>
      <c r="D44" s="21"/>
      <c r="E44" s="22"/>
    </row>
    <row r="45" spans="2:5" s="1" customFormat="1" ht="12.75">
      <c r="B45" s="20"/>
      <c r="C45" s="21"/>
      <c r="D45" s="21" t="s">
        <v>210</v>
      </c>
      <c r="E45" s="22"/>
    </row>
    <row r="46" spans="2:5" s="1" customFormat="1" ht="12.75">
      <c r="B46" s="20"/>
      <c r="C46" s="21" t="s">
        <v>211</v>
      </c>
      <c r="D46" s="21"/>
      <c r="E46" s="22"/>
    </row>
    <row r="47" spans="2:5" s="1" customFormat="1" ht="12.75">
      <c r="B47" s="20"/>
      <c r="C47" s="21"/>
      <c r="D47" s="21" t="s">
        <v>277</v>
      </c>
      <c r="E47" s="22"/>
    </row>
    <row r="48" spans="2:5" s="1" customFormat="1" ht="12.75">
      <c r="B48" s="20"/>
      <c r="C48" s="21" t="s">
        <v>278</v>
      </c>
      <c r="D48" s="21"/>
      <c r="E48" s="22"/>
    </row>
    <row r="49" spans="2:5" s="1" customFormat="1" ht="12.75">
      <c r="B49" s="20"/>
      <c r="D49" s="1" t="s">
        <v>212</v>
      </c>
      <c r="E49" s="22"/>
    </row>
    <row r="50" spans="2:5" s="1" customFormat="1" ht="12.75">
      <c r="B50" s="20"/>
      <c r="C50" s="1" t="s">
        <v>213</v>
      </c>
      <c r="E50" s="22"/>
    </row>
    <row r="51" spans="2:5" s="1" customFormat="1" ht="12.75">
      <c r="B51" s="20"/>
      <c r="C51" s="1" t="s">
        <v>374</v>
      </c>
      <c r="E51" s="22"/>
    </row>
    <row r="52" spans="2:5" s="1" customFormat="1" ht="12.75">
      <c r="B52" s="20"/>
      <c r="D52" s="21"/>
      <c r="E52" s="22"/>
    </row>
    <row r="53" spans="2:5" s="100" customFormat="1" ht="12.75">
      <c r="B53" s="143"/>
      <c r="C53" s="144"/>
      <c r="D53" s="100" t="s">
        <v>476</v>
      </c>
      <c r="E53" s="145"/>
    </row>
    <row r="54" spans="2:5" s="100" customFormat="1" ht="12.75">
      <c r="B54" s="143"/>
      <c r="C54" s="144"/>
      <c r="D54" s="100" t="s">
        <v>471</v>
      </c>
      <c r="E54" s="145"/>
    </row>
    <row r="55" spans="2:5" s="100" customFormat="1" ht="12.75">
      <c r="B55" s="143"/>
      <c r="C55" s="144"/>
      <c r="D55" s="144" t="s">
        <v>472</v>
      </c>
      <c r="E55" s="145"/>
    </row>
    <row r="56" spans="2:5" s="100" customFormat="1" ht="12.75">
      <c r="B56" s="143"/>
      <c r="C56" s="144"/>
      <c r="D56" s="144" t="s">
        <v>473</v>
      </c>
      <c r="E56" s="145"/>
    </row>
    <row r="57" spans="2:5" ht="12.75">
      <c r="B57" s="136"/>
      <c r="C57" s="100"/>
      <c r="D57" s="100" t="s">
        <v>474</v>
      </c>
      <c r="E57" s="138"/>
    </row>
    <row r="58" spans="2:5" ht="12.75">
      <c r="B58" s="136"/>
      <c r="C58" s="100" t="s">
        <v>475</v>
      </c>
      <c r="D58" s="100"/>
      <c r="E58" s="138"/>
    </row>
    <row r="59" spans="2:5" ht="12.75">
      <c r="B59" s="136"/>
      <c r="C59" s="1" t="s">
        <v>324</v>
      </c>
      <c r="D59" s="1"/>
      <c r="E59" s="138"/>
    </row>
    <row r="60" spans="2:5" ht="12.75">
      <c r="B60" s="136"/>
      <c r="C60" s="1"/>
      <c r="D60" s="1"/>
      <c r="E60" s="138"/>
    </row>
    <row r="61" spans="2:5" ht="12.75">
      <c r="B61" s="136"/>
      <c r="C61" s="1"/>
      <c r="D61" s="1"/>
      <c r="E61" s="146">
        <v>1</v>
      </c>
    </row>
    <row r="62" spans="2:5" ht="12.75">
      <c r="B62" s="147"/>
      <c r="C62" s="148"/>
      <c r="D62" s="148"/>
      <c r="E62" s="149"/>
    </row>
  </sheetData>
  <sheetProtection/>
  <mergeCells count="1">
    <mergeCell ref="B3:E3"/>
  </mergeCells>
  <printOptions/>
  <pageMargins left="0.5" right="0.5" top="1" bottom="1" header="0.5" footer="0.5"/>
  <pageSetup fitToHeight="1" fitToWidth="1" horizontalDpi="300" verticalDpi="3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4"/>
  <sheetViews>
    <sheetView zoomScale="130" zoomScaleNormal="130" zoomScalePageLayoutView="0" workbookViewId="0" topLeftCell="A347">
      <selection activeCell="A1" sqref="A1:J354"/>
    </sheetView>
  </sheetViews>
  <sheetFormatPr defaultColWidth="9.140625" defaultRowHeight="15" customHeight="1"/>
  <cols>
    <col min="1" max="1" width="3.421875" style="82" customWidth="1"/>
    <col min="2" max="2" width="0.42578125" style="5" customWidth="1"/>
    <col min="3" max="3" width="3.140625" style="5" customWidth="1"/>
    <col min="4" max="4" width="10.140625" style="5" customWidth="1"/>
    <col min="5" max="5" width="14.00390625" style="5" customWidth="1"/>
    <col min="6" max="6" width="14.7109375" style="5" customWidth="1"/>
    <col min="7" max="7" width="15.421875" style="5" customWidth="1"/>
    <col min="8" max="8" width="14.7109375" style="82" customWidth="1"/>
    <col min="9" max="9" width="13.140625" style="354" customWidth="1"/>
    <col min="10" max="10" width="14.28125" style="354" customWidth="1"/>
    <col min="11" max="11" width="3.140625" style="5" hidden="1" customWidth="1"/>
    <col min="12" max="16384" width="9.140625" style="5" customWidth="1"/>
  </cols>
  <sheetData>
    <row r="1" spans="1:11" ht="15" customHeight="1">
      <c r="A1" s="243" t="s">
        <v>214</v>
      </c>
      <c r="B1" s="15"/>
      <c r="C1" s="15"/>
      <c r="D1" s="15"/>
      <c r="E1" s="15"/>
      <c r="F1" s="15"/>
      <c r="G1" s="15"/>
      <c r="H1" s="14"/>
      <c r="I1" s="244"/>
      <c r="J1" s="360"/>
      <c r="K1" s="245"/>
    </row>
    <row r="2" spans="1:11" s="80" customFormat="1" ht="15" customHeight="1">
      <c r="A2" s="246"/>
      <c r="B2" s="247"/>
      <c r="C2" s="247"/>
      <c r="D2" s="247"/>
      <c r="E2" s="247"/>
      <c r="F2" s="247"/>
      <c r="G2" s="247"/>
      <c r="H2" s="247"/>
      <c r="I2" s="248"/>
      <c r="J2" s="361"/>
      <c r="K2" s="249"/>
    </row>
    <row r="3" spans="1:11" ht="15" customHeight="1">
      <c r="A3" s="250" t="s">
        <v>159</v>
      </c>
      <c r="B3" s="251"/>
      <c r="C3" s="7"/>
      <c r="D3" s="252" t="s">
        <v>215</v>
      </c>
      <c r="E3" s="7"/>
      <c r="F3" s="7"/>
      <c r="G3" s="7"/>
      <c r="H3" s="19"/>
      <c r="I3" s="253"/>
      <c r="J3" s="362"/>
      <c r="K3" s="12"/>
    </row>
    <row r="4" spans="1:11" ht="15" customHeight="1">
      <c r="A4" s="254"/>
      <c r="B4" s="7"/>
      <c r="C4" s="7"/>
      <c r="D4" s="7"/>
      <c r="E4" s="7"/>
      <c r="F4" s="7"/>
      <c r="G4" s="7"/>
      <c r="H4" s="19"/>
      <c r="I4" s="253"/>
      <c r="J4" s="362"/>
      <c r="K4" s="12"/>
    </row>
    <row r="5" spans="1:11" ht="15" customHeight="1">
      <c r="A5" s="254"/>
      <c r="B5" s="7"/>
      <c r="C5" s="255" t="s">
        <v>26</v>
      </c>
      <c r="D5" s="256" t="s">
        <v>216</v>
      </c>
      <c r="E5" s="256"/>
      <c r="F5" s="257"/>
      <c r="G5" s="7"/>
      <c r="H5" s="19"/>
      <c r="I5" s="258"/>
      <c r="J5" s="363"/>
      <c r="K5" s="12"/>
    </row>
    <row r="6" spans="1:11" ht="15" customHeight="1">
      <c r="A6" s="254"/>
      <c r="B6" s="7"/>
      <c r="C6" s="255"/>
      <c r="D6" s="256"/>
      <c r="E6" s="256"/>
      <c r="F6" s="257"/>
      <c r="G6" s="7"/>
      <c r="H6" s="19"/>
      <c r="I6" s="258"/>
      <c r="J6" s="363"/>
      <c r="K6" s="12"/>
    </row>
    <row r="7" spans="1:11" ht="15" customHeight="1">
      <c r="A7" s="254"/>
      <c r="B7" s="7"/>
      <c r="C7" s="247">
        <v>1</v>
      </c>
      <c r="D7" s="259" t="s">
        <v>28</v>
      </c>
      <c r="E7" s="260"/>
      <c r="F7" s="7"/>
      <c r="G7" s="7"/>
      <c r="H7" s="19"/>
      <c r="I7" s="258"/>
      <c r="J7" s="363"/>
      <c r="K7" s="12"/>
    </row>
    <row r="8" spans="1:11" ht="15" customHeight="1">
      <c r="A8" s="254">
        <v>3</v>
      </c>
      <c r="B8" s="7"/>
      <c r="C8" s="7"/>
      <c r="D8" s="19" t="s">
        <v>30</v>
      </c>
      <c r="E8" s="261"/>
      <c r="F8" s="261"/>
      <c r="G8" s="261"/>
      <c r="H8" s="19"/>
      <c r="I8" s="253"/>
      <c r="J8" s="362"/>
      <c r="K8" s="12"/>
    </row>
    <row r="9" spans="1:11" s="267" customFormat="1" ht="15" customHeight="1">
      <c r="A9" s="262"/>
      <c r="B9" s="263"/>
      <c r="C9" s="538" t="s">
        <v>20</v>
      </c>
      <c r="D9" s="538" t="s">
        <v>217</v>
      </c>
      <c r="E9" s="538"/>
      <c r="F9" s="538" t="s">
        <v>218</v>
      </c>
      <c r="G9" s="538" t="s">
        <v>219</v>
      </c>
      <c r="H9" s="264" t="s">
        <v>220</v>
      </c>
      <c r="I9" s="265" t="s">
        <v>221</v>
      </c>
      <c r="J9" s="264" t="s">
        <v>346</v>
      </c>
      <c r="K9" s="266"/>
    </row>
    <row r="10" spans="1:11" s="267" customFormat="1" ht="15" customHeight="1">
      <c r="A10" s="262"/>
      <c r="B10" s="263"/>
      <c r="C10" s="538"/>
      <c r="D10" s="538"/>
      <c r="E10" s="538"/>
      <c r="F10" s="538"/>
      <c r="G10" s="538"/>
      <c r="H10" s="268" t="s">
        <v>222</v>
      </c>
      <c r="I10" s="269" t="s">
        <v>223</v>
      </c>
      <c r="J10" s="268" t="s">
        <v>347</v>
      </c>
      <c r="K10" s="266"/>
    </row>
    <row r="11" spans="1:11" s="267" customFormat="1" ht="15" customHeight="1">
      <c r="A11" s="262"/>
      <c r="B11" s="263"/>
      <c r="C11" s="270">
        <v>1</v>
      </c>
      <c r="D11" s="532" t="s">
        <v>279</v>
      </c>
      <c r="E11" s="532"/>
      <c r="F11" s="271" t="s">
        <v>280</v>
      </c>
      <c r="G11" s="271">
        <v>404009516</v>
      </c>
      <c r="H11" s="272">
        <v>240514</v>
      </c>
      <c r="I11" s="272">
        <v>1</v>
      </c>
      <c r="J11" s="272">
        <f>+H11*I11</f>
        <v>240514</v>
      </c>
      <c r="K11" s="266"/>
    </row>
    <row r="12" spans="1:11" s="267" customFormat="1" ht="15" customHeight="1">
      <c r="A12" s="262"/>
      <c r="B12" s="263"/>
      <c r="C12" s="270">
        <f>+C11+1</f>
        <v>2</v>
      </c>
      <c r="D12" s="532" t="s">
        <v>281</v>
      </c>
      <c r="E12" s="532"/>
      <c r="F12" s="271" t="s">
        <v>280</v>
      </c>
      <c r="G12" s="271" t="s">
        <v>338</v>
      </c>
      <c r="H12" s="273">
        <v>195662</v>
      </c>
      <c r="I12" s="273">
        <v>1</v>
      </c>
      <c r="J12" s="272">
        <f aca="true" t="shared" si="0" ref="J12:J32">+H12*I12</f>
        <v>195662</v>
      </c>
      <c r="K12" s="266"/>
    </row>
    <row r="13" spans="1:11" s="267" customFormat="1" ht="15" customHeight="1">
      <c r="A13" s="262"/>
      <c r="B13" s="263"/>
      <c r="C13" s="270">
        <f aca="true" t="shared" si="1" ref="C13:C28">+C12+1</f>
        <v>3</v>
      </c>
      <c r="D13" s="532" t="s">
        <v>282</v>
      </c>
      <c r="E13" s="532"/>
      <c r="F13" s="271" t="s">
        <v>280</v>
      </c>
      <c r="G13" s="271">
        <v>8689</v>
      </c>
      <c r="H13" s="273">
        <v>9186</v>
      </c>
      <c r="I13" s="273">
        <v>1</v>
      </c>
      <c r="J13" s="272">
        <f t="shared" si="0"/>
        <v>9186</v>
      </c>
      <c r="K13" s="266"/>
    </row>
    <row r="14" spans="1:11" s="267" customFormat="1" ht="15" customHeight="1">
      <c r="A14" s="262"/>
      <c r="B14" s="263"/>
      <c r="C14" s="270">
        <f t="shared" si="1"/>
        <v>4</v>
      </c>
      <c r="D14" s="532" t="s">
        <v>283</v>
      </c>
      <c r="E14" s="532"/>
      <c r="F14" s="271" t="s">
        <v>280</v>
      </c>
      <c r="G14" s="271" t="s">
        <v>339</v>
      </c>
      <c r="H14" s="273">
        <v>3936</v>
      </c>
      <c r="I14" s="273">
        <v>1</v>
      </c>
      <c r="J14" s="272">
        <f t="shared" si="0"/>
        <v>3936</v>
      </c>
      <c r="K14" s="266"/>
    </row>
    <row r="15" spans="1:11" s="267" customFormat="1" ht="15" customHeight="1">
      <c r="A15" s="262"/>
      <c r="B15" s="263"/>
      <c r="C15" s="270">
        <f t="shared" si="1"/>
        <v>5</v>
      </c>
      <c r="D15" s="532" t="s">
        <v>284</v>
      </c>
      <c r="E15" s="532"/>
      <c r="F15" s="271" t="s">
        <v>280</v>
      </c>
      <c r="G15" s="271" t="s">
        <v>340</v>
      </c>
      <c r="H15" s="273">
        <v>6658</v>
      </c>
      <c r="I15" s="273">
        <v>1</v>
      </c>
      <c r="J15" s="272">
        <f t="shared" si="0"/>
        <v>6658</v>
      </c>
      <c r="K15" s="266"/>
    </row>
    <row r="16" spans="1:11" s="267" customFormat="1" ht="15" customHeight="1">
      <c r="A16" s="262"/>
      <c r="B16" s="263"/>
      <c r="C16" s="270">
        <f t="shared" si="1"/>
        <v>6</v>
      </c>
      <c r="D16" s="532" t="s">
        <v>285</v>
      </c>
      <c r="E16" s="532"/>
      <c r="F16" s="271" t="s">
        <v>280</v>
      </c>
      <c r="G16" s="271" t="s">
        <v>341</v>
      </c>
      <c r="H16" s="273">
        <v>1006</v>
      </c>
      <c r="I16" s="273">
        <v>1</v>
      </c>
      <c r="J16" s="272">
        <f t="shared" si="0"/>
        <v>1006</v>
      </c>
      <c r="K16" s="266"/>
    </row>
    <row r="17" spans="1:11" s="267" customFormat="1" ht="15" customHeight="1">
      <c r="A17" s="262"/>
      <c r="B17" s="263"/>
      <c r="C17" s="270">
        <f t="shared" si="1"/>
        <v>7</v>
      </c>
      <c r="D17" s="532" t="s">
        <v>286</v>
      </c>
      <c r="E17" s="532"/>
      <c r="F17" s="271" t="s">
        <v>280</v>
      </c>
      <c r="G17" s="271">
        <v>98817</v>
      </c>
      <c r="H17" s="273">
        <v>7225</v>
      </c>
      <c r="I17" s="273">
        <v>1</v>
      </c>
      <c r="J17" s="272">
        <f t="shared" si="0"/>
        <v>7225</v>
      </c>
      <c r="K17" s="266"/>
    </row>
    <row r="18" spans="1:11" s="267" customFormat="1" ht="15" customHeight="1">
      <c r="A18" s="262"/>
      <c r="B18" s="263"/>
      <c r="C18" s="270">
        <f t="shared" si="1"/>
        <v>8</v>
      </c>
      <c r="D18" s="532" t="s">
        <v>378</v>
      </c>
      <c r="E18" s="532"/>
      <c r="F18" s="271" t="s">
        <v>280</v>
      </c>
      <c r="G18" s="271">
        <v>3212</v>
      </c>
      <c r="H18" s="273">
        <v>-2061</v>
      </c>
      <c r="I18" s="273">
        <v>1</v>
      </c>
      <c r="J18" s="272">
        <f t="shared" si="0"/>
        <v>-2061</v>
      </c>
      <c r="K18" s="266"/>
    </row>
    <row r="19" spans="1:11" s="267" customFormat="1" ht="15" customHeight="1">
      <c r="A19" s="262"/>
      <c r="B19" s="263"/>
      <c r="C19" s="270">
        <f t="shared" si="1"/>
        <v>9</v>
      </c>
      <c r="D19" s="532" t="s">
        <v>288</v>
      </c>
      <c r="E19" s="532"/>
      <c r="F19" s="271" t="s">
        <v>280</v>
      </c>
      <c r="G19" s="271">
        <v>354106</v>
      </c>
      <c r="H19" s="273">
        <v>97369</v>
      </c>
      <c r="I19" s="273">
        <v>1</v>
      </c>
      <c r="J19" s="272">
        <f t="shared" si="0"/>
        <v>97369</v>
      </c>
      <c r="K19" s="266"/>
    </row>
    <row r="20" spans="1:11" s="267" customFormat="1" ht="15" customHeight="1">
      <c r="A20" s="262"/>
      <c r="B20" s="263"/>
      <c r="C20" s="270">
        <f t="shared" si="1"/>
        <v>10</v>
      </c>
      <c r="D20" s="532" t="s">
        <v>289</v>
      </c>
      <c r="E20" s="532"/>
      <c r="F20" s="271" t="s">
        <v>280</v>
      </c>
      <c r="G20" s="271" t="s">
        <v>342</v>
      </c>
      <c r="H20" s="273">
        <v>6224</v>
      </c>
      <c r="I20" s="273">
        <v>1</v>
      </c>
      <c r="J20" s="272">
        <f t="shared" si="0"/>
        <v>6224</v>
      </c>
      <c r="K20" s="266"/>
    </row>
    <row r="21" spans="1:11" s="267" customFormat="1" ht="15" customHeight="1">
      <c r="A21" s="262"/>
      <c r="B21" s="263"/>
      <c r="C21" s="270">
        <f t="shared" si="1"/>
        <v>11</v>
      </c>
      <c r="D21" s="532" t="s">
        <v>281</v>
      </c>
      <c r="E21" s="532"/>
      <c r="F21" s="271" t="s">
        <v>290</v>
      </c>
      <c r="G21" s="271" t="s">
        <v>343</v>
      </c>
      <c r="H21" s="273">
        <v>132339.79</v>
      </c>
      <c r="I21" s="273">
        <v>138.93</v>
      </c>
      <c r="J21" s="272">
        <f t="shared" si="0"/>
        <v>18385967.0247</v>
      </c>
      <c r="K21" s="266"/>
    </row>
    <row r="22" spans="1:11" s="267" customFormat="1" ht="15" customHeight="1">
      <c r="A22" s="262"/>
      <c r="B22" s="263"/>
      <c r="C22" s="270">
        <f t="shared" si="1"/>
        <v>12</v>
      </c>
      <c r="D22" s="532" t="s">
        <v>291</v>
      </c>
      <c r="E22" s="532"/>
      <c r="F22" s="271" t="s">
        <v>290</v>
      </c>
      <c r="G22" s="271" t="s">
        <v>344</v>
      </c>
      <c r="H22" s="273">
        <v>97.2</v>
      </c>
      <c r="I22" s="273">
        <v>138.93</v>
      </c>
      <c r="J22" s="272">
        <f t="shared" si="0"/>
        <v>13503.996000000001</v>
      </c>
      <c r="K22" s="266"/>
    </row>
    <row r="23" spans="1:11" s="267" customFormat="1" ht="15" customHeight="1">
      <c r="A23" s="262"/>
      <c r="B23" s="263"/>
      <c r="C23" s="270">
        <f t="shared" si="1"/>
        <v>13</v>
      </c>
      <c r="D23" s="532" t="s">
        <v>292</v>
      </c>
      <c r="E23" s="532"/>
      <c r="F23" s="271" t="s">
        <v>290</v>
      </c>
      <c r="G23" s="271" t="s">
        <v>345</v>
      </c>
      <c r="H23" s="273">
        <v>77.64</v>
      </c>
      <c r="I23" s="273">
        <v>138.93</v>
      </c>
      <c r="J23" s="272">
        <f t="shared" si="0"/>
        <v>10786.5252</v>
      </c>
      <c r="K23" s="266"/>
    </row>
    <row r="24" spans="1:11" s="267" customFormat="1" ht="15" customHeight="1">
      <c r="A24" s="262"/>
      <c r="B24" s="263"/>
      <c r="C24" s="270">
        <f t="shared" si="1"/>
        <v>14</v>
      </c>
      <c r="D24" s="532" t="s">
        <v>287</v>
      </c>
      <c r="E24" s="532"/>
      <c r="F24" s="271" t="s">
        <v>290</v>
      </c>
      <c r="G24" s="271">
        <v>3212</v>
      </c>
      <c r="H24" s="273">
        <v>29.05</v>
      </c>
      <c r="I24" s="273">
        <v>138.93</v>
      </c>
      <c r="J24" s="272">
        <f t="shared" si="0"/>
        <v>4035.9165000000003</v>
      </c>
      <c r="K24" s="266"/>
    </row>
    <row r="25" spans="1:11" s="267" customFormat="1" ht="15" customHeight="1">
      <c r="A25" s="262"/>
      <c r="B25" s="263"/>
      <c r="C25" s="270">
        <f t="shared" si="1"/>
        <v>15</v>
      </c>
      <c r="D25" s="535" t="s">
        <v>286</v>
      </c>
      <c r="E25" s="536"/>
      <c r="F25" s="271" t="s">
        <v>290</v>
      </c>
      <c r="G25" s="271">
        <v>133627</v>
      </c>
      <c r="H25" s="273">
        <v>94.03</v>
      </c>
      <c r="I25" s="273">
        <v>138.93</v>
      </c>
      <c r="J25" s="272">
        <f t="shared" si="0"/>
        <v>13063.5879</v>
      </c>
      <c r="K25" s="266"/>
    </row>
    <row r="26" spans="1:11" s="267" customFormat="1" ht="15" customHeight="1">
      <c r="A26" s="262"/>
      <c r="B26" s="263"/>
      <c r="C26" s="270">
        <f t="shared" si="1"/>
        <v>16</v>
      </c>
      <c r="D26" s="535" t="s">
        <v>357</v>
      </c>
      <c r="E26" s="536"/>
      <c r="F26" s="271" t="s">
        <v>290</v>
      </c>
      <c r="G26" s="274" t="s">
        <v>361</v>
      </c>
      <c r="H26" s="273">
        <v>0.72</v>
      </c>
      <c r="I26" s="273">
        <v>138.93</v>
      </c>
      <c r="J26" s="272">
        <f t="shared" si="0"/>
        <v>100.0296</v>
      </c>
      <c r="K26" s="266"/>
    </row>
    <row r="27" spans="1:11" s="267" customFormat="1" ht="15" customHeight="1">
      <c r="A27" s="262"/>
      <c r="B27" s="263"/>
      <c r="C27" s="270">
        <f t="shared" si="1"/>
        <v>17</v>
      </c>
      <c r="D27" s="535" t="s">
        <v>358</v>
      </c>
      <c r="E27" s="536"/>
      <c r="F27" s="271" t="s">
        <v>290</v>
      </c>
      <c r="G27" s="274" t="s">
        <v>362</v>
      </c>
      <c r="H27" s="273">
        <v>0</v>
      </c>
      <c r="I27" s="273">
        <v>138.93</v>
      </c>
      <c r="J27" s="272">
        <f t="shared" si="0"/>
        <v>0</v>
      </c>
      <c r="K27" s="266"/>
    </row>
    <row r="28" spans="1:11" s="267" customFormat="1" ht="15" customHeight="1">
      <c r="A28" s="262"/>
      <c r="B28" s="263"/>
      <c r="C28" s="270">
        <f t="shared" si="1"/>
        <v>18</v>
      </c>
      <c r="D28" s="535" t="s">
        <v>477</v>
      </c>
      <c r="E28" s="536"/>
      <c r="F28" s="271" t="s">
        <v>290</v>
      </c>
      <c r="G28" s="274"/>
      <c r="H28" s="273">
        <v>38</v>
      </c>
      <c r="I28" s="273">
        <v>138.93</v>
      </c>
      <c r="J28" s="272">
        <f t="shared" si="0"/>
        <v>5279.34</v>
      </c>
      <c r="K28" s="266"/>
    </row>
    <row r="29" spans="1:11" s="267" customFormat="1" ht="15" customHeight="1">
      <c r="A29" s="262"/>
      <c r="B29" s="263"/>
      <c r="C29" s="270">
        <v>19</v>
      </c>
      <c r="D29" s="532" t="s">
        <v>359</v>
      </c>
      <c r="E29" s="532"/>
      <c r="F29" s="271" t="s">
        <v>290</v>
      </c>
      <c r="G29" s="271" t="s">
        <v>360</v>
      </c>
      <c r="H29" s="273">
        <v>0</v>
      </c>
      <c r="I29" s="273">
        <v>138.93</v>
      </c>
      <c r="J29" s="272">
        <f t="shared" si="0"/>
        <v>0</v>
      </c>
      <c r="K29" s="266"/>
    </row>
    <row r="30" spans="1:11" s="267" customFormat="1" ht="15" customHeight="1">
      <c r="A30" s="262"/>
      <c r="B30" s="263"/>
      <c r="C30" s="270">
        <v>20</v>
      </c>
      <c r="D30" s="532" t="s">
        <v>355</v>
      </c>
      <c r="E30" s="532"/>
      <c r="F30" s="271" t="s">
        <v>293</v>
      </c>
      <c r="G30" s="271" t="s">
        <v>356</v>
      </c>
      <c r="H30" s="273">
        <v>108.45</v>
      </c>
      <c r="I30" s="273">
        <v>107.54</v>
      </c>
      <c r="J30" s="272">
        <f t="shared" si="0"/>
        <v>11662.713000000002</v>
      </c>
      <c r="K30" s="266"/>
    </row>
    <row r="31" spans="1:11" s="267" customFormat="1" ht="15" customHeight="1">
      <c r="A31" s="262"/>
      <c r="B31" s="263"/>
      <c r="C31" s="270">
        <v>21</v>
      </c>
      <c r="D31" s="532" t="s">
        <v>354</v>
      </c>
      <c r="E31" s="532"/>
      <c r="F31" s="271" t="s">
        <v>293</v>
      </c>
      <c r="G31" s="271">
        <v>9516</v>
      </c>
      <c r="H31" s="273">
        <v>65.72</v>
      </c>
      <c r="I31" s="273">
        <v>107.54</v>
      </c>
      <c r="J31" s="272">
        <f>+H31*I31-1</f>
        <v>7066.5288</v>
      </c>
      <c r="K31" s="266"/>
    </row>
    <row r="32" spans="1:11" s="267" customFormat="1" ht="15" customHeight="1">
      <c r="A32" s="262"/>
      <c r="B32" s="263"/>
      <c r="C32" s="270">
        <v>22</v>
      </c>
      <c r="D32" s="532" t="s">
        <v>378</v>
      </c>
      <c r="E32" s="532"/>
      <c r="F32" s="271" t="s">
        <v>293</v>
      </c>
      <c r="G32" s="271">
        <v>3212</v>
      </c>
      <c r="H32" s="355">
        <v>-6.01</v>
      </c>
      <c r="I32" s="273">
        <v>107.54</v>
      </c>
      <c r="J32" s="356">
        <f t="shared" si="0"/>
        <v>-646.3154000000001</v>
      </c>
      <c r="K32" s="266"/>
    </row>
    <row r="33" spans="1:11" s="267" customFormat="1" ht="15" customHeight="1">
      <c r="A33" s="262"/>
      <c r="B33" s="263"/>
      <c r="C33" s="270"/>
      <c r="D33" s="535"/>
      <c r="E33" s="536"/>
      <c r="F33" s="275"/>
      <c r="G33" s="537"/>
      <c r="H33" s="536"/>
      <c r="I33" s="277"/>
      <c r="J33" s="272"/>
      <c r="K33" s="266"/>
    </row>
    <row r="34" spans="1:11" s="283" customFormat="1" ht="15" customHeight="1">
      <c r="A34" s="278"/>
      <c r="B34" s="279"/>
      <c r="C34" s="280"/>
      <c r="D34" s="540" t="s">
        <v>225</v>
      </c>
      <c r="E34" s="541"/>
      <c r="F34" s="541"/>
      <c r="G34" s="541"/>
      <c r="H34" s="541"/>
      <c r="I34" s="541"/>
      <c r="J34" s="357">
        <f>SUM(J11:J33)</f>
        <v>19016538.346299995</v>
      </c>
      <c r="K34" s="282"/>
    </row>
    <row r="35" spans="1:11" s="283" customFormat="1" ht="15" customHeight="1">
      <c r="A35" s="278"/>
      <c r="B35" s="279"/>
      <c r="C35" s="279"/>
      <c r="D35" s="284"/>
      <c r="E35" s="284"/>
      <c r="F35" s="284"/>
      <c r="G35" s="284"/>
      <c r="H35" s="284"/>
      <c r="I35" s="284"/>
      <c r="J35" s="364"/>
      <c r="K35" s="282"/>
    </row>
    <row r="36" spans="1:11" ht="15" customHeight="1">
      <c r="A36" s="254">
        <v>4</v>
      </c>
      <c r="B36" s="7"/>
      <c r="C36" s="7"/>
      <c r="D36" s="19" t="s">
        <v>31</v>
      </c>
      <c r="E36" s="7"/>
      <c r="F36" s="7"/>
      <c r="G36" s="7"/>
      <c r="H36" s="19"/>
      <c r="I36" s="258"/>
      <c r="J36" s="363"/>
      <c r="K36" s="12"/>
    </row>
    <row r="37" spans="1:11" ht="15" customHeight="1">
      <c r="A37" s="254"/>
      <c r="B37" s="7"/>
      <c r="C37" s="531" t="s">
        <v>20</v>
      </c>
      <c r="D37" s="531" t="s">
        <v>226</v>
      </c>
      <c r="E37" s="531"/>
      <c r="F37" s="285" t="s">
        <v>220</v>
      </c>
      <c r="G37" s="285" t="s">
        <v>220</v>
      </c>
      <c r="H37" s="285" t="s">
        <v>220</v>
      </c>
      <c r="I37" s="286"/>
      <c r="J37" s="365"/>
      <c r="K37" s="12"/>
    </row>
    <row r="38" spans="1:11" ht="15" customHeight="1">
      <c r="A38" s="254"/>
      <c r="B38" s="7"/>
      <c r="C38" s="531"/>
      <c r="D38" s="531"/>
      <c r="E38" s="531"/>
      <c r="F38" s="285" t="s">
        <v>222</v>
      </c>
      <c r="G38" s="285" t="s">
        <v>222</v>
      </c>
      <c r="H38" s="285" t="s">
        <v>224</v>
      </c>
      <c r="I38" s="286"/>
      <c r="J38" s="365"/>
      <c r="K38" s="12"/>
    </row>
    <row r="39" spans="1:11" ht="15" customHeight="1">
      <c r="A39" s="254"/>
      <c r="B39" s="7"/>
      <c r="C39" s="270"/>
      <c r="D39" s="532" t="s">
        <v>227</v>
      </c>
      <c r="E39" s="532"/>
      <c r="F39" s="287">
        <f>+Aktive!F11</f>
        <v>27267.36</v>
      </c>
      <c r="G39" s="287">
        <v>1</v>
      </c>
      <c r="H39" s="287">
        <f>+G39*F39</f>
        <v>27267.36</v>
      </c>
      <c r="I39" s="253"/>
      <c r="J39" s="362"/>
      <c r="K39" s="12"/>
    </row>
    <row r="40" spans="1:11" ht="15" customHeight="1">
      <c r="A40" s="254"/>
      <c r="B40" s="7"/>
      <c r="C40" s="78"/>
      <c r="D40" s="532" t="s">
        <v>228</v>
      </c>
      <c r="E40" s="532"/>
      <c r="F40" s="275">
        <v>0</v>
      </c>
      <c r="G40" s="275"/>
      <c r="H40" s="275"/>
      <c r="I40" s="258"/>
      <c r="J40" s="363"/>
      <c r="K40" s="12"/>
    </row>
    <row r="41" spans="1:11" ht="15" customHeight="1">
      <c r="A41" s="254"/>
      <c r="B41" s="7"/>
      <c r="C41" s="78"/>
      <c r="D41" s="532" t="s">
        <v>229</v>
      </c>
      <c r="E41" s="532"/>
      <c r="F41" s="275">
        <v>0</v>
      </c>
      <c r="G41" s="275"/>
      <c r="H41" s="275"/>
      <c r="I41" s="258"/>
      <c r="J41" s="363"/>
      <c r="K41" s="12"/>
    </row>
    <row r="42" spans="1:11" ht="15" customHeight="1">
      <c r="A42" s="254"/>
      <c r="B42" s="7"/>
      <c r="C42" s="78"/>
      <c r="D42" s="532"/>
      <c r="E42" s="532"/>
      <c r="F42" s="275"/>
      <c r="G42" s="275"/>
      <c r="H42" s="275"/>
      <c r="I42" s="258"/>
      <c r="J42" s="363"/>
      <c r="K42" s="12"/>
    </row>
    <row r="43" spans="1:11" ht="15" customHeight="1">
      <c r="A43" s="254"/>
      <c r="B43" s="7"/>
      <c r="C43" s="79"/>
      <c r="D43" s="540" t="s">
        <v>225</v>
      </c>
      <c r="E43" s="541"/>
      <c r="F43" s="541"/>
      <c r="G43" s="543"/>
      <c r="H43" s="281">
        <f>SUM(H39:H42)</f>
        <v>27267.36</v>
      </c>
      <c r="I43" s="279"/>
      <c r="J43" s="282"/>
      <c r="K43" s="12"/>
    </row>
    <row r="44" spans="1:11" ht="15" customHeight="1">
      <c r="A44" s="288"/>
      <c r="B44" s="11"/>
      <c r="C44" s="11"/>
      <c r="D44" s="11"/>
      <c r="E44" s="11"/>
      <c r="F44" s="11"/>
      <c r="G44" s="11"/>
      <c r="H44" s="10"/>
      <c r="I44" s="289"/>
      <c r="J44" s="366"/>
      <c r="K44" s="290"/>
    </row>
    <row r="45" spans="1:11" ht="15" customHeight="1">
      <c r="A45" s="243">
        <v>5</v>
      </c>
      <c r="B45" s="15"/>
      <c r="C45" s="291">
        <v>2</v>
      </c>
      <c r="D45" s="292" t="s">
        <v>32</v>
      </c>
      <c r="E45" s="293"/>
      <c r="F45" s="15"/>
      <c r="G45" s="15"/>
      <c r="H45" s="14"/>
      <c r="I45" s="244"/>
      <c r="J45" s="360"/>
      <c r="K45" s="245"/>
    </row>
    <row r="46" spans="1:11" ht="15" customHeight="1">
      <c r="A46" s="254"/>
      <c r="B46" s="7"/>
      <c r="C46" s="7"/>
      <c r="D46" s="7"/>
      <c r="E46" s="7" t="s">
        <v>230</v>
      </c>
      <c r="F46" s="7"/>
      <c r="G46" s="7"/>
      <c r="H46" s="19"/>
      <c r="I46" s="258"/>
      <c r="J46" s="363"/>
      <c r="K46" s="12"/>
    </row>
    <row r="47" spans="1:11" ht="15" customHeight="1">
      <c r="A47" s="254"/>
      <c r="B47" s="7"/>
      <c r="C47" s="7"/>
      <c r="D47" s="7"/>
      <c r="E47" s="7"/>
      <c r="F47" s="7"/>
      <c r="G47" s="7"/>
      <c r="H47" s="19"/>
      <c r="I47" s="258"/>
      <c r="J47" s="363"/>
      <c r="K47" s="12"/>
    </row>
    <row r="48" spans="1:11" ht="15" customHeight="1">
      <c r="A48" s="254">
        <v>7</v>
      </c>
      <c r="B48" s="7"/>
      <c r="C48" s="247">
        <v>3</v>
      </c>
      <c r="D48" s="259" t="s">
        <v>33</v>
      </c>
      <c r="E48" s="260"/>
      <c r="F48" s="7"/>
      <c r="G48" s="7"/>
      <c r="H48" s="19"/>
      <c r="I48" s="258"/>
      <c r="J48" s="363"/>
      <c r="K48" s="12"/>
    </row>
    <row r="49" spans="1:11" ht="15" customHeight="1">
      <c r="A49" s="254"/>
      <c r="B49" s="7"/>
      <c r="C49" s="294"/>
      <c r="D49" s="295"/>
      <c r="E49" s="260"/>
      <c r="F49" s="7"/>
      <c r="G49" s="7"/>
      <c r="H49" s="19"/>
      <c r="I49" s="258"/>
      <c r="J49" s="363"/>
      <c r="K49" s="12"/>
    </row>
    <row r="50" spans="1:11" ht="15" customHeight="1">
      <c r="A50" s="254">
        <v>8</v>
      </c>
      <c r="B50" s="7"/>
      <c r="C50" s="294" t="s">
        <v>29</v>
      </c>
      <c r="D50" s="296" t="s">
        <v>231</v>
      </c>
      <c r="E50" s="7"/>
      <c r="F50" s="7"/>
      <c r="G50" s="7"/>
      <c r="H50" s="19"/>
      <c r="I50" s="258"/>
      <c r="J50" s="363"/>
      <c r="K50" s="12"/>
    </row>
    <row r="51" spans="1:11" ht="15" customHeight="1">
      <c r="A51" s="254"/>
      <c r="B51" s="7"/>
      <c r="C51" s="7"/>
      <c r="D51" s="539" t="s">
        <v>232</v>
      </c>
      <c r="E51" s="539"/>
      <c r="F51" s="19" t="s">
        <v>20</v>
      </c>
      <c r="G51" s="19">
        <v>92</v>
      </c>
      <c r="H51" s="286" t="s">
        <v>14</v>
      </c>
      <c r="I51" s="533">
        <v>19705242</v>
      </c>
      <c r="J51" s="534"/>
      <c r="K51" s="12"/>
    </row>
    <row r="52" spans="1:11" ht="15" customHeight="1">
      <c r="A52" s="254"/>
      <c r="B52" s="7"/>
      <c r="C52" s="7"/>
      <c r="D52" s="539" t="s">
        <v>233</v>
      </c>
      <c r="E52" s="539"/>
      <c r="F52" s="19" t="s">
        <v>20</v>
      </c>
      <c r="G52" s="17"/>
      <c r="H52" s="286" t="s">
        <v>14</v>
      </c>
      <c r="I52" s="300"/>
      <c r="J52" s="367"/>
      <c r="K52" s="12"/>
    </row>
    <row r="53" spans="1:11" ht="15" customHeight="1">
      <c r="A53" s="254"/>
      <c r="B53" s="7"/>
      <c r="C53" s="7"/>
      <c r="D53" s="7" t="s">
        <v>234</v>
      </c>
      <c r="E53" s="7"/>
      <c r="F53" s="19" t="s">
        <v>20</v>
      </c>
      <c r="G53" s="17"/>
      <c r="H53" s="286" t="s">
        <v>14</v>
      </c>
      <c r="I53" s="533">
        <v>12972974</v>
      </c>
      <c r="J53" s="534"/>
      <c r="K53" s="12"/>
    </row>
    <row r="54" spans="1:11" ht="15" customHeight="1">
      <c r="A54" s="254"/>
      <c r="B54" s="7"/>
      <c r="C54" s="7"/>
      <c r="D54" s="7" t="s">
        <v>235</v>
      </c>
      <c r="E54" s="7"/>
      <c r="F54" s="19" t="s">
        <v>20</v>
      </c>
      <c r="G54" s="17">
        <v>15</v>
      </c>
      <c r="H54" s="286" t="s">
        <v>14</v>
      </c>
      <c r="I54" s="300"/>
      <c r="J54" s="367">
        <v>4416784</v>
      </c>
      <c r="K54" s="12"/>
    </row>
    <row r="55" spans="1:11" ht="15" customHeight="1">
      <c r="A55" s="254"/>
      <c r="B55" s="7"/>
      <c r="C55" s="7"/>
      <c r="D55" s="7" t="s">
        <v>236</v>
      </c>
      <c r="E55" s="7"/>
      <c r="F55" s="19" t="s">
        <v>20</v>
      </c>
      <c r="G55" s="17"/>
      <c r="H55" s="286" t="s">
        <v>14</v>
      </c>
      <c r="I55" s="300"/>
      <c r="J55" s="367"/>
      <c r="K55" s="12"/>
    </row>
    <row r="56" spans="1:11" ht="15" customHeight="1">
      <c r="A56" s="254"/>
      <c r="B56" s="7"/>
      <c r="C56" s="7"/>
      <c r="D56" s="7" t="s">
        <v>237</v>
      </c>
      <c r="E56" s="7"/>
      <c r="F56" s="19" t="s">
        <v>20</v>
      </c>
      <c r="G56" s="17">
        <v>8</v>
      </c>
      <c r="H56" s="286" t="s">
        <v>14</v>
      </c>
      <c r="I56" s="533">
        <v>2315484</v>
      </c>
      <c r="J56" s="534"/>
      <c r="K56" s="12"/>
    </row>
    <row r="57" spans="1:11" ht="15" customHeight="1">
      <c r="A57" s="254"/>
      <c r="B57" s="7"/>
      <c r="C57" s="7"/>
      <c r="D57" s="542" t="s">
        <v>238</v>
      </c>
      <c r="E57" s="542"/>
      <c r="F57" s="19" t="s">
        <v>20</v>
      </c>
      <c r="G57" s="17"/>
      <c r="H57" s="286" t="s">
        <v>14</v>
      </c>
      <c r="I57" s="300"/>
      <c r="J57" s="367"/>
      <c r="K57" s="12"/>
    </row>
    <row r="58" spans="1:11" ht="15" customHeight="1">
      <c r="A58" s="254"/>
      <c r="B58" s="7"/>
      <c r="C58" s="7"/>
      <c r="D58" s="263" t="s">
        <v>239</v>
      </c>
      <c r="E58" s="7"/>
      <c r="F58" s="19" t="s">
        <v>20</v>
      </c>
      <c r="G58" s="17"/>
      <c r="H58" s="286" t="s">
        <v>14</v>
      </c>
      <c r="I58" s="300"/>
      <c r="J58" s="367"/>
      <c r="K58" s="12"/>
    </row>
    <row r="59" spans="1:11" ht="15" customHeight="1">
      <c r="A59" s="254"/>
      <c r="B59" s="7"/>
      <c r="C59" s="7"/>
      <c r="D59" s="263" t="s">
        <v>240</v>
      </c>
      <c r="E59" s="7"/>
      <c r="F59" s="19" t="s">
        <v>20</v>
      </c>
      <c r="G59" s="10"/>
      <c r="H59" s="286" t="s">
        <v>14</v>
      </c>
      <c r="I59" s="289"/>
      <c r="J59" s="366"/>
      <c r="K59" s="12"/>
    </row>
    <row r="60" spans="1:11" ht="15" customHeight="1">
      <c r="A60" s="254"/>
      <c r="B60" s="7"/>
      <c r="C60" s="7"/>
      <c r="D60" s="7"/>
      <c r="E60" s="7"/>
      <c r="F60" s="7"/>
      <c r="G60" s="7"/>
      <c r="H60" s="19"/>
      <c r="I60" s="258"/>
      <c r="J60" s="363"/>
      <c r="K60" s="12"/>
    </row>
    <row r="61" spans="1:11" ht="15" customHeight="1">
      <c r="A61" s="254">
        <v>9</v>
      </c>
      <c r="B61" s="7"/>
      <c r="C61" s="294" t="s">
        <v>29</v>
      </c>
      <c r="D61" s="296" t="s">
        <v>35</v>
      </c>
      <c r="E61" s="7"/>
      <c r="F61" s="7"/>
      <c r="G61" s="7"/>
      <c r="H61" s="19"/>
      <c r="I61" s="258"/>
      <c r="J61" s="363"/>
      <c r="K61" s="12"/>
    </row>
    <row r="62" spans="1:11" ht="15" customHeight="1">
      <c r="A62" s="254"/>
      <c r="B62" s="7"/>
      <c r="C62" s="294"/>
      <c r="D62" s="296"/>
      <c r="E62" s="7"/>
      <c r="F62" s="7"/>
      <c r="G62" s="7"/>
      <c r="H62" s="19"/>
      <c r="I62" s="258"/>
      <c r="J62" s="363"/>
      <c r="K62" s="12"/>
    </row>
    <row r="63" spans="1:11" ht="15" customHeight="1">
      <c r="A63" s="254"/>
      <c r="B63" s="7"/>
      <c r="C63" s="294"/>
      <c r="D63" s="260" t="s">
        <v>389</v>
      </c>
      <c r="E63" s="7"/>
      <c r="F63" s="7"/>
      <c r="G63" s="286" t="s">
        <v>14</v>
      </c>
      <c r="H63" s="301">
        <v>43240</v>
      </c>
      <c r="I63" s="258"/>
      <c r="J63" s="363"/>
      <c r="K63" s="12"/>
    </row>
    <row r="64" spans="1:11" ht="15" customHeight="1">
      <c r="A64" s="254"/>
      <c r="B64" s="7"/>
      <c r="C64" s="7"/>
      <c r="D64" s="7"/>
      <c r="E64" s="7"/>
      <c r="F64" s="7"/>
      <c r="G64" s="7"/>
      <c r="H64" s="302"/>
      <c r="I64" s="258"/>
      <c r="J64" s="363"/>
      <c r="K64" s="12"/>
    </row>
    <row r="65" spans="1:11" ht="15" customHeight="1">
      <c r="A65" s="254">
        <v>10</v>
      </c>
      <c r="B65" s="7"/>
      <c r="C65" s="294" t="s">
        <v>29</v>
      </c>
      <c r="D65" s="296" t="s">
        <v>36</v>
      </c>
      <c r="E65" s="7"/>
      <c r="F65" s="486"/>
      <c r="G65" s="486"/>
      <c r="H65" s="302"/>
      <c r="I65" s="258"/>
      <c r="J65" s="363"/>
      <c r="K65" s="12"/>
    </row>
    <row r="66" spans="1:11" ht="15" customHeight="1">
      <c r="A66" s="254"/>
      <c r="B66" s="7"/>
      <c r="C66" s="7"/>
      <c r="D66" s="7" t="s">
        <v>241</v>
      </c>
      <c r="E66" s="7"/>
      <c r="F66" s="7"/>
      <c r="G66" s="286" t="s">
        <v>14</v>
      </c>
      <c r="H66" s="303">
        <f>+H68+H67+H69</f>
        <v>2768890</v>
      </c>
      <c r="I66" s="258"/>
      <c r="J66" s="363"/>
      <c r="K66" s="12"/>
    </row>
    <row r="67" spans="1:11" ht="15" customHeight="1">
      <c r="A67" s="254"/>
      <c r="B67" s="7"/>
      <c r="C67" s="7"/>
      <c r="D67" s="7" t="s">
        <v>294</v>
      </c>
      <c r="E67" s="7"/>
      <c r="F67" s="7"/>
      <c r="G67" s="286" t="s">
        <v>14</v>
      </c>
      <c r="H67" s="304">
        <v>339830</v>
      </c>
      <c r="I67" s="286"/>
      <c r="J67" s="368"/>
      <c r="K67" s="12"/>
    </row>
    <row r="68" spans="1:11" ht="15" customHeight="1">
      <c r="A68" s="254"/>
      <c r="B68" s="7"/>
      <c r="C68" s="7"/>
      <c r="D68" s="7" t="s">
        <v>478</v>
      </c>
      <c r="E68" s="7"/>
      <c r="F68" s="7"/>
      <c r="G68" s="286" t="s">
        <v>14</v>
      </c>
      <c r="H68" s="305">
        <f>874856+807573</f>
        <v>1682429</v>
      </c>
      <c r="I68" s="286"/>
      <c r="J68" s="368"/>
      <c r="K68" s="12"/>
    </row>
    <row r="69" spans="1:11" ht="15" customHeight="1">
      <c r="A69" s="254"/>
      <c r="B69" s="7"/>
      <c r="C69" s="7"/>
      <c r="D69" s="7" t="s">
        <v>479</v>
      </c>
      <c r="E69" s="7"/>
      <c r="F69" s="7"/>
      <c r="G69" s="286" t="s">
        <v>14</v>
      </c>
      <c r="H69" s="304">
        <v>746631</v>
      </c>
      <c r="I69" s="286"/>
      <c r="J69" s="368"/>
      <c r="K69" s="12"/>
    </row>
    <row r="70" spans="1:11" ht="15" customHeight="1">
      <c r="A70" s="254">
        <v>11</v>
      </c>
      <c r="B70" s="7"/>
      <c r="C70" s="294" t="s">
        <v>29</v>
      </c>
      <c r="D70" s="296" t="s">
        <v>37</v>
      </c>
      <c r="E70" s="7"/>
      <c r="F70" s="7"/>
      <c r="G70" s="7"/>
      <c r="H70" s="19"/>
      <c r="I70" s="258"/>
      <c r="J70" s="363"/>
      <c r="K70" s="12"/>
    </row>
    <row r="71" spans="1:11" ht="15" customHeight="1">
      <c r="A71" s="254"/>
      <c r="B71" s="7"/>
      <c r="C71" s="7"/>
      <c r="D71" s="7" t="s">
        <v>242</v>
      </c>
      <c r="E71" s="7"/>
      <c r="F71" s="7"/>
      <c r="G71" s="286" t="s">
        <v>14</v>
      </c>
      <c r="H71" s="289">
        <v>180565</v>
      </c>
      <c r="I71" s="7"/>
      <c r="J71" s="12"/>
      <c r="K71" s="12"/>
    </row>
    <row r="72" spans="1:11" ht="15" customHeight="1">
      <c r="A72" s="254"/>
      <c r="B72" s="7"/>
      <c r="C72" s="7"/>
      <c r="D72" s="7" t="s">
        <v>243</v>
      </c>
      <c r="E72" s="7"/>
      <c r="F72" s="7"/>
      <c r="G72" s="286" t="s">
        <v>14</v>
      </c>
      <c r="H72" s="300">
        <f>29706137+21716005</f>
        <v>51422142</v>
      </c>
      <c r="I72" s="7"/>
      <c r="J72" s="12"/>
      <c r="K72" s="12"/>
    </row>
    <row r="73" spans="1:11" ht="15" customHeight="1">
      <c r="A73" s="254"/>
      <c r="B73" s="7"/>
      <c r="C73" s="7"/>
      <c r="D73" s="297" t="s">
        <v>244</v>
      </c>
      <c r="E73" s="7"/>
      <c r="F73" s="7"/>
      <c r="G73" s="286" t="s">
        <v>14</v>
      </c>
      <c r="H73" s="300">
        <v>35657699</v>
      </c>
      <c r="I73" s="7"/>
      <c r="J73" s="12"/>
      <c r="K73" s="12"/>
    </row>
    <row r="74" spans="1:11" ht="15" customHeight="1">
      <c r="A74" s="254"/>
      <c r="B74" s="7"/>
      <c r="C74" s="7"/>
      <c r="D74" s="297" t="s">
        <v>480</v>
      </c>
      <c r="E74" s="7"/>
      <c r="F74" s="7"/>
      <c r="G74" s="286" t="s">
        <v>14</v>
      </c>
      <c r="H74" s="300">
        <v>777295</v>
      </c>
      <c r="I74" s="7"/>
      <c r="J74" s="12"/>
      <c r="K74" s="12"/>
    </row>
    <row r="75" spans="1:11" ht="15" customHeight="1">
      <c r="A75" s="254"/>
      <c r="B75" s="7"/>
      <c r="C75" s="7"/>
      <c r="D75" s="7" t="s">
        <v>245</v>
      </c>
      <c r="E75" s="7"/>
      <c r="F75" s="7"/>
      <c r="G75" s="286" t="s">
        <v>14</v>
      </c>
      <c r="H75" s="300">
        <f>+H71+H72-H73</f>
        <v>15945008</v>
      </c>
      <c r="I75" s="7"/>
      <c r="J75" s="12"/>
      <c r="K75" s="12"/>
    </row>
    <row r="76" spans="1:11" ht="15" customHeight="1">
      <c r="A76" s="254"/>
      <c r="B76" s="7"/>
      <c r="C76" s="7"/>
      <c r="D76" s="306"/>
      <c r="E76" s="306"/>
      <c r="F76" s="306"/>
      <c r="G76" s="306"/>
      <c r="H76" s="307"/>
      <c r="I76" s="286"/>
      <c r="J76" s="369"/>
      <c r="K76" s="12"/>
    </row>
    <row r="77" spans="1:11" ht="15" customHeight="1">
      <c r="A77" s="308">
        <v>12</v>
      </c>
      <c r="B77" s="309"/>
      <c r="C77" s="294" t="s">
        <v>29</v>
      </c>
      <c r="D77" s="296" t="s">
        <v>38</v>
      </c>
      <c r="E77" s="256"/>
      <c r="F77" s="257"/>
      <c r="G77" s="286" t="s">
        <v>246</v>
      </c>
      <c r="H77" s="19"/>
      <c r="I77" s="286"/>
      <c r="J77" s="363"/>
      <c r="K77" s="12"/>
    </row>
    <row r="78" spans="1:11" ht="15" customHeight="1">
      <c r="A78" s="254"/>
      <c r="B78" s="7"/>
      <c r="C78" s="294" t="s">
        <v>29</v>
      </c>
      <c r="D78" s="296"/>
      <c r="E78" s="261"/>
      <c r="F78" s="261"/>
      <c r="G78" s="261"/>
      <c r="H78" s="19"/>
      <c r="I78" s="286"/>
      <c r="J78" s="362"/>
      <c r="K78" s="12"/>
    </row>
    <row r="79" spans="1:11" ht="15" customHeight="1">
      <c r="A79" s="254">
        <v>13</v>
      </c>
      <c r="B79" s="7"/>
      <c r="C79" s="294" t="s">
        <v>29</v>
      </c>
      <c r="D79" s="296" t="s">
        <v>43</v>
      </c>
      <c r="E79" s="260"/>
      <c r="F79" s="260"/>
      <c r="G79" s="286"/>
      <c r="H79" s="298">
        <v>1304452</v>
      </c>
      <c r="I79" s="258"/>
      <c r="J79" s="363"/>
      <c r="K79" s="12"/>
    </row>
    <row r="80" spans="1:11" ht="15" customHeight="1">
      <c r="A80" s="254"/>
      <c r="B80" s="7"/>
      <c r="C80" s="7"/>
      <c r="D80" s="310"/>
      <c r="E80" s="310"/>
      <c r="F80" s="261"/>
      <c r="G80" s="286"/>
      <c r="H80" s="253"/>
      <c r="I80" s="258"/>
      <c r="J80" s="363"/>
      <c r="K80" s="12"/>
    </row>
    <row r="81" spans="1:11" ht="15" customHeight="1">
      <c r="A81" s="254">
        <v>15</v>
      </c>
      <c r="B81" s="7"/>
      <c r="C81" s="255">
        <v>4</v>
      </c>
      <c r="D81" s="311" t="s">
        <v>39</v>
      </c>
      <c r="E81" s="310"/>
      <c r="F81" s="261"/>
      <c r="G81" s="286"/>
      <c r="H81" s="258"/>
      <c r="I81" s="258"/>
      <c r="J81" s="363"/>
      <c r="K81" s="12"/>
    </row>
    <row r="82" spans="1:11" ht="8.25" customHeight="1">
      <c r="A82" s="254"/>
      <c r="B82" s="7"/>
      <c r="C82" s="7"/>
      <c r="D82" s="310"/>
      <c r="E82" s="310"/>
      <c r="F82" s="261"/>
      <c r="G82" s="286"/>
      <c r="H82" s="258"/>
      <c r="I82" s="258"/>
      <c r="J82" s="363"/>
      <c r="K82" s="12"/>
    </row>
    <row r="83" spans="1:11" ht="15" customHeight="1">
      <c r="A83" s="254">
        <v>16</v>
      </c>
      <c r="B83" s="7"/>
      <c r="C83" s="7" t="s">
        <v>29</v>
      </c>
      <c r="D83" s="312" t="s">
        <v>40</v>
      </c>
      <c r="E83" s="310"/>
      <c r="F83" s="261"/>
      <c r="G83" s="286" t="s">
        <v>14</v>
      </c>
      <c r="H83" s="298">
        <v>27160372</v>
      </c>
      <c r="I83" s="258"/>
      <c r="J83" s="370"/>
      <c r="K83" s="249"/>
    </row>
    <row r="84" spans="1:11" ht="15" customHeight="1">
      <c r="A84" s="254"/>
      <c r="B84" s="7"/>
      <c r="C84" s="7"/>
      <c r="D84" s="313"/>
      <c r="E84" s="310"/>
      <c r="F84" s="261"/>
      <c r="G84" s="258"/>
      <c r="H84" s="258"/>
      <c r="I84" s="258"/>
      <c r="J84" s="370"/>
      <c r="K84" s="249"/>
    </row>
    <row r="85" spans="1:11" ht="15" customHeight="1">
      <c r="A85" s="254">
        <v>17</v>
      </c>
      <c r="B85" s="260"/>
      <c r="C85" s="7" t="s">
        <v>29</v>
      </c>
      <c r="D85" s="312" t="s">
        <v>41</v>
      </c>
      <c r="E85" s="279"/>
      <c r="F85" s="279"/>
      <c r="G85" s="286" t="s">
        <v>14</v>
      </c>
      <c r="H85" s="298">
        <v>535220</v>
      </c>
      <c r="I85" s="258"/>
      <c r="J85" s="370"/>
      <c r="K85" s="249"/>
    </row>
    <row r="86" spans="1:11" ht="15" customHeight="1">
      <c r="A86" s="254"/>
      <c r="B86" s="7"/>
      <c r="C86" s="7"/>
      <c r="D86" s="313"/>
      <c r="E86" s="7"/>
      <c r="F86" s="7"/>
      <c r="G86" s="286"/>
      <c r="H86" s="258"/>
      <c r="I86" s="258"/>
      <c r="J86" s="370"/>
      <c r="K86" s="249"/>
    </row>
    <row r="87" spans="1:11" ht="15" customHeight="1">
      <c r="A87" s="308">
        <v>18</v>
      </c>
      <c r="B87" s="7"/>
      <c r="C87" s="260" t="s">
        <v>29</v>
      </c>
      <c r="D87" s="314" t="s">
        <v>42</v>
      </c>
      <c r="E87" s="7"/>
      <c r="F87" s="7"/>
      <c r="G87" s="286" t="s">
        <v>246</v>
      </c>
      <c r="H87" s="258"/>
      <c r="I87" s="258"/>
      <c r="J87" s="363"/>
      <c r="K87" s="12"/>
    </row>
    <row r="88" spans="1:11" ht="15" customHeight="1">
      <c r="A88" s="254"/>
      <c r="B88" s="7"/>
      <c r="C88" s="7"/>
      <c r="D88" s="313"/>
      <c r="E88" s="260"/>
      <c r="F88" s="260"/>
      <c r="G88" s="286"/>
      <c r="H88" s="286"/>
      <c r="I88" s="258"/>
      <c r="J88" s="363"/>
      <c r="K88" s="12"/>
    </row>
    <row r="89" spans="1:11" ht="15" customHeight="1">
      <c r="A89" s="288">
        <v>19</v>
      </c>
      <c r="B89" s="11"/>
      <c r="C89" s="11" t="s">
        <v>29</v>
      </c>
      <c r="D89" s="315" t="s">
        <v>367</v>
      </c>
      <c r="E89" s="316"/>
      <c r="F89" s="316"/>
      <c r="G89" s="298" t="s">
        <v>14</v>
      </c>
      <c r="H89" s="298">
        <v>12461469</v>
      </c>
      <c r="I89" s="289"/>
      <c r="J89" s="366"/>
      <c r="K89" s="290"/>
    </row>
    <row r="90" spans="1:11" ht="15" customHeight="1">
      <c r="A90" s="243"/>
      <c r="B90" s="15"/>
      <c r="C90" s="15"/>
      <c r="D90" s="317"/>
      <c r="E90" s="318"/>
      <c r="F90" s="318"/>
      <c r="G90" s="319"/>
      <c r="H90" s="320"/>
      <c r="I90" s="244"/>
      <c r="J90" s="360"/>
      <c r="K90" s="245"/>
    </row>
    <row r="91" spans="1:11" ht="15" customHeight="1">
      <c r="A91" s="254">
        <v>20</v>
      </c>
      <c r="B91" s="7"/>
      <c r="C91" s="7" t="s">
        <v>29</v>
      </c>
      <c r="D91" s="321" t="s">
        <v>385</v>
      </c>
      <c r="E91" s="310"/>
      <c r="F91" s="310"/>
      <c r="G91" s="286" t="s">
        <v>14</v>
      </c>
      <c r="H91" s="289">
        <v>5695300</v>
      </c>
      <c r="I91" s="258"/>
      <c r="J91" s="363"/>
      <c r="K91" s="12"/>
    </row>
    <row r="92" spans="1:11" ht="15" customHeight="1">
      <c r="A92" s="254"/>
      <c r="B92" s="7"/>
      <c r="C92" s="7"/>
      <c r="D92" s="313"/>
      <c r="E92" s="310"/>
      <c r="F92" s="310"/>
      <c r="G92" s="286"/>
      <c r="H92" s="258"/>
      <c r="I92" s="258"/>
      <c r="J92" s="363"/>
      <c r="K92" s="12"/>
    </row>
    <row r="93" spans="1:11" ht="15" customHeight="1">
      <c r="A93" s="254">
        <v>21</v>
      </c>
      <c r="B93" s="7"/>
      <c r="C93" s="260" t="s">
        <v>29</v>
      </c>
      <c r="D93" s="296" t="s">
        <v>43</v>
      </c>
      <c r="E93" s="310"/>
      <c r="F93" s="310"/>
      <c r="G93" s="286" t="s">
        <v>246</v>
      </c>
      <c r="H93" s="258"/>
      <c r="I93" s="258"/>
      <c r="J93" s="363"/>
      <c r="K93" s="12"/>
    </row>
    <row r="94" spans="1:11" ht="15" customHeight="1">
      <c r="A94" s="254"/>
      <c r="B94" s="7"/>
      <c r="C94" s="7"/>
      <c r="D94" s="313"/>
      <c r="E94" s="279"/>
      <c r="F94" s="279"/>
      <c r="G94" s="286"/>
      <c r="H94" s="322"/>
      <c r="I94" s="258"/>
      <c r="J94" s="363"/>
      <c r="K94" s="12"/>
    </row>
    <row r="95" spans="1:11" ht="15" customHeight="1">
      <c r="A95" s="254">
        <v>22</v>
      </c>
      <c r="B95" s="7"/>
      <c r="C95" s="260" t="s">
        <v>29</v>
      </c>
      <c r="D95" s="296"/>
      <c r="E95" s="7"/>
      <c r="F95" s="7"/>
      <c r="G95" s="286" t="s">
        <v>246</v>
      </c>
      <c r="H95" s="258"/>
      <c r="I95" s="258"/>
      <c r="J95" s="363"/>
      <c r="K95" s="12"/>
    </row>
    <row r="96" spans="1:11" ht="15" customHeight="1">
      <c r="A96" s="254"/>
      <c r="B96" s="7"/>
      <c r="C96" s="294"/>
      <c r="D96" s="295"/>
      <c r="E96" s="260"/>
      <c r="F96" s="7"/>
      <c r="G96" s="286"/>
      <c r="H96" s="258"/>
      <c r="I96" s="258"/>
      <c r="J96" s="363"/>
      <c r="K96" s="12"/>
    </row>
    <row r="97" spans="1:11" ht="15" customHeight="1">
      <c r="A97" s="254">
        <v>23</v>
      </c>
      <c r="B97" s="7"/>
      <c r="C97" s="255">
        <v>5</v>
      </c>
      <c r="D97" s="311" t="s">
        <v>44</v>
      </c>
      <c r="E97" s="260"/>
      <c r="F97" s="7"/>
      <c r="G97" s="286" t="s">
        <v>246</v>
      </c>
      <c r="H97" s="258"/>
      <c r="I97" s="258"/>
      <c r="J97" s="363"/>
      <c r="K97" s="12"/>
    </row>
    <row r="98" spans="1:11" ht="15" customHeight="1">
      <c r="A98" s="254"/>
      <c r="B98" s="7"/>
      <c r="C98" s="7"/>
      <c r="D98" s="7"/>
      <c r="E98" s="7"/>
      <c r="F98" s="7"/>
      <c r="G98" s="286"/>
      <c r="H98" s="258"/>
      <c r="I98" s="258"/>
      <c r="J98" s="363"/>
      <c r="K98" s="12"/>
    </row>
    <row r="99" spans="1:11" ht="15" customHeight="1">
      <c r="A99" s="254">
        <v>24</v>
      </c>
      <c r="B99" s="7"/>
      <c r="C99" s="255">
        <v>6</v>
      </c>
      <c r="D99" s="311" t="s">
        <v>45</v>
      </c>
      <c r="E99" s="260"/>
      <c r="F99" s="7"/>
      <c r="G99" s="286" t="s">
        <v>246</v>
      </c>
      <c r="H99" s="19"/>
      <c r="I99" s="258"/>
      <c r="J99" s="363"/>
      <c r="K99" s="12"/>
    </row>
    <row r="100" spans="1:11" ht="15" customHeight="1">
      <c r="A100" s="254"/>
      <c r="B100" s="7"/>
      <c r="C100" s="7"/>
      <c r="D100" s="7"/>
      <c r="E100" s="7"/>
      <c r="F100" s="7"/>
      <c r="G100" s="286"/>
      <c r="H100" s="19"/>
      <c r="I100" s="258"/>
      <c r="J100" s="363"/>
      <c r="K100" s="12"/>
    </row>
    <row r="101" spans="1:11" ht="15" customHeight="1">
      <c r="A101" s="254">
        <v>25</v>
      </c>
      <c r="B101" s="7"/>
      <c r="C101" s="255">
        <v>7</v>
      </c>
      <c r="D101" s="311" t="s">
        <v>46</v>
      </c>
      <c r="E101" s="260"/>
      <c r="F101" s="7"/>
      <c r="G101" s="286" t="s">
        <v>246</v>
      </c>
      <c r="H101" s="19"/>
      <c r="I101" s="258"/>
      <c r="J101" s="363"/>
      <c r="K101" s="12"/>
    </row>
    <row r="102" spans="1:11" ht="15" customHeight="1">
      <c r="A102" s="254"/>
      <c r="B102" s="7"/>
      <c r="C102" s="7"/>
      <c r="D102" s="7"/>
      <c r="E102" s="7"/>
      <c r="F102" s="7"/>
      <c r="G102" s="286"/>
      <c r="H102" s="19"/>
      <c r="I102" s="258"/>
      <c r="J102" s="363"/>
      <c r="K102" s="12"/>
    </row>
    <row r="103" spans="1:11" ht="15" customHeight="1">
      <c r="A103" s="254">
        <v>26</v>
      </c>
      <c r="B103" s="7"/>
      <c r="C103" s="294" t="s">
        <v>29</v>
      </c>
      <c r="D103" s="260" t="s">
        <v>47</v>
      </c>
      <c r="E103" s="7"/>
      <c r="F103" s="7"/>
      <c r="G103" s="286" t="s">
        <v>246</v>
      </c>
      <c r="H103" s="19"/>
      <c r="I103" s="258"/>
      <c r="J103" s="363"/>
      <c r="K103" s="12"/>
    </row>
    <row r="104" spans="1:11" ht="15" customHeight="1">
      <c r="A104" s="254"/>
      <c r="B104" s="7"/>
      <c r="C104" s="7"/>
      <c r="D104" s="7"/>
      <c r="E104" s="7"/>
      <c r="F104" s="7"/>
      <c r="G104" s="286"/>
      <c r="H104" s="19"/>
      <c r="I104" s="258"/>
      <c r="J104" s="363"/>
      <c r="K104" s="12"/>
    </row>
    <row r="105" spans="1:11" ht="15" customHeight="1">
      <c r="A105" s="254">
        <v>27</v>
      </c>
      <c r="B105" s="7"/>
      <c r="C105" s="294" t="s">
        <v>29</v>
      </c>
      <c r="D105" s="7"/>
      <c r="E105" s="7"/>
      <c r="F105" s="7"/>
      <c r="G105" s="286" t="s">
        <v>246</v>
      </c>
      <c r="H105" s="19"/>
      <c r="I105" s="258"/>
      <c r="J105" s="363"/>
      <c r="K105" s="12"/>
    </row>
    <row r="106" spans="1:11" ht="15" customHeight="1">
      <c r="A106" s="254"/>
      <c r="B106" s="7"/>
      <c r="C106" s="7"/>
      <c r="D106" s="260"/>
      <c r="E106" s="7"/>
      <c r="F106" s="7"/>
      <c r="G106" s="286"/>
      <c r="H106" s="19"/>
      <c r="I106" s="258"/>
      <c r="J106" s="363"/>
      <c r="K106" s="12"/>
    </row>
    <row r="107" spans="1:11" ht="15" customHeight="1">
      <c r="A107" s="254"/>
      <c r="B107" s="7"/>
      <c r="C107" s="7"/>
      <c r="D107" s="260"/>
      <c r="E107" s="7"/>
      <c r="F107" s="7"/>
      <c r="G107" s="286"/>
      <c r="H107" s="19"/>
      <c r="I107" s="258"/>
      <c r="J107" s="363"/>
      <c r="K107" s="12"/>
    </row>
    <row r="108" spans="1:11" ht="15" customHeight="1">
      <c r="A108" s="254">
        <v>28</v>
      </c>
      <c r="B108" s="7"/>
      <c r="C108" s="306" t="s">
        <v>48</v>
      </c>
      <c r="D108" s="306" t="s">
        <v>247</v>
      </c>
      <c r="E108" s="7"/>
      <c r="F108" s="7"/>
      <c r="G108" s="286" t="s">
        <v>246</v>
      </c>
      <c r="H108" s="19"/>
      <c r="I108" s="258"/>
      <c r="J108" s="363"/>
      <c r="K108" s="12"/>
    </row>
    <row r="109" spans="1:11" ht="15" customHeight="1">
      <c r="A109" s="254"/>
      <c r="B109" s="7"/>
      <c r="C109" s="7"/>
      <c r="D109" s="310"/>
      <c r="E109" s="310"/>
      <c r="F109" s="7"/>
      <c r="G109" s="286"/>
      <c r="H109" s="19"/>
      <c r="I109" s="258"/>
      <c r="J109" s="363"/>
      <c r="K109" s="12"/>
    </row>
    <row r="110" spans="1:11" ht="15" customHeight="1">
      <c r="A110" s="254">
        <v>29</v>
      </c>
      <c r="B110" s="7"/>
      <c r="C110" s="306">
        <v>1</v>
      </c>
      <c r="D110" s="323" t="s">
        <v>50</v>
      </c>
      <c r="E110" s="7"/>
      <c r="F110" s="7"/>
      <c r="G110" s="286" t="s">
        <v>246</v>
      </c>
      <c r="H110" s="19"/>
      <c r="I110" s="258"/>
      <c r="J110" s="363"/>
      <c r="K110" s="12"/>
    </row>
    <row r="111" spans="1:11" ht="15" customHeight="1">
      <c r="A111" s="254"/>
      <c r="B111" s="7"/>
      <c r="C111" s="306"/>
      <c r="D111" s="323"/>
      <c r="E111" s="7"/>
      <c r="F111" s="7"/>
      <c r="G111" s="286"/>
      <c r="H111" s="19"/>
      <c r="I111" s="258"/>
      <c r="J111" s="363"/>
      <c r="K111" s="12"/>
    </row>
    <row r="112" spans="1:11" ht="15" customHeight="1">
      <c r="A112" s="254">
        <v>30</v>
      </c>
      <c r="B112" s="7"/>
      <c r="C112" s="306">
        <v>2</v>
      </c>
      <c r="D112" s="306" t="s">
        <v>51</v>
      </c>
      <c r="E112" s="7"/>
      <c r="F112" s="7"/>
      <c r="G112" s="7"/>
      <c r="H112" s="19"/>
      <c r="I112" s="286"/>
      <c r="J112" s="363"/>
      <c r="K112" s="12"/>
    </row>
    <row r="113" spans="1:11" ht="15" customHeight="1">
      <c r="A113" s="254"/>
      <c r="B113" s="7"/>
      <c r="C113" s="7"/>
      <c r="D113" s="7"/>
      <c r="E113" s="7"/>
      <c r="F113" s="7"/>
      <c r="G113" s="7"/>
      <c r="H113" s="19"/>
      <c r="I113" s="258"/>
      <c r="J113" s="363"/>
      <c r="K113" s="12"/>
    </row>
    <row r="114" spans="1:11" ht="15" customHeight="1">
      <c r="A114" s="254"/>
      <c r="B114" s="7"/>
      <c r="C114" s="7"/>
      <c r="D114" s="7"/>
      <c r="E114" s="7" t="s">
        <v>248</v>
      </c>
      <c r="F114" s="7"/>
      <c r="G114" s="7"/>
      <c r="H114" s="19"/>
      <c r="I114" s="258"/>
      <c r="J114" s="363"/>
      <c r="K114" s="12"/>
    </row>
    <row r="115" spans="1:11" ht="21.75" customHeight="1">
      <c r="A115" s="254"/>
      <c r="B115" s="7"/>
      <c r="C115" s="531" t="s">
        <v>20</v>
      </c>
      <c r="D115" s="531" t="s">
        <v>150</v>
      </c>
      <c r="E115" s="544" t="s">
        <v>249</v>
      </c>
      <c r="F115" s="545"/>
      <c r="G115" s="546"/>
      <c r="H115" s="544" t="s">
        <v>250</v>
      </c>
      <c r="I115" s="545"/>
      <c r="J115" s="546"/>
      <c r="K115" s="12"/>
    </row>
    <row r="116" spans="1:11" ht="15" customHeight="1">
      <c r="A116" s="254"/>
      <c r="B116" s="7"/>
      <c r="C116" s="531"/>
      <c r="D116" s="531"/>
      <c r="E116" s="77" t="s">
        <v>251</v>
      </c>
      <c r="F116" s="77" t="s">
        <v>151</v>
      </c>
      <c r="G116" s="77" t="s">
        <v>168</v>
      </c>
      <c r="H116" s="77" t="s">
        <v>251</v>
      </c>
      <c r="I116" s="285" t="s">
        <v>151</v>
      </c>
      <c r="J116" s="285" t="s">
        <v>168</v>
      </c>
      <c r="K116" s="12"/>
    </row>
    <row r="117" spans="1:11" ht="15" customHeight="1">
      <c r="A117" s="254">
        <v>31</v>
      </c>
      <c r="B117" s="7"/>
      <c r="C117" s="77">
        <v>1</v>
      </c>
      <c r="D117" s="7" t="s">
        <v>52</v>
      </c>
      <c r="E117" s="324">
        <v>133982770</v>
      </c>
      <c r="F117" s="324">
        <v>0</v>
      </c>
      <c r="G117" s="324">
        <f>+E117-F117</f>
        <v>133982770</v>
      </c>
      <c r="H117" s="325">
        <v>133982770</v>
      </c>
      <c r="I117" s="324"/>
      <c r="J117" s="326">
        <v>133982770</v>
      </c>
      <c r="K117" s="12"/>
    </row>
    <row r="118" spans="1:11" ht="15" customHeight="1">
      <c r="A118" s="254">
        <v>32</v>
      </c>
      <c r="B118" s="7"/>
      <c r="C118" s="77">
        <v>2</v>
      </c>
      <c r="D118" s="78" t="s">
        <v>53</v>
      </c>
      <c r="E118" s="324">
        <f>282916195+13156125.78</f>
        <v>296072320.78</v>
      </c>
      <c r="F118" s="327">
        <v>419799</v>
      </c>
      <c r="G118" s="324">
        <f>+E118-F118</f>
        <v>295652521.78</v>
      </c>
      <c r="H118" s="325">
        <v>283309932</v>
      </c>
      <c r="I118" s="324">
        <v>393737</v>
      </c>
      <c r="J118" s="326">
        <v>282916195</v>
      </c>
      <c r="K118" s="12"/>
    </row>
    <row r="119" spans="1:11" ht="15" customHeight="1">
      <c r="A119" s="254">
        <v>33</v>
      </c>
      <c r="B119" s="7"/>
      <c r="C119" s="77">
        <v>3</v>
      </c>
      <c r="D119" s="78" t="s">
        <v>252</v>
      </c>
      <c r="E119" s="324">
        <f>683447569+89436615.41</f>
        <v>772884184.41</v>
      </c>
      <c r="F119" s="327">
        <v>1025171</v>
      </c>
      <c r="G119" s="324">
        <f>+E119-F119</f>
        <v>771859013.41</v>
      </c>
      <c r="H119" s="325">
        <f>728737313-44339799</f>
        <v>684397514</v>
      </c>
      <c r="I119" s="324">
        <v>949945</v>
      </c>
      <c r="J119" s="326">
        <f>+H119-I119</f>
        <v>683447569</v>
      </c>
      <c r="K119" s="12"/>
    </row>
    <row r="120" spans="1:11" ht="15" customHeight="1">
      <c r="A120" s="254">
        <v>34</v>
      </c>
      <c r="B120" s="7"/>
      <c r="C120" s="77">
        <v>4</v>
      </c>
      <c r="D120" s="78" t="s">
        <v>253</v>
      </c>
      <c r="E120" s="324">
        <f>10469328+202893-2500000+2221460</f>
        <v>10393681</v>
      </c>
      <c r="F120" s="327">
        <f>92075+42161+389294</f>
        <v>523530</v>
      </c>
      <c r="G120" s="324">
        <f>+E120-F120</f>
        <v>9870151</v>
      </c>
      <c r="H120" s="325">
        <v>10906516</v>
      </c>
      <c r="I120" s="324">
        <v>437188</v>
      </c>
      <c r="J120" s="326">
        <v>10469328</v>
      </c>
      <c r="K120" s="12"/>
    </row>
    <row r="121" spans="1:11" ht="15" customHeight="1">
      <c r="A121" s="254"/>
      <c r="B121" s="7"/>
      <c r="C121" s="78"/>
      <c r="D121" s="328" t="s">
        <v>328</v>
      </c>
      <c r="E121" s="329">
        <f aca="true" t="shared" si="2" ref="E121:J121">SUM(E117:E120)</f>
        <v>1213332956.19</v>
      </c>
      <c r="F121" s="329">
        <f t="shared" si="2"/>
        <v>1968500</v>
      </c>
      <c r="G121" s="329">
        <f t="shared" si="2"/>
        <v>1211364456.19</v>
      </c>
      <c r="H121" s="329">
        <f t="shared" si="2"/>
        <v>1112596732</v>
      </c>
      <c r="I121" s="329">
        <f t="shared" si="2"/>
        <v>1780870</v>
      </c>
      <c r="J121" s="329">
        <f t="shared" si="2"/>
        <v>1110815862</v>
      </c>
      <c r="K121" s="12"/>
    </row>
    <row r="122" spans="1:11" ht="15" customHeight="1">
      <c r="A122" s="254"/>
      <c r="B122" s="7"/>
      <c r="C122" s="7"/>
      <c r="D122" s="306"/>
      <c r="E122" s="306"/>
      <c r="F122" s="306"/>
      <c r="G122" s="306"/>
      <c r="H122" s="307"/>
      <c r="I122" s="286"/>
      <c r="J122" s="369"/>
      <c r="K122" s="12"/>
    </row>
    <row r="123" spans="1:11" ht="15" customHeight="1">
      <c r="A123" s="254"/>
      <c r="B123" s="7"/>
      <c r="C123" s="7"/>
      <c r="D123" s="306"/>
      <c r="E123" s="306"/>
      <c r="F123" s="306"/>
      <c r="G123" s="465"/>
      <c r="H123" s="330"/>
      <c r="I123" s="286"/>
      <c r="J123" s="369"/>
      <c r="K123" s="12"/>
    </row>
    <row r="124" spans="1:11" ht="15" customHeight="1">
      <c r="A124" s="254">
        <v>35</v>
      </c>
      <c r="B124" s="7"/>
      <c r="C124" s="306">
        <v>3</v>
      </c>
      <c r="D124" s="306" t="s">
        <v>56</v>
      </c>
      <c r="E124" s="7"/>
      <c r="F124" s="7"/>
      <c r="G124" s="286" t="s">
        <v>246</v>
      </c>
      <c r="H124" s="19"/>
      <c r="I124" s="258"/>
      <c r="J124" s="369"/>
      <c r="K124" s="12"/>
    </row>
    <row r="125" spans="1:11" ht="15" customHeight="1">
      <c r="A125" s="254"/>
      <c r="B125" s="7"/>
      <c r="C125" s="306"/>
      <c r="D125" s="306"/>
      <c r="E125" s="7"/>
      <c r="F125" s="7"/>
      <c r="G125" s="286"/>
      <c r="H125" s="19"/>
      <c r="I125" s="258"/>
      <c r="J125" s="369"/>
      <c r="K125" s="12"/>
    </row>
    <row r="126" spans="1:11" ht="15" customHeight="1">
      <c r="A126" s="254">
        <v>36</v>
      </c>
      <c r="B126" s="7"/>
      <c r="C126" s="306">
        <v>4</v>
      </c>
      <c r="D126" s="306" t="s">
        <v>57</v>
      </c>
      <c r="E126" s="7"/>
      <c r="F126" s="7"/>
      <c r="G126" s="286" t="s">
        <v>246</v>
      </c>
      <c r="H126" s="19"/>
      <c r="I126" s="258"/>
      <c r="J126" s="369"/>
      <c r="K126" s="12"/>
    </row>
    <row r="127" spans="1:11" ht="15" customHeight="1">
      <c r="A127" s="254"/>
      <c r="B127" s="7"/>
      <c r="C127" s="306"/>
      <c r="D127" s="306"/>
      <c r="E127" s="7"/>
      <c r="F127" s="7"/>
      <c r="G127" s="286"/>
      <c r="H127" s="19"/>
      <c r="I127" s="258"/>
      <c r="J127" s="369"/>
      <c r="K127" s="12"/>
    </row>
    <row r="128" spans="1:11" ht="15" customHeight="1">
      <c r="A128" s="254">
        <v>37</v>
      </c>
      <c r="B128" s="7"/>
      <c r="C128" s="306">
        <v>5</v>
      </c>
      <c r="D128" s="306" t="s">
        <v>58</v>
      </c>
      <c r="E128" s="7"/>
      <c r="F128" s="7"/>
      <c r="G128" s="286" t="s">
        <v>246</v>
      </c>
      <c r="H128" s="331"/>
      <c r="I128" s="258"/>
      <c r="J128" s="369"/>
      <c r="K128" s="12"/>
    </row>
    <row r="129" spans="1:11" ht="15" customHeight="1">
      <c r="A129" s="254"/>
      <c r="B129" s="7"/>
      <c r="C129" s="306"/>
      <c r="D129" s="306"/>
      <c r="E129" s="7"/>
      <c r="F129" s="7"/>
      <c r="G129" s="286"/>
      <c r="H129" s="19"/>
      <c r="I129" s="258"/>
      <c r="J129" s="369"/>
      <c r="K129" s="12"/>
    </row>
    <row r="130" spans="1:11" ht="15" customHeight="1">
      <c r="A130" s="254">
        <v>38</v>
      </c>
      <c r="B130" s="7"/>
      <c r="C130" s="306">
        <v>6</v>
      </c>
      <c r="D130" s="306" t="s">
        <v>59</v>
      </c>
      <c r="E130" s="7"/>
      <c r="F130" s="7"/>
      <c r="G130" s="286" t="s">
        <v>246</v>
      </c>
      <c r="H130" s="19"/>
      <c r="I130" s="258"/>
      <c r="J130" s="369"/>
      <c r="K130" s="12"/>
    </row>
    <row r="131" spans="1:11" ht="15" customHeight="1">
      <c r="A131" s="254"/>
      <c r="B131" s="7"/>
      <c r="C131" s="306"/>
      <c r="D131" s="306"/>
      <c r="E131" s="7"/>
      <c r="F131" s="7"/>
      <c r="G131" s="286"/>
      <c r="H131" s="19"/>
      <c r="I131" s="258"/>
      <c r="J131" s="369"/>
      <c r="K131" s="12"/>
    </row>
    <row r="132" spans="1:11" ht="15" customHeight="1">
      <c r="A132" s="254">
        <v>40</v>
      </c>
      <c r="B132" s="7"/>
      <c r="C132" s="307" t="s">
        <v>26</v>
      </c>
      <c r="D132" s="256" t="s">
        <v>254</v>
      </c>
      <c r="E132" s="256"/>
      <c r="F132" s="261"/>
      <c r="G132" s="286"/>
      <c r="H132" s="19"/>
      <c r="I132" s="258"/>
      <c r="J132" s="369"/>
      <c r="K132" s="12"/>
    </row>
    <row r="133" spans="1:11" ht="15" customHeight="1">
      <c r="A133" s="288"/>
      <c r="B133" s="11"/>
      <c r="C133" s="332"/>
      <c r="D133" s="333"/>
      <c r="E133" s="333"/>
      <c r="F133" s="334"/>
      <c r="G133" s="298"/>
      <c r="H133" s="10"/>
      <c r="I133" s="289"/>
      <c r="J133" s="371"/>
      <c r="K133" s="290"/>
    </row>
    <row r="134" spans="1:11" ht="15" customHeight="1">
      <c r="A134" s="243">
        <v>41</v>
      </c>
      <c r="B134" s="15"/>
      <c r="C134" s="335">
        <v>1</v>
      </c>
      <c r="D134" s="336" t="s">
        <v>63</v>
      </c>
      <c r="E134" s="293"/>
      <c r="F134" s="337"/>
      <c r="G134" s="319" t="s">
        <v>246</v>
      </c>
      <c r="H134" s="14"/>
      <c r="I134" s="244"/>
      <c r="J134" s="372"/>
      <c r="K134" s="245"/>
    </row>
    <row r="135" spans="1:11" ht="15" customHeight="1">
      <c r="A135" s="254"/>
      <c r="B135" s="7"/>
      <c r="C135" s="255"/>
      <c r="D135" s="311"/>
      <c r="E135" s="260"/>
      <c r="F135" s="306"/>
      <c r="G135" s="258"/>
      <c r="H135" s="19"/>
      <c r="I135" s="258"/>
      <c r="J135" s="369"/>
      <c r="K135" s="12"/>
    </row>
    <row r="136" spans="1:11" ht="15" customHeight="1">
      <c r="A136" s="254">
        <v>42</v>
      </c>
      <c r="B136" s="7"/>
      <c r="C136" s="255">
        <v>2</v>
      </c>
      <c r="D136" s="311" t="s">
        <v>64</v>
      </c>
      <c r="E136" s="260"/>
      <c r="F136" s="7"/>
      <c r="G136" s="286" t="s">
        <v>246</v>
      </c>
      <c r="H136" s="19"/>
      <c r="I136" s="258"/>
      <c r="J136" s="363"/>
      <c r="K136" s="12"/>
    </row>
    <row r="137" spans="1:11" ht="15" customHeight="1">
      <c r="A137" s="254"/>
      <c r="B137" s="7"/>
      <c r="C137" s="255"/>
      <c r="D137" s="311"/>
      <c r="E137" s="260"/>
      <c r="F137" s="7"/>
      <c r="G137" s="258"/>
      <c r="H137" s="19"/>
      <c r="I137" s="258"/>
      <c r="J137" s="363"/>
      <c r="K137" s="12"/>
    </row>
    <row r="138" spans="1:11" ht="15" customHeight="1">
      <c r="A138" s="254">
        <v>43</v>
      </c>
      <c r="B138" s="7"/>
      <c r="C138" s="294" t="s">
        <v>29</v>
      </c>
      <c r="D138" s="296" t="s">
        <v>65</v>
      </c>
      <c r="E138" s="7"/>
      <c r="F138" s="7"/>
      <c r="G138" s="286"/>
      <c r="H138" s="340" t="s">
        <v>14</v>
      </c>
      <c r="I138" s="467">
        <v>28114000</v>
      </c>
      <c r="J138" s="363"/>
      <c r="K138" s="12"/>
    </row>
    <row r="139" spans="1:11" ht="15" customHeight="1">
      <c r="A139" s="254"/>
      <c r="B139" s="7"/>
      <c r="C139" s="260"/>
      <c r="D139" s="284"/>
      <c r="E139" s="284"/>
      <c r="F139" s="284"/>
      <c r="G139" s="284"/>
      <c r="H139" s="284"/>
      <c r="I139" s="284"/>
      <c r="J139" s="373"/>
      <c r="K139" s="12"/>
    </row>
    <row r="140" spans="1:11" ht="15" customHeight="1">
      <c r="A140" s="254">
        <v>44</v>
      </c>
      <c r="B140" s="7"/>
      <c r="C140" s="294" t="s">
        <v>29</v>
      </c>
      <c r="D140" s="296" t="s">
        <v>66</v>
      </c>
      <c r="E140" s="7"/>
      <c r="F140" s="7"/>
      <c r="G140" s="286" t="s">
        <v>246</v>
      </c>
      <c r="H140" s="19"/>
      <c r="I140" s="258"/>
      <c r="J140" s="363"/>
      <c r="K140" s="12"/>
    </row>
    <row r="141" spans="1:11" ht="15" customHeight="1">
      <c r="A141" s="254"/>
      <c r="B141" s="7"/>
      <c r="C141" s="294"/>
      <c r="D141" s="296"/>
      <c r="E141" s="7"/>
      <c r="F141" s="7"/>
      <c r="G141" s="19"/>
      <c r="H141" s="19"/>
      <c r="I141" s="258"/>
      <c r="J141" s="363"/>
      <c r="K141" s="12"/>
    </row>
    <row r="142" spans="1:11" ht="15" customHeight="1">
      <c r="A142" s="254">
        <v>45</v>
      </c>
      <c r="B142" s="7"/>
      <c r="C142" s="255">
        <v>3</v>
      </c>
      <c r="D142" s="311" t="s">
        <v>67</v>
      </c>
      <c r="E142" s="260"/>
      <c r="F142" s="7"/>
      <c r="G142" s="286"/>
      <c r="H142" s="19"/>
      <c r="I142" s="258"/>
      <c r="J142" s="363"/>
      <c r="K142" s="12"/>
    </row>
    <row r="143" spans="1:11" ht="15" customHeight="1">
      <c r="A143" s="254"/>
      <c r="B143" s="7"/>
      <c r="C143" s="255"/>
      <c r="D143" s="311"/>
      <c r="E143" s="260"/>
      <c r="F143" s="7"/>
      <c r="G143" s="7"/>
      <c r="H143" s="19"/>
      <c r="I143" s="258"/>
      <c r="J143" s="363"/>
      <c r="K143" s="12"/>
    </row>
    <row r="144" spans="1:11" ht="15" customHeight="1">
      <c r="A144" s="254">
        <v>46</v>
      </c>
      <c r="B144" s="7"/>
      <c r="C144" s="284" t="s">
        <v>29</v>
      </c>
      <c r="D144" s="314" t="s">
        <v>255</v>
      </c>
      <c r="E144" s="263"/>
      <c r="F144" s="263"/>
      <c r="G144" s="263"/>
      <c r="H144" s="338"/>
      <c r="I144" s="339"/>
      <c r="J144" s="374"/>
      <c r="K144" s="12"/>
    </row>
    <row r="145" spans="1:11" ht="15" customHeight="1">
      <c r="A145" s="254"/>
      <c r="B145" s="7"/>
      <c r="C145" s="284"/>
      <c r="D145" s="542" t="s">
        <v>232</v>
      </c>
      <c r="E145" s="542"/>
      <c r="F145" s="338" t="s">
        <v>20</v>
      </c>
      <c r="G145" s="338">
        <v>15</v>
      </c>
      <c r="H145" s="340" t="s">
        <v>14</v>
      </c>
      <c r="I145" s="341">
        <v>21114066</v>
      </c>
      <c r="J145" s="363"/>
      <c r="K145" s="12"/>
    </row>
    <row r="146" spans="1:11" ht="15" customHeight="1">
      <c r="A146" s="254"/>
      <c r="B146" s="7"/>
      <c r="C146" s="284"/>
      <c r="D146" s="542" t="s">
        <v>233</v>
      </c>
      <c r="E146" s="542"/>
      <c r="F146" s="338" t="s">
        <v>20</v>
      </c>
      <c r="G146" s="276"/>
      <c r="H146" s="340" t="s">
        <v>14</v>
      </c>
      <c r="I146" s="342"/>
      <c r="J146" s="363"/>
      <c r="K146" s="12"/>
    </row>
    <row r="147" spans="1:11" ht="15" customHeight="1">
      <c r="A147" s="254"/>
      <c r="B147" s="7"/>
      <c r="C147" s="284"/>
      <c r="D147" s="263" t="s">
        <v>234</v>
      </c>
      <c r="E147" s="263"/>
      <c r="F147" s="338" t="s">
        <v>20</v>
      </c>
      <c r="G147" s="276">
        <v>3</v>
      </c>
      <c r="H147" s="340" t="s">
        <v>14</v>
      </c>
      <c r="I147" s="468">
        <v>14558554</v>
      </c>
      <c r="J147" s="363"/>
      <c r="K147" s="12"/>
    </row>
    <row r="148" spans="1:11" ht="15" customHeight="1">
      <c r="A148" s="254"/>
      <c r="B148" s="7"/>
      <c r="C148" s="284"/>
      <c r="D148" s="263" t="s">
        <v>235</v>
      </c>
      <c r="E148" s="263"/>
      <c r="F148" s="338" t="s">
        <v>20</v>
      </c>
      <c r="G148" s="276"/>
      <c r="H148" s="340" t="s">
        <v>14</v>
      </c>
      <c r="I148" s="343">
        <v>3354890</v>
      </c>
      <c r="J148" s="363"/>
      <c r="K148" s="12"/>
    </row>
    <row r="149" spans="1:11" ht="15" customHeight="1">
      <c r="A149" s="254"/>
      <c r="B149" s="7"/>
      <c r="C149" s="284"/>
      <c r="D149" s="263" t="s">
        <v>236</v>
      </c>
      <c r="E149" s="263"/>
      <c r="F149" s="338" t="s">
        <v>20</v>
      </c>
      <c r="G149" s="276"/>
      <c r="H149" s="340" t="s">
        <v>14</v>
      </c>
      <c r="I149" s="343"/>
      <c r="J149" s="363"/>
      <c r="K149" s="12"/>
    </row>
    <row r="150" spans="1:11" ht="15" customHeight="1">
      <c r="A150" s="254"/>
      <c r="B150" s="7"/>
      <c r="C150" s="284"/>
      <c r="D150" s="263" t="s">
        <v>237</v>
      </c>
      <c r="E150" s="263"/>
      <c r="F150" s="338" t="s">
        <v>20</v>
      </c>
      <c r="G150" s="276">
        <v>3</v>
      </c>
      <c r="H150" s="340" t="s">
        <v>14</v>
      </c>
      <c r="I150" s="343">
        <f>388556+2812066</f>
        <v>3200622</v>
      </c>
      <c r="J150" s="363"/>
      <c r="K150" s="12"/>
    </row>
    <row r="151" spans="1:11" ht="15" customHeight="1">
      <c r="A151" s="254"/>
      <c r="B151" s="7"/>
      <c r="C151" s="284"/>
      <c r="D151" s="542" t="s">
        <v>238</v>
      </c>
      <c r="E151" s="542"/>
      <c r="F151" s="338" t="s">
        <v>20</v>
      </c>
      <c r="G151" s="276"/>
      <c r="H151" s="340" t="s">
        <v>14</v>
      </c>
      <c r="I151" s="343"/>
      <c r="J151" s="363"/>
      <c r="K151" s="12"/>
    </row>
    <row r="152" spans="1:11" ht="15" customHeight="1">
      <c r="A152" s="254"/>
      <c r="B152" s="7"/>
      <c r="C152" s="284"/>
      <c r="D152" s="263" t="s">
        <v>256</v>
      </c>
      <c r="E152" s="263"/>
      <c r="F152" s="338" t="s">
        <v>20</v>
      </c>
      <c r="G152" s="276"/>
      <c r="H152" s="340" t="s">
        <v>14</v>
      </c>
      <c r="I152" s="343"/>
      <c r="J152" s="363"/>
      <c r="K152" s="12"/>
    </row>
    <row r="153" spans="1:11" ht="15" customHeight="1">
      <c r="A153" s="254"/>
      <c r="B153" s="7"/>
      <c r="C153" s="294"/>
      <c r="D153" s="263" t="s">
        <v>240</v>
      </c>
      <c r="E153" s="7"/>
      <c r="F153" s="19" t="s">
        <v>20</v>
      </c>
      <c r="G153" s="17"/>
      <c r="H153" s="286" t="s">
        <v>14</v>
      </c>
      <c r="I153" s="300"/>
      <c r="J153" s="363"/>
      <c r="K153" s="12"/>
    </row>
    <row r="154" spans="1:11" ht="15" customHeight="1">
      <c r="A154" s="254"/>
      <c r="B154" s="7"/>
      <c r="C154" s="294"/>
      <c r="D154" s="296"/>
      <c r="E154" s="7"/>
      <c r="F154" s="7"/>
      <c r="G154" s="7"/>
      <c r="H154" s="19"/>
      <c r="I154" s="258"/>
      <c r="J154" s="363"/>
      <c r="K154" s="12"/>
    </row>
    <row r="155" spans="1:11" ht="15" customHeight="1">
      <c r="A155" s="254">
        <v>47</v>
      </c>
      <c r="B155" s="7"/>
      <c r="C155" s="294" t="s">
        <v>29</v>
      </c>
      <c r="D155" s="296" t="s">
        <v>257</v>
      </c>
      <c r="E155" s="7"/>
      <c r="F155" s="7"/>
      <c r="G155" s="286" t="s">
        <v>246</v>
      </c>
      <c r="H155" s="286"/>
      <c r="I155" s="258"/>
      <c r="J155" s="363"/>
      <c r="K155" s="12"/>
    </row>
    <row r="156" spans="1:11" ht="15" customHeight="1">
      <c r="A156" s="254"/>
      <c r="B156" s="7"/>
      <c r="C156" s="294"/>
      <c r="D156" s="296"/>
      <c r="E156" s="7"/>
      <c r="F156" s="7"/>
      <c r="G156" s="7"/>
      <c r="H156" s="19"/>
      <c r="I156" s="258"/>
      <c r="J156" s="363"/>
      <c r="K156" s="12"/>
    </row>
    <row r="157" spans="1:11" ht="15" customHeight="1">
      <c r="A157" s="254"/>
      <c r="B157" s="7"/>
      <c r="C157" s="294"/>
      <c r="D157" s="260"/>
      <c r="E157" s="7"/>
      <c r="F157" s="7"/>
      <c r="G157" s="286"/>
      <c r="H157" s="299"/>
      <c r="I157" s="258"/>
      <c r="J157" s="363"/>
      <c r="K157" s="12"/>
    </row>
    <row r="158" spans="1:11" ht="15" customHeight="1">
      <c r="A158" s="254">
        <v>48</v>
      </c>
      <c r="B158" s="7"/>
      <c r="C158" s="294" t="s">
        <v>29</v>
      </c>
      <c r="D158" s="296" t="s">
        <v>70</v>
      </c>
      <c r="E158" s="7"/>
      <c r="F158" s="7"/>
      <c r="G158" s="19"/>
      <c r="H158" s="258"/>
      <c r="I158" s="258"/>
      <c r="J158" s="363"/>
      <c r="K158" s="12"/>
    </row>
    <row r="159" spans="1:11" ht="15" customHeight="1">
      <c r="A159" s="254"/>
      <c r="B159" s="7"/>
      <c r="C159" s="294"/>
      <c r="D159" s="296"/>
      <c r="E159" s="7"/>
      <c r="F159" s="7"/>
      <c r="G159" s="19"/>
      <c r="H159" s="258"/>
      <c r="I159" s="258"/>
      <c r="J159" s="368"/>
      <c r="K159" s="12"/>
    </row>
    <row r="160" spans="1:11" ht="15" customHeight="1">
      <c r="A160" s="254"/>
      <c r="B160" s="7"/>
      <c r="C160" s="294"/>
      <c r="D160" s="260" t="s">
        <v>481</v>
      </c>
      <c r="E160" s="7"/>
      <c r="F160" s="7"/>
      <c r="G160" s="286" t="s">
        <v>14</v>
      </c>
      <c r="H160" s="344">
        <v>546091</v>
      </c>
      <c r="I160" s="258"/>
      <c r="J160" s="363"/>
      <c r="K160" s="12"/>
    </row>
    <row r="161" spans="1:11" ht="15" customHeight="1">
      <c r="A161" s="254"/>
      <c r="B161" s="7"/>
      <c r="C161" s="294"/>
      <c r="D161" s="260"/>
      <c r="E161" s="7"/>
      <c r="F161" s="7"/>
      <c r="G161" s="286"/>
      <c r="H161" s="299"/>
      <c r="I161" s="258"/>
      <c r="J161" s="363"/>
      <c r="K161" s="12"/>
    </row>
    <row r="162" spans="1:11" ht="15" customHeight="1">
      <c r="A162" s="254">
        <v>49</v>
      </c>
      <c r="B162" s="7"/>
      <c r="C162" s="294" t="s">
        <v>29</v>
      </c>
      <c r="D162" s="296" t="s">
        <v>71</v>
      </c>
      <c r="E162" s="7"/>
      <c r="F162" s="7"/>
      <c r="G162" s="19"/>
      <c r="H162" s="258"/>
      <c r="I162" s="258"/>
      <c r="J162" s="363"/>
      <c r="K162" s="12"/>
    </row>
    <row r="163" spans="1:11" ht="15" customHeight="1">
      <c r="A163" s="254"/>
      <c r="B163" s="7"/>
      <c r="C163" s="294"/>
      <c r="D163" s="296"/>
      <c r="E163" s="7"/>
      <c r="F163" s="7"/>
      <c r="G163" s="19"/>
      <c r="H163" s="258"/>
      <c r="I163" s="258"/>
      <c r="J163" s="368"/>
      <c r="K163" s="12"/>
    </row>
    <row r="164" spans="1:11" ht="15" customHeight="1">
      <c r="A164" s="254"/>
      <c r="B164" s="7"/>
      <c r="C164" s="294"/>
      <c r="D164" s="260" t="s">
        <v>390</v>
      </c>
      <c r="E164" s="7"/>
      <c r="F164" s="7"/>
      <c r="G164" s="286" t="s">
        <v>14</v>
      </c>
      <c r="H164" s="344">
        <v>194181</v>
      </c>
      <c r="I164" s="258"/>
      <c r="J164" s="363"/>
      <c r="K164" s="12"/>
    </row>
    <row r="165" spans="1:11" ht="15" customHeight="1">
      <c r="A165" s="254"/>
      <c r="B165" s="7"/>
      <c r="C165" s="294"/>
      <c r="D165" s="260"/>
      <c r="E165" s="7"/>
      <c r="F165" s="7"/>
      <c r="G165" s="286"/>
      <c r="H165" s="299"/>
      <c r="I165" s="258"/>
      <c r="J165" s="363"/>
      <c r="K165" s="12"/>
    </row>
    <row r="166" spans="1:11" ht="15" customHeight="1">
      <c r="A166" s="254">
        <v>50</v>
      </c>
      <c r="B166" s="7"/>
      <c r="C166" s="294" t="s">
        <v>29</v>
      </c>
      <c r="D166" s="296" t="s">
        <v>72</v>
      </c>
      <c r="E166" s="7"/>
      <c r="F166" s="7"/>
      <c r="G166" s="19"/>
      <c r="H166" s="286"/>
      <c r="I166" s="258"/>
      <c r="J166" s="368"/>
      <c r="K166" s="12"/>
    </row>
    <row r="167" spans="1:11" ht="15" customHeight="1">
      <c r="A167" s="254"/>
      <c r="B167" s="7"/>
      <c r="C167" s="294"/>
      <c r="D167" s="296"/>
      <c r="E167" s="7"/>
      <c r="F167" s="7"/>
      <c r="G167" s="19"/>
      <c r="H167" s="258"/>
      <c r="I167" s="258"/>
      <c r="J167" s="368"/>
      <c r="K167" s="12"/>
    </row>
    <row r="168" spans="1:11" ht="15" customHeight="1">
      <c r="A168" s="254">
        <v>51</v>
      </c>
      <c r="B168" s="7"/>
      <c r="C168" s="294" t="s">
        <v>29</v>
      </c>
      <c r="D168" s="296" t="s">
        <v>73</v>
      </c>
      <c r="E168" s="7"/>
      <c r="F168" s="7"/>
      <c r="G168" s="286" t="s">
        <v>246</v>
      </c>
      <c r="H168" s="258"/>
      <c r="I168" s="258"/>
      <c r="J168" s="363"/>
      <c r="K168" s="12"/>
    </row>
    <row r="169" spans="1:11" ht="15" customHeight="1">
      <c r="A169" s="254"/>
      <c r="B169" s="7"/>
      <c r="C169" s="294"/>
      <c r="D169" s="296"/>
      <c r="E169" s="7"/>
      <c r="F169" s="7"/>
      <c r="G169" s="19"/>
      <c r="H169" s="258"/>
      <c r="I169" s="258"/>
      <c r="J169" s="363"/>
      <c r="K169" s="12"/>
    </row>
    <row r="170" spans="1:11" ht="15" customHeight="1">
      <c r="A170" s="254">
        <v>52</v>
      </c>
      <c r="B170" s="7"/>
      <c r="C170" s="294" t="s">
        <v>29</v>
      </c>
      <c r="D170" s="296" t="s">
        <v>74</v>
      </c>
      <c r="E170" s="7"/>
      <c r="F170" s="7"/>
      <c r="G170" s="19"/>
      <c r="H170" s="258"/>
      <c r="I170" s="258"/>
      <c r="J170" s="363"/>
      <c r="K170" s="12"/>
    </row>
    <row r="171" spans="1:11" ht="15" customHeight="1">
      <c r="A171" s="254"/>
      <c r="B171" s="7"/>
      <c r="C171" s="294"/>
      <c r="D171" s="296"/>
      <c r="E171" s="7"/>
      <c r="F171" s="7"/>
      <c r="G171" s="19"/>
      <c r="H171" s="258"/>
      <c r="I171" s="258"/>
      <c r="J171" s="363"/>
      <c r="K171" s="12"/>
    </row>
    <row r="172" spans="1:11" ht="15" customHeight="1">
      <c r="A172" s="254"/>
      <c r="B172" s="7"/>
      <c r="C172" s="294"/>
      <c r="D172" s="7" t="s">
        <v>391</v>
      </c>
      <c r="E172" s="7"/>
      <c r="F172" s="7"/>
      <c r="G172" s="286" t="s">
        <v>14</v>
      </c>
      <c r="H172" s="344">
        <v>132000</v>
      </c>
      <c r="I172" s="258"/>
      <c r="J172" s="363"/>
      <c r="K172" s="12"/>
    </row>
    <row r="173" spans="1:11" ht="15" customHeight="1">
      <c r="A173" s="254"/>
      <c r="B173" s="7"/>
      <c r="C173" s="294"/>
      <c r="D173" s="296"/>
      <c r="E173" s="7"/>
      <c r="F173" s="7"/>
      <c r="G173" s="19"/>
      <c r="H173" s="19"/>
      <c r="I173" s="258"/>
      <c r="J173" s="363"/>
      <c r="K173" s="12"/>
    </row>
    <row r="174" spans="1:11" ht="15" customHeight="1">
      <c r="A174" s="254">
        <v>53</v>
      </c>
      <c r="B174" s="7"/>
      <c r="C174" s="294" t="s">
        <v>29</v>
      </c>
      <c r="D174" s="296" t="s">
        <v>38</v>
      </c>
      <c r="E174" s="7"/>
      <c r="F174" s="7"/>
      <c r="G174" s="286" t="s">
        <v>246</v>
      </c>
      <c r="H174" s="19"/>
      <c r="I174" s="258"/>
      <c r="J174" s="363"/>
      <c r="K174" s="12"/>
    </row>
    <row r="175" spans="1:11" ht="15" customHeight="1">
      <c r="A175" s="254"/>
      <c r="B175" s="7"/>
      <c r="C175" s="294"/>
      <c r="D175" s="296"/>
      <c r="E175" s="7"/>
      <c r="F175" s="7"/>
      <c r="G175" s="286"/>
      <c r="H175" s="19"/>
      <c r="I175" s="258"/>
      <c r="J175" s="363"/>
      <c r="K175" s="12"/>
    </row>
    <row r="176" spans="1:11" ht="15" customHeight="1">
      <c r="A176" s="254">
        <v>54</v>
      </c>
      <c r="B176" s="7"/>
      <c r="C176" s="294" t="s">
        <v>29</v>
      </c>
      <c r="D176" s="296" t="s">
        <v>348</v>
      </c>
      <c r="E176" s="7"/>
      <c r="F176" s="7"/>
      <c r="G176" s="286" t="s">
        <v>14</v>
      </c>
      <c r="H176" s="298">
        <v>1563748</v>
      </c>
      <c r="I176" s="258"/>
      <c r="J176" s="363"/>
      <c r="K176" s="12"/>
    </row>
    <row r="177" spans="1:11" ht="15" customHeight="1">
      <c r="A177" s="288"/>
      <c r="B177" s="11"/>
      <c r="C177" s="345"/>
      <c r="D177" s="346"/>
      <c r="E177" s="11"/>
      <c r="F177" s="11"/>
      <c r="G177" s="298"/>
      <c r="H177" s="10"/>
      <c r="I177" s="289"/>
      <c r="J177" s="366"/>
      <c r="K177" s="290"/>
    </row>
    <row r="178" spans="1:11" ht="15" customHeight="1">
      <c r="A178" s="243">
        <v>55</v>
      </c>
      <c r="B178" s="15"/>
      <c r="C178" s="347" t="s">
        <v>29</v>
      </c>
      <c r="D178" s="348" t="s">
        <v>258</v>
      </c>
      <c r="E178" s="15"/>
      <c r="F178" s="15"/>
      <c r="G178" s="286"/>
      <c r="H178" s="14"/>
      <c r="I178" s="244"/>
      <c r="J178" s="360"/>
      <c r="K178" s="245"/>
    </row>
    <row r="179" spans="1:11" ht="15" customHeight="1">
      <c r="A179" s="254"/>
      <c r="B179" s="7"/>
      <c r="C179" s="294"/>
      <c r="D179" s="296"/>
      <c r="E179" s="7"/>
      <c r="F179" s="7"/>
      <c r="G179" s="286"/>
      <c r="H179" s="19"/>
      <c r="I179" s="258"/>
      <c r="J179" s="363"/>
      <c r="K179" s="12"/>
    </row>
    <row r="180" spans="1:11" ht="15" customHeight="1">
      <c r="A180" s="254"/>
      <c r="B180" s="7"/>
      <c r="C180" s="294"/>
      <c r="D180" s="296" t="s">
        <v>482</v>
      </c>
      <c r="E180" s="7"/>
      <c r="F180" s="7"/>
      <c r="G180" s="286" t="s">
        <v>14</v>
      </c>
      <c r="H180" s="298">
        <v>9250000</v>
      </c>
      <c r="I180" s="258"/>
      <c r="J180" s="363"/>
      <c r="K180" s="12"/>
    </row>
    <row r="181" spans="1:11" ht="15" customHeight="1">
      <c r="A181" s="254"/>
      <c r="B181" s="7"/>
      <c r="C181" s="294"/>
      <c r="D181" s="296"/>
      <c r="E181" s="7"/>
      <c r="F181" s="7"/>
      <c r="G181" s="286"/>
      <c r="H181" s="19"/>
      <c r="I181" s="258"/>
      <c r="J181" s="363"/>
      <c r="K181" s="12"/>
    </row>
    <row r="182" spans="1:11" ht="15" customHeight="1">
      <c r="A182" s="254">
        <v>56</v>
      </c>
      <c r="B182" s="7"/>
      <c r="C182" s="255">
        <v>4</v>
      </c>
      <c r="D182" s="311" t="s">
        <v>75</v>
      </c>
      <c r="E182" s="260"/>
      <c r="F182" s="7"/>
      <c r="G182" s="286"/>
      <c r="H182" s="19"/>
      <c r="I182" s="258"/>
      <c r="J182" s="363"/>
      <c r="K182" s="12"/>
    </row>
    <row r="183" spans="1:11" ht="15" customHeight="1">
      <c r="A183" s="254"/>
      <c r="B183" s="7"/>
      <c r="C183" s="255"/>
      <c r="D183" s="311"/>
      <c r="E183" s="260"/>
      <c r="F183" s="7"/>
      <c r="G183" s="286"/>
      <c r="H183" s="19"/>
      <c r="I183" s="258"/>
      <c r="J183" s="363"/>
      <c r="K183" s="12"/>
    </row>
    <row r="184" spans="1:11" ht="15" customHeight="1">
      <c r="A184" s="254">
        <v>57</v>
      </c>
      <c r="B184" s="7"/>
      <c r="C184" s="255">
        <v>5</v>
      </c>
      <c r="D184" s="311" t="s">
        <v>76</v>
      </c>
      <c r="E184" s="260"/>
      <c r="F184" s="7"/>
      <c r="G184" s="286" t="s">
        <v>246</v>
      </c>
      <c r="H184" s="19"/>
      <c r="I184" s="258"/>
      <c r="J184" s="363"/>
      <c r="K184" s="12"/>
    </row>
    <row r="185" spans="1:11" ht="15" customHeight="1">
      <c r="A185" s="254"/>
      <c r="B185" s="7"/>
      <c r="C185" s="255"/>
      <c r="D185" s="311"/>
      <c r="E185" s="260"/>
      <c r="F185" s="7"/>
      <c r="G185" s="286"/>
      <c r="H185" s="19"/>
      <c r="I185" s="258"/>
      <c r="J185" s="363"/>
      <c r="K185" s="12"/>
    </row>
    <row r="186" spans="1:11" ht="15" customHeight="1">
      <c r="A186" s="254">
        <v>58</v>
      </c>
      <c r="B186" s="7"/>
      <c r="C186" s="306" t="s">
        <v>48</v>
      </c>
      <c r="D186" s="256" t="s">
        <v>259</v>
      </c>
      <c r="E186" s="256"/>
      <c r="F186" s="7"/>
      <c r="G186" s="286"/>
      <c r="H186" s="19"/>
      <c r="I186" s="258"/>
      <c r="J186" s="363"/>
      <c r="K186" s="12"/>
    </row>
    <row r="187" spans="1:11" ht="15" customHeight="1">
      <c r="A187" s="254"/>
      <c r="B187" s="7"/>
      <c r="C187" s="306"/>
      <c r="D187" s="256"/>
      <c r="E187" s="256"/>
      <c r="F187" s="7"/>
      <c r="G187" s="286"/>
      <c r="H187" s="19"/>
      <c r="I187" s="258"/>
      <c r="J187" s="363"/>
      <c r="K187" s="12"/>
    </row>
    <row r="188" spans="1:11" ht="15" customHeight="1">
      <c r="A188" s="254">
        <v>59</v>
      </c>
      <c r="B188" s="7"/>
      <c r="C188" s="255">
        <v>1</v>
      </c>
      <c r="D188" s="311" t="s">
        <v>78</v>
      </c>
      <c r="E188" s="256"/>
      <c r="F188" s="7"/>
      <c r="G188" s="286" t="s">
        <v>246</v>
      </c>
      <c r="H188" s="19"/>
      <c r="I188" s="258"/>
      <c r="J188" s="363"/>
      <c r="K188" s="12"/>
    </row>
    <row r="189" spans="1:11" ht="15" customHeight="1">
      <c r="A189" s="254"/>
      <c r="B189" s="7"/>
      <c r="C189" s="255"/>
      <c r="D189" s="311"/>
      <c r="E189" s="256"/>
      <c r="F189" s="7"/>
      <c r="G189" s="7"/>
      <c r="H189" s="19"/>
      <c r="I189" s="258"/>
      <c r="J189" s="363"/>
      <c r="K189" s="12"/>
    </row>
    <row r="190" spans="1:11" ht="15" customHeight="1">
      <c r="A190" s="254">
        <v>60</v>
      </c>
      <c r="B190" s="7"/>
      <c r="C190" s="294" t="s">
        <v>29</v>
      </c>
      <c r="D190" s="296" t="s">
        <v>79</v>
      </c>
      <c r="E190" s="7"/>
      <c r="F190" s="7"/>
      <c r="G190" s="7"/>
      <c r="H190" s="19"/>
      <c r="I190" s="258"/>
      <c r="J190" s="375"/>
      <c r="K190" s="12"/>
    </row>
    <row r="191" spans="1:11" ht="15" customHeight="1">
      <c r="A191" s="254"/>
      <c r="B191" s="7"/>
      <c r="C191" s="294"/>
      <c r="D191" s="296"/>
      <c r="E191" s="7"/>
      <c r="F191" s="7"/>
      <c r="G191" s="19"/>
      <c r="H191" s="258"/>
      <c r="I191" s="258"/>
      <c r="J191" s="375"/>
      <c r="K191" s="12"/>
    </row>
    <row r="192" spans="1:11" ht="15" customHeight="1">
      <c r="A192" s="254"/>
      <c r="B192" s="7"/>
      <c r="C192" s="294"/>
      <c r="D192" s="260" t="s">
        <v>375</v>
      </c>
      <c r="E192" s="7"/>
      <c r="F192" s="7"/>
      <c r="G192" s="19" t="s">
        <v>14</v>
      </c>
      <c r="H192" s="349">
        <v>413146560</v>
      </c>
      <c r="I192" s="258"/>
      <c r="J192" s="375"/>
      <c r="K192" s="12"/>
    </row>
    <row r="193" spans="1:11" ht="15" customHeight="1">
      <c r="A193" s="254"/>
      <c r="B193" s="7"/>
      <c r="C193" s="294"/>
      <c r="D193" s="296"/>
      <c r="E193" s="7"/>
      <c r="F193" s="7"/>
      <c r="G193" s="19"/>
      <c r="H193" s="258"/>
      <c r="I193" s="258"/>
      <c r="J193" s="363"/>
      <c r="K193" s="12"/>
    </row>
    <row r="194" spans="1:11" ht="15" customHeight="1">
      <c r="A194" s="254">
        <v>61</v>
      </c>
      <c r="B194" s="7"/>
      <c r="C194" s="294" t="s">
        <v>29</v>
      </c>
      <c r="D194" s="296" t="s">
        <v>80</v>
      </c>
      <c r="E194" s="7"/>
      <c r="F194" s="7"/>
      <c r="G194" s="286" t="s">
        <v>246</v>
      </c>
      <c r="H194" s="258"/>
      <c r="I194" s="258"/>
      <c r="J194" s="363"/>
      <c r="K194" s="12"/>
    </row>
    <row r="195" spans="1:11" ht="15" customHeight="1">
      <c r="A195" s="254"/>
      <c r="B195" s="7"/>
      <c r="C195" s="294"/>
      <c r="D195" s="296"/>
      <c r="E195" s="7"/>
      <c r="F195" s="7"/>
      <c r="G195" s="19"/>
      <c r="H195" s="258"/>
      <c r="I195" s="258"/>
      <c r="J195" s="363"/>
      <c r="K195" s="12"/>
    </row>
    <row r="196" spans="1:11" ht="15" customHeight="1">
      <c r="A196" s="254">
        <v>62</v>
      </c>
      <c r="B196" s="7"/>
      <c r="C196" s="255">
        <v>2</v>
      </c>
      <c r="D196" s="311" t="s">
        <v>260</v>
      </c>
      <c r="E196" s="260"/>
      <c r="F196" s="7"/>
      <c r="G196" s="19"/>
      <c r="H196" s="258"/>
      <c r="I196" s="258"/>
      <c r="J196" s="363"/>
      <c r="K196" s="12"/>
    </row>
    <row r="197" spans="1:11" ht="15" customHeight="1">
      <c r="A197" s="254"/>
      <c r="B197" s="7"/>
      <c r="C197" s="255"/>
      <c r="D197" s="295" t="s">
        <v>325</v>
      </c>
      <c r="E197" s="260"/>
      <c r="F197" s="7"/>
      <c r="G197" s="19" t="s">
        <v>14</v>
      </c>
      <c r="H197" s="349">
        <v>2052883</v>
      </c>
      <c r="I197" s="258"/>
      <c r="J197" s="363"/>
      <c r="K197" s="12"/>
    </row>
    <row r="198" spans="1:11" ht="15" customHeight="1">
      <c r="A198" s="254"/>
      <c r="B198" s="7"/>
      <c r="C198" s="255"/>
      <c r="D198" s="311"/>
      <c r="E198" s="260"/>
      <c r="F198" s="7"/>
      <c r="G198" s="19"/>
      <c r="H198" s="258"/>
      <c r="I198" s="258"/>
      <c r="J198" s="363"/>
      <c r="K198" s="12"/>
    </row>
    <row r="199" spans="1:11" ht="15" customHeight="1">
      <c r="A199" s="254">
        <v>63</v>
      </c>
      <c r="B199" s="7"/>
      <c r="C199" s="255">
        <v>3</v>
      </c>
      <c r="D199" s="311" t="s">
        <v>75</v>
      </c>
      <c r="E199" s="260"/>
      <c r="F199" s="7"/>
      <c r="G199" s="286" t="s">
        <v>246</v>
      </c>
      <c r="H199" s="258"/>
      <c r="I199" s="258"/>
      <c r="J199" s="363"/>
      <c r="K199" s="12"/>
    </row>
    <row r="200" spans="1:11" ht="15" customHeight="1">
      <c r="A200" s="254"/>
      <c r="B200" s="7"/>
      <c r="C200" s="255"/>
      <c r="D200" s="295"/>
      <c r="E200" s="260"/>
      <c r="F200" s="7"/>
      <c r="G200" s="19"/>
      <c r="H200" s="258"/>
      <c r="I200" s="258"/>
      <c r="J200" s="363"/>
      <c r="K200" s="12"/>
    </row>
    <row r="201" spans="1:11" ht="15" customHeight="1">
      <c r="A201" s="254">
        <v>64</v>
      </c>
      <c r="B201" s="7"/>
      <c r="C201" s="255">
        <v>4</v>
      </c>
      <c r="D201" s="311" t="s">
        <v>81</v>
      </c>
      <c r="E201" s="260"/>
      <c r="F201" s="7"/>
      <c r="G201" s="286" t="s">
        <v>246</v>
      </c>
      <c r="H201" s="258"/>
      <c r="I201" s="258"/>
      <c r="J201" s="363"/>
      <c r="K201" s="12"/>
    </row>
    <row r="202" spans="1:11" ht="15" customHeight="1">
      <c r="A202" s="254"/>
      <c r="B202" s="7"/>
      <c r="C202" s="255"/>
      <c r="D202" s="311"/>
      <c r="E202" s="260"/>
      <c r="F202" s="7"/>
      <c r="G202" s="7"/>
      <c r="H202" s="19"/>
      <c r="I202" s="258"/>
      <c r="J202" s="363"/>
      <c r="K202" s="12"/>
    </row>
    <row r="203" spans="1:11" ht="15" customHeight="1">
      <c r="A203" s="254">
        <v>66</v>
      </c>
      <c r="B203" s="7"/>
      <c r="C203" s="306" t="s">
        <v>83</v>
      </c>
      <c r="D203" s="256" t="s">
        <v>261</v>
      </c>
      <c r="E203" s="256"/>
      <c r="F203" s="7"/>
      <c r="G203" s="286"/>
      <c r="H203" s="19"/>
      <c r="I203" s="258"/>
      <c r="J203" s="363"/>
      <c r="K203" s="12"/>
    </row>
    <row r="204" spans="1:11" ht="15" customHeight="1">
      <c r="A204" s="254"/>
      <c r="B204" s="7"/>
      <c r="C204" s="306"/>
      <c r="D204" s="256"/>
      <c r="E204" s="256"/>
      <c r="F204" s="7"/>
      <c r="G204" s="286"/>
      <c r="H204" s="19"/>
      <c r="I204" s="258"/>
      <c r="J204" s="363"/>
      <c r="K204" s="12"/>
    </row>
    <row r="205" spans="1:11" ht="15" customHeight="1">
      <c r="A205" s="254">
        <v>67</v>
      </c>
      <c r="B205" s="7"/>
      <c r="C205" s="255">
        <v>1</v>
      </c>
      <c r="D205" s="311" t="s">
        <v>85</v>
      </c>
      <c r="E205" s="260"/>
      <c r="F205" s="7"/>
      <c r="G205" s="286" t="s">
        <v>246</v>
      </c>
      <c r="H205" s="19"/>
      <c r="I205" s="258"/>
      <c r="J205" s="363"/>
      <c r="K205" s="12"/>
    </row>
    <row r="206" spans="1:11" ht="15" customHeight="1">
      <c r="A206" s="254"/>
      <c r="B206" s="7"/>
      <c r="C206" s="255"/>
      <c r="D206" s="311"/>
      <c r="E206" s="260"/>
      <c r="F206" s="7"/>
      <c r="G206" s="258"/>
      <c r="H206" s="19"/>
      <c r="I206" s="258"/>
      <c r="J206" s="363"/>
      <c r="K206" s="12"/>
    </row>
    <row r="207" spans="1:11" ht="15" customHeight="1">
      <c r="A207" s="254">
        <v>68</v>
      </c>
      <c r="B207" s="7"/>
      <c r="C207" s="255">
        <v>2</v>
      </c>
      <c r="D207" s="311" t="s">
        <v>86</v>
      </c>
      <c r="E207" s="260"/>
      <c r="F207" s="7"/>
      <c r="G207" s="286" t="s">
        <v>246</v>
      </c>
      <c r="H207" s="19"/>
      <c r="I207" s="258"/>
      <c r="J207" s="363"/>
      <c r="K207" s="12"/>
    </row>
    <row r="208" spans="1:11" ht="15" customHeight="1">
      <c r="A208" s="254"/>
      <c r="B208" s="7"/>
      <c r="C208" s="255"/>
      <c r="D208" s="311"/>
      <c r="E208" s="260"/>
      <c r="F208" s="7"/>
      <c r="G208" s="7"/>
      <c r="H208" s="19"/>
      <c r="I208" s="258"/>
      <c r="J208" s="363"/>
      <c r="K208" s="12"/>
    </row>
    <row r="209" spans="1:11" ht="15" customHeight="1">
      <c r="A209" s="254">
        <v>69</v>
      </c>
      <c r="B209" s="7"/>
      <c r="C209" s="255">
        <v>3</v>
      </c>
      <c r="D209" s="311" t="s">
        <v>87</v>
      </c>
      <c r="E209" s="260"/>
      <c r="F209" s="7"/>
      <c r="G209" s="7"/>
      <c r="H209" s="19"/>
      <c r="I209" s="258"/>
      <c r="J209" s="368"/>
      <c r="K209" s="12"/>
    </row>
    <row r="210" spans="1:11" ht="15" customHeight="1">
      <c r="A210" s="254"/>
      <c r="B210" s="7"/>
      <c r="C210" s="255"/>
      <c r="D210" s="295" t="s">
        <v>376</v>
      </c>
      <c r="E210" s="260"/>
      <c r="F210" s="7"/>
      <c r="G210" s="19" t="s">
        <v>14</v>
      </c>
      <c r="H210" s="289">
        <v>167102000</v>
      </c>
      <c r="I210" s="258"/>
      <c r="J210" s="368"/>
      <c r="K210" s="12"/>
    </row>
    <row r="211" spans="1:11" ht="15" customHeight="1">
      <c r="A211" s="254"/>
      <c r="B211" s="7"/>
      <c r="C211" s="255"/>
      <c r="D211" s="311"/>
      <c r="E211" s="260"/>
      <c r="F211" s="7"/>
      <c r="G211" s="19"/>
      <c r="H211" s="258"/>
      <c r="I211" s="258"/>
      <c r="J211" s="363"/>
      <c r="K211" s="12"/>
    </row>
    <row r="212" spans="1:11" ht="15" customHeight="1">
      <c r="A212" s="254">
        <v>70</v>
      </c>
      <c r="B212" s="7"/>
      <c r="C212" s="255">
        <v>4</v>
      </c>
      <c r="D212" s="311" t="s">
        <v>88</v>
      </c>
      <c r="E212" s="260"/>
      <c r="F212" s="7"/>
      <c r="G212" s="7"/>
      <c r="H212" s="19"/>
      <c r="I212" s="258"/>
      <c r="J212" s="368"/>
      <c r="K212" s="12"/>
    </row>
    <row r="213" spans="1:11" ht="15" customHeight="1">
      <c r="A213" s="254"/>
      <c r="B213" s="7"/>
      <c r="C213" s="255"/>
      <c r="D213" s="295" t="s">
        <v>351</v>
      </c>
      <c r="E213" s="260"/>
      <c r="F213" s="7"/>
      <c r="G213" s="7"/>
      <c r="H213" s="350">
        <v>195798000</v>
      </c>
      <c r="I213" s="258"/>
      <c r="J213" s="368"/>
      <c r="K213" s="12"/>
    </row>
    <row r="214" spans="1:11" ht="15" customHeight="1">
      <c r="A214" s="254"/>
      <c r="B214" s="7"/>
      <c r="C214" s="255"/>
      <c r="D214" s="311"/>
      <c r="E214" s="260"/>
      <c r="F214" s="7"/>
      <c r="G214" s="7"/>
      <c r="H214" s="19"/>
      <c r="I214" s="258"/>
      <c r="J214" s="368"/>
      <c r="K214" s="12"/>
    </row>
    <row r="215" spans="1:11" ht="15" customHeight="1">
      <c r="A215" s="254">
        <v>71</v>
      </c>
      <c r="B215" s="7"/>
      <c r="C215" s="255">
        <v>5</v>
      </c>
      <c r="D215" s="311" t="s">
        <v>350</v>
      </c>
      <c r="E215" s="260"/>
      <c r="F215" s="7"/>
      <c r="G215" s="286"/>
      <c r="H215" s="19"/>
      <c r="I215" s="258"/>
      <c r="J215" s="363"/>
      <c r="K215" s="12"/>
    </row>
    <row r="216" spans="1:11" ht="15" customHeight="1">
      <c r="A216" s="254"/>
      <c r="B216" s="7"/>
      <c r="C216" s="255"/>
      <c r="D216" s="295" t="s">
        <v>326</v>
      </c>
      <c r="E216" s="260"/>
      <c r="F216" s="7"/>
      <c r="G216" s="19" t="s">
        <v>14</v>
      </c>
      <c r="H216" s="349">
        <v>540083814</v>
      </c>
      <c r="I216" s="258"/>
      <c r="J216" s="368"/>
      <c r="K216" s="12"/>
    </row>
    <row r="217" spans="1:11" ht="15" customHeight="1">
      <c r="A217" s="254"/>
      <c r="B217" s="7"/>
      <c r="C217" s="255"/>
      <c r="D217" s="295" t="s">
        <v>327</v>
      </c>
      <c r="E217" s="260"/>
      <c r="F217" s="7"/>
      <c r="G217" s="19"/>
      <c r="H217" s="258"/>
      <c r="I217" s="258"/>
      <c r="J217" s="363"/>
      <c r="K217" s="12"/>
    </row>
    <row r="218" spans="1:11" ht="15" customHeight="1">
      <c r="A218" s="254"/>
      <c r="B218" s="7"/>
      <c r="C218" s="255"/>
      <c r="D218" s="295"/>
      <c r="E218" s="260"/>
      <c r="F218" s="7"/>
      <c r="G218" s="19"/>
      <c r="H218" s="258"/>
      <c r="I218" s="258"/>
      <c r="J218" s="363"/>
      <c r="K218" s="12"/>
    </row>
    <row r="219" spans="1:11" ht="15" customHeight="1">
      <c r="A219" s="254"/>
      <c r="B219" s="7"/>
      <c r="C219" s="255"/>
      <c r="D219" s="295"/>
      <c r="E219" s="260"/>
      <c r="F219" s="7"/>
      <c r="G219" s="19"/>
      <c r="H219" s="19"/>
      <c r="I219" s="258"/>
      <c r="J219" s="363"/>
      <c r="K219" s="12"/>
    </row>
    <row r="220" spans="1:11" ht="19.5" customHeight="1">
      <c r="A220" s="254"/>
      <c r="B220" s="7"/>
      <c r="C220" s="255"/>
      <c r="D220" s="311"/>
      <c r="E220" s="260"/>
      <c r="F220" s="7"/>
      <c r="G220" s="286"/>
      <c r="H220" s="19"/>
      <c r="I220" s="258"/>
      <c r="J220" s="363"/>
      <c r="K220" s="12"/>
    </row>
    <row r="221" spans="1:11" ht="15" customHeight="1">
      <c r="A221" s="288">
        <v>72</v>
      </c>
      <c r="B221" s="11"/>
      <c r="C221" s="351">
        <v>6</v>
      </c>
      <c r="D221" s="352" t="s">
        <v>89</v>
      </c>
      <c r="E221" s="316"/>
      <c r="F221" s="11"/>
      <c r="G221" s="298" t="s">
        <v>246</v>
      </c>
      <c r="H221" s="10"/>
      <c r="I221" s="289"/>
      <c r="J221" s="366"/>
      <c r="K221" s="290"/>
    </row>
    <row r="222" spans="1:11" ht="15" customHeight="1">
      <c r="A222" s="243">
        <v>73</v>
      </c>
      <c r="B222" s="15"/>
      <c r="C222" s="335">
        <v>7</v>
      </c>
      <c r="D222" s="336" t="s">
        <v>90</v>
      </c>
      <c r="E222" s="293"/>
      <c r="F222" s="15"/>
      <c r="G222" s="15"/>
      <c r="H222" s="14"/>
      <c r="I222" s="244"/>
      <c r="J222" s="427"/>
      <c r="K222" s="12"/>
    </row>
    <row r="223" spans="1:11" ht="15" customHeight="1">
      <c r="A223" s="254"/>
      <c r="B223" s="7"/>
      <c r="C223" s="255"/>
      <c r="D223" s="295" t="s">
        <v>483</v>
      </c>
      <c r="E223" s="260"/>
      <c r="F223" s="7"/>
      <c r="G223" s="19" t="s">
        <v>14</v>
      </c>
      <c r="H223" s="349">
        <v>1908818</v>
      </c>
      <c r="I223" s="258"/>
      <c r="J223" s="368"/>
      <c r="K223" s="12"/>
    </row>
    <row r="224" spans="1:11" ht="15" customHeight="1">
      <c r="A224" s="254"/>
      <c r="B224" s="7"/>
      <c r="C224" s="255"/>
      <c r="D224" s="311"/>
      <c r="E224" s="260"/>
      <c r="F224" s="7"/>
      <c r="G224" s="7"/>
      <c r="H224" s="19"/>
      <c r="I224" s="258"/>
      <c r="J224" s="363"/>
      <c r="K224" s="12"/>
    </row>
    <row r="225" spans="1:11" ht="15" customHeight="1">
      <c r="A225" s="254">
        <v>74</v>
      </c>
      <c r="B225" s="7"/>
      <c r="C225" s="255">
        <v>8</v>
      </c>
      <c r="D225" s="311" t="s">
        <v>91</v>
      </c>
      <c r="E225" s="260"/>
      <c r="F225" s="7"/>
      <c r="G225" s="19" t="s">
        <v>14</v>
      </c>
      <c r="H225" s="19"/>
      <c r="I225" s="258"/>
      <c r="J225" s="363"/>
      <c r="K225" s="12"/>
    </row>
    <row r="226" spans="1:11" ht="15" customHeight="1">
      <c r="A226" s="254"/>
      <c r="B226" s="7"/>
      <c r="C226" s="255"/>
      <c r="D226" s="295" t="s">
        <v>484</v>
      </c>
      <c r="E226" s="260"/>
      <c r="F226" s="7"/>
      <c r="G226" s="286"/>
      <c r="H226" s="349">
        <v>1344776</v>
      </c>
      <c r="I226" s="258"/>
      <c r="J226" s="363"/>
      <c r="K226" s="12"/>
    </row>
    <row r="227" spans="1:11" ht="15" customHeight="1">
      <c r="A227" s="254">
        <v>75</v>
      </c>
      <c r="B227" s="7"/>
      <c r="C227" s="255">
        <v>9</v>
      </c>
      <c r="D227" s="311" t="s">
        <v>92</v>
      </c>
      <c r="E227" s="260"/>
      <c r="F227" s="7"/>
      <c r="G227" s="286" t="s">
        <v>246</v>
      </c>
      <c r="H227" s="19"/>
      <c r="I227" s="258"/>
      <c r="J227" s="363"/>
      <c r="K227" s="12"/>
    </row>
    <row r="228" spans="1:11" ht="15" customHeight="1">
      <c r="A228" s="254"/>
      <c r="B228" s="7"/>
      <c r="C228" s="255"/>
      <c r="D228" s="311"/>
      <c r="E228" s="260"/>
      <c r="F228" s="7"/>
      <c r="G228" s="286"/>
      <c r="H228" s="19"/>
      <c r="I228" s="258"/>
      <c r="J228" s="363"/>
      <c r="K228" s="12"/>
    </row>
    <row r="229" spans="1:11" ht="15" customHeight="1">
      <c r="A229" s="254">
        <v>76</v>
      </c>
      <c r="B229" s="7"/>
      <c r="C229" s="255">
        <v>10</v>
      </c>
      <c r="D229" s="311" t="s">
        <v>392</v>
      </c>
      <c r="E229" s="260"/>
      <c r="F229" s="7"/>
      <c r="G229" s="286" t="s">
        <v>14</v>
      </c>
      <c r="H229" s="344">
        <v>-67887155.64</v>
      </c>
      <c r="I229" s="258"/>
      <c r="J229" s="363"/>
      <c r="K229" s="12"/>
    </row>
    <row r="230" spans="1:11" ht="15" customHeight="1">
      <c r="A230" s="254"/>
      <c r="B230" s="7"/>
      <c r="C230" s="255"/>
      <c r="D230" s="311"/>
      <c r="E230" s="260"/>
      <c r="F230" s="7"/>
      <c r="G230" s="286"/>
      <c r="H230" s="359"/>
      <c r="I230" s="258"/>
      <c r="J230" s="363"/>
      <c r="K230" s="12"/>
    </row>
    <row r="231" spans="1:11" ht="15" customHeight="1">
      <c r="A231" s="254"/>
      <c r="B231" s="7"/>
      <c r="C231" s="255"/>
      <c r="D231" s="311"/>
      <c r="E231" s="260"/>
      <c r="F231" s="7"/>
      <c r="G231" s="286"/>
      <c r="H231" s="299"/>
      <c r="I231" s="258"/>
      <c r="J231" s="363"/>
      <c r="K231" s="12"/>
    </row>
    <row r="232" spans="1:11" ht="15" customHeight="1">
      <c r="A232" s="254">
        <v>76</v>
      </c>
      <c r="B232" s="7"/>
      <c r="C232" s="255">
        <v>11</v>
      </c>
      <c r="D232" s="311" t="s">
        <v>393</v>
      </c>
      <c r="E232" s="260"/>
      <c r="F232" s="7"/>
      <c r="G232" s="286" t="s">
        <v>14</v>
      </c>
      <c r="H232" s="344">
        <f>+H238</f>
        <v>3158743.3</v>
      </c>
      <c r="I232" s="258"/>
      <c r="J232" s="363"/>
      <c r="K232" s="12"/>
    </row>
    <row r="233" spans="1:11" ht="15" customHeight="1">
      <c r="A233" s="254"/>
      <c r="B233" s="7"/>
      <c r="C233" s="7"/>
      <c r="D233" s="7"/>
      <c r="E233" s="7"/>
      <c r="F233" s="7"/>
      <c r="G233" s="19"/>
      <c r="H233" s="469"/>
      <c r="I233" s="258"/>
      <c r="J233" s="363"/>
      <c r="K233" s="12"/>
    </row>
    <row r="234" spans="1:11" ht="15" customHeight="1">
      <c r="A234" s="254"/>
      <c r="B234" s="7"/>
      <c r="C234" s="7"/>
      <c r="D234" s="353" t="s">
        <v>262</v>
      </c>
      <c r="E234" s="378" t="s">
        <v>394</v>
      </c>
      <c r="F234" s="7"/>
      <c r="G234" s="286" t="s">
        <v>14</v>
      </c>
      <c r="H234" s="349">
        <f>+Rezultati!E28</f>
        <v>3772112</v>
      </c>
      <c r="I234" s="258"/>
      <c r="J234" s="363"/>
      <c r="K234" s="12"/>
    </row>
    <row r="235" spans="1:11" ht="15" customHeight="1">
      <c r="A235" s="254"/>
      <c r="B235" s="7"/>
      <c r="C235" s="7"/>
      <c r="D235" s="353" t="s">
        <v>262</v>
      </c>
      <c r="E235" s="7" t="s">
        <v>263</v>
      </c>
      <c r="F235" s="7"/>
      <c r="G235" s="286" t="s">
        <v>14</v>
      </c>
      <c r="H235" s="470">
        <f>+Rezultati!E36+Rezultati!E37</f>
        <v>2361575</v>
      </c>
      <c r="I235" s="258"/>
      <c r="J235" s="363"/>
      <c r="K235" s="12"/>
    </row>
    <row r="236" spans="1:11" ht="15" customHeight="1">
      <c r="A236" s="254"/>
      <c r="B236" s="7"/>
      <c r="C236" s="7"/>
      <c r="D236" s="353" t="s">
        <v>262</v>
      </c>
      <c r="E236" s="7" t="s">
        <v>121</v>
      </c>
      <c r="F236" s="7"/>
      <c r="G236" s="286" t="s">
        <v>14</v>
      </c>
      <c r="H236" s="470">
        <f>+H234+H235</f>
        <v>6133687</v>
      </c>
      <c r="I236" s="258"/>
      <c r="J236" s="363"/>
      <c r="K236" s="12"/>
    </row>
    <row r="237" spans="1:11" ht="15" customHeight="1">
      <c r="A237" s="254"/>
      <c r="B237" s="7"/>
      <c r="C237" s="7"/>
      <c r="D237" s="353" t="s">
        <v>262</v>
      </c>
      <c r="E237" s="263" t="s">
        <v>264</v>
      </c>
      <c r="F237" s="7"/>
      <c r="G237" s="286" t="s">
        <v>14</v>
      </c>
      <c r="H237" s="470">
        <f>+H236*10%</f>
        <v>613368.7000000001</v>
      </c>
      <c r="I237" s="258"/>
      <c r="J237" s="363"/>
      <c r="K237" s="12"/>
    </row>
    <row r="238" spans="1:11" ht="15" customHeight="1">
      <c r="A238" s="254"/>
      <c r="B238" s="7"/>
      <c r="C238" s="7"/>
      <c r="D238" s="353" t="s">
        <v>262</v>
      </c>
      <c r="E238" s="263" t="s">
        <v>437</v>
      </c>
      <c r="F238" s="7"/>
      <c r="G238" s="286" t="s">
        <v>14</v>
      </c>
      <c r="H238" s="343">
        <f>+H234-H237</f>
        <v>3158743.3</v>
      </c>
      <c r="I238" s="258"/>
      <c r="J238" s="363"/>
      <c r="K238" s="12"/>
    </row>
    <row r="239" spans="1:11" ht="15" customHeight="1">
      <c r="A239" s="254"/>
      <c r="B239" s="7"/>
      <c r="C239" s="7"/>
      <c r="D239" s="7"/>
      <c r="E239" s="7"/>
      <c r="F239" s="7"/>
      <c r="G239" s="7"/>
      <c r="H239" s="338"/>
      <c r="I239" s="258"/>
      <c r="J239" s="363"/>
      <c r="K239" s="12"/>
    </row>
    <row r="240" spans="1:11" ht="15" customHeight="1">
      <c r="A240" s="136"/>
      <c r="B240" s="377"/>
      <c r="C240" s="137"/>
      <c r="D240" s="137"/>
      <c r="E240" s="137"/>
      <c r="F240" s="137"/>
      <c r="G240" s="137"/>
      <c r="H240" s="137"/>
      <c r="I240" s="137"/>
      <c r="J240" s="138"/>
      <c r="K240" s="379"/>
    </row>
    <row r="241" spans="1:11" ht="15" customHeight="1">
      <c r="A241" s="136"/>
      <c r="B241" s="377"/>
      <c r="C241" s="137"/>
      <c r="D241" s="137"/>
      <c r="E241" s="415" t="s">
        <v>395</v>
      </c>
      <c r="F241" s="415"/>
      <c r="G241" s="415"/>
      <c r="H241" s="415"/>
      <c r="I241" s="415"/>
      <c r="J241" s="421"/>
      <c r="K241" s="415"/>
    </row>
    <row r="242" spans="1:11" ht="15" customHeight="1">
      <c r="A242" s="136"/>
      <c r="B242" s="377"/>
      <c r="C242" s="137"/>
      <c r="D242" s="137"/>
      <c r="E242" s="137"/>
      <c r="F242" s="137"/>
      <c r="G242" s="137"/>
      <c r="H242" s="137"/>
      <c r="I242" s="137"/>
      <c r="J242" s="12"/>
      <c r="K242" s="380"/>
    </row>
    <row r="243" spans="1:11" ht="15" customHeight="1">
      <c r="A243" s="136"/>
      <c r="B243" s="377"/>
      <c r="C243" s="137"/>
      <c r="D243" s="137"/>
      <c r="E243" s="381"/>
      <c r="F243" s="377"/>
      <c r="G243" s="377"/>
      <c r="H243" s="377"/>
      <c r="I243" s="377"/>
      <c r="J243" s="146"/>
      <c r="K243" s="380"/>
    </row>
    <row r="244" spans="1:11" ht="15" customHeight="1">
      <c r="A244" s="136"/>
      <c r="B244" s="377"/>
      <c r="C244" s="137"/>
      <c r="D244" s="381" t="s">
        <v>396</v>
      </c>
      <c r="E244" s="377"/>
      <c r="F244" s="377"/>
      <c r="G244" s="286" t="s">
        <v>14</v>
      </c>
      <c r="H244" s="399">
        <f>+Rezultati!E9</f>
        <v>178288496</v>
      </c>
      <c r="I244" s="377"/>
      <c r="J244" s="146"/>
      <c r="K244" s="382">
        <v>29866538</v>
      </c>
    </row>
    <row r="245" spans="1:11" ht="15" customHeight="1">
      <c r="A245" s="136"/>
      <c r="B245" s="377"/>
      <c r="C245" s="137"/>
      <c r="D245" s="381"/>
      <c r="E245" s="377"/>
      <c r="F245" s="377"/>
      <c r="G245" s="377"/>
      <c r="H245" s="377"/>
      <c r="I245" s="377"/>
      <c r="J245" s="146"/>
      <c r="K245" s="382"/>
    </row>
    <row r="246" spans="1:11" ht="15" customHeight="1">
      <c r="A246" s="136"/>
      <c r="B246" s="377"/>
      <c r="C246" s="137"/>
      <c r="D246" s="381" t="s">
        <v>397</v>
      </c>
      <c r="E246" s="377"/>
      <c r="F246" s="377"/>
      <c r="G246" s="377"/>
      <c r="H246" s="377"/>
      <c r="I246" s="377"/>
      <c r="J246" s="146"/>
      <c r="K246" s="383"/>
    </row>
    <row r="247" spans="1:11" ht="15" customHeight="1">
      <c r="A247" s="136"/>
      <c r="B247" s="377"/>
      <c r="C247" s="137"/>
      <c r="D247" s="384"/>
      <c r="E247" s="384" t="s">
        <v>427</v>
      </c>
      <c r="F247" s="384"/>
      <c r="G247" s="286" t="s">
        <v>14</v>
      </c>
      <c r="H247" s="401">
        <f>+Rezultati!E10</f>
        <v>41663554</v>
      </c>
      <c r="I247" s="137"/>
      <c r="J247" s="12"/>
      <c r="K247" s="383"/>
    </row>
    <row r="248" spans="1:11" ht="15" customHeight="1">
      <c r="A248" s="136"/>
      <c r="B248" s="377"/>
      <c r="C248" s="137"/>
      <c r="D248" s="384"/>
      <c r="E248" s="137"/>
      <c r="F248" s="137"/>
      <c r="G248" s="384"/>
      <c r="H248" s="137"/>
      <c r="I248" s="137"/>
      <c r="J248" s="12"/>
      <c r="K248" s="383"/>
    </row>
    <row r="249" spans="1:11" ht="15" customHeight="1">
      <c r="A249" s="136"/>
      <c r="B249" s="377"/>
      <c r="C249" s="137"/>
      <c r="D249" s="385" t="s">
        <v>398</v>
      </c>
      <c r="E249" s="137"/>
      <c r="F249" s="137"/>
      <c r="G249" s="286" t="s">
        <v>14</v>
      </c>
      <c r="H249" s="401">
        <f>+Rezultati!E11</f>
        <v>5351833</v>
      </c>
      <c r="I249" s="137"/>
      <c r="J249" s="12"/>
      <c r="K249" s="383">
        <v>-22026</v>
      </c>
    </row>
    <row r="250" spans="1:11" ht="15" customHeight="1">
      <c r="A250" s="136"/>
      <c r="B250" s="377"/>
      <c r="C250" s="137"/>
      <c r="D250" s="384"/>
      <c r="E250" s="137"/>
      <c r="F250" s="137"/>
      <c r="G250" s="384"/>
      <c r="H250" s="137"/>
      <c r="I250" s="137"/>
      <c r="J250" s="12"/>
      <c r="K250" s="383"/>
    </row>
    <row r="251" spans="1:11" ht="15" customHeight="1">
      <c r="A251" s="136"/>
      <c r="B251" s="377"/>
      <c r="C251" s="137"/>
      <c r="D251" s="384"/>
      <c r="E251" s="137"/>
      <c r="F251" s="137"/>
      <c r="G251" s="384"/>
      <c r="H251" s="137"/>
      <c r="I251" s="137"/>
      <c r="J251" s="12"/>
      <c r="K251" s="383"/>
    </row>
    <row r="252" spans="1:11" ht="15" customHeight="1">
      <c r="A252" s="136"/>
      <c r="B252" s="377"/>
      <c r="C252" s="137"/>
      <c r="D252" s="385" t="s">
        <v>99</v>
      </c>
      <c r="E252" s="137"/>
      <c r="F252" s="137"/>
      <c r="G252" s="384"/>
      <c r="H252" s="137"/>
      <c r="I252" s="137"/>
      <c r="J252" s="12"/>
      <c r="K252" s="386">
        <f>+K253+K254</f>
        <v>16845789.92</v>
      </c>
    </row>
    <row r="253" spans="1:11" ht="15" customHeight="1">
      <c r="A253" s="136"/>
      <c r="B253" s="377"/>
      <c r="C253" s="137"/>
      <c r="D253" s="385"/>
      <c r="E253" s="403" t="s">
        <v>399</v>
      </c>
      <c r="F253" s="384"/>
      <c r="G253" s="286" t="s">
        <v>14</v>
      </c>
      <c r="H253" s="473">
        <f>+Rezultati!E12</f>
        <v>150278117</v>
      </c>
      <c r="I253" s="137"/>
      <c r="J253" s="12"/>
      <c r="K253" s="238">
        <f>11868919.81+163450+58900</f>
        <v>12091269.81</v>
      </c>
    </row>
    <row r="254" spans="1:11" ht="15" customHeight="1">
      <c r="A254" s="136"/>
      <c r="B254" s="377"/>
      <c r="C254" s="137"/>
      <c r="D254" s="385"/>
      <c r="E254" s="403" t="s">
        <v>428</v>
      </c>
      <c r="F254" s="384"/>
      <c r="G254" s="286" t="s">
        <v>14</v>
      </c>
      <c r="H254" s="474">
        <v>149049353</v>
      </c>
      <c r="I254" s="137"/>
      <c r="J254" s="471"/>
      <c r="K254" s="238">
        <v>4754520.11</v>
      </c>
    </row>
    <row r="255" spans="1:11" ht="15" customHeight="1">
      <c r="A255" s="136"/>
      <c r="B255" s="377"/>
      <c r="C255" s="137"/>
      <c r="D255" s="385"/>
      <c r="E255" s="403" t="s">
        <v>429</v>
      </c>
      <c r="F255" s="384"/>
      <c r="G255" s="286" t="s">
        <v>14</v>
      </c>
      <c r="H255" s="474">
        <v>1228764</v>
      </c>
      <c r="I255" s="137"/>
      <c r="J255" s="471"/>
      <c r="K255" s="238"/>
    </row>
    <row r="256" spans="1:11" ht="15" customHeight="1">
      <c r="A256" s="136"/>
      <c r="B256" s="377"/>
      <c r="C256" s="137"/>
      <c r="D256" s="385" t="s">
        <v>400</v>
      </c>
      <c r="E256" s="137"/>
      <c r="F256" s="137"/>
      <c r="G256" s="384"/>
      <c r="H256" s="137"/>
      <c r="I256" s="137"/>
      <c r="J256" s="471"/>
      <c r="K256" s="386">
        <f>+K257+K258</f>
        <v>7187067</v>
      </c>
    </row>
    <row r="257" spans="1:11" ht="15" customHeight="1">
      <c r="A257" s="136"/>
      <c r="B257" s="377"/>
      <c r="C257" s="137"/>
      <c r="D257" s="137"/>
      <c r="E257" s="387" t="s">
        <v>401</v>
      </c>
      <c r="F257" s="387"/>
      <c r="G257" s="286" t="s">
        <v>14</v>
      </c>
      <c r="H257" s="404">
        <v>27028494</v>
      </c>
      <c r="I257" s="137"/>
      <c r="J257" s="12"/>
      <c r="K257" s="238">
        <v>6087301</v>
      </c>
    </row>
    <row r="258" spans="1:11" ht="15" customHeight="1">
      <c r="A258" s="136"/>
      <c r="B258" s="377"/>
      <c r="C258" s="137"/>
      <c r="D258" s="137"/>
      <c r="E258" s="384" t="s">
        <v>402</v>
      </c>
      <c r="F258" s="384"/>
      <c r="G258" s="286" t="s">
        <v>14</v>
      </c>
      <c r="H258" s="404">
        <v>3908989</v>
      </c>
      <c r="I258" s="137"/>
      <c r="J258" s="471"/>
      <c r="K258" s="238">
        <v>1099766</v>
      </c>
    </row>
    <row r="259" spans="1:11" ht="15" customHeight="1">
      <c r="A259" s="136"/>
      <c r="B259" s="377"/>
      <c r="C259" s="137"/>
      <c r="D259" s="137"/>
      <c r="E259" s="137"/>
      <c r="F259" s="137"/>
      <c r="G259" s="384"/>
      <c r="H259" s="137"/>
      <c r="I259" s="137"/>
      <c r="J259" s="12"/>
      <c r="K259" s="238"/>
    </row>
    <row r="260" spans="1:11" ht="15" customHeight="1">
      <c r="A260" s="136"/>
      <c r="B260" s="377"/>
      <c r="C260" s="137"/>
      <c r="D260" s="137"/>
      <c r="E260" s="137"/>
      <c r="F260" s="137"/>
      <c r="G260" s="137"/>
      <c r="H260" s="137"/>
      <c r="I260" s="137"/>
      <c r="J260" s="12"/>
      <c r="K260" s="389"/>
    </row>
    <row r="261" spans="1:11" ht="15" customHeight="1">
      <c r="A261" s="136"/>
      <c r="B261" s="377"/>
      <c r="C261" s="137"/>
      <c r="D261" s="137" t="s">
        <v>103</v>
      </c>
      <c r="E261" s="137"/>
      <c r="F261" s="137"/>
      <c r="G261" s="137"/>
      <c r="H261" s="137"/>
      <c r="I261" s="137"/>
      <c r="J261" s="12"/>
      <c r="K261" s="391">
        <f>SUM(K262:K264)</f>
        <v>529450</v>
      </c>
    </row>
    <row r="262" spans="1:11" ht="15" customHeight="1">
      <c r="A262" s="136"/>
      <c r="B262" s="377"/>
      <c r="C262" s="137"/>
      <c r="D262" s="137"/>
      <c r="E262" s="387" t="s">
        <v>403</v>
      </c>
      <c r="F262" s="137"/>
      <c r="G262" s="286" t="s">
        <v>14</v>
      </c>
      <c r="H262" s="401">
        <v>419799</v>
      </c>
      <c r="I262" s="137"/>
      <c r="J262" s="12"/>
      <c r="K262" s="238">
        <v>100000</v>
      </c>
    </row>
    <row r="263" spans="1:11" ht="15" customHeight="1">
      <c r="A263" s="136"/>
      <c r="B263" s="377"/>
      <c r="C263" s="137"/>
      <c r="D263" s="137"/>
      <c r="E263" s="387" t="s">
        <v>404</v>
      </c>
      <c r="F263" s="137"/>
      <c r="G263" s="286" t="s">
        <v>14</v>
      </c>
      <c r="H263" s="402">
        <v>1025171</v>
      </c>
      <c r="I263" s="137"/>
      <c r="J263" s="12"/>
      <c r="K263" s="238">
        <v>318750</v>
      </c>
    </row>
    <row r="264" spans="1:11" ht="15" customHeight="1">
      <c r="A264" s="136"/>
      <c r="B264" s="377"/>
      <c r="C264" s="137"/>
      <c r="D264" s="137"/>
      <c r="E264" s="387" t="s">
        <v>430</v>
      </c>
      <c r="F264" s="137"/>
      <c r="G264" s="286" t="s">
        <v>14</v>
      </c>
      <c r="H264" s="402">
        <v>523530</v>
      </c>
      <c r="I264" s="137"/>
      <c r="J264" s="12"/>
      <c r="K264" s="238">
        <v>110700</v>
      </c>
    </row>
    <row r="265" spans="1:11" ht="15" customHeight="1">
      <c r="A265" s="147"/>
      <c r="B265" s="388"/>
      <c r="C265" s="148"/>
      <c r="D265" s="148"/>
      <c r="E265" s="148"/>
      <c r="F265" s="148"/>
      <c r="G265" s="148"/>
      <c r="H265" s="148"/>
      <c r="I265" s="148"/>
      <c r="J265" s="290"/>
      <c r="K265" s="238"/>
    </row>
    <row r="266" spans="1:11" ht="15" customHeight="1">
      <c r="A266" s="121"/>
      <c r="B266" s="390"/>
      <c r="C266" s="122"/>
      <c r="D266" s="428" t="s">
        <v>405</v>
      </c>
      <c r="E266" s="122"/>
      <c r="F266" s="122"/>
      <c r="G266" s="122"/>
      <c r="H266" s="420"/>
      <c r="I266" s="122"/>
      <c r="J266" s="245"/>
      <c r="K266" s="386">
        <f>SUM(K268:K285)</f>
        <v>553506.97</v>
      </c>
    </row>
    <row r="267" spans="1:11" ht="15" customHeight="1">
      <c r="A267" s="136"/>
      <c r="B267" s="377"/>
      <c r="C267" s="137"/>
      <c r="D267" s="144"/>
      <c r="E267" s="405" t="s">
        <v>490</v>
      </c>
      <c r="F267" s="406"/>
      <c r="G267" s="406"/>
      <c r="H267" s="137"/>
      <c r="I267" s="137"/>
      <c r="J267" s="12"/>
      <c r="K267" s="386"/>
    </row>
    <row r="268" spans="1:11" ht="15" customHeight="1">
      <c r="A268" s="136"/>
      <c r="B268" s="377"/>
      <c r="C268" s="137"/>
      <c r="D268" s="137"/>
      <c r="E268" s="392" t="s">
        <v>406</v>
      </c>
      <c r="F268" s="137"/>
      <c r="G268" s="286" t="s">
        <v>14</v>
      </c>
      <c r="H268" s="401">
        <v>19022770</v>
      </c>
      <c r="I268" s="137"/>
      <c r="J268" s="12"/>
      <c r="K268" s="238">
        <v>234683.99</v>
      </c>
    </row>
    <row r="269" spans="1:11" ht="15" customHeight="1">
      <c r="A269" s="136"/>
      <c r="B269" s="377"/>
      <c r="C269" s="137"/>
      <c r="D269" s="137"/>
      <c r="E269" s="392" t="s">
        <v>407</v>
      </c>
      <c r="F269" s="137"/>
      <c r="G269" s="286" t="s">
        <v>14</v>
      </c>
      <c r="H269" s="402">
        <f>2076949+58380</f>
        <v>2135329</v>
      </c>
      <c r="I269" s="137"/>
      <c r="J269" s="12"/>
      <c r="K269" s="238">
        <v>29400</v>
      </c>
    </row>
    <row r="270" spans="1:11" ht="15" customHeight="1">
      <c r="A270" s="136"/>
      <c r="B270" s="377"/>
      <c r="C270" s="137"/>
      <c r="D270" s="137"/>
      <c r="E270" s="392" t="s">
        <v>408</v>
      </c>
      <c r="F270" s="137"/>
      <c r="G270" s="286" t="s">
        <v>14</v>
      </c>
      <c r="H270" s="402">
        <f>16056+14750</f>
        <v>30806</v>
      </c>
      <c r="I270" s="137"/>
      <c r="J270" s="12"/>
      <c r="K270" s="238">
        <f>217208-58900</f>
        <v>158308</v>
      </c>
    </row>
    <row r="271" spans="1:11" ht="15" customHeight="1">
      <c r="A271" s="136"/>
      <c r="B271" s="377"/>
      <c r="C271" s="137"/>
      <c r="D271" s="137"/>
      <c r="E271" s="392" t="s">
        <v>409</v>
      </c>
      <c r="F271" s="137"/>
      <c r="G271" s="286" t="s">
        <v>14</v>
      </c>
      <c r="H271" s="409">
        <f>19857</f>
        <v>19857</v>
      </c>
      <c r="I271" s="137"/>
      <c r="J271" s="12"/>
      <c r="K271" s="238">
        <v>19500</v>
      </c>
    </row>
    <row r="272" spans="1:11" ht="15" customHeight="1">
      <c r="A272" s="136"/>
      <c r="B272" s="377"/>
      <c r="C272" s="137"/>
      <c r="D272" s="137"/>
      <c r="E272" s="392" t="s">
        <v>410</v>
      </c>
      <c r="F272" s="137"/>
      <c r="G272" s="286" t="s">
        <v>14</v>
      </c>
      <c r="H272" s="409">
        <v>1759884</v>
      </c>
      <c r="I272" s="137"/>
      <c r="J272" s="12"/>
      <c r="K272" s="238">
        <v>72039.1</v>
      </c>
    </row>
    <row r="273" spans="1:11" ht="15" customHeight="1">
      <c r="A273" s="136"/>
      <c r="B273" s="377"/>
      <c r="C273" s="137"/>
      <c r="D273" s="137"/>
      <c r="E273" s="392" t="s">
        <v>486</v>
      </c>
      <c r="F273" s="137"/>
      <c r="G273" s="286" t="s">
        <v>14</v>
      </c>
      <c r="H273" s="409">
        <v>1278540</v>
      </c>
      <c r="I273" s="137"/>
      <c r="J273" s="12"/>
      <c r="K273" s="238"/>
    </row>
    <row r="274" spans="1:11" ht="15" customHeight="1">
      <c r="A274" s="136"/>
      <c r="B274" s="377"/>
      <c r="C274" s="137"/>
      <c r="D274" s="137"/>
      <c r="E274" s="392" t="s">
        <v>433</v>
      </c>
      <c r="F274" s="137"/>
      <c r="G274" s="286" t="s">
        <v>14</v>
      </c>
      <c r="H274" s="409">
        <v>11760</v>
      </c>
      <c r="I274" s="137"/>
      <c r="J274" s="12"/>
      <c r="K274" s="238"/>
    </row>
    <row r="275" spans="1:10" ht="15" customHeight="1">
      <c r="A275" s="254"/>
      <c r="E275" s="5" t="s">
        <v>434</v>
      </c>
      <c r="G275" s="286" t="s">
        <v>14</v>
      </c>
      <c r="H275" s="410">
        <v>584125</v>
      </c>
      <c r="J275" s="363"/>
    </row>
    <row r="276" spans="1:10" ht="15" customHeight="1">
      <c r="A276" s="254"/>
      <c r="E276" s="5" t="s">
        <v>487</v>
      </c>
      <c r="G276" s="286" t="s">
        <v>14</v>
      </c>
      <c r="H276" s="410">
        <v>708497</v>
      </c>
      <c r="J276" s="363"/>
    </row>
    <row r="277" spans="1:10" ht="15" customHeight="1">
      <c r="A277" s="254"/>
      <c r="E277" s="5" t="s">
        <v>488</v>
      </c>
      <c r="G277" s="286" t="s">
        <v>14</v>
      </c>
      <c r="H277" s="410">
        <v>1549708</v>
      </c>
      <c r="J277" s="363"/>
    </row>
    <row r="278" spans="1:11" ht="15" customHeight="1">
      <c r="A278" s="136"/>
      <c r="B278" s="377"/>
      <c r="C278" s="137"/>
      <c r="D278" s="137"/>
      <c r="E278" s="407" t="s">
        <v>491</v>
      </c>
      <c r="F278" s="406"/>
      <c r="G278" s="286"/>
      <c r="H278" s="400"/>
      <c r="I278" s="137"/>
      <c r="J278" s="12"/>
      <c r="K278" s="238"/>
    </row>
    <row r="279" spans="1:11" ht="15" customHeight="1">
      <c r="A279" s="136"/>
      <c r="B279" s="377"/>
      <c r="C279" s="137"/>
      <c r="D279" s="137"/>
      <c r="E279" s="392" t="s">
        <v>432</v>
      </c>
      <c r="F279" s="137"/>
      <c r="G279" s="286" t="s">
        <v>14</v>
      </c>
      <c r="H279" s="401">
        <f>1078420+100</f>
        <v>1078520</v>
      </c>
      <c r="I279" s="137"/>
      <c r="J279" s="12"/>
      <c r="K279" s="238"/>
    </row>
    <row r="280" spans="1:11" ht="15" customHeight="1">
      <c r="A280" s="136"/>
      <c r="B280" s="377"/>
      <c r="C280" s="137"/>
      <c r="D280" s="137"/>
      <c r="E280" s="392" t="s">
        <v>485</v>
      </c>
      <c r="F280" s="137"/>
      <c r="G280" s="286" t="s">
        <v>14</v>
      </c>
      <c r="H280" s="402">
        <v>720000</v>
      </c>
      <c r="I280" s="137"/>
      <c r="J280" s="12"/>
      <c r="K280" s="238"/>
    </row>
    <row r="281" spans="1:11" ht="15" customHeight="1">
      <c r="A281" s="136"/>
      <c r="B281" s="377"/>
      <c r="C281" s="137"/>
      <c r="D281" s="137"/>
      <c r="E281" s="392" t="s">
        <v>431</v>
      </c>
      <c r="F281" s="137"/>
      <c r="G281" s="286" t="s">
        <v>14</v>
      </c>
      <c r="H281" s="402">
        <v>95000</v>
      </c>
      <c r="I281" s="137"/>
      <c r="J281" s="12"/>
      <c r="K281" s="238"/>
    </row>
    <row r="282" spans="1:11" ht="15" customHeight="1">
      <c r="A282" s="136"/>
      <c r="B282" s="377"/>
      <c r="C282" s="137"/>
      <c r="D282" s="137"/>
      <c r="E282" s="392" t="s">
        <v>409</v>
      </c>
      <c r="F282" s="137"/>
      <c r="G282" s="286" t="s">
        <v>14</v>
      </c>
      <c r="H282" s="409">
        <f>161506</f>
        <v>161506</v>
      </c>
      <c r="I282" s="137"/>
      <c r="J282" s="12"/>
      <c r="K282" s="238">
        <v>19500</v>
      </c>
    </row>
    <row r="283" spans="1:11" ht="15" customHeight="1">
      <c r="A283" s="136"/>
      <c r="B283" s="377"/>
      <c r="C283" s="137"/>
      <c r="D283" s="137"/>
      <c r="E283" s="392" t="s">
        <v>489</v>
      </c>
      <c r="F283" s="137"/>
      <c r="G283" s="286" t="s">
        <v>14</v>
      </c>
      <c r="H283" s="409">
        <v>80000</v>
      </c>
      <c r="I283" s="137"/>
      <c r="J283" s="12"/>
      <c r="K283" s="238"/>
    </row>
    <row r="284" spans="1:11" ht="15" customHeight="1">
      <c r="A284" s="136"/>
      <c r="B284" s="377"/>
      <c r="C284" s="137"/>
      <c r="D284" s="137"/>
      <c r="E284" s="392" t="s">
        <v>492</v>
      </c>
      <c r="F284" s="137"/>
      <c r="G284" s="286" t="s">
        <v>14</v>
      </c>
      <c r="H284" s="409">
        <v>278540</v>
      </c>
      <c r="I284" s="137"/>
      <c r="J284" s="12"/>
      <c r="K284" s="238"/>
    </row>
    <row r="285" spans="1:11" ht="15" customHeight="1">
      <c r="A285" s="136"/>
      <c r="B285" s="377"/>
      <c r="C285" s="137"/>
      <c r="D285" s="137"/>
      <c r="E285" s="392" t="s">
        <v>411</v>
      </c>
      <c r="F285" s="137"/>
      <c r="G285" s="286" t="s">
        <v>14</v>
      </c>
      <c r="H285" s="409">
        <v>1083035</v>
      </c>
      <c r="I285" s="137"/>
      <c r="J285" s="12"/>
      <c r="K285" s="238">
        <v>20075.88</v>
      </c>
    </row>
    <row r="286" spans="1:11" ht="15" customHeight="1">
      <c r="A286" s="136"/>
      <c r="B286" s="377"/>
      <c r="C286" s="137"/>
      <c r="D286" s="137"/>
      <c r="E286" s="407" t="s">
        <v>435</v>
      </c>
      <c r="F286" s="406"/>
      <c r="G286" s="286" t="s">
        <v>14</v>
      </c>
      <c r="H286" s="411">
        <f>SUM(H268:H285)</f>
        <v>30597877</v>
      </c>
      <c r="I286" s="137"/>
      <c r="J286" s="471"/>
      <c r="K286" s="238"/>
    </row>
    <row r="287" spans="1:11" ht="15" customHeight="1">
      <c r="A287" s="136"/>
      <c r="B287" s="377"/>
      <c r="C287" s="137"/>
      <c r="D287" s="137"/>
      <c r="E287" s="392"/>
      <c r="F287" s="137"/>
      <c r="G287" s="392"/>
      <c r="H287" s="408"/>
      <c r="I287" s="137"/>
      <c r="J287" s="12"/>
      <c r="K287" s="238"/>
    </row>
    <row r="288" spans="1:11" ht="15" customHeight="1">
      <c r="A288" s="136"/>
      <c r="B288" s="377"/>
      <c r="C288" s="137"/>
      <c r="D288" s="137"/>
      <c r="E288" s="137"/>
      <c r="F288" s="137"/>
      <c r="G288" s="392"/>
      <c r="H288" s="137"/>
      <c r="I288" s="137"/>
      <c r="J288" s="12"/>
      <c r="K288" s="393"/>
    </row>
    <row r="289" spans="1:11" ht="15" customHeight="1">
      <c r="A289" s="136"/>
      <c r="B289" s="377"/>
      <c r="C289" s="137"/>
      <c r="D289" s="137" t="s">
        <v>412</v>
      </c>
      <c r="E289" s="137"/>
      <c r="F289" s="137"/>
      <c r="G289" s="392"/>
      <c r="H289" s="137"/>
      <c r="I289" s="137"/>
      <c r="J289" s="12"/>
      <c r="K289" s="394">
        <f>+K290-K291</f>
        <v>-434682.95</v>
      </c>
    </row>
    <row r="290" spans="1:11" ht="15" customHeight="1">
      <c r="A290" s="136"/>
      <c r="B290" s="377"/>
      <c r="C290" s="137"/>
      <c r="D290" s="137"/>
      <c r="E290" s="392" t="s">
        <v>413</v>
      </c>
      <c r="F290" s="137"/>
      <c r="G290" s="392"/>
      <c r="H290" s="401">
        <v>947479</v>
      </c>
      <c r="I290" s="137"/>
      <c r="J290" s="12"/>
      <c r="K290" s="393">
        <v>9152.76</v>
      </c>
    </row>
    <row r="291" spans="1:11" ht="15" customHeight="1">
      <c r="A291" s="136"/>
      <c r="B291" s="377"/>
      <c r="C291" s="137"/>
      <c r="D291" s="137"/>
      <c r="E291" s="392" t="s">
        <v>414</v>
      </c>
      <c r="F291" s="137"/>
      <c r="G291" s="392"/>
      <c r="H291" s="412">
        <f>-58806-592852</f>
        <v>-651658</v>
      </c>
      <c r="I291" s="137"/>
      <c r="J291" s="12"/>
      <c r="K291" s="393">
        <v>443835.71</v>
      </c>
    </row>
    <row r="292" spans="1:11" ht="15" customHeight="1">
      <c r="A292" s="136"/>
      <c r="B292" s="377"/>
      <c r="C292" s="137"/>
      <c r="D292" s="137"/>
      <c r="E292" s="144" t="s">
        <v>436</v>
      </c>
      <c r="F292" s="137"/>
      <c r="G292" s="137"/>
      <c r="H292" s="402">
        <v>1603873</v>
      </c>
      <c r="I292" s="137"/>
      <c r="J292" s="12"/>
      <c r="K292" s="238"/>
    </row>
    <row r="293" spans="1:11" ht="15" customHeight="1">
      <c r="A293" s="136"/>
      <c r="B293" s="377"/>
      <c r="C293" s="137"/>
      <c r="D293" s="137"/>
      <c r="E293" s="137"/>
      <c r="F293" s="137"/>
      <c r="G293" s="137"/>
      <c r="H293" s="137"/>
      <c r="I293" s="137"/>
      <c r="J293" s="12"/>
      <c r="K293" s="238">
        <v>3678913</v>
      </c>
    </row>
    <row r="294" spans="1:11" ht="15" customHeight="1">
      <c r="A294" s="136"/>
      <c r="B294" s="377"/>
      <c r="C294" s="137"/>
      <c r="D294" s="137"/>
      <c r="E294" s="137"/>
      <c r="F294" s="137"/>
      <c r="G294" s="137"/>
      <c r="H294" s="137"/>
      <c r="I294" s="137"/>
      <c r="J294" s="12"/>
      <c r="K294" s="238"/>
    </row>
    <row r="295" spans="1:11" ht="15" customHeight="1">
      <c r="A295" s="136"/>
      <c r="B295" s="377"/>
      <c r="C295" s="137"/>
      <c r="D295" s="137"/>
      <c r="E295" s="137"/>
      <c r="F295" s="137"/>
      <c r="G295" s="137"/>
      <c r="H295" s="137"/>
      <c r="I295" s="137"/>
      <c r="J295" s="12"/>
      <c r="K295" s="238"/>
    </row>
    <row r="296" spans="1:11" ht="15" customHeight="1">
      <c r="A296" s="136"/>
      <c r="B296" s="377"/>
      <c r="C296" s="137"/>
      <c r="D296" s="137"/>
      <c r="E296" s="137"/>
      <c r="F296" s="137"/>
      <c r="G296" s="137"/>
      <c r="H296" s="137"/>
      <c r="I296" s="137"/>
      <c r="J296" s="12"/>
      <c r="K296" s="380"/>
    </row>
    <row r="297" spans="1:11" ht="15" customHeight="1">
      <c r="A297" s="136"/>
      <c r="B297" s="377"/>
      <c r="C297" s="137"/>
      <c r="D297" s="137"/>
      <c r="E297" s="137"/>
      <c r="F297" s="137"/>
      <c r="G297" s="137"/>
      <c r="H297" s="137"/>
      <c r="I297" s="137"/>
      <c r="J297" s="138"/>
      <c r="K297" s="379"/>
    </row>
    <row r="298" spans="1:11" ht="15" customHeight="1">
      <c r="A298" s="136"/>
      <c r="B298" s="377"/>
      <c r="C298" s="137"/>
      <c r="D298" s="137"/>
      <c r="E298" s="36" t="s">
        <v>416</v>
      </c>
      <c r="F298" s="36"/>
      <c r="G298" s="36"/>
      <c r="H298" s="36"/>
      <c r="I298" s="36"/>
      <c r="J298" s="422"/>
      <c r="K298" s="36"/>
    </row>
    <row r="299" spans="1:11" ht="7.5" customHeight="1">
      <c r="A299" s="136"/>
      <c r="B299" s="377"/>
      <c r="C299" s="137"/>
      <c r="D299" s="137"/>
      <c r="E299" s="137"/>
      <c r="F299" s="137"/>
      <c r="G299" s="137"/>
      <c r="H299" s="137"/>
      <c r="I299" s="137"/>
      <c r="J299" s="12"/>
      <c r="K299" s="380"/>
    </row>
    <row r="300" spans="1:11" ht="15" customHeight="1">
      <c r="A300" s="136"/>
      <c r="B300" s="377"/>
      <c r="C300" s="137"/>
      <c r="D300" s="137"/>
      <c r="E300" s="137"/>
      <c r="F300" s="137"/>
      <c r="G300" s="137"/>
      <c r="H300" s="137"/>
      <c r="I300" s="137"/>
      <c r="J300" s="12"/>
      <c r="K300" s="380"/>
    </row>
    <row r="301" spans="1:11" ht="15" customHeight="1">
      <c r="A301" s="136"/>
      <c r="B301" s="377"/>
      <c r="C301" s="137"/>
      <c r="D301" s="137" t="s">
        <v>417</v>
      </c>
      <c r="E301" s="137"/>
      <c r="F301" s="137"/>
      <c r="G301" s="137"/>
      <c r="H301" s="137"/>
      <c r="I301" s="137"/>
      <c r="J301" s="12"/>
      <c r="K301" s="380"/>
    </row>
    <row r="302" spans="1:11" ht="15" customHeight="1">
      <c r="A302" s="136"/>
      <c r="B302" s="377"/>
      <c r="C302" s="137"/>
      <c r="D302" s="137"/>
      <c r="E302" s="137"/>
      <c r="F302" s="137"/>
      <c r="G302" s="137"/>
      <c r="H302" s="137"/>
      <c r="I302" s="137"/>
      <c r="J302" s="12"/>
      <c r="K302" s="380"/>
    </row>
    <row r="303" spans="1:11" ht="15" customHeight="1">
      <c r="A303" s="136"/>
      <c r="B303" s="377"/>
      <c r="C303" s="137"/>
      <c r="D303" s="137"/>
      <c r="E303" s="137" t="s">
        <v>418</v>
      </c>
      <c r="F303" s="137"/>
      <c r="G303" s="137"/>
      <c r="H303" s="137"/>
      <c r="I303" s="137"/>
      <c r="J303" s="12"/>
      <c r="K303" s="380"/>
    </row>
    <row r="304" spans="1:11" ht="15" customHeight="1">
      <c r="A304" s="136"/>
      <c r="B304" s="377"/>
      <c r="C304" s="137"/>
      <c r="D304" s="137"/>
      <c r="E304" s="137"/>
      <c r="F304" s="137"/>
      <c r="G304" s="137"/>
      <c r="H304" s="137"/>
      <c r="I304" s="137"/>
      <c r="J304" s="12"/>
      <c r="K304" s="380"/>
    </row>
    <row r="305" spans="1:11" ht="15" customHeight="1">
      <c r="A305" s="136"/>
      <c r="B305" s="377"/>
      <c r="C305" s="137"/>
      <c r="D305" s="137" t="s">
        <v>121</v>
      </c>
      <c r="E305" s="137"/>
      <c r="F305" s="137"/>
      <c r="G305" s="137"/>
      <c r="H305" s="401">
        <f>+Rezultati!E28</f>
        <v>3772112</v>
      </c>
      <c r="I305" s="137"/>
      <c r="J305" s="12"/>
      <c r="K305" s="395">
        <v>3678913</v>
      </c>
    </row>
    <row r="306" spans="1:11" ht="15" customHeight="1">
      <c r="A306" s="136"/>
      <c r="B306" s="377"/>
      <c r="C306" s="137"/>
      <c r="D306" s="137" t="s">
        <v>123</v>
      </c>
      <c r="E306" s="137"/>
      <c r="F306" s="137"/>
      <c r="G306" s="137"/>
      <c r="H306" s="402">
        <f>+Rezultati!E16</f>
        <v>1968500</v>
      </c>
      <c r="I306" s="137"/>
      <c r="J306" s="12"/>
      <c r="K306" s="395">
        <f>+K261</f>
        <v>529450</v>
      </c>
    </row>
    <row r="307" spans="1:11" ht="15" customHeight="1">
      <c r="A307" s="136"/>
      <c r="B307" s="377"/>
      <c r="C307" s="137"/>
      <c r="D307" s="144" t="s">
        <v>494</v>
      </c>
      <c r="E307" s="137"/>
      <c r="F307" s="137"/>
      <c r="G307" s="137"/>
      <c r="H307" s="402">
        <f>+Aktive!G14-Aktive!F14</f>
        <v>40543245</v>
      </c>
      <c r="I307" s="137"/>
      <c r="J307" s="12"/>
      <c r="K307" s="380"/>
    </row>
    <row r="308" spans="1:11" ht="15" customHeight="1">
      <c r="A308" s="136"/>
      <c r="B308" s="377"/>
      <c r="C308" s="137"/>
      <c r="D308" s="137" t="s">
        <v>420</v>
      </c>
      <c r="E308" s="137"/>
      <c r="F308" s="137"/>
      <c r="G308" s="137"/>
      <c r="H308" s="412">
        <f>+Pasivet!F8-Pasivet!G8</f>
        <v>42521283</v>
      </c>
      <c r="I308" s="137"/>
      <c r="J308" s="12"/>
      <c r="K308" s="395">
        <v>-824096</v>
      </c>
    </row>
    <row r="309" spans="1:11" ht="15" customHeight="1">
      <c r="A309" s="136"/>
      <c r="B309" s="377"/>
      <c r="C309" s="137"/>
      <c r="D309" s="137" t="s">
        <v>495</v>
      </c>
      <c r="E309" s="137"/>
      <c r="F309" s="137"/>
      <c r="G309" s="137"/>
      <c r="H309" s="409">
        <v>278540</v>
      </c>
      <c r="I309" s="137"/>
      <c r="J309" s="12"/>
      <c r="K309" s="380"/>
    </row>
    <row r="310" spans="1:11" ht="15" customHeight="1">
      <c r="A310" s="147"/>
      <c r="B310" s="388"/>
      <c r="C310" s="148"/>
      <c r="D310" s="148"/>
      <c r="E310" s="148"/>
      <c r="F310" s="148"/>
      <c r="G310" s="148"/>
      <c r="H310" s="148"/>
      <c r="I310" s="148"/>
      <c r="J310" s="290"/>
      <c r="K310" s="380"/>
    </row>
    <row r="311" spans="1:11" ht="15" customHeight="1">
      <c r="A311" s="121"/>
      <c r="B311" s="390"/>
      <c r="C311" s="122"/>
      <c r="D311" s="122"/>
      <c r="E311" s="122" t="s">
        <v>419</v>
      </c>
      <c r="F311" s="122"/>
      <c r="G311" s="122"/>
      <c r="H311" s="122"/>
      <c r="I311" s="122"/>
      <c r="J311" s="245"/>
      <c r="K311" s="380"/>
    </row>
    <row r="312" spans="1:11" ht="15" customHeight="1">
      <c r="A312" s="136"/>
      <c r="B312" s="377"/>
      <c r="C312" s="137"/>
      <c r="D312" s="137" t="s">
        <v>496</v>
      </c>
      <c r="E312" s="137"/>
      <c r="F312" s="137"/>
      <c r="G312" s="137"/>
      <c r="H312" s="412">
        <f>+Aktive!G22-Aktive!F22</f>
        <v>-4123099</v>
      </c>
      <c r="I312" s="137"/>
      <c r="J312" s="12"/>
      <c r="K312" s="395">
        <v>-824096</v>
      </c>
    </row>
    <row r="313" spans="1:11" ht="15" customHeight="1">
      <c r="A313" s="136"/>
      <c r="B313" s="377"/>
      <c r="C313" s="137"/>
      <c r="D313" s="137" t="s">
        <v>497</v>
      </c>
      <c r="E313" s="137"/>
      <c r="F313" s="137"/>
      <c r="G313" s="137"/>
      <c r="H313" s="416">
        <f>-Pasivet!G26+Pasivet!F26</f>
        <v>-16078705</v>
      </c>
      <c r="I313" s="137"/>
      <c r="J313" s="12"/>
      <c r="K313" s="395">
        <v>-336336</v>
      </c>
    </row>
    <row r="314" spans="1:11" ht="15" customHeight="1">
      <c r="A314" s="136"/>
      <c r="B314" s="377"/>
      <c r="C314" s="137"/>
      <c r="D314" s="137" t="s">
        <v>137</v>
      </c>
      <c r="E314" s="137" t="s">
        <v>137</v>
      </c>
      <c r="F314" s="137"/>
      <c r="G314" s="137"/>
      <c r="H314" s="416">
        <v>-102795634</v>
      </c>
      <c r="I314" s="137"/>
      <c r="J314" s="12"/>
      <c r="K314" s="395">
        <v>-250000</v>
      </c>
    </row>
    <row r="315" spans="1:11" ht="15" customHeight="1">
      <c r="A315" s="136"/>
      <c r="B315" s="377"/>
      <c r="C315" s="137"/>
      <c r="D315" s="137" t="s">
        <v>421</v>
      </c>
      <c r="E315" s="137" t="s">
        <v>421</v>
      </c>
      <c r="F315" s="137"/>
      <c r="G315" s="137"/>
      <c r="H315" s="412">
        <v>-613369</v>
      </c>
      <c r="I315" s="137"/>
      <c r="J315" s="12"/>
      <c r="K315" s="395">
        <v>-369899</v>
      </c>
    </row>
    <row r="316" spans="1:11" ht="15" customHeight="1">
      <c r="A316" s="136"/>
      <c r="B316" s="377"/>
      <c r="C316" s="137"/>
      <c r="D316" s="189" t="s">
        <v>47</v>
      </c>
      <c r="E316" s="137"/>
      <c r="F316" s="137"/>
      <c r="G316" s="137"/>
      <c r="H316" s="475">
        <v>-817775</v>
      </c>
      <c r="I316" s="137"/>
      <c r="J316" s="12"/>
      <c r="K316" s="396"/>
    </row>
    <row r="317" spans="1:11" ht="15" customHeight="1">
      <c r="A317" s="136"/>
      <c r="B317" s="377"/>
      <c r="C317" s="137"/>
      <c r="D317" s="477" t="s">
        <v>499</v>
      </c>
      <c r="E317" s="477"/>
      <c r="F317" s="477"/>
      <c r="G317" s="477"/>
      <c r="H317" s="478">
        <f>SUM(H305:H316)</f>
        <v>-35344902</v>
      </c>
      <c r="I317" s="137"/>
      <c r="J317" s="12"/>
      <c r="K317" s="396"/>
    </row>
    <row r="318" spans="1:11" ht="15" customHeight="1">
      <c r="A318" s="136"/>
      <c r="B318" s="377"/>
      <c r="C318" s="137"/>
      <c r="D318" s="477"/>
      <c r="E318" s="477"/>
      <c r="F318" s="477"/>
      <c r="G318" s="477"/>
      <c r="H318" s="478"/>
      <c r="I318" s="137"/>
      <c r="J318" s="12"/>
      <c r="K318" s="396"/>
    </row>
    <row r="319" spans="1:11" ht="15" customHeight="1">
      <c r="A319" s="136"/>
      <c r="B319" s="377"/>
      <c r="C319" s="137"/>
      <c r="D319" s="137" t="s">
        <v>148</v>
      </c>
      <c r="E319" s="137"/>
      <c r="F319" s="137"/>
      <c r="G319" s="286" t="s">
        <v>14</v>
      </c>
      <c r="H319" s="476">
        <f>+Aktive!G9</f>
        <v>54388707.36</v>
      </c>
      <c r="I319" s="137"/>
      <c r="J319" s="12"/>
      <c r="K319" s="395">
        <v>6211677</v>
      </c>
    </row>
    <row r="320" spans="1:11" ht="15" customHeight="1">
      <c r="A320" s="136"/>
      <c r="B320" s="377"/>
      <c r="C320" s="137"/>
      <c r="D320" s="137"/>
      <c r="E320" s="378"/>
      <c r="F320" s="378"/>
      <c r="G320" s="378"/>
      <c r="H320" s="378"/>
      <c r="I320" s="378"/>
      <c r="J320" s="423"/>
      <c r="K320" s="413"/>
    </row>
    <row r="321" spans="1:11" ht="15" customHeight="1">
      <c r="A321" s="136"/>
      <c r="B321" s="377"/>
      <c r="C321" s="137"/>
      <c r="D321" s="479" t="s">
        <v>498</v>
      </c>
      <c r="E321" s="479"/>
      <c r="F321" s="480"/>
      <c r="G321" s="481" t="s">
        <v>14</v>
      </c>
      <c r="H321" s="482">
        <f>+H317+H319</f>
        <v>19043805.36</v>
      </c>
      <c r="I321" s="378"/>
      <c r="J321" s="423"/>
      <c r="K321" s="414">
        <f>SUM(K305:K320)</f>
        <v>7815613</v>
      </c>
    </row>
    <row r="322" spans="1:11" ht="15" customHeight="1">
      <c r="A322" s="136"/>
      <c r="B322" s="377"/>
      <c r="C322" s="137"/>
      <c r="D322" s="137"/>
      <c r="E322" s="137"/>
      <c r="F322" s="137"/>
      <c r="G322" s="137"/>
      <c r="H322" s="137"/>
      <c r="I322" s="137"/>
      <c r="J322" s="138"/>
      <c r="K322" s="171"/>
    </row>
    <row r="323" spans="1:11" ht="15" customHeight="1">
      <c r="A323" s="136"/>
      <c r="B323" s="377"/>
      <c r="C323" s="137"/>
      <c r="D323" s="137"/>
      <c r="E323" s="137"/>
      <c r="F323" s="137"/>
      <c r="G323" s="137"/>
      <c r="H323" s="137"/>
      <c r="I323" s="137"/>
      <c r="J323" s="138"/>
      <c r="K323" s="171"/>
    </row>
    <row r="324" spans="1:11" ht="15" customHeight="1">
      <c r="A324" s="136"/>
      <c r="B324" s="377"/>
      <c r="C324" s="137"/>
      <c r="D324" s="137"/>
      <c r="E324" s="137"/>
      <c r="F324" s="137"/>
      <c r="G324" s="137"/>
      <c r="H324" s="137"/>
      <c r="I324" s="137"/>
      <c r="J324" s="138"/>
      <c r="K324" s="171"/>
    </row>
    <row r="325" spans="1:11" ht="15" customHeight="1">
      <c r="A325" s="136"/>
      <c r="B325" s="377"/>
      <c r="C325" s="137"/>
      <c r="D325" s="137"/>
      <c r="E325" s="137"/>
      <c r="F325" s="137"/>
      <c r="G325" s="137"/>
      <c r="H325" s="137"/>
      <c r="I325" s="137"/>
      <c r="J325" s="138"/>
      <c r="K325" s="207"/>
    </row>
    <row r="326" spans="1:11" ht="15" customHeight="1">
      <c r="A326" s="136"/>
      <c r="B326" s="377"/>
      <c r="C326" s="137"/>
      <c r="D326" s="137"/>
      <c r="E326" s="425" t="s">
        <v>386</v>
      </c>
      <c r="F326" s="425"/>
      <c r="G326" s="425"/>
      <c r="H326" s="425"/>
      <c r="I326" s="425"/>
      <c r="J326" s="426"/>
      <c r="K326" s="417"/>
    </row>
    <row r="327" spans="1:11" ht="15" customHeight="1">
      <c r="A327" s="136"/>
      <c r="B327" s="377"/>
      <c r="C327" s="137"/>
      <c r="D327" s="137"/>
      <c r="E327" s="137"/>
      <c r="F327" s="137"/>
      <c r="G327" s="137"/>
      <c r="H327" s="137"/>
      <c r="I327" s="137"/>
      <c r="J327" s="138"/>
      <c r="K327" s="171"/>
    </row>
    <row r="328" spans="1:11" ht="15" customHeight="1">
      <c r="A328" s="136"/>
      <c r="B328" s="377"/>
      <c r="C328" s="137"/>
      <c r="D328" s="137"/>
      <c r="E328" s="137" t="s">
        <v>422</v>
      </c>
      <c r="F328" s="137"/>
      <c r="G328" s="137"/>
      <c r="H328" s="401">
        <f>+Pasivet!G34</f>
        <v>838350252.36</v>
      </c>
      <c r="I328" s="137"/>
      <c r="J328" s="138"/>
      <c r="K328" s="171">
        <v>23000000</v>
      </c>
    </row>
    <row r="329" spans="1:11" ht="15" customHeight="1">
      <c r="A329" s="136"/>
      <c r="B329" s="377"/>
      <c r="C329" s="137"/>
      <c r="D329" s="137"/>
      <c r="E329" s="137" t="s">
        <v>415</v>
      </c>
      <c r="F329" s="137"/>
      <c r="G329" s="137"/>
      <c r="H329" s="401">
        <f>+Rezultati!E30</f>
        <v>3158743</v>
      </c>
      <c r="I329" s="137"/>
      <c r="J329" s="138"/>
      <c r="K329" s="171">
        <f>+'[1]Rezultati'!E63</f>
        <v>0</v>
      </c>
    </row>
    <row r="330" spans="1:11" ht="15" customHeight="1">
      <c r="A330" s="136"/>
      <c r="B330" s="377"/>
      <c r="C330" s="137"/>
      <c r="D330" s="137"/>
      <c r="E330" s="189" t="s">
        <v>423</v>
      </c>
      <c r="F330" s="137"/>
      <c r="G330" s="137"/>
      <c r="H330" s="401">
        <f>+H328+H329</f>
        <v>841508995.36</v>
      </c>
      <c r="I330" s="137"/>
      <c r="J330" s="138"/>
      <c r="K330" s="171">
        <f>+K328+K329</f>
        <v>23000000</v>
      </c>
    </row>
    <row r="331" spans="1:11" ht="15" customHeight="1">
      <c r="A331" s="136"/>
      <c r="B331" s="377"/>
      <c r="C331" s="137"/>
      <c r="D331" s="137"/>
      <c r="E331" s="137"/>
      <c r="F331" s="137"/>
      <c r="G331" s="137"/>
      <c r="H331" s="137"/>
      <c r="I331" s="137"/>
      <c r="J331" s="138"/>
      <c r="K331" s="379"/>
    </row>
    <row r="332" spans="1:11" ht="15" customHeight="1">
      <c r="A332" s="136"/>
      <c r="B332" s="377"/>
      <c r="C332" s="137"/>
      <c r="D332" s="137"/>
      <c r="E332" s="137"/>
      <c r="F332" s="137"/>
      <c r="G332" s="137"/>
      <c r="H332" s="137"/>
      <c r="I332" s="137"/>
      <c r="J332" s="138"/>
      <c r="K332" s="379"/>
    </row>
    <row r="333" spans="1:11" ht="15" customHeight="1">
      <c r="A333" s="136"/>
      <c r="B333" s="377"/>
      <c r="C333" s="137"/>
      <c r="D333" s="137"/>
      <c r="E333" s="137"/>
      <c r="F333" s="137"/>
      <c r="G333" s="137"/>
      <c r="H333" s="137"/>
      <c r="I333" s="137"/>
      <c r="J333" s="138"/>
      <c r="K333" s="379"/>
    </row>
    <row r="334" spans="1:11" ht="15" customHeight="1">
      <c r="A334" s="136"/>
      <c r="B334" s="377"/>
      <c r="C334" s="137"/>
      <c r="D334" s="137"/>
      <c r="E334" s="137"/>
      <c r="F334" s="137"/>
      <c r="G334" s="137"/>
      <c r="H334" s="137"/>
      <c r="I334" s="137"/>
      <c r="J334" s="138"/>
      <c r="K334" s="379"/>
    </row>
    <row r="335" spans="1:11" ht="15" customHeight="1">
      <c r="A335" s="136"/>
      <c r="B335" s="377"/>
      <c r="C335" s="137"/>
      <c r="D335" s="137"/>
      <c r="E335" s="137"/>
      <c r="F335" s="137"/>
      <c r="G335" s="137"/>
      <c r="H335" s="137"/>
      <c r="I335" s="137"/>
      <c r="J335" s="138"/>
      <c r="K335" s="379"/>
    </row>
    <row r="336" spans="1:11" ht="15" customHeight="1">
      <c r="A336" s="136"/>
      <c r="B336" s="377"/>
      <c r="C336" s="530" t="s">
        <v>265</v>
      </c>
      <c r="D336" s="530"/>
      <c r="E336" s="140" t="s">
        <v>424</v>
      </c>
      <c r="F336" s="137"/>
      <c r="G336" s="137"/>
      <c r="H336" s="137"/>
      <c r="I336" s="137"/>
      <c r="J336" s="138"/>
      <c r="K336" s="379"/>
    </row>
    <row r="337" spans="1:11" ht="15" customHeight="1">
      <c r="A337" s="136"/>
      <c r="B337" s="377"/>
      <c r="C337" s="137"/>
      <c r="D337" s="137"/>
      <c r="E337" s="137"/>
      <c r="F337" s="137"/>
      <c r="G337" s="137"/>
      <c r="H337" s="137"/>
      <c r="I337" s="137"/>
      <c r="J337" s="138"/>
      <c r="K337" s="379"/>
    </row>
    <row r="338" spans="1:11" ht="15" customHeight="1">
      <c r="A338" s="136"/>
      <c r="B338" s="377"/>
      <c r="C338" s="137"/>
      <c r="D338" s="137"/>
      <c r="E338" s="137"/>
      <c r="F338" s="137"/>
      <c r="G338" s="137"/>
      <c r="H338" s="137"/>
      <c r="I338" s="137"/>
      <c r="J338" s="138"/>
      <c r="K338" s="379"/>
    </row>
    <row r="339" spans="1:11" ht="15" customHeight="1">
      <c r="A339" s="136"/>
      <c r="B339" s="377"/>
      <c r="C339" s="137"/>
      <c r="D339" s="137"/>
      <c r="E339" s="189"/>
      <c r="F339" s="137"/>
      <c r="G339" s="137"/>
      <c r="H339" s="137"/>
      <c r="I339" s="137"/>
      <c r="J339" s="138"/>
      <c r="K339" s="379"/>
    </row>
    <row r="340" spans="1:11" ht="15" customHeight="1">
      <c r="A340" s="136"/>
      <c r="B340" s="377"/>
      <c r="C340" s="137"/>
      <c r="D340" s="137"/>
      <c r="E340" s="189"/>
      <c r="F340" s="137"/>
      <c r="G340" s="137"/>
      <c r="H340" s="137"/>
      <c r="I340" s="137"/>
      <c r="J340" s="138"/>
      <c r="K340" s="379"/>
    </row>
    <row r="341" spans="1:11" ht="15" customHeight="1">
      <c r="A341" s="136"/>
      <c r="B341" s="377"/>
      <c r="C341" s="137"/>
      <c r="D341" s="397"/>
      <c r="E341" s="376" t="s">
        <v>266</v>
      </c>
      <c r="F341" s="137"/>
      <c r="G341" s="137"/>
      <c r="H341" s="137"/>
      <c r="I341" s="137"/>
      <c r="J341" s="138"/>
      <c r="K341" s="379"/>
    </row>
    <row r="342" spans="1:11" ht="15" customHeight="1">
      <c r="A342" s="136"/>
      <c r="B342" s="377"/>
      <c r="C342" s="137"/>
      <c r="D342" s="376" t="s">
        <v>267</v>
      </c>
      <c r="E342" s="376"/>
      <c r="F342" s="137"/>
      <c r="G342" s="137"/>
      <c r="H342" s="137"/>
      <c r="I342" s="137"/>
      <c r="J342" s="138"/>
      <c r="K342" s="379"/>
    </row>
    <row r="343" spans="1:11" ht="15" customHeight="1">
      <c r="A343" s="136"/>
      <c r="B343" s="377"/>
      <c r="C343" s="137"/>
      <c r="D343" s="376"/>
      <c r="E343" s="376" t="s">
        <v>268</v>
      </c>
      <c r="F343" s="137"/>
      <c r="G343" s="137"/>
      <c r="H343" s="137"/>
      <c r="I343" s="137"/>
      <c r="J343" s="138"/>
      <c r="K343" s="379"/>
    </row>
    <row r="344" spans="1:11" ht="15" customHeight="1">
      <c r="A344" s="136"/>
      <c r="B344" s="377"/>
      <c r="C344" s="137"/>
      <c r="D344" s="376" t="s">
        <v>269</v>
      </c>
      <c r="E344" s="376"/>
      <c r="F344" s="137"/>
      <c r="G344" s="137"/>
      <c r="H344" s="137"/>
      <c r="I344" s="137"/>
      <c r="J344" s="138"/>
      <c r="K344" s="379"/>
    </row>
    <row r="345" spans="1:11" ht="15" customHeight="1">
      <c r="A345" s="136"/>
      <c r="B345" s="377"/>
      <c r="C345" s="137"/>
      <c r="D345" s="137"/>
      <c r="E345" s="137"/>
      <c r="F345" s="137"/>
      <c r="G345" s="137"/>
      <c r="H345" s="137"/>
      <c r="I345" s="137"/>
      <c r="J345" s="138"/>
      <c r="K345" s="379"/>
    </row>
    <row r="346" spans="1:11" ht="15" customHeight="1">
      <c r="A346" s="136"/>
      <c r="B346" s="377"/>
      <c r="C346" s="137"/>
      <c r="D346" s="137"/>
      <c r="E346" s="137"/>
      <c r="F346" s="137"/>
      <c r="G346" s="137"/>
      <c r="H346" s="137"/>
      <c r="I346" s="137"/>
      <c r="J346" s="138"/>
      <c r="K346" s="379"/>
    </row>
    <row r="347" spans="1:11" ht="15" customHeight="1">
      <c r="A347" s="136"/>
      <c r="B347" s="377"/>
      <c r="C347" s="137"/>
      <c r="D347" s="137"/>
      <c r="E347" s="137"/>
      <c r="F347" s="137"/>
      <c r="G347" s="137"/>
      <c r="H347" s="137"/>
      <c r="I347" s="137"/>
      <c r="J347" s="138"/>
      <c r="K347" s="379"/>
    </row>
    <row r="348" spans="1:11" ht="15" customHeight="1">
      <c r="A348" s="136"/>
      <c r="B348" s="377"/>
      <c r="C348" s="137"/>
      <c r="D348" s="137"/>
      <c r="E348" s="137"/>
      <c r="F348" s="137"/>
      <c r="G348" s="137"/>
      <c r="H348" s="137"/>
      <c r="I348" s="137"/>
      <c r="J348" s="138"/>
      <c r="K348" s="379"/>
    </row>
    <row r="349" spans="1:11" ht="15" customHeight="1">
      <c r="A349" s="136"/>
      <c r="B349" s="377"/>
      <c r="C349" s="137"/>
      <c r="D349" s="137"/>
      <c r="E349" s="137"/>
      <c r="F349" s="137"/>
      <c r="G349" s="137"/>
      <c r="H349" s="137"/>
      <c r="I349" s="137"/>
      <c r="J349" s="138"/>
      <c r="K349" s="379"/>
    </row>
    <row r="350" spans="1:11" ht="15" customHeight="1">
      <c r="A350" s="25"/>
      <c r="B350" s="398"/>
      <c r="C350" s="26"/>
      <c r="D350" s="26"/>
      <c r="E350" s="26" t="s">
        <v>377</v>
      </c>
      <c r="F350" s="26"/>
      <c r="G350" s="26"/>
      <c r="H350" s="419" t="s">
        <v>270</v>
      </c>
      <c r="I350" s="419"/>
      <c r="J350" s="424"/>
      <c r="K350" s="419"/>
    </row>
    <row r="351" spans="1:11" ht="15" customHeight="1">
      <c r="A351" s="25"/>
      <c r="B351" s="398"/>
      <c r="C351" s="26" t="s">
        <v>425</v>
      </c>
      <c r="D351" s="26"/>
      <c r="E351" s="26"/>
      <c r="F351" s="26"/>
      <c r="G351" s="26"/>
      <c r="H351" s="528" t="s">
        <v>426</v>
      </c>
      <c r="I351" s="528"/>
      <c r="J351" s="529"/>
      <c r="K351" s="418"/>
    </row>
    <row r="352" spans="1:11" ht="15" customHeight="1">
      <c r="A352" s="136"/>
      <c r="B352" s="377"/>
      <c r="C352" s="137"/>
      <c r="D352" s="137"/>
      <c r="E352" s="137"/>
      <c r="F352" s="137"/>
      <c r="G352" s="137"/>
      <c r="H352" s="137"/>
      <c r="I352" s="137"/>
      <c r="J352" s="138"/>
      <c r="K352" s="379"/>
    </row>
    <row r="353" spans="1:10" ht="15" customHeight="1">
      <c r="A353" s="254"/>
      <c r="J353" s="363"/>
    </row>
    <row r="354" spans="1:10" ht="15" customHeight="1">
      <c r="A354" s="288"/>
      <c r="B354" s="11"/>
      <c r="C354" s="11"/>
      <c r="D354" s="11"/>
      <c r="E354" s="11"/>
      <c r="F354" s="11"/>
      <c r="G354" s="11"/>
      <c r="H354" s="10"/>
      <c r="I354" s="289"/>
      <c r="J354" s="366"/>
    </row>
  </sheetData>
  <sheetProtection/>
  <mergeCells count="52">
    <mergeCell ref="H115:J115"/>
    <mergeCell ref="D145:E145"/>
    <mergeCell ref="D146:E146"/>
    <mergeCell ref="D151:E151"/>
    <mergeCell ref="D115:D116"/>
    <mergeCell ref="E115:G115"/>
    <mergeCell ref="D52:E52"/>
    <mergeCell ref="D57:E57"/>
    <mergeCell ref="D43:G43"/>
    <mergeCell ref="D40:E40"/>
    <mergeCell ref="D41:E41"/>
    <mergeCell ref="D42:E42"/>
    <mergeCell ref="D12:E12"/>
    <mergeCell ref="C37:C38"/>
    <mergeCell ref="D51:E51"/>
    <mergeCell ref="D19:E19"/>
    <mergeCell ref="D13:E13"/>
    <mergeCell ref="D14:E14"/>
    <mergeCell ref="D15:E15"/>
    <mergeCell ref="D28:E28"/>
    <mergeCell ref="D34:I34"/>
    <mergeCell ref="D20:E20"/>
    <mergeCell ref="F65:G65"/>
    <mergeCell ref="C9:C10"/>
    <mergeCell ref="D9:E10"/>
    <mergeCell ref="F9:F10"/>
    <mergeCell ref="G9:G10"/>
    <mergeCell ref="D16:E16"/>
    <mergeCell ref="D17:E17"/>
    <mergeCell ref="D18:E18"/>
    <mergeCell ref="D39:E39"/>
    <mergeCell ref="D11:E11"/>
    <mergeCell ref="D37:E38"/>
    <mergeCell ref="G33:H33"/>
    <mergeCell ref="D21:E21"/>
    <mergeCell ref="D22:E22"/>
    <mergeCell ref="D23:E23"/>
    <mergeCell ref="D31:E31"/>
    <mergeCell ref="D30:E30"/>
    <mergeCell ref="D26:E26"/>
    <mergeCell ref="D27:E27"/>
    <mergeCell ref="D29:E29"/>
    <mergeCell ref="H351:J351"/>
    <mergeCell ref="C336:D336"/>
    <mergeCell ref="C115:C116"/>
    <mergeCell ref="D24:E24"/>
    <mergeCell ref="I51:J51"/>
    <mergeCell ref="I53:J53"/>
    <mergeCell ref="I56:J56"/>
    <mergeCell ref="D25:E25"/>
    <mergeCell ref="D32:E32"/>
    <mergeCell ref="D33:E33"/>
  </mergeCells>
  <printOptions/>
  <pageMargins left="0.28" right="0.25" top="1" bottom="1" header="0.5" footer="0.5"/>
  <pageSetup fitToHeight="6" horizontalDpi="300" verticalDpi="300" orientation="portrait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9">
      <selection activeCell="G37" sqref="G37"/>
    </sheetView>
  </sheetViews>
  <sheetFormatPr defaultColWidth="9.140625" defaultRowHeight="12.75"/>
  <cols>
    <col min="1" max="1" width="3.57421875" style="0" customWidth="1"/>
    <col min="2" max="2" width="24.8515625" style="0" customWidth="1"/>
    <col min="3" max="3" width="14.7109375" style="0" customWidth="1"/>
    <col min="4" max="4" width="13.28125" style="204" customWidth="1"/>
    <col min="5" max="5" width="14.140625" style="204" customWidth="1"/>
    <col min="6" max="7" width="13.8515625" style="204" customWidth="1"/>
    <col min="8" max="8" width="13.8515625" style="105" customWidth="1"/>
    <col min="9" max="9" width="15.140625" style="105" customWidth="1"/>
    <col min="10" max="10" width="16.57421875" style="0" bestFit="1" customWidth="1"/>
    <col min="11" max="11" width="15.140625" style="196" customWidth="1"/>
    <col min="12" max="14" width="10.8515625" style="0" customWidth="1"/>
    <col min="15" max="15" width="11.28125" style="0" customWidth="1"/>
    <col min="16" max="16" width="10.421875" style="0" customWidth="1"/>
    <col min="18" max="18" width="7.28125" style="0" customWidth="1"/>
    <col min="19" max="19" width="19.00390625" style="0" customWidth="1"/>
    <col min="25" max="25" width="10.421875" style="0" customWidth="1"/>
    <col min="26" max="26" width="10.7109375" style="0" customWidth="1"/>
    <col min="27" max="27" width="10.421875" style="0" customWidth="1"/>
    <col min="28" max="28" width="11.140625" style="0" customWidth="1"/>
    <col min="29" max="29" width="13.7109375" style="0" customWidth="1"/>
  </cols>
  <sheetData>
    <row r="1" spans="1:9" ht="12.75">
      <c r="A1" s="137"/>
      <c r="B1" s="137"/>
      <c r="C1" s="137"/>
      <c r="H1" s="171"/>
      <c r="I1" s="171"/>
    </row>
    <row r="2" spans="1:9" ht="18">
      <c r="A2" s="137"/>
      <c r="B2" s="198" t="s">
        <v>369</v>
      </c>
      <c r="C2" s="137"/>
      <c r="H2" s="171"/>
      <c r="I2" s="171"/>
    </row>
    <row r="3" spans="1:9" ht="18">
      <c r="A3" s="148"/>
      <c r="B3" s="172"/>
      <c r="C3" s="137"/>
      <c r="H3" s="171"/>
      <c r="I3" s="171"/>
    </row>
    <row r="4" spans="1:11" s="100" customFormat="1" ht="17.25" customHeight="1">
      <c r="A4" s="549" t="s">
        <v>20</v>
      </c>
      <c r="B4" s="551" t="s">
        <v>150</v>
      </c>
      <c r="C4" s="553" t="s">
        <v>453</v>
      </c>
      <c r="D4" s="547" t="s">
        <v>368</v>
      </c>
      <c r="E4" s="547" t="s">
        <v>444</v>
      </c>
      <c r="F4" s="556" t="s">
        <v>445</v>
      </c>
      <c r="G4" s="556" t="s">
        <v>446</v>
      </c>
      <c r="H4" s="547" t="s">
        <v>447</v>
      </c>
      <c r="I4" s="547" t="s">
        <v>448</v>
      </c>
      <c r="K4" s="236"/>
    </row>
    <row r="5" spans="1:11" s="100" customFormat="1" ht="41.25" customHeight="1">
      <c r="A5" s="550"/>
      <c r="B5" s="552"/>
      <c r="C5" s="554"/>
      <c r="D5" s="555"/>
      <c r="E5" s="548"/>
      <c r="F5" s="557"/>
      <c r="G5" s="557"/>
      <c r="H5" s="555"/>
      <c r="I5" s="548"/>
      <c r="K5" s="236"/>
    </row>
    <row r="6" spans="1:11" s="100" customFormat="1" ht="15" customHeight="1">
      <c r="A6" s="154"/>
      <c r="B6" s="43" t="s">
        <v>295</v>
      </c>
      <c r="C6" s="194"/>
      <c r="D6" s="197"/>
      <c r="E6" s="197"/>
      <c r="F6" s="197"/>
      <c r="G6" s="197"/>
      <c r="H6" s="193"/>
      <c r="I6" s="193">
        <f>+F6+H6</f>
        <v>0</v>
      </c>
      <c r="K6" s="236"/>
    </row>
    <row r="7" spans="1:11" s="100" customFormat="1" ht="12.75">
      <c r="A7" s="435">
        <v>1</v>
      </c>
      <c r="B7" s="194" t="s">
        <v>296</v>
      </c>
      <c r="C7" s="193">
        <v>1865280</v>
      </c>
      <c r="D7" s="197">
        <v>36709620</v>
      </c>
      <c r="E7" s="197">
        <v>38574900</v>
      </c>
      <c r="F7" s="197"/>
      <c r="G7" s="197"/>
      <c r="H7" s="193"/>
      <c r="I7" s="193">
        <f aca="true" t="shared" si="0" ref="I7:I12">+E7+F7-H7</f>
        <v>38574900</v>
      </c>
      <c r="K7" s="236"/>
    </row>
    <row r="8" spans="1:11" s="100" customFormat="1" ht="12.75">
      <c r="A8" s="435">
        <v>2</v>
      </c>
      <c r="B8" s="194" t="s">
        <v>297</v>
      </c>
      <c r="C8" s="193">
        <v>1413120</v>
      </c>
      <c r="D8" s="197">
        <v>29201880</v>
      </c>
      <c r="E8" s="197">
        <v>30615000</v>
      </c>
      <c r="F8" s="197"/>
      <c r="G8" s="197"/>
      <c r="H8" s="193"/>
      <c r="I8" s="193">
        <f t="shared" si="0"/>
        <v>30615000</v>
      </c>
      <c r="K8" s="236"/>
    </row>
    <row r="9" spans="1:11" s="100" customFormat="1" ht="12.75">
      <c r="A9" s="435">
        <v>3</v>
      </c>
      <c r="B9" s="194" t="s">
        <v>298</v>
      </c>
      <c r="C9" s="193">
        <v>4200000</v>
      </c>
      <c r="D9" s="197">
        <v>19067400</v>
      </c>
      <c r="E9" s="197">
        <v>23267400</v>
      </c>
      <c r="F9" s="197"/>
      <c r="G9" s="197"/>
      <c r="H9" s="193"/>
      <c r="I9" s="193">
        <f t="shared" si="0"/>
        <v>23267400</v>
      </c>
      <c r="K9" s="236"/>
    </row>
    <row r="10" spans="1:11" s="100" customFormat="1" ht="12.75">
      <c r="A10" s="435">
        <v>4</v>
      </c>
      <c r="B10" s="194" t="s">
        <v>299</v>
      </c>
      <c r="C10" s="193">
        <v>7983100</v>
      </c>
      <c r="D10" s="197">
        <v>0</v>
      </c>
      <c r="E10" s="197">
        <v>7983100</v>
      </c>
      <c r="F10" s="197"/>
      <c r="G10" s="197"/>
      <c r="H10" s="193"/>
      <c r="I10" s="193">
        <f t="shared" si="0"/>
        <v>7983100</v>
      </c>
      <c r="J10" s="436"/>
      <c r="K10" s="236"/>
    </row>
    <row r="11" spans="1:11" s="100" customFormat="1" ht="12.75">
      <c r="A11" s="435">
        <v>5</v>
      </c>
      <c r="B11" s="194" t="s">
        <v>300</v>
      </c>
      <c r="C11" s="193">
        <v>10531900</v>
      </c>
      <c r="D11" s="197">
        <v>0</v>
      </c>
      <c r="E11" s="197">
        <v>10531900</v>
      </c>
      <c r="F11" s="197"/>
      <c r="G11" s="197"/>
      <c r="H11" s="193"/>
      <c r="I11" s="193">
        <f t="shared" si="0"/>
        <v>10531900</v>
      </c>
      <c r="K11" s="236"/>
    </row>
    <row r="12" spans="1:11" s="100" customFormat="1" ht="12.75">
      <c r="A12" s="435">
        <v>6</v>
      </c>
      <c r="B12" s="194" t="s">
        <v>301</v>
      </c>
      <c r="C12" s="193">
        <v>21267180</v>
      </c>
      <c r="D12" s="197"/>
      <c r="E12" s="197">
        <v>23010470</v>
      </c>
      <c r="F12" s="197"/>
      <c r="G12" s="197"/>
      <c r="H12" s="193"/>
      <c r="I12" s="193">
        <f t="shared" si="0"/>
        <v>23010470</v>
      </c>
      <c r="K12" s="236"/>
    </row>
    <row r="13" spans="1:11" s="100" customFormat="1" ht="12.75">
      <c r="A13" s="214" t="s">
        <v>26</v>
      </c>
      <c r="B13" s="102" t="s">
        <v>302</v>
      </c>
      <c r="C13" s="209">
        <f>SUM(C7:C12)</f>
        <v>47260580</v>
      </c>
      <c r="D13" s="437">
        <f>SUM(D7:D12)</f>
        <v>84978900</v>
      </c>
      <c r="E13" s="437">
        <f>SUM(E7:E12)</f>
        <v>133982770</v>
      </c>
      <c r="F13" s="437">
        <f>SUM(F7:F12)</f>
        <v>0</v>
      </c>
      <c r="G13" s="437"/>
      <c r="H13" s="103">
        <f>SUM(H7:H12)</f>
        <v>0</v>
      </c>
      <c r="I13" s="209">
        <f>SUM(I6:I12)</f>
        <v>133982770</v>
      </c>
      <c r="K13" s="236"/>
    </row>
    <row r="14" spans="1:11" s="100" customFormat="1" ht="12.75">
      <c r="A14" s="173"/>
      <c r="B14" s="155"/>
      <c r="C14" s="438"/>
      <c r="D14" s="439"/>
      <c r="E14" s="439"/>
      <c r="F14" s="439"/>
      <c r="G14" s="440"/>
      <c r="H14" s="156"/>
      <c r="I14" s="156"/>
      <c r="K14" s="236"/>
    </row>
    <row r="15" spans="1:11" s="100" customFormat="1" ht="12.75">
      <c r="A15" s="173"/>
      <c r="B15" s="441" t="s">
        <v>303</v>
      </c>
      <c r="C15" s="389"/>
      <c r="D15" s="442"/>
      <c r="E15" s="442"/>
      <c r="F15" s="442"/>
      <c r="G15" s="440"/>
      <c r="H15" s="156"/>
      <c r="I15" s="156"/>
      <c r="K15" s="236"/>
    </row>
    <row r="16" spans="1:11" s="100" customFormat="1" ht="12.75">
      <c r="A16" s="435">
        <v>1</v>
      </c>
      <c r="B16" s="194" t="s">
        <v>304</v>
      </c>
      <c r="C16" s="193">
        <v>58846049</v>
      </c>
      <c r="D16" s="197">
        <v>20752951</v>
      </c>
      <c r="E16" s="197">
        <v>82385000</v>
      </c>
      <c r="F16" s="197"/>
      <c r="G16" s="197"/>
      <c r="H16" s="193"/>
      <c r="I16" s="193">
        <f aca="true" t="shared" si="1" ref="I16:I21">+E16+F16-H16+G16</f>
        <v>82385000</v>
      </c>
      <c r="J16" s="236"/>
      <c r="K16" s="236"/>
    </row>
    <row r="17" spans="1:11" s="100" customFormat="1" ht="12.75">
      <c r="A17" s="435">
        <v>2</v>
      </c>
      <c r="B17" s="194" t="s">
        <v>305</v>
      </c>
      <c r="C17" s="193">
        <v>18909119</v>
      </c>
      <c r="D17" s="197">
        <v>16604281</v>
      </c>
      <c r="E17" s="197">
        <v>36753400</v>
      </c>
      <c r="F17" s="197"/>
      <c r="G17" s="197"/>
      <c r="H17" s="193"/>
      <c r="I17" s="193">
        <f t="shared" si="1"/>
        <v>36753400</v>
      </c>
      <c r="J17" s="236"/>
      <c r="K17" s="236"/>
    </row>
    <row r="18" spans="1:11" s="100" customFormat="1" ht="12.75">
      <c r="A18" s="435">
        <v>3</v>
      </c>
      <c r="B18" s="194" t="s">
        <v>365</v>
      </c>
      <c r="C18" s="193">
        <v>10417209</v>
      </c>
      <c r="D18" s="197">
        <v>0</v>
      </c>
      <c r="E18" s="197">
        <v>14226438.43</v>
      </c>
      <c r="F18" s="197"/>
      <c r="G18" s="197"/>
      <c r="H18" s="193"/>
      <c r="I18" s="193">
        <f t="shared" si="1"/>
        <v>14226438.43</v>
      </c>
      <c r="J18" s="236"/>
      <c r="K18" s="236"/>
    </row>
    <row r="19" spans="1:11" s="100" customFormat="1" ht="12.75">
      <c r="A19" s="435">
        <v>4</v>
      </c>
      <c r="B19" s="194" t="s">
        <v>306</v>
      </c>
      <c r="C19" s="193">
        <v>104278057</v>
      </c>
      <c r="D19" s="197">
        <v>17030607</v>
      </c>
      <c r="E19" s="197">
        <v>125730849</v>
      </c>
      <c r="F19" s="197"/>
      <c r="G19" s="197"/>
      <c r="H19" s="193"/>
      <c r="I19" s="193">
        <f t="shared" si="1"/>
        <v>125730849</v>
      </c>
      <c r="J19" s="236"/>
      <c r="K19" s="236"/>
    </row>
    <row r="20" spans="1:11" s="100" customFormat="1" ht="12.75">
      <c r="A20" s="435">
        <v>5</v>
      </c>
      <c r="B20" s="194" t="s">
        <v>307</v>
      </c>
      <c r="C20" s="193">
        <v>22158400</v>
      </c>
      <c r="D20" s="197"/>
      <c r="E20" s="197">
        <v>27669206.13</v>
      </c>
      <c r="F20" s="197"/>
      <c r="G20" s="197"/>
      <c r="H20" s="193"/>
      <c r="I20" s="193">
        <f t="shared" si="1"/>
        <v>27669206.13</v>
      </c>
      <c r="J20" s="236"/>
      <c r="K20" s="236"/>
    </row>
    <row r="21" spans="1:11" s="100" customFormat="1" ht="12.75">
      <c r="A21" s="435">
        <v>6</v>
      </c>
      <c r="B21" s="194" t="s">
        <v>380</v>
      </c>
      <c r="C21" s="193">
        <v>0</v>
      </c>
      <c r="D21" s="197">
        <v>0</v>
      </c>
      <c r="E21" s="197">
        <v>3050455</v>
      </c>
      <c r="F21" s="449">
        <v>13156125.7775</v>
      </c>
      <c r="G21" s="197"/>
      <c r="H21" s="193"/>
      <c r="I21" s="193">
        <f t="shared" si="1"/>
        <v>16206580.7775</v>
      </c>
      <c r="J21" s="236"/>
      <c r="K21" s="236"/>
    </row>
    <row r="22" spans="1:11" s="100" customFormat="1" ht="12.75">
      <c r="A22" s="214" t="s">
        <v>48</v>
      </c>
      <c r="B22" s="102" t="s">
        <v>308</v>
      </c>
      <c r="C22" s="209">
        <f>SUM(C16:C21)</f>
        <v>214608834</v>
      </c>
      <c r="D22" s="437">
        <f>SUM(D18:D20)</f>
        <v>17030607</v>
      </c>
      <c r="E22" s="437">
        <f>SUM(E16:E21)</f>
        <v>289815348.56</v>
      </c>
      <c r="F22" s="437">
        <f>SUM(F16:F21)</f>
        <v>13156125.7775</v>
      </c>
      <c r="G22" s="437">
        <f>SUM(G16:G21)</f>
        <v>0</v>
      </c>
      <c r="H22" s="103">
        <f>SUM(H16:H20)</f>
        <v>0</v>
      </c>
      <c r="I22" s="437">
        <f>SUM(I16:I21)</f>
        <v>302971474.3375</v>
      </c>
      <c r="J22" s="436"/>
      <c r="K22" s="236"/>
    </row>
    <row r="23" spans="1:11" s="100" customFormat="1" ht="12.75">
      <c r="A23" s="173"/>
      <c r="B23" s="155"/>
      <c r="C23" s="438"/>
      <c r="D23" s="439"/>
      <c r="E23" s="439"/>
      <c r="F23" s="439"/>
      <c r="G23" s="440"/>
      <c r="H23" s="156"/>
      <c r="I23" s="156"/>
      <c r="K23" s="236"/>
    </row>
    <row r="24" spans="1:11" s="100" customFormat="1" ht="12.75">
      <c r="A24" s="143"/>
      <c r="B24" s="443" t="s">
        <v>309</v>
      </c>
      <c r="C24" s="389"/>
      <c r="D24" s="442"/>
      <c r="E24" s="442"/>
      <c r="F24" s="442"/>
      <c r="G24" s="440"/>
      <c r="H24" s="238"/>
      <c r="I24" s="238"/>
      <c r="J24" s="144"/>
      <c r="K24" s="236"/>
    </row>
    <row r="25" spans="1:11" s="100" customFormat="1" ht="12.75">
      <c r="A25" s="435">
        <v>1</v>
      </c>
      <c r="B25" s="194" t="s">
        <v>310</v>
      </c>
      <c r="C25" s="193">
        <v>38577670</v>
      </c>
      <c r="D25" s="197">
        <v>31827143</v>
      </c>
      <c r="E25" s="197">
        <v>72904813</v>
      </c>
      <c r="F25" s="197"/>
      <c r="G25" s="197"/>
      <c r="H25" s="193"/>
      <c r="I25" s="193">
        <f>+E25+F25-H25+G25</f>
        <v>72904813</v>
      </c>
      <c r="J25" s="238"/>
      <c r="K25" s="236"/>
    </row>
    <row r="26" spans="1:11" s="100" customFormat="1" ht="12.75">
      <c r="A26" s="435">
        <v>2</v>
      </c>
      <c r="B26" s="194" t="s">
        <v>311</v>
      </c>
      <c r="C26" s="193">
        <v>18111996.42</v>
      </c>
      <c r="D26" s="197">
        <v>20765307</v>
      </c>
      <c r="E26" s="197"/>
      <c r="F26" s="197"/>
      <c r="G26" s="197"/>
      <c r="H26" s="193"/>
      <c r="I26" s="193">
        <f aca="true" t="shared" si="2" ref="I26:I32">+E26+F26-H26+G26</f>
        <v>0</v>
      </c>
      <c r="J26" s="144"/>
      <c r="K26" s="236"/>
    </row>
    <row r="27" spans="1:11" s="100" customFormat="1" ht="12.75">
      <c r="A27" s="435">
        <v>3</v>
      </c>
      <c r="B27" s="194" t="s">
        <v>312</v>
      </c>
      <c r="C27" s="193">
        <v>124364770.12</v>
      </c>
      <c r="D27" s="197">
        <v>315433277</v>
      </c>
      <c r="E27" s="197">
        <v>455198047.12</v>
      </c>
      <c r="F27" s="197"/>
      <c r="G27" s="197">
        <v>10000000</v>
      </c>
      <c r="H27" s="193"/>
      <c r="I27" s="193">
        <f t="shared" si="2"/>
        <v>465198047.12</v>
      </c>
      <c r="J27" s="238"/>
      <c r="K27" s="236"/>
    </row>
    <row r="28" spans="1:11" s="100" customFormat="1" ht="12.75">
      <c r="A28" s="435">
        <v>4</v>
      </c>
      <c r="B28" s="194" t="s">
        <v>313</v>
      </c>
      <c r="C28" s="193">
        <v>12348355</v>
      </c>
      <c r="D28" s="197">
        <v>4159189</v>
      </c>
      <c r="E28" s="197">
        <v>16999128</v>
      </c>
      <c r="F28" s="452">
        <v>373517.5</v>
      </c>
      <c r="G28" s="197"/>
      <c r="H28" s="193"/>
      <c r="I28" s="193">
        <f t="shared" si="2"/>
        <v>17372645.5</v>
      </c>
      <c r="J28" s="144"/>
      <c r="K28" s="236"/>
    </row>
    <row r="29" spans="1:11" s="100" customFormat="1" ht="12.75">
      <c r="A29" s="435">
        <v>5</v>
      </c>
      <c r="B29" s="194" t="s">
        <v>322</v>
      </c>
      <c r="C29" s="193">
        <v>46950957</v>
      </c>
      <c r="D29" s="197">
        <v>28532158</v>
      </c>
      <c r="E29" s="197">
        <f>107881483+39188451</f>
        <v>147069934</v>
      </c>
      <c r="F29" s="452">
        <v>3516599</v>
      </c>
      <c r="G29" s="197">
        <v>10000000</v>
      </c>
      <c r="H29" s="193"/>
      <c r="I29" s="193">
        <f t="shared" si="2"/>
        <v>160586533</v>
      </c>
      <c r="K29" s="236"/>
    </row>
    <row r="30" spans="1:11" s="100" customFormat="1" ht="12.75">
      <c r="A30" s="435">
        <v>6</v>
      </c>
      <c r="B30" s="194" t="s">
        <v>381</v>
      </c>
      <c r="C30" s="193">
        <v>0</v>
      </c>
      <c r="D30" s="197">
        <v>0</v>
      </c>
      <c r="E30" s="197">
        <v>0</v>
      </c>
      <c r="F30" s="197">
        <f>44339799+11206700</f>
        <v>55546499</v>
      </c>
      <c r="G30" s="197">
        <v>10000000</v>
      </c>
      <c r="H30" s="193"/>
      <c r="I30" s="193">
        <f t="shared" si="2"/>
        <v>65546499</v>
      </c>
      <c r="K30" s="236"/>
    </row>
    <row r="31" spans="1:11" s="100" customFormat="1" ht="12.75">
      <c r="A31" s="435">
        <v>7</v>
      </c>
      <c r="B31" s="194" t="s">
        <v>314</v>
      </c>
      <c r="C31" s="193">
        <v>858658</v>
      </c>
      <c r="D31" s="197">
        <v>0</v>
      </c>
      <c r="E31" s="197">
        <v>858658</v>
      </c>
      <c r="F31" s="197">
        <v>0</v>
      </c>
      <c r="G31" s="197"/>
      <c r="H31" s="193"/>
      <c r="I31" s="193">
        <f t="shared" si="2"/>
        <v>858658</v>
      </c>
      <c r="K31" s="236"/>
    </row>
    <row r="32" spans="1:11" s="100" customFormat="1" ht="12.75">
      <c r="A32" s="435">
        <v>8</v>
      </c>
      <c r="B32" s="194" t="s">
        <v>315</v>
      </c>
      <c r="C32" s="193">
        <v>743816</v>
      </c>
      <c r="D32" s="197">
        <v>0</v>
      </c>
      <c r="E32" s="197">
        <v>743816</v>
      </c>
      <c r="F32" s="197">
        <v>0</v>
      </c>
      <c r="G32" s="197"/>
      <c r="H32" s="193"/>
      <c r="I32" s="193">
        <f t="shared" si="2"/>
        <v>743816</v>
      </c>
      <c r="K32" s="236"/>
    </row>
    <row r="33" spans="1:11" s="104" customFormat="1" ht="24.75" customHeight="1">
      <c r="A33" s="214" t="s">
        <v>83</v>
      </c>
      <c r="B33" s="102" t="s">
        <v>169</v>
      </c>
      <c r="C33" s="444">
        <f aca="true" t="shared" si="3" ref="C33:I33">SUM(C25:C32)</f>
        <v>241956222.54000002</v>
      </c>
      <c r="D33" s="205">
        <f t="shared" si="3"/>
        <v>400717074</v>
      </c>
      <c r="E33" s="205">
        <f t="shared" si="3"/>
        <v>693774396.12</v>
      </c>
      <c r="F33" s="205">
        <f t="shared" si="3"/>
        <v>59436615.5</v>
      </c>
      <c r="G33" s="205">
        <f t="shared" si="3"/>
        <v>30000000</v>
      </c>
      <c r="H33" s="103">
        <f t="shared" si="3"/>
        <v>0</v>
      </c>
      <c r="I33" s="210">
        <f t="shared" si="3"/>
        <v>783211011.62</v>
      </c>
      <c r="J33" s="213"/>
      <c r="K33" s="237"/>
    </row>
    <row r="34" spans="1:11" s="104" customFormat="1" ht="24.75" customHeight="1">
      <c r="A34" s="101"/>
      <c r="B34" s="54" t="s">
        <v>316</v>
      </c>
      <c r="C34" s="445"/>
      <c r="D34" s="206"/>
      <c r="E34" s="206"/>
      <c r="F34" s="206"/>
      <c r="G34" s="235"/>
      <c r="H34" s="195"/>
      <c r="I34" s="156"/>
      <c r="K34" s="237"/>
    </row>
    <row r="35" spans="1:11" s="100" customFormat="1" ht="12.75">
      <c r="A35" s="435">
        <v>1</v>
      </c>
      <c r="B35" s="194" t="s">
        <v>317</v>
      </c>
      <c r="C35" s="193">
        <v>565506</v>
      </c>
      <c r="D35" s="197"/>
      <c r="E35" s="197">
        <v>2163142.2600000002</v>
      </c>
      <c r="F35" s="197"/>
      <c r="G35" s="197"/>
      <c r="H35" s="193"/>
      <c r="I35" s="193">
        <f>+E35+F35-H35</f>
        <v>2163142.2600000002</v>
      </c>
      <c r="J35" s="436"/>
      <c r="K35" s="236"/>
    </row>
    <row r="36" spans="1:11" s="100" customFormat="1" ht="12.75">
      <c r="A36" s="435">
        <v>2</v>
      </c>
      <c r="B36" s="194" t="s">
        <v>318</v>
      </c>
      <c r="C36" s="193">
        <v>743547</v>
      </c>
      <c r="D36" s="197"/>
      <c r="E36" s="197">
        <v>1048547</v>
      </c>
      <c r="F36" s="197">
        <f>23000+179893</f>
        <v>202893</v>
      </c>
      <c r="G36" s="197"/>
      <c r="H36" s="193"/>
      <c r="I36" s="193">
        <f>+E36+F36-H36</f>
        <v>1251440</v>
      </c>
      <c r="K36" s="236"/>
    </row>
    <row r="37" spans="1:11" s="100" customFormat="1" ht="12.75">
      <c r="A37" s="435">
        <v>3</v>
      </c>
      <c r="B37" s="194" t="s">
        <v>319</v>
      </c>
      <c r="C37" s="193">
        <v>6997944</v>
      </c>
      <c r="D37" s="197"/>
      <c r="E37" s="197">
        <v>11629944</v>
      </c>
      <c r="F37" s="197"/>
      <c r="G37" s="197"/>
      <c r="H37" s="193">
        <v>2500000</v>
      </c>
      <c r="I37" s="193">
        <f>+E37+F37-H37</f>
        <v>9129944</v>
      </c>
      <c r="K37" s="236"/>
    </row>
    <row r="38" spans="1:11" s="104" customFormat="1" ht="24.75" customHeight="1">
      <c r="A38" s="214" t="s">
        <v>371</v>
      </c>
      <c r="B38" s="102" t="s">
        <v>320</v>
      </c>
      <c r="C38" s="444">
        <f>SUM(C35:C37)</f>
        <v>8306997</v>
      </c>
      <c r="D38" s="444">
        <f>SUM(D35:D37)</f>
        <v>0</v>
      </c>
      <c r="E38" s="444">
        <f>SUM(E35:E37)</f>
        <v>14841633.26</v>
      </c>
      <c r="F38" s="444">
        <f>SUM(F35:F37)</f>
        <v>202893</v>
      </c>
      <c r="G38" s="444"/>
      <c r="H38" s="444">
        <f>SUM(H35:H37)</f>
        <v>2500000</v>
      </c>
      <c r="I38" s="444">
        <f>SUM(I35:I37)</f>
        <v>12544526.26</v>
      </c>
      <c r="K38" s="237"/>
    </row>
    <row r="39" spans="1:11" s="104" customFormat="1" ht="31.5" customHeight="1">
      <c r="A39" s="214" t="s">
        <v>372</v>
      </c>
      <c r="B39" s="102" t="s">
        <v>167</v>
      </c>
      <c r="C39" s="212">
        <f aca="true" t="shared" si="4" ref="C39:I39">+C13+C22+C33+C38</f>
        <v>512132633.54</v>
      </c>
      <c r="D39" s="212">
        <f t="shared" si="4"/>
        <v>502726581</v>
      </c>
      <c r="E39" s="103">
        <f t="shared" si="4"/>
        <v>1132414147.94</v>
      </c>
      <c r="F39" s="208">
        <f t="shared" si="4"/>
        <v>72795634.2775</v>
      </c>
      <c r="G39" s="208">
        <f t="shared" si="4"/>
        <v>30000000</v>
      </c>
      <c r="H39" s="212">
        <f t="shared" si="4"/>
        <v>2500000</v>
      </c>
      <c r="I39" s="211">
        <f t="shared" si="4"/>
        <v>1232709782.2175</v>
      </c>
      <c r="J39" s="233"/>
      <c r="K39" s="237"/>
    </row>
    <row r="40" spans="1:11" s="100" customFormat="1" ht="12.75">
      <c r="A40" s="428"/>
      <c r="B40" s="144"/>
      <c r="C40" s="144"/>
      <c r="D40" s="236"/>
      <c r="E40" s="236"/>
      <c r="F40" s="236"/>
      <c r="G40" s="236"/>
      <c r="H40" s="238"/>
      <c r="I40" s="238"/>
      <c r="K40" s="236"/>
    </row>
    <row r="41" spans="1:11" s="100" customFormat="1" ht="12.75">
      <c r="A41" s="144"/>
      <c r="B41" s="144"/>
      <c r="C41" s="144"/>
      <c r="D41" s="236"/>
      <c r="E41" s="236"/>
      <c r="F41" s="236"/>
      <c r="G41" s="236"/>
      <c r="H41" s="238"/>
      <c r="I41" s="238"/>
      <c r="K41" s="236"/>
    </row>
    <row r="42" spans="1:11" s="100" customFormat="1" ht="12.75">
      <c r="A42" s="144"/>
      <c r="B42" s="450" t="s">
        <v>370</v>
      </c>
      <c r="C42" s="144"/>
      <c r="D42" s="236"/>
      <c r="E42" s="236"/>
      <c r="F42" s="236"/>
      <c r="G42" s="236"/>
      <c r="H42" s="238"/>
      <c r="I42" s="238"/>
      <c r="K42" s="236"/>
    </row>
    <row r="43" spans="1:11" s="100" customFormat="1" ht="12.75">
      <c r="A43" s="446"/>
      <c r="B43" s="451"/>
      <c r="C43" s="144"/>
      <c r="D43" s="236"/>
      <c r="E43" s="236"/>
      <c r="F43" s="236"/>
      <c r="G43" s="236"/>
      <c r="H43" s="238"/>
      <c r="I43" s="238"/>
      <c r="K43" s="236"/>
    </row>
    <row r="44" spans="1:11" s="100" customFormat="1" ht="12.75" customHeight="1">
      <c r="A44" s="549" t="s">
        <v>20</v>
      </c>
      <c r="B44" s="549" t="s">
        <v>150</v>
      </c>
      <c r="C44" s="553" t="s">
        <v>452</v>
      </c>
      <c r="D44" s="558" t="s">
        <v>379</v>
      </c>
      <c r="E44" s="556" t="s">
        <v>449</v>
      </c>
      <c r="F44" s="556" t="s">
        <v>450</v>
      </c>
      <c r="G44" s="230"/>
      <c r="H44" s="547" t="s">
        <v>447</v>
      </c>
      <c r="I44" s="547" t="s">
        <v>451</v>
      </c>
      <c r="K44" s="236"/>
    </row>
    <row r="45" spans="1:11" s="100" customFormat="1" ht="27" customHeight="1">
      <c r="A45" s="550"/>
      <c r="B45" s="550"/>
      <c r="C45" s="554"/>
      <c r="D45" s="558"/>
      <c r="E45" s="557"/>
      <c r="F45" s="557"/>
      <c r="G45" s="234"/>
      <c r="H45" s="555"/>
      <c r="I45" s="548"/>
      <c r="K45" s="236"/>
    </row>
    <row r="46" spans="1:11" s="100" customFormat="1" ht="12.75">
      <c r="A46" s="154"/>
      <c r="B46" s="43" t="s">
        <v>295</v>
      </c>
      <c r="C46" s="194"/>
      <c r="D46" s="197"/>
      <c r="E46" s="197"/>
      <c r="F46" s="197"/>
      <c r="G46" s="197"/>
      <c r="H46" s="193"/>
      <c r="I46" s="193"/>
      <c r="K46" s="236"/>
    </row>
    <row r="47" spans="1:11" s="100" customFormat="1" ht="12.75">
      <c r="A47" s="435">
        <v>1</v>
      </c>
      <c r="B47" s="194" t="s">
        <v>296</v>
      </c>
      <c r="C47" s="193"/>
      <c r="D47" s="197">
        <v>0</v>
      </c>
      <c r="E47" s="197"/>
      <c r="F47" s="197">
        <f>+C47+D47-E47</f>
        <v>0</v>
      </c>
      <c r="G47" s="197"/>
      <c r="H47" s="193"/>
      <c r="I47" s="193">
        <f aca="true" t="shared" si="5" ref="I47:I52">+I7</f>
        <v>38574900</v>
      </c>
      <c r="K47" s="236"/>
    </row>
    <row r="48" spans="1:11" s="100" customFormat="1" ht="12.75">
      <c r="A48" s="435">
        <v>2</v>
      </c>
      <c r="B48" s="194" t="s">
        <v>297</v>
      </c>
      <c r="C48" s="193"/>
      <c r="D48" s="197">
        <v>0</v>
      </c>
      <c r="E48" s="197"/>
      <c r="F48" s="197">
        <f aca="true" t="shared" si="6" ref="F48:F53">+C48+D48-E48</f>
        <v>0</v>
      </c>
      <c r="G48" s="197"/>
      <c r="H48" s="193"/>
      <c r="I48" s="193">
        <f t="shared" si="5"/>
        <v>30615000</v>
      </c>
      <c r="K48" s="236"/>
    </row>
    <row r="49" spans="1:11" s="100" customFormat="1" ht="12.75">
      <c r="A49" s="435">
        <v>3</v>
      </c>
      <c r="B49" s="194" t="s">
        <v>298</v>
      </c>
      <c r="C49" s="193"/>
      <c r="D49" s="197">
        <v>0</v>
      </c>
      <c r="E49" s="197"/>
      <c r="F49" s="197">
        <f t="shared" si="6"/>
        <v>0</v>
      </c>
      <c r="G49" s="197"/>
      <c r="H49" s="193"/>
      <c r="I49" s="193">
        <f t="shared" si="5"/>
        <v>23267400</v>
      </c>
      <c r="K49" s="236"/>
    </row>
    <row r="50" spans="1:11" s="100" customFormat="1" ht="12.75">
      <c r="A50" s="435">
        <v>4</v>
      </c>
      <c r="B50" s="194" t="s">
        <v>299</v>
      </c>
      <c r="C50" s="193"/>
      <c r="D50" s="197">
        <v>0</v>
      </c>
      <c r="E50" s="197"/>
      <c r="F50" s="197">
        <f t="shared" si="6"/>
        <v>0</v>
      </c>
      <c r="G50" s="197"/>
      <c r="H50" s="193"/>
      <c r="I50" s="193">
        <f t="shared" si="5"/>
        <v>7983100</v>
      </c>
      <c r="K50" s="236"/>
    </row>
    <row r="51" spans="1:11" s="100" customFormat="1" ht="12.75">
      <c r="A51" s="435">
        <v>5</v>
      </c>
      <c r="B51" s="194" t="s">
        <v>300</v>
      </c>
      <c r="C51" s="193"/>
      <c r="D51" s="197">
        <v>0</v>
      </c>
      <c r="E51" s="197"/>
      <c r="F51" s="197">
        <f t="shared" si="6"/>
        <v>0</v>
      </c>
      <c r="G51" s="197"/>
      <c r="H51" s="193"/>
      <c r="I51" s="193">
        <f t="shared" si="5"/>
        <v>10531900</v>
      </c>
      <c r="K51" s="236"/>
    </row>
    <row r="52" spans="1:11" s="100" customFormat="1" ht="12.75">
      <c r="A52" s="435">
        <v>6</v>
      </c>
      <c r="B52" s="194" t="s">
        <v>301</v>
      </c>
      <c r="C52" s="193"/>
      <c r="D52" s="197">
        <v>0</v>
      </c>
      <c r="E52" s="197"/>
      <c r="F52" s="197">
        <f t="shared" si="6"/>
        <v>0</v>
      </c>
      <c r="G52" s="197"/>
      <c r="H52" s="193"/>
      <c r="I52" s="193">
        <f t="shared" si="5"/>
        <v>23010470</v>
      </c>
      <c r="K52" s="236"/>
    </row>
    <row r="53" spans="1:11" s="100" customFormat="1" ht="21" customHeight="1">
      <c r="A53" s="214" t="s">
        <v>26</v>
      </c>
      <c r="B53" s="102" t="s">
        <v>302</v>
      </c>
      <c r="C53" s="103"/>
      <c r="D53" s="437">
        <v>0</v>
      </c>
      <c r="E53" s="437"/>
      <c r="F53" s="197">
        <f t="shared" si="6"/>
        <v>0</v>
      </c>
      <c r="G53" s="197"/>
      <c r="H53" s="209"/>
      <c r="I53" s="209">
        <f>SUM(I46:I52)</f>
        <v>133982770</v>
      </c>
      <c r="K53" s="236"/>
    </row>
    <row r="54" spans="1:11" s="100" customFormat="1" ht="12.75">
      <c r="A54" s="173"/>
      <c r="B54" s="155"/>
      <c r="C54" s="156"/>
      <c r="D54" s="439"/>
      <c r="E54" s="439"/>
      <c r="F54" s="439"/>
      <c r="G54" s="440"/>
      <c r="H54" s="156"/>
      <c r="I54" s="156"/>
      <c r="K54" s="236"/>
    </row>
    <row r="55" spans="1:11" s="100" customFormat="1" ht="12.75">
      <c r="A55" s="173"/>
      <c r="B55" s="441" t="s">
        <v>303</v>
      </c>
      <c r="C55" s="156"/>
      <c r="D55" s="447" t="s">
        <v>366</v>
      </c>
      <c r="E55" s="442"/>
      <c r="F55" s="442"/>
      <c r="G55" s="440"/>
      <c r="H55" s="156"/>
      <c r="I55" s="156"/>
      <c r="K55" s="236"/>
    </row>
    <row r="56" spans="1:12" s="100" customFormat="1" ht="12.75">
      <c r="A56" s="435">
        <v>1</v>
      </c>
      <c r="B56" s="194" t="s">
        <v>304</v>
      </c>
      <c r="C56" s="193">
        <v>2490418</v>
      </c>
      <c r="D56" s="197">
        <f aca="true" t="shared" si="7" ref="D56:D61">+E16-C56</f>
        <v>79894582</v>
      </c>
      <c r="E56" s="197">
        <f>+D56*0.15%</f>
        <v>119841.873</v>
      </c>
      <c r="F56" s="197">
        <f aca="true" t="shared" si="8" ref="F56:F61">+C56+E56</f>
        <v>2610259.873</v>
      </c>
      <c r="G56" s="197"/>
      <c r="H56" s="193"/>
      <c r="I56" s="193">
        <f aca="true" t="shared" si="9" ref="I56:I61">+I16-F56</f>
        <v>79774740.127</v>
      </c>
      <c r="J56" s="238"/>
      <c r="K56" s="236"/>
      <c r="L56" s="448"/>
    </row>
    <row r="57" spans="1:12" s="100" customFormat="1" ht="12.75">
      <c r="A57" s="435">
        <v>2</v>
      </c>
      <c r="B57" s="194" t="s">
        <v>305</v>
      </c>
      <c r="C57" s="193">
        <v>813120</v>
      </c>
      <c r="D57" s="197">
        <f t="shared" si="7"/>
        <v>35940280</v>
      </c>
      <c r="E57" s="197">
        <f>+D57*0.15%</f>
        <v>53910.42</v>
      </c>
      <c r="F57" s="197">
        <f t="shared" si="8"/>
        <v>867030.42</v>
      </c>
      <c r="G57" s="197"/>
      <c r="H57" s="193"/>
      <c r="I57" s="193">
        <f t="shared" si="9"/>
        <v>35886369.58</v>
      </c>
      <c r="J57" s="238"/>
      <c r="K57" s="236"/>
      <c r="L57" s="448"/>
    </row>
    <row r="58" spans="1:12" s="100" customFormat="1" ht="12.75">
      <c r="A58" s="435">
        <v>3</v>
      </c>
      <c r="B58" s="194" t="s">
        <v>365</v>
      </c>
      <c r="C58" s="193">
        <v>15626</v>
      </c>
      <c r="D58" s="197">
        <f t="shared" si="7"/>
        <v>14210812.43</v>
      </c>
      <c r="E58" s="197">
        <f>+D58*0.15%</f>
        <v>21316.218645</v>
      </c>
      <c r="F58" s="197">
        <f t="shared" si="8"/>
        <v>36942.218645</v>
      </c>
      <c r="G58" s="197"/>
      <c r="H58" s="193"/>
      <c r="I58" s="193">
        <f t="shared" si="9"/>
        <v>14189496.211354999</v>
      </c>
      <c r="J58" s="238"/>
      <c r="K58" s="236"/>
      <c r="L58" s="448"/>
    </row>
    <row r="59" spans="1:12" s="100" customFormat="1" ht="12.75">
      <c r="A59" s="435">
        <v>4</v>
      </c>
      <c r="B59" s="194" t="s">
        <v>306</v>
      </c>
      <c r="C59" s="193">
        <v>3546752</v>
      </c>
      <c r="D59" s="197">
        <f t="shared" si="7"/>
        <v>122184097</v>
      </c>
      <c r="E59" s="197">
        <f>+D59*0.15%</f>
        <v>183276.1455</v>
      </c>
      <c r="F59" s="197">
        <f t="shared" si="8"/>
        <v>3730028.1455</v>
      </c>
      <c r="G59" s="197"/>
      <c r="H59" s="193"/>
      <c r="I59" s="193">
        <f t="shared" si="9"/>
        <v>122000820.8545</v>
      </c>
      <c r="J59" s="238"/>
      <c r="K59" s="236"/>
      <c r="L59" s="448"/>
    </row>
    <row r="60" spans="1:12" s="100" customFormat="1" ht="12.75">
      <c r="A60" s="435">
        <v>5</v>
      </c>
      <c r="B60" s="194" t="s">
        <v>307</v>
      </c>
      <c r="C60" s="193">
        <v>33236</v>
      </c>
      <c r="D60" s="197">
        <f t="shared" si="7"/>
        <v>27635970.13</v>
      </c>
      <c r="E60" s="197">
        <f>+D60*0.15%</f>
        <v>41453.955195</v>
      </c>
      <c r="F60" s="197">
        <f t="shared" si="8"/>
        <v>74689.955195</v>
      </c>
      <c r="G60" s="197"/>
      <c r="H60" s="193"/>
      <c r="I60" s="193">
        <f t="shared" si="9"/>
        <v>27594516.174805</v>
      </c>
      <c r="J60" s="238"/>
      <c r="K60" s="236"/>
      <c r="L60" s="448"/>
    </row>
    <row r="61" spans="1:12" s="100" customFormat="1" ht="12.75">
      <c r="A61" s="435">
        <v>6</v>
      </c>
      <c r="B61" s="194" t="s">
        <v>380</v>
      </c>
      <c r="C61" s="193">
        <v>0</v>
      </c>
      <c r="D61" s="197">
        <f t="shared" si="7"/>
        <v>3050455</v>
      </c>
      <c r="E61" s="197"/>
      <c r="F61" s="197">
        <f t="shared" si="8"/>
        <v>0</v>
      </c>
      <c r="G61" s="197"/>
      <c r="H61" s="193"/>
      <c r="I61" s="193">
        <f t="shared" si="9"/>
        <v>16206580.7775</v>
      </c>
      <c r="J61" s="436"/>
      <c r="K61" s="236"/>
      <c r="L61" s="448"/>
    </row>
    <row r="62" spans="1:11" s="100" customFormat="1" ht="22.5" customHeight="1">
      <c r="A62" s="214" t="s">
        <v>48</v>
      </c>
      <c r="B62" s="102" t="s">
        <v>308</v>
      </c>
      <c r="C62" s="437">
        <f>SUM(C56:C61)</f>
        <v>6899152</v>
      </c>
      <c r="D62" s="437">
        <f>SUM(D56:D61)</f>
        <v>282916196.56</v>
      </c>
      <c r="E62" s="437">
        <f>SUM(E56:E61)</f>
        <v>419798.61234000005</v>
      </c>
      <c r="F62" s="437">
        <f>SUM(F56:F61)</f>
        <v>7318950.61234</v>
      </c>
      <c r="G62" s="437"/>
      <c r="H62" s="437">
        <f>SUM(H56:H60)</f>
        <v>0</v>
      </c>
      <c r="I62" s="437">
        <f>SUM(I56:I61)</f>
        <v>295652523.72515994</v>
      </c>
      <c r="K62" s="236"/>
    </row>
    <row r="63" spans="1:11" s="100" customFormat="1" ht="12.75">
      <c r="A63" s="173"/>
      <c r="B63" s="155"/>
      <c r="C63" s="156"/>
      <c r="D63" s="439"/>
      <c r="E63" s="439"/>
      <c r="F63" s="439"/>
      <c r="G63" s="440"/>
      <c r="H63" s="156"/>
      <c r="I63" s="156"/>
      <c r="K63" s="236"/>
    </row>
    <row r="64" spans="1:11" s="100" customFormat="1" ht="12.75">
      <c r="A64" s="143"/>
      <c r="B64" s="443" t="s">
        <v>309</v>
      </c>
      <c r="C64" s="144"/>
      <c r="D64" s="447" t="s">
        <v>366</v>
      </c>
      <c r="E64" s="442"/>
      <c r="F64" s="442"/>
      <c r="G64" s="440"/>
      <c r="H64" s="238"/>
      <c r="I64" s="238"/>
      <c r="K64" s="236"/>
    </row>
    <row r="65" spans="1:11" s="100" customFormat="1" ht="12.75">
      <c r="A65" s="435">
        <v>1</v>
      </c>
      <c r="B65" s="194" t="s">
        <v>310</v>
      </c>
      <c r="C65" s="193">
        <v>1529489</v>
      </c>
      <c r="D65" s="197">
        <f>+E25-C65</f>
        <v>71375324</v>
      </c>
      <c r="E65" s="197">
        <f>+D65*0.15%</f>
        <v>107062.986</v>
      </c>
      <c r="F65" s="197">
        <f aca="true" t="shared" si="10" ref="F65:F71">+C65+E65</f>
        <v>1636551.986</v>
      </c>
      <c r="G65" s="197"/>
      <c r="H65" s="193"/>
      <c r="I65" s="193">
        <f>+I25-F65</f>
        <v>71268261.014</v>
      </c>
      <c r="K65" s="236"/>
    </row>
    <row r="66" spans="1:11" s="100" customFormat="1" ht="12.75">
      <c r="A66" s="435">
        <v>3</v>
      </c>
      <c r="B66" s="194" t="s">
        <v>312</v>
      </c>
      <c r="C66" s="193">
        <v>5884668</v>
      </c>
      <c r="D66" s="197">
        <f aca="true" t="shared" si="11" ref="D66:D71">+E27-C66</f>
        <v>449313379.12</v>
      </c>
      <c r="E66" s="197">
        <f aca="true" t="shared" si="12" ref="E66:E71">+D66*0.15%</f>
        <v>673970.06868</v>
      </c>
      <c r="F66" s="197">
        <f t="shared" si="10"/>
        <v>6558638.06868</v>
      </c>
      <c r="G66" s="197"/>
      <c r="H66" s="193"/>
      <c r="I66" s="193">
        <f aca="true" t="shared" si="13" ref="I66:I71">+I27-F66</f>
        <v>458639409.05132</v>
      </c>
      <c r="K66" s="236"/>
    </row>
    <row r="67" spans="1:11" s="100" customFormat="1" ht="12.75">
      <c r="A67" s="435">
        <v>4</v>
      </c>
      <c r="B67" s="194" t="s">
        <v>313</v>
      </c>
      <c r="C67" s="193">
        <v>271333</v>
      </c>
      <c r="D67" s="197">
        <f t="shared" si="11"/>
        <v>16727795</v>
      </c>
      <c r="E67" s="197">
        <f t="shared" si="12"/>
        <v>25091.6925</v>
      </c>
      <c r="F67" s="197">
        <f t="shared" si="10"/>
        <v>296424.6925</v>
      </c>
      <c r="G67" s="197"/>
      <c r="H67" s="193"/>
      <c r="I67" s="193">
        <f t="shared" si="13"/>
        <v>17076220.8075</v>
      </c>
      <c r="K67" s="236"/>
    </row>
    <row r="68" spans="1:11" s="100" customFormat="1" ht="12.75">
      <c r="A68" s="435">
        <v>5</v>
      </c>
      <c r="B68" s="194" t="s">
        <v>322</v>
      </c>
      <c r="C68" s="193">
        <v>2568293</v>
      </c>
      <c r="D68" s="197">
        <f t="shared" si="11"/>
        <v>144501641</v>
      </c>
      <c r="E68" s="197">
        <f t="shared" si="12"/>
        <v>216752.4615</v>
      </c>
      <c r="F68" s="197">
        <f t="shared" si="10"/>
        <v>2785045.4615</v>
      </c>
      <c r="G68" s="197"/>
      <c r="H68" s="193"/>
      <c r="I68" s="193">
        <f t="shared" si="13"/>
        <v>157801487.5385</v>
      </c>
      <c r="K68" s="236"/>
    </row>
    <row r="69" spans="1:11" s="100" customFormat="1" ht="12.75">
      <c r="A69" s="435">
        <v>6</v>
      </c>
      <c r="B69" s="194" t="s">
        <v>381</v>
      </c>
      <c r="C69" s="193">
        <v>0</v>
      </c>
      <c r="D69" s="197">
        <f t="shared" si="11"/>
        <v>0</v>
      </c>
      <c r="E69" s="197">
        <f t="shared" si="12"/>
        <v>0</v>
      </c>
      <c r="F69" s="197">
        <f t="shared" si="10"/>
        <v>0</v>
      </c>
      <c r="G69" s="197"/>
      <c r="H69" s="193"/>
      <c r="I69" s="193">
        <f t="shared" si="13"/>
        <v>65546499</v>
      </c>
      <c r="K69" s="236"/>
    </row>
    <row r="70" spans="1:11" s="100" customFormat="1" ht="12.75">
      <c r="A70" s="435">
        <v>7</v>
      </c>
      <c r="B70" s="194" t="s">
        <v>314</v>
      </c>
      <c r="C70" s="193">
        <v>17150.425000000003</v>
      </c>
      <c r="D70" s="197">
        <f t="shared" si="11"/>
        <v>841507.575</v>
      </c>
      <c r="E70" s="197">
        <f t="shared" si="12"/>
        <v>1262.2613625</v>
      </c>
      <c r="F70" s="197">
        <f t="shared" si="10"/>
        <v>18412.686362500004</v>
      </c>
      <c r="G70" s="197"/>
      <c r="H70" s="193"/>
      <c r="I70" s="193">
        <f t="shared" si="13"/>
        <v>840245.3136375</v>
      </c>
      <c r="K70" s="236"/>
    </row>
    <row r="71" spans="1:11" s="100" customFormat="1" ht="12.75">
      <c r="A71" s="435">
        <v>8</v>
      </c>
      <c r="B71" s="194" t="s">
        <v>315</v>
      </c>
      <c r="C71" s="193">
        <v>55894.93175</v>
      </c>
      <c r="D71" s="197">
        <f t="shared" si="11"/>
        <v>687921.06825</v>
      </c>
      <c r="E71" s="197">
        <f t="shared" si="12"/>
        <v>1031.881602375</v>
      </c>
      <c r="F71" s="197">
        <f t="shared" si="10"/>
        <v>56926.813352375</v>
      </c>
      <c r="G71" s="197"/>
      <c r="H71" s="193"/>
      <c r="I71" s="193">
        <f t="shared" si="13"/>
        <v>686889.1866476249</v>
      </c>
      <c r="K71" s="236"/>
    </row>
    <row r="72" spans="1:11" s="100" customFormat="1" ht="19.5" customHeight="1">
      <c r="A72" s="214" t="s">
        <v>83</v>
      </c>
      <c r="B72" s="102" t="s">
        <v>169</v>
      </c>
      <c r="C72" s="215">
        <f>SUM(C65:C71)</f>
        <v>10326828.35675</v>
      </c>
      <c r="D72" s="215">
        <f aca="true" t="shared" si="14" ref="D72:I72">SUM(D65:D71)</f>
        <v>683447567.76325</v>
      </c>
      <c r="E72" s="215">
        <f t="shared" si="14"/>
        <v>1025171.351644875</v>
      </c>
      <c r="F72" s="215">
        <f t="shared" si="14"/>
        <v>11351999.708394874</v>
      </c>
      <c r="G72" s="215"/>
      <c r="H72" s="215">
        <f t="shared" si="14"/>
        <v>0</v>
      </c>
      <c r="I72" s="215">
        <f t="shared" si="14"/>
        <v>771859011.9116051</v>
      </c>
      <c r="K72" s="236"/>
    </row>
    <row r="73" spans="1:11" s="100" customFormat="1" ht="12.75">
      <c r="A73" s="101"/>
      <c r="B73" s="54" t="s">
        <v>316</v>
      </c>
      <c r="C73" s="106"/>
      <c r="D73" s="206"/>
      <c r="E73" s="206"/>
      <c r="F73" s="206"/>
      <c r="G73" s="235"/>
      <c r="H73" s="195"/>
      <c r="I73" s="156"/>
      <c r="K73" s="236"/>
    </row>
    <row r="74" spans="1:11" s="100" customFormat="1" ht="12.75">
      <c r="A74" s="435">
        <v>1</v>
      </c>
      <c r="B74" s="194" t="s">
        <v>317</v>
      </c>
      <c r="C74" s="193">
        <v>321645</v>
      </c>
      <c r="D74" s="197">
        <f>+E35-C74</f>
        <v>1841497.2600000002</v>
      </c>
      <c r="E74" s="197">
        <f>+D74*5%</f>
        <v>92074.86300000001</v>
      </c>
      <c r="F74" s="197">
        <f>+C74+E74</f>
        <v>413719.863</v>
      </c>
      <c r="G74" s="197"/>
      <c r="H74" s="193"/>
      <c r="I74" s="193">
        <f>+I35-F74</f>
        <v>1749422.3970000003</v>
      </c>
      <c r="K74" s="236"/>
    </row>
    <row r="75" spans="1:11" s="100" customFormat="1" ht="12.75">
      <c r="A75" s="435">
        <v>2</v>
      </c>
      <c r="B75" s="194" t="s">
        <v>318</v>
      </c>
      <c r="C75" s="193">
        <v>206612</v>
      </c>
      <c r="D75" s="197">
        <f>+E36-C75</f>
        <v>841935</v>
      </c>
      <c r="E75" s="197">
        <f>+D75*5%+64</f>
        <v>42160.75</v>
      </c>
      <c r="F75" s="197">
        <f>+C75+E75</f>
        <v>248772.75</v>
      </c>
      <c r="G75" s="197"/>
      <c r="H75" s="193"/>
      <c r="I75" s="193">
        <f>+I36-F75</f>
        <v>1002667.25</v>
      </c>
      <c r="K75" s="236"/>
    </row>
    <row r="76" spans="1:11" s="100" customFormat="1" ht="12.75">
      <c r="A76" s="435">
        <v>3</v>
      </c>
      <c r="B76" s="194" t="s">
        <v>319</v>
      </c>
      <c r="C76" s="193">
        <v>3844049</v>
      </c>
      <c r="D76" s="197">
        <f>+E37-C76</f>
        <v>7785895</v>
      </c>
      <c r="E76" s="197">
        <f>+D76*5%</f>
        <v>389294.75</v>
      </c>
      <c r="F76" s="197">
        <f>+C76+E76</f>
        <v>4233343.75</v>
      </c>
      <c r="G76" s="197"/>
      <c r="H76" s="193">
        <v>2221460</v>
      </c>
      <c r="I76" s="193">
        <f>+I37-F76+H76</f>
        <v>7118060.25</v>
      </c>
      <c r="K76" s="236"/>
    </row>
    <row r="77" spans="1:11" s="100" customFormat="1" ht="19.5" customHeight="1">
      <c r="A77" s="214" t="s">
        <v>371</v>
      </c>
      <c r="B77" s="102" t="s">
        <v>320</v>
      </c>
      <c r="C77" s="103">
        <f>SUM(C74:C76)</f>
        <v>4372306</v>
      </c>
      <c r="D77" s="103">
        <f>SUM(D74:D76)</f>
        <v>10469327.26</v>
      </c>
      <c r="E77" s="103">
        <f>SUM(E74:E76)</f>
        <v>523530.363</v>
      </c>
      <c r="F77" s="103">
        <f>SUM(F74:F76)</f>
        <v>4895836.363</v>
      </c>
      <c r="G77" s="103"/>
      <c r="H77" s="103">
        <f>SUM(H74:H76)</f>
        <v>2221460</v>
      </c>
      <c r="I77" s="103">
        <f>SUM(I74:I76)</f>
        <v>9870149.897</v>
      </c>
      <c r="K77" s="236"/>
    </row>
    <row r="78" spans="1:11" s="100" customFormat="1" ht="20.25" customHeight="1">
      <c r="A78" s="214" t="s">
        <v>372</v>
      </c>
      <c r="B78" s="102" t="s">
        <v>167</v>
      </c>
      <c r="C78" s="212">
        <f>+C77+C72+C62+C53</f>
        <v>21598286.35675</v>
      </c>
      <c r="D78" s="212">
        <f>+D77+D72+D62+D53</f>
        <v>976833091.58325</v>
      </c>
      <c r="E78" s="212">
        <f>+E77+E72+E62+E53</f>
        <v>1968500.326984875</v>
      </c>
      <c r="F78" s="212">
        <f>+F77+F72+F62+F53</f>
        <v>23566786.683734875</v>
      </c>
      <c r="G78" s="212"/>
      <c r="H78" s="212">
        <f>+H77+H72+H62+H53</f>
        <v>2221460</v>
      </c>
      <c r="I78" s="212">
        <f>+I77+I72+I62+I53</f>
        <v>1211364455.533765</v>
      </c>
      <c r="K78" s="236"/>
    </row>
    <row r="79" spans="1:11" s="100" customFormat="1" ht="12.75">
      <c r="A79" s="428"/>
      <c r="B79" s="144"/>
      <c r="C79" s="144"/>
      <c r="D79" s="236"/>
      <c r="E79" s="236"/>
      <c r="F79" s="236"/>
      <c r="G79" s="236"/>
      <c r="H79" s="238"/>
      <c r="I79" s="238"/>
      <c r="K79" s="236"/>
    </row>
    <row r="80" ht="12.75">
      <c r="C80" s="105"/>
    </row>
    <row r="81" ht="12.75">
      <c r="E81" s="196"/>
    </row>
  </sheetData>
  <sheetProtection/>
  <mergeCells count="17">
    <mergeCell ref="H44:H45"/>
    <mergeCell ref="A44:A45"/>
    <mergeCell ref="B44:B45"/>
    <mergeCell ref="C44:C45"/>
    <mergeCell ref="D44:D45"/>
    <mergeCell ref="E44:E45"/>
    <mergeCell ref="F44:F45"/>
    <mergeCell ref="I44:I45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5" right="0.32" top="0.13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2012-04-02T09:29:22Z</cp:lastPrinted>
  <dcterms:created xsi:type="dcterms:W3CDTF">1996-10-14T23:33:28Z</dcterms:created>
  <dcterms:modified xsi:type="dcterms:W3CDTF">2012-07-07T07:38:30Z</dcterms:modified>
  <cp:category/>
  <cp:version/>
  <cp:contentType/>
  <cp:contentStatus/>
</cp:coreProperties>
</file>