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075" windowHeight="8145" tabRatio="719" firstSheet="5" activeTab="6"/>
  </bookViews>
  <sheets>
    <sheet name="Kapaku" sheetId="1" r:id="rId1"/>
    <sheet name="Aktivet 2011" sheetId="2" r:id="rId2"/>
    <sheet name="Pasivet 2011" sheetId="3" r:id="rId3"/>
    <sheet name="2011 Te Ardhura &amp; Shpenzime 1" sheetId="4" r:id="rId4"/>
    <sheet name=" 2011 Fluksi Monetar 2" sheetId="5" r:id="rId5"/>
    <sheet name="Pasq.Ndih.Cash flow2011" sheetId="6" r:id="rId6"/>
    <sheet name="CF 2010" sheetId="7" r:id="rId7"/>
    <sheet name="JO CF 2009" sheetId="8" state="hidden" r:id="rId8"/>
    <sheet name="JO CF 2008 " sheetId="9" state="hidden" r:id="rId9"/>
    <sheet name="CF 2007" sheetId="10" state="hidden" r:id="rId10"/>
    <sheet name="2011 Ndryshimet ne Kapital 2" sheetId="11" r:id="rId11"/>
    <sheet name="2011 Pasq.per AAM 1" sheetId="12" r:id="rId12"/>
    <sheet name="BANKAT 2011" sheetId="13" r:id="rId13"/>
    <sheet name="Shenimet shpjeguese" sheetId="14" r:id="rId14"/>
    <sheet name="Sheet1" sheetId="15" state="hidden" r:id="rId15"/>
    <sheet name="Sheet2" sheetId="16" state="hidden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0">'2011 Ndryshimet ne Kapital 2'!$A$1:$H$35</definedName>
    <definedName name="_xlnm.Print_Area" localSheetId="11">'2011 Pasq.per AAM 1'!$A$1:$H$37</definedName>
    <definedName name="_xlnm.Print_Area" localSheetId="1">'Aktivet 2011'!$A$1:$E$44</definedName>
    <definedName name="_xlnm.Print_Area" localSheetId="2">'Pasivet 2011'!$A$1:$J$41</definedName>
  </definedNames>
  <calcPr fullCalcOnLoad="1"/>
</workbook>
</file>

<file path=xl/sharedStrings.xml><?xml version="1.0" encoding="utf-8"?>
<sst xmlns="http://schemas.openxmlformats.org/spreadsheetml/2006/main" count="571" uniqueCount="314">
  <si>
    <t>Nr.</t>
  </si>
  <si>
    <t>Shenime</t>
  </si>
  <si>
    <t>Periudha Raportuese</t>
  </si>
  <si>
    <t>I</t>
  </si>
  <si>
    <t>AKTIVET AFATSHKURTRA</t>
  </si>
  <si>
    <t>1 Aktivet monetare</t>
  </si>
  <si>
    <t>2 Derivative dhe aktive te mbajtura per tregtim</t>
  </si>
  <si>
    <t>3 Aktive te tjera financiare afatshkurtra</t>
  </si>
  <si>
    <t>4 Inventari</t>
  </si>
  <si>
    <t>5 Aktive biologjike afatshkurtra</t>
  </si>
  <si>
    <t>6 Aktive afatshkurtra te mbajtura per rishitje</t>
  </si>
  <si>
    <t>7 Parapagime dhe shpenzime te shtyra</t>
  </si>
  <si>
    <t>II.</t>
  </si>
  <si>
    <t>AKTIVET AFATGJATA</t>
  </si>
  <si>
    <t>1 Investimet financiare afatgjata</t>
  </si>
  <si>
    <t>TOTALI I AKTIVEVE (I+II)</t>
  </si>
  <si>
    <t xml:space="preserve">   &gt; Banka</t>
  </si>
  <si>
    <t xml:space="preserve">   &gt; Arka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</si>
  <si>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</si>
  <si>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</si>
  <si>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</si>
  <si>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</si>
  <si>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>Periudha              Para ardhese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</si>
  <si>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</si>
  <si>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</si>
  <si>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</si>
  <si>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</si>
  <si>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</si>
  <si>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</si>
  <si>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</si>
  <si>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</si>
  <si>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</si>
  <si>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</si>
  <si>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</si>
  <si>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</si>
  <si>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</si>
  <si>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</si>
  <si>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</si>
  <si>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Bono te konvertueshme</t>
  </si>
  <si>
    <t>2 Huamarrje te tjera afatgjata</t>
  </si>
  <si>
    <t>3 Grantet dhe te ardhurat e shtyra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</si>
  <si>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</si>
  <si>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</si>
  <si>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</si>
  <si>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</si>
  <si>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</si>
  <si>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</si>
  <si>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</si>
  <si>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</si>
  <si>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</si>
  <si>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</si>
  <si>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</si>
  <si>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</si>
  <si>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</si>
  <si>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(Bazuar ne klasifikimin e Shpenzimeve sipas Natyres)</t>
  </si>
  <si>
    <t>Pershkrimi i Elementeve</t>
  </si>
  <si>
    <t>Periudha       Para ardhese</t>
  </si>
  <si>
    <t>Shitjet neto</t>
  </si>
  <si>
    <t>Te ardhura te tjera nga veprimtaria e shfrytezimit</t>
  </si>
  <si>
    <t>Materialet e konsumuara</t>
  </si>
  <si>
    <t>Kosto e punes</t>
  </si>
  <si>
    <t>Amortizimet dhe zhvleresimet</t>
  </si>
  <si>
    <t>Shpenzime te tjera</t>
  </si>
  <si>
    <t>Te ardhurat dhe shpenzimet financiare nga njesite e kontrolluara</t>
  </si>
  <si>
    <t xml:space="preserve">Te ardhurat dhe shpenzimet financiare </t>
  </si>
  <si>
    <t>Totali i te Ardhurave dhe Shpenzimeve Financiare</t>
  </si>
  <si>
    <t>Fitimi (humbja) para tatimit (9+/-13)</t>
  </si>
  <si>
    <t>Shpenzimet e tatimit mbi fitimin</t>
  </si>
  <si>
    <t>Fitimi (humbja) neto e vitit financiar (14-15)</t>
  </si>
  <si>
    <t>Elementet e pasqyrave te konsoliduara</t>
  </si>
  <si>
    <t xml:space="preserve">   Pagat e personelit</t>
  </si>
  <si>
    <t xml:space="preserve">   121.0  Te ardh.e shpenz.financ.nga invest.te tjera financ.afatgjata</t>
  </si>
  <si>
    <t xml:space="preserve">   122      Te ardhurat dhe shpenzimet nga interesat</t>
  </si>
  <si>
    <t xml:space="preserve">   123      Fitimet (Humbjet) nga kursi i kembimit</t>
  </si>
  <si>
    <t>Fluksi monetar nga veprimtarite investuese</t>
  </si>
  <si>
    <t xml:space="preserve">   Interesi i paguar</t>
  </si>
  <si>
    <t xml:space="preserve">   Tatim mbi fitimin i paguar</t>
  </si>
  <si>
    <t xml:space="preserve">   Blerja e njesise se kontrolluar X minus parate e arketuara</t>
  </si>
  <si>
    <t xml:space="preserve">   Blerja e aktiveve afatgjata materiale</t>
  </si>
  <si>
    <t xml:space="preserve">   Te ardhura nga shitja e paisjeve</t>
  </si>
  <si>
    <t xml:space="preserve">   Interesi i arketuar</t>
  </si>
  <si>
    <t xml:space="preserve">   Dividentet e arketuar</t>
  </si>
  <si>
    <t xml:space="preserve">   MM neto te perdorura ne veprimtarite investuese</t>
  </si>
  <si>
    <t xml:space="preserve">   Te ardhura nga emetimi i kapitalit aksioner</t>
  </si>
  <si>
    <t xml:space="preserve">   Te ardhura nga huamarrje afatgjatata</t>
  </si>
  <si>
    <t xml:space="preserve">   Pagesat e detyrimeve te qerase financiare</t>
  </si>
  <si>
    <t xml:space="preserve">   Dividente te paguar</t>
  </si>
  <si>
    <t xml:space="preserve">   MM neto te perdorura ne veprimtarite financiare</t>
  </si>
  <si>
    <t>Rritja/Renia neto e mjeteve monetare</t>
  </si>
  <si>
    <t>Mjetet monetare ne fillim te periudhes kontabel</t>
  </si>
  <si>
    <t>Mjetet monetare ne fund te periudhes kontabel</t>
  </si>
  <si>
    <t>Pasqyra e Fluksit Monetar - Metoda Indirekte</t>
  </si>
  <si>
    <t xml:space="preserve">   Fitimi para tatimit</t>
  </si>
  <si>
    <t xml:space="preserve">   Rregullime per:</t>
  </si>
  <si>
    <t xml:space="preserve">      Amortizimin</t>
  </si>
  <si>
    <t xml:space="preserve">      Humbje nga kembimet valutore    </t>
  </si>
  <si>
    <t xml:space="preserve">      Te ardhura nga Investimet</t>
  </si>
  <si>
    <t xml:space="preserve">      Shpenzime per interesa</t>
  </si>
  <si>
    <t xml:space="preserve">   Rritje/renie ne tepricen e inventarit</t>
  </si>
  <si>
    <t xml:space="preserve">   Rritje/renie ne tepricen e detyrimeve per t'u paguar nga aktiviteti</t>
  </si>
  <si>
    <t xml:space="preserve">   MM te perfituara nga aktivitetet</t>
  </si>
  <si>
    <t xml:space="preserve">   MM neto nga aktivitetet e shfrytezimit</t>
  </si>
  <si>
    <t>Fluksi i parave nga veprimtaria e shfrytrezimit</t>
  </si>
  <si>
    <t>Fluksi monetar nga aktivitete financiare</t>
  </si>
  <si>
    <t>Emertimi</t>
  </si>
  <si>
    <t xml:space="preserve">Kapitali Aksionar </t>
  </si>
  <si>
    <t>Primi i Aksionit</t>
  </si>
  <si>
    <t>Aksionet e Thesarit</t>
  </si>
  <si>
    <t>Fitimi i Pashperndare</t>
  </si>
  <si>
    <t>TOTALI</t>
  </si>
  <si>
    <t>Pozicioni me 31 dhjetor 2007</t>
  </si>
  <si>
    <t>A</t>
  </si>
  <si>
    <t>Efekti i ndryshimeve ne politikat kontabel</t>
  </si>
  <si>
    <t>Pozicioni i rregulluar</t>
  </si>
  <si>
    <t>B</t>
  </si>
  <si>
    <t>Dividentet e paguar</t>
  </si>
  <si>
    <t>Emetimi i kapitalit aksionar</t>
  </si>
  <si>
    <t>Pozicioni me 31 dhjetor 2008</t>
  </si>
  <si>
    <t>Fitimi neto per periudhen kontabel</t>
  </si>
  <si>
    <t>Aksione te thesarit te riblera</t>
  </si>
  <si>
    <t>II</t>
  </si>
  <si>
    <t>Pozicioni me 31 dhjetor 2006</t>
  </si>
  <si>
    <t>Rezervat Stat.ligjore</t>
  </si>
  <si>
    <t>Rritja e rezerves te kapitalit</t>
  </si>
  <si>
    <t>Emetimi i aksioneve</t>
  </si>
  <si>
    <t>3 Kapitali aksionar</t>
  </si>
  <si>
    <t>Emertimi dhe Forma ligjore</t>
  </si>
  <si>
    <t>NIPT-i</t>
  </si>
  <si>
    <t>Adresa e Selise</t>
  </si>
  <si>
    <t>Data e krijimit</t>
  </si>
  <si>
    <t>Nr.i Regjistrit Tregtar</t>
  </si>
  <si>
    <t>Veprimtaria Kryesore</t>
  </si>
  <si>
    <t>PASQYRAT FINANCIARE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</si>
  <si>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</si>
  <si>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</si>
  <si>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</si>
  <si>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</si>
  <si>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</si>
  <si>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Data e mbylljes se Pasqyrave Financiare</t>
  </si>
  <si>
    <t>31.12.2008</t>
  </si>
  <si>
    <t>SHENIMET SHPJEGUESE</t>
  </si>
  <si>
    <t xml:space="preserve">   &gt; Kliente per mallra, produkte e sherbime</t>
  </si>
  <si>
    <t xml:space="preserve">  &gt; Produkte te gatshme</t>
  </si>
  <si>
    <t xml:space="preserve">  &gt; </t>
  </si>
  <si>
    <t xml:space="preserve">  &gt; Shpenzime te periudhave te ardhshme</t>
  </si>
  <si>
    <t>2 Aktive afatgjata materiale</t>
  </si>
  <si>
    <t xml:space="preserve">  &gt; Makineri dhe pajisje</t>
  </si>
  <si>
    <t xml:space="preserve">  &gt; Aktive te tjera afatgjata materiale</t>
  </si>
  <si>
    <t>3 Aktivet biologjike afatgjata</t>
  </si>
  <si>
    <t>4 Aktivet afatgjata jomateriale</t>
  </si>
  <si>
    <t>5 Kapitali aksioner i pa paguar</t>
  </si>
  <si>
    <t>6 Aktive te tjera afatgjata</t>
  </si>
  <si>
    <t xml:space="preserve">   &gt; Tatim ne burim</t>
  </si>
  <si>
    <t>AKTIVE</t>
  </si>
  <si>
    <t>Tirane</t>
  </si>
  <si>
    <t>po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</si>
  <si>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</si>
  <si>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</si>
  <si>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</si>
  <si>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</si>
  <si>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</si>
  <si>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</si>
  <si>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</si>
  <si>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</si>
  <si>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</si>
  <si>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</si>
  <si>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</si>
  <si>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</si>
  <si>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</si>
  <si>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</si>
  <si>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</si>
  <si>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</si>
  <si>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</si>
  <si>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</si>
  <si>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</si>
  <si>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</si>
  <si>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</si>
  <si>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</si>
  <si>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</si>
  <si>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</si>
  <si>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</si>
  <si>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</si>
  <si>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</si>
  <si>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</si>
  <si>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</si>
  <si>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>(_________________________)</t>
  </si>
  <si>
    <t>Banka</t>
  </si>
  <si>
    <t>Nr</t>
  </si>
  <si>
    <t>Arka</t>
  </si>
  <si>
    <t xml:space="preserve">  &gt; Shpenzime te nisjes e te zgjerimit</t>
  </si>
  <si>
    <t xml:space="preserve">  &gt; Aktive te tjera afatgjata materiale ne proces</t>
  </si>
  <si>
    <t xml:space="preserve">  &gt; Aktive te tjera afatgjata jo materiale ne proces</t>
  </si>
  <si>
    <t xml:space="preserve">   &gt; Te tjera (Garanci te paguara)</t>
  </si>
  <si>
    <t>IV</t>
  </si>
  <si>
    <t>V</t>
  </si>
  <si>
    <t xml:space="preserve">  &gt; Mallra per rishitje </t>
  </si>
  <si>
    <t xml:space="preserve">  &gt; Materiale te tjera</t>
  </si>
  <si>
    <t xml:space="preserve">  &gt; Mjete teknike</t>
  </si>
  <si>
    <t xml:space="preserve">  &gt; Parapagesa per furnizime</t>
  </si>
  <si>
    <t xml:space="preserve">   &gt; Detyrime tatimore te tjera</t>
  </si>
  <si>
    <t xml:space="preserve">   123      Fitimet (Humbjet) nga shitja e aktiveve fikse</t>
  </si>
  <si>
    <t>Diferenca A-P</t>
  </si>
  <si>
    <t>Fitim/Humbje</t>
  </si>
  <si>
    <t>Aktivi</t>
  </si>
  <si>
    <t>Pasqyre  Ndihmese</t>
  </si>
  <si>
    <t>Levizja e Parase dhe ndryshimet ne gjendjen e likuiditeteve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</si>
  <si>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</si>
  <si>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</si>
  <si>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</si>
  <si>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</si>
  <si>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</si>
  <si>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</si>
  <si>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</si>
  <si>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</si>
  <si>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Aktive te Qendrushme</t>
  </si>
  <si>
    <t>(Shtesa te dala me  - )</t>
  </si>
  <si>
    <t>Amortizimi</t>
  </si>
  <si>
    <t>(Shtesa te hyra me + )</t>
  </si>
  <si>
    <t>Gjendje inventari</t>
  </si>
  <si>
    <t>Kerkesa per Arketim</t>
  </si>
  <si>
    <t>Te tjera llogari aktive</t>
  </si>
  <si>
    <t>Kapitalet e veta</t>
  </si>
  <si>
    <t>Detyrime te pagueshme</t>
  </si>
  <si>
    <t>Te tjera llogari pasive</t>
  </si>
  <si>
    <t>S H U M A</t>
  </si>
  <si>
    <t>31.12.08</t>
  </si>
  <si>
    <t>01.01.08</t>
  </si>
  <si>
    <t>01.01.2008</t>
  </si>
  <si>
    <t xml:space="preserve">   Rritje/renie ne tepricen e kerkesave te arketueshme                                                                                                                                                                                                    nga aktiviteti, si dhe kerkesave te arketueshme te tjera</t>
  </si>
  <si>
    <t>Sasia</t>
  </si>
  <si>
    <t>Gjendje</t>
  </si>
  <si>
    <t>Shtesa</t>
  </si>
  <si>
    <t>Pakesime</t>
  </si>
  <si>
    <t xml:space="preserve">             TOTALI</t>
  </si>
  <si>
    <t>ALL</t>
  </si>
  <si>
    <t>(Ne zbatim te Standartit Kombetar te Kontabilitetit nr.2 dhe Ligjit Nr.9228, Date 29.04.2004 "Per Kontabilitetin dhe Pasqyrat Financiare")</t>
  </si>
  <si>
    <t>Shenim: Kjo eshte nje pasqyre e pakonsoliduar.</t>
  </si>
  <si>
    <t>Firmat per drejtimin e njesise ekonomike</t>
  </si>
  <si>
    <t xml:space="preserve">Hartuesi:                                                 </t>
  </si>
  <si>
    <t>Administratori:</t>
  </si>
  <si>
    <t>jo</t>
  </si>
  <si>
    <t>Blloku I magazinave</t>
  </si>
  <si>
    <t xml:space="preserve">  &gt; Inventari i imet </t>
  </si>
  <si>
    <t xml:space="preserve">  &gt; Toka, ndertesa, instalime te pergjithshme</t>
  </si>
  <si>
    <t xml:space="preserve">   &gt; Shuma te arketuara per porosi</t>
  </si>
  <si>
    <t xml:space="preserve">  Shpenzimet per sigurime shoqerore e shendetsore</t>
  </si>
  <si>
    <t>Totali i Shpenzimeve (shumat 3-7)</t>
  </si>
  <si>
    <t>Fitimi (humbja) nga veprimtarite kryesore (1+2-8)</t>
  </si>
  <si>
    <t>Shteti taksa te ngjashme</t>
  </si>
  <si>
    <t>Te ardhurat dhe shpenzimet financiare</t>
  </si>
  <si>
    <t>Radio ALSAT     sh.p.k</t>
  </si>
  <si>
    <t>NIPT  K31511108R</t>
  </si>
  <si>
    <t>Radio</t>
  </si>
  <si>
    <t>Makineri, pajisje</t>
  </si>
  <si>
    <t>Mobilje dhe orendi</t>
  </si>
  <si>
    <t>Pajisje zyre</t>
  </si>
  <si>
    <t>31.12.09</t>
  </si>
  <si>
    <t>01.01.09</t>
  </si>
  <si>
    <t>per vitin    2009    paraqiten si me poshte :</t>
  </si>
  <si>
    <t>31.12.2009</t>
  </si>
  <si>
    <t>01.01.2009</t>
  </si>
  <si>
    <t>per vitin    2008    paraqiten si me poshte :</t>
  </si>
  <si>
    <t>per vitin    2007    paraqiten si me poshte :</t>
  </si>
  <si>
    <t>31.12.07</t>
  </si>
  <si>
    <t>01.01.07</t>
  </si>
  <si>
    <t>31.12.2007</t>
  </si>
  <si>
    <t>01.01.2007</t>
  </si>
  <si>
    <t>Pozicioni me 31 dhjetor 2009</t>
  </si>
  <si>
    <t xml:space="preserve">   124      Te ardh. dhe shpenzime te tjera financ. nga furn.</t>
  </si>
  <si>
    <t>31.12.10</t>
  </si>
  <si>
    <t>01.01.10</t>
  </si>
  <si>
    <t>31.12.2010</t>
  </si>
  <si>
    <t>01.01.2010</t>
  </si>
  <si>
    <t>Pozicioni me 31 dhjetor 2010</t>
  </si>
  <si>
    <t>Viti 2011</t>
  </si>
  <si>
    <t>Nga: 01/01/2011</t>
  </si>
  <si>
    <t>Deri: 31/12/2011</t>
  </si>
  <si>
    <t>4 Provizionet afatgjata(ORTAKE)</t>
  </si>
  <si>
    <t>Pasqyra e Fluksit Monetar - Metoda Indirekte 2011</t>
  </si>
  <si>
    <t>per vitin    2011    paraqiten si me poshte :</t>
  </si>
  <si>
    <t>31.12.11</t>
  </si>
  <si>
    <t>01.01.11</t>
  </si>
  <si>
    <t>31.12.2011</t>
  </si>
  <si>
    <t>01.01.2011</t>
  </si>
  <si>
    <t>Pasqyra e Ndryshimeve ne Kapital 2011</t>
  </si>
  <si>
    <t>VI</t>
  </si>
  <si>
    <t>Pozicioni me 31 dhjetor 2011</t>
  </si>
  <si>
    <t>Aktivet Afatgjata Materiale  2011</t>
  </si>
  <si>
    <t>Amortizimi A.A.Materiale    2011</t>
  </si>
  <si>
    <t>Vlera Kontabel Neto e A.A.Materiale  2011</t>
  </si>
  <si>
    <t>Zbatimi I SKK ne pasqyrat financiare te vitit 2011,nuk ka sjelle ndryshime ne politikat kontabel, pasi keto standarte</t>
  </si>
  <si>
    <t>jane zbatuar dhe ne pasqyrat financiare te vitit 2010</t>
  </si>
  <si>
    <t>…./03/2011</t>
  </si>
  <si>
    <t>Pasqyra e te Ardhurave dhe Shpenzimeve 2011</t>
  </si>
  <si>
    <t xml:space="preserve">                                   Pasqyra Financiare te Vitit 2011</t>
  </si>
  <si>
    <t xml:space="preserve">                                     Pasqyra Financiare te Vitit 2011</t>
  </si>
  <si>
    <t>RADIO ALSAT 1. SH.P.K</t>
  </si>
  <si>
    <t xml:space="preserve">Bankat </t>
  </si>
  <si>
    <t>Emri Bankes</t>
  </si>
  <si>
    <t>monedha</t>
  </si>
  <si>
    <t xml:space="preserve">KUNDRAVLERA </t>
  </si>
  <si>
    <t xml:space="preserve">arketime </t>
  </si>
  <si>
    <t>IBAN</t>
  </si>
  <si>
    <t>NE LEK</t>
  </si>
  <si>
    <t>€</t>
  </si>
  <si>
    <t>BKT</t>
  </si>
  <si>
    <t>PRO CREDIT BANK</t>
  </si>
  <si>
    <t>AL3520511014216335CL TJCL ALLA</t>
  </si>
  <si>
    <t>AL0220511014216335CL TJCF EURA</t>
  </si>
  <si>
    <t>AL59209111220000128372930001</t>
  </si>
  <si>
    <t>pagesa/komisione</t>
  </si>
  <si>
    <t>15.55 €(2153.44 all)</t>
  </si>
  <si>
    <t>(_____z. Rezart TAÇI_______)</t>
  </si>
  <si>
    <t>per vitin    2010   paraqiten si me poshte 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</si>
</sst>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£-809]* #,##0.00_-;\-[$£-809]* #,##0.00_-;_-[$£-809]* &quot;-&quot;??_-;_-@_-"/>
    <numFmt numFmtId="165" formatCode="_(* #,##0.0_);_(* \(#,##0.0\);_(* &quot;-&quot;??_);_(@_)"/>
    <numFmt numFmtId="166" formatCode="_(* #,##0_);_(* \(#,##0\);_(* &quot;-&quot;??_);_(@_)"/>
    <numFmt numFmtId="167" formatCode="_-* #,##0_-;\-* #,##0_-;_-* &quot;-&quot;_-;_-@_-"/>
    <numFmt numFmtId="168" formatCode="_-* #,##0.00_-;\-* #,##0.00_-;_-* &quot;-&quot;??_-;_-@_-"/>
    <numFmt numFmtId="169" formatCode="_-* #,##0.00_L_e_k_-;\-* #,##0.00_L_e_k_-;_-* &quot;-&quot;??_L_e_k_-;_-@_-"/>
    <numFmt numFmtId="170" formatCode="0_);\(0\)"/>
    <numFmt numFmtId="171" formatCode="#,##0.0"/>
    <numFmt numFmtId="172" formatCode="_(* #,##0.0_);_(* \(#,##0.0\);_(* &quot;-&quot;?_);_(@_)"/>
    <numFmt numFmtId="173" formatCode="#,##0.00[$Lek-41C];\-#,##0.00[$Lek-41C]"/>
    <numFmt numFmtId="174" formatCode="#,##0.00\ [$€-42D];\-#,##0.00\ [$€-42D]"/>
    <numFmt numFmtId="175" formatCode="#,##0.00[$Lek-41C]"/>
    <numFmt numFmtId="176" formatCode="_(* #,##0.000_);_(* \(#,##0.000\);_(* &quot;-&quot;?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8"/>
      <name val="Calibri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u val="single"/>
      <sz val="14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5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12" fillId="0" borderId="11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14" fontId="3" fillId="0" borderId="11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3" fontId="1" fillId="0" borderId="0" xfId="42" applyFont="1" applyAlignment="1">
      <alignment/>
    </xf>
    <xf numFmtId="3" fontId="4" fillId="0" borderId="10" xfId="0" applyNumberFormat="1" applyFont="1" applyFill="1" applyBorder="1" applyAlignment="1">
      <alignment/>
    </xf>
    <xf numFmtId="0" fontId="15" fillId="0" borderId="0" xfId="61">
      <alignment/>
      <protection/>
    </xf>
    <xf numFmtId="0" fontId="15" fillId="0" borderId="0" xfId="61" applyFont="1">
      <alignment/>
      <protection/>
    </xf>
    <xf numFmtId="43" fontId="0" fillId="0" borderId="0" xfId="0" applyNumberFormat="1" applyAlignment="1">
      <alignment/>
    </xf>
    <xf numFmtId="43" fontId="3" fillId="0" borderId="0" xfId="42" applyFont="1" applyAlignment="1">
      <alignment/>
    </xf>
    <xf numFmtId="43" fontId="5" fillId="0" borderId="0" xfId="42" applyFont="1" applyAlignment="1">
      <alignment/>
    </xf>
    <xf numFmtId="43" fontId="3" fillId="0" borderId="0" xfId="0" applyNumberFormat="1" applyFont="1" applyAlignment="1">
      <alignment/>
    </xf>
    <xf numFmtId="3" fontId="23" fillId="0" borderId="10" xfId="0" applyNumberFormat="1" applyFont="1" applyBorder="1" applyAlignment="1">
      <alignment/>
    </xf>
    <xf numFmtId="0" fontId="18" fillId="0" borderId="0" xfId="61" applyFont="1">
      <alignment/>
      <protection/>
    </xf>
    <xf numFmtId="0" fontId="16" fillId="0" borderId="0" xfId="61" applyFont="1" applyAlignment="1">
      <alignment horizontal="right"/>
      <protection/>
    </xf>
    <xf numFmtId="0" fontId="17" fillId="0" borderId="0" xfId="61" applyFont="1">
      <alignment/>
      <protection/>
    </xf>
    <xf numFmtId="0" fontId="18" fillId="0" borderId="10" xfId="61" applyFont="1" applyBorder="1" applyAlignment="1">
      <alignment horizontal="center"/>
      <protection/>
    </xf>
    <xf numFmtId="0" fontId="18" fillId="0" borderId="10" xfId="61" applyFont="1" applyBorder="1">
      <alignment/>
      <protection/>
    </xf>
    <xf numFmtId="1" fontId="18" fillId="0" borderId="10" xfId="61" applyNumberFormat="1" applyFont="1" applyBorder="1">
      <alignment/>
      <protection/>
    </xf>
    <xf numFmtId="3" fontId="18" fillId="0" borderId="10" xfId="61" applyNumberFormat="1" applyFont="1" applyBorder="1">
      <alignment/>
      <protection/>
    </xf>
    <xf numFmtId="0" fontId="18" fillId="0" borderId="10" xfId="61" applyFont="1" applyBorder="1" applyAlignment="1">
      <alignment vertical="center"/>
      <protection/>
    </xf>
    <xf numFmtId="0" fontId="18" fillId="0" borderId="0" xfId="61" applyFont="1" applyAlignment="1">
      <alignment vertical="center"/>
      <protection/>
    </xf>
    <xf numFmtId="1" fontId="18" fillId="0" borderId="0" xfId="61" applyNumberFormat="1" applyFont="1">
      <alignment/>
      <protection/>
    </xf>
    <xf numFmtId="0" fontId="18" fillId="0" borderId="10" xfId="61" applyFont="1" applyBorder="1" applyAlignment="1">
      <alignment horizontal="left"/>
      <protection/>
    </xf>
    <xf numFmtId="3" fontId="18" fillId="0" borderId="0" xfId="61" applyNumberFormat="1" applyFont="1">
      <alignment/>
      <protection/>
    </xf>
    <xf numFmtId="166" fontId="1" fillId="0" borderId="11" xfId="42" applyNumberFormat="1" applyFont="1" applyBorder="1" applyAlignment="1">
      <alignment horizontal="center"/>
    </xf>
    <xf numFmtId="166" fontId="2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0" fontId="16" fillId="0" borderId="0" xfId="61" applyFont="1" applyAlignment="1">
      <alignment horizontal="center"/>
      <protection/>
    </xf>
    <xf numFmtId="0" fontId="15" fillId="0" borderId="0" xfId="61" applyFont="1" applyAlignment="1">
      <alignment vertical="center"/>
      <protection/>
    </xf>
    <xf numFmtId="166" fontId="15" fillId="0" borderId="0" xfId="61" applyNumberFormat="1">
      <alignment/>
      <protection/>
    </xf>
    <xf numFmtId="3" fontId="15" fillId="0" borderId="0" xfId="61" applyNumberFormat="1">
      <alignment/>
      <protection/>
    </xf>
    <xf numFmtId="3" fontId="23" fillId="0" borderId="10" xfId="0" applyNumberFormat="1" applyFont="1" applyFill="1" applyBorder="1" applyAlignment="1">
      <alignment/>
    </xf>
    <xf numFmtId="0" fontId="14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5" fillId="0" borderId="15" xfId="0" applyFont="1" applyBorder="1" applyAlignment="1">
      <alignment horizontal="right"/>
    </xf>
    <xf numFmtId="0" fontId="15" fillId="0" borderId="15" xfId="0" applyFont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3" fillId="33" borderId="10" xfId="0" applyNumberFormat="1" applyFont="1" applyFill="1" applyBorder="1" applyAlignment="1">
      <alignment/>
    </xf>
    <xf numFmtId="0" fontId="0" fillId="0" borderId="20" xfId="0" applyFill="1" applyBorder="1" applyAlignment="1">
      <alignment vertical="center"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0" fillId="34" borderId="10" xfId="61" applyFont="1" applyFill="1" applyBorder="1" applyAlignment="1">
      <alignment horizontal="center" vertical="center"/>
      <protection/>
    </xf>
    <xf numFmtId="1" fontId="20" fillId="34" borderId="10" xfId="61" applyNumberFormat="1" applyFont="1" applyFill="1" applyBorder="1" applyAlignment="1">
      <alignment horizontal="center" vertical="center"/>
      <protection/>
    </xf>
    <xf numFmtId="3" fontId="20" fillId="34" borderId="10" xfId="61" applyNumberFormat="1" applyFont="1" applyFill="1" applyBorder="1" applyAlignment="1">
      <alignment vertical="center"/>
      <protection/>
    </xf>
    <xf numFmtId="0" fontId="20" fillId="34" borderId="22" xfId="61" applyFont="1" applyFill="1" applyBorder="1" applyAlignment="1">
      <alignment horizontal="center" vertical="center"/>
      <protection/>
    </xf>
    <xf numFmtId="0" fontId="20" fillId="34" borderId="22" xfId="61" applyFont="1" applyFill="1" applyBorder="1" applyAlignment="1">
      <alignment horizontal="center"/>
      <protection/>
    </xf>
    <xf numFmtId="0" fontId="20" fillId="34" borderId="24" xfId="61" applyFont="1" applyFill="1" applyBorder="1" applyAlignment="1">
      <alignment horizontal="center" vertical="center"/>
      <protection/>
    </xf>
    <xf numFmtId="0" fontId="20" fillId="34" borderId="24" xfId="61" applyFont="1" applyFill="1" applyBorder="1" applyAlignment="1">
      <alignment horizontal="center"/>
      <protection/>
    </xf>
    <xf numFmtId="1" fontId="20" fillId="34" borderId="22" xfId="61" applyNumberFormat="1" applyFont="1" applyFill="1" applyBorder="1" applyAlignment="1">
      <alignment horizontal="center" vertical="center"/>
      <protection/>
    </xf>
    <xf numFmtId="1" fontId="20" fillId="34" borderId="24" xfId="61" applyNumberFormat="1" applyFont="1" applyFill="1" applyBorder="1" applyAlignment="1">
      <alignment horizontal="center"/>
      <protection/>
    </xf>
    <xf numFmtId="1" fontId="20" fillId="34" borderId="24" xfId="61" applyNumberFormat="1" applyFont="1" applyFill="1" applyBorder="1" applyAlignment="1">
      <alignment horizontal="center" vertical="center"/>
      <protection/>
    </xf>
    <xf numFmtId="0" fontId="18" fillId="34" borderId="10" xfId="61" applyFont="1" applyFill="1" applyBorder="1" applyAlignment="1">
      <alignment vertical="center"/>
      <protection/>
    </xf>
    <xf numFmtId="0" fontId="20" fillId="34" borderId="10" xfId="61" applyFont="1" applyFill="1" applyBorder="1" applyAlignment="1">
      <alignment vertical="center"/>
      <protection/>
    </xf>
    <xf numFmtId="0" fontId="20" fillId="0" borderId="0" xfId="61" applyFont="1">
      <alignment/>
      <protection/>
    </xf>
    <xf numFmtId="0" fontId="14" fillId="0" borderId="0" xfId="61" applyFont="1" applyAlignment="1">
      <alignment horizontal="right"/>
      <protection/>
    </xf>
    <xf numFmtId="0" fontId="20" fillId="0" borderId="0" xfId="61" applyFont="1" applyAlignment="1">
      <alignment vertical="center"/>
      <protection/>
    </xf>
    <xf numFmtId="0" fontId="20" fillId="34" borderId="22" xfId="61" applyFont="1" applyFill="1" applyBorder="1" applyAlignment="1">
      <alignment vertical="center"/>
      <protection/>
    </xf>
    <xf numFmtId="0" fontId="20" fillId="34" borderId="24" xfId="61" applyFont="1" applyFill="1" applyBorder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19" fillId="0" borderId="0" xfId="6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3" fontId="19" fillId="0" borderId="0" xfId="49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7" fillId="0" borderId="10" xfId="0" applyNumberFormat="1" applyFont="1" applyFill="1" applyBorder="1" applyAlignment="1">
      <alignment/>
    </xf>
    <xf numFmtId="37" fontId="28" fillId="0" borderId="0" xfId="42" applyNumberFormat="1" applyFont="1" applyAlignment="1">
      <alignment/>
    </xf>
    <xf numFmtId="37" fontId="28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166" fontId="2" fillId="0" borderId="11" xfId="42" applyNumberFormat="1" applyFont="1" applyBorder="1" applyAlignment="1">
      <alignment horizontal="center"/>
    </xf>
    <xf numFmtId="3" fontId="20" fillId="0" borderId="10" xfId="61" applyNumberFormat="1" applyFont="1" applyBorder="1">
      <alignment/>
      <protection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/>
    </xf>
    <xf numFmtId="0" fontId="17" fillId="0" borderId="24" xfId="61" applyFont="1" applyBorder="1" applyAlignment="1">
      <alignment horizontal="center" vertical="center"/>
      <protection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9" fillId="0" borderId="0" xfId="61" applyFont="1">
      <alignment/>
      <protection/>
    </xf>
    <xf numFmtId="0" fontId="29" fillId="34" borderId="22" xfId="61" applyFont="1" applyFill="1" applyBorder="1" applyAlignment="1">
      <alignment horizontal="center"/>
      <protection/>
    </xf>
    <xf numFmtId="14" fontId="29" fillId="34" borderId="24" xfId="61" applyNumberFormat="1" applyFont="1" applyFill="1" applyBorder="1" applyAlignment="1">
      <alignment horizontal="center"/>
      <protection/>
    </xf>
    <xf numFmtId="3" fontId="29" fillId="0" borderId="0" xfId="61" applyNumberFormat="1" applyFont="1">
      <alignment/>
      <protection/>
    </xf>
    <xf numFmtId="0" fontId="29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166" fontId="2" fillId="34" borderId="10" xfId="4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0" xfId="61" applyFont="1" applyBorder="1" applyAlignment="1">
      <alignment horizontal="center"/>
      <protection/>
    </xf>
    <xf numFmtId="3" fontId="17" fillId="0" borderId="10" xfId="49" applyNumberFormat="1" applyFont="1" applyBorder="1" applyAlignment="1">
      <alignment/>
    </xf>
    <xf numFmtId="0" fontId="30" fillId="34" borderId="10" xfId="61" applyFont="1" applyFill="1" applyBorder="1" applyAlignment="1">
      <alignment vertical="center"/>
      <protection/>
    </xf>
    <xf numFmtId="0" fontId="31" fillId="34" borderId="10" xfId="61" applyFont="1" applyFill="1" applyBorder="1" applyAlignment="1">
      <alignment vertical="center"/>
      <protection/>
    </xf>
    <xf numFmtId="0" fontId="31" fillId="34" borderId="10" xfId="61" applyFont="1" applyFill="1" applyBorder="1" applyAlignment="1">
      <alignment horizontal="center" vertical="center"/>
      <protection/>
    </xf>
    <xf numFmtId="3" fontId="31" fillId="34" borderId="10" xfId="49" applyNumberFormat="1" applyFont="1" applyFill="1" applyBorder="1" applyAlignment="1">
      <alignment vertical="center"/>
    </xf>
    <xf numFmtId="0" fontId="30" fillId="0" borderId="0" xfId="61" applyFont="1" applyAlignment="1">
      <alignment vertical="center"/>
      <protection/>
    </xf>
    <xf numFmtId="0" fontId="30" fillId="0" borderId="0" xfId="61" applyFont="1">
      <alignment/>
      <protection/>
    </xf>
    <xf numFmtId="0" fontId="30" fillId="0" borderId="10" xfId="61" applyFont="1" applyBorder="1">
      <alignment/>
      <protection/>
    </xf>
    <xf numFmtId="166" fontId="28" fillId="0" borderId="10" xfId="42" applyNumberFormat="1" applyFont="1" applyBorder="1" applyAlignment="1">
      <alignment/>
    </xf>
    <xf numFmtId="166" fontId="27" fillId="0" borderId="10" xfId="42" applyNumberFormat="1" applyFont="1" applyBorder="1" applyAlignment="1">
      <alignment/>
    </xf>
    <xf numFmtId="0" fontId="63" fillId="0" borderId="11" xfId="0" applyFont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63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32" fillId="0" borderId="0" xfId="61" applyFont="1">
      <alignment/>
      <protection/>
    </xf>
    <xf numFmtId="0" fontId="66" fillId="0" borderId="0" xfId="0" applyFont="1" applyAlignment="1">
      <alignment/>
    </xf>
    <xf numFmtId="0" fontId="18" fillId="0" borderId="22" xfId="61" applyFont="1" applyBorder="1" applyAlignment="1">
      <alignment horizontal="center"/>
      <protection/>
    </xf>
    <xf numFmtId="0" fontId="18" fillId="0" borderId="25" xfId="61" applyFont="1" applyBorder="1">
      <alignment/>
      <protection/>
    </xf>
    <xf numFmtId="0" fontId="18" fillId="0" borderId="26" xfId="61" applyFont="1" applyBorder="1" applyAlignment="1">
      <alignment horizontal="center"/>
      <protection/>
    </xf>
    <xf numFmtId="173" fontId="18" fillId="0" borderId="10" xfId="42" applyNumberFormat="1" applyFont="1" applyBorder="1" applyAlignment="1">
      <alignment/>
    </xf>
    <xf numFmtId="43" fontId="18" fillId="0" borderId="10" xfId="42" applyFont="1" applyBorder="1" applyAlignment="1">
      <alignment/>
    </xf>
    <xf numFmtId="0" fontId="67" fillId="0" borderId="0" xfId="0" applyFont="1" applyAlignment="1">
      <alignment/>
    </xf>
    <xf numFmtId="0" fontId="18" fillId="0" borderId="20" xfId="61" applyFont="1" applyBorder="1" applyAlignment="1">
      <alignment horizontal="center"/>
      <protection/>
    </xf>
    <xf numFmtId="0" fontId="18" fillId="0" borderId="27" xfId="61" applyFont="1" applyBorder="1">
      <alignment/>
      <protection/>
    </xf>
    <xf numFmtId="0" fontId="18" fillId="0" borderId="28" xfId="61" applyFont="1" applyBorder="1" applyAlignment="1">
      <alignment horizontal="center"/>
      <protection/>
    </xf>
    <xf numFmtId="0" fontId="18" fillId="0" borderId="29" xfId="61" applyFont="1" applyBorder="1" applyAlignment="1">
      <alignment horizontal="center"/>
      <protection/>
    </xf>
    <xf numFmtId="173" fontId="18" fillId="0" borderId="26" xfId="42" applyNumberFormat="1" applyFont="1" applyBorder="1" applyAlignment="1">
      <alignment/>
    </xf>
    <xf numFmtId="43" fontId="18" fillId="0" borderId="26" xfId="42" applyFont="1" applyBorder="1" applyAlignment="1">
      <alignment/>
    </xf>
    <xf numFmtId="174" fontId="18" fillId="0" borderId="28" xfId="42" applyNumberFormat="1" applyFont="1" applyBorder="1" applyAlignment="1">
      <alignment/>
    </xf>
    <xf numFmtId="173" fontId="18" fillId="0" borderId="28" xfId="42" applyNumberFormat="1" applyFont="1" applyBorder="1" applyAlignment="1">
      <alignment/>
    </xf>
    <xf numFmtId="43" fontId="18" fillId="0" borderId="28" xfId="42" applyFont="1" applyBorder="1" applyAlignment="1">
      <alignment/>
    </xf>
    <xf numFmtId="7" fontId="18" fillId="0" borderId="29" xfId="42" applyNumberFormat="1" applyFont="1" applyBorder="1" applyAlignment="1">
      <alignment/>
    </xf>
    <xf numFmtId="173" fontId="18" fillId="0" borderId="29" xfId="42" applyNumberFormat="1" applyFont="1" applyBorder="1" applyAlignment="1">
      <alignment/>
    </xf>
    <xf numFmtId="43" fontId="18" fillId="0" borderId="29" xfId="42" applyFont="1" applyBorder="1" applyAlignment="1">
      <alignment/>
    </xf>
    <xf numFmtId="0" fontId="33" fillId="34" borderId="22" xfId="61" applyFont="1" applyFill="1" applyBorder="1" applyAlignment="1">
      <alignment horizontal="center" vertical="center"/>
      <protection/>
    </xf>
    <xf numFmtId="0" fontId="33" fillId="34" borderId="22" xfId="61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33" fillId="34" borderId="24" xfId="61" applyFont="1" applyFill="1" applyBorder="1" applyAlignment="1">
      <alignment horizontal="center" vertical="center"/>
      <protection/>
    </xf>
    <xf numFmtId="14" fontId="33" fillId="34" borderId="24" xfId="61" applyNumberFormat="1" applyFont="1" applyFill="1" applyBorder="1" applyAlignment="1">
      <alignment horizontal="center"/>
      <protection/>
    </xf>
    <xf numFmtId="0" fontId="29" fillId="34" borderId="10" xfId="61" applyFont="1" applyFill="1" applyBorder="1" applyAlignment="1">
      <alignment vertical="center"/>
      <protection/>
    </xf>
    <xf numFmtId="0" fontId="34" fillId="34" borderId="10" xfId="61" applyFont="1" applyFill="1" applyBorder="1" applyAlignment="1">
      <alignment vertical="center"/>
      <protection/>
    </xf>
    <xf numFmtId="0" fontId="34" fillId="34" borderId="10" xfId="61" applyFont="1" applyFill="1" applyBorder="1" applyAlignment="1">
      <alignment horizontal="center" vertical="center"/>
      <protection/>
    </xf>
    <xf numFmtId="173" fontId="34" fillId="34" borderId="10" xfId="42" applyNumberFormat="1" applyFont="1" applyFill="1" applyBorder="1" applyAlignment="1">
      <alignment vertical="center"/>
    </xf>
    <xf numFmtId="43" fontId="34" fillId="34" borderId="10" xfId="42" applyFont="1" applyFill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0" fillId="34" borderId="22" xfId="61" applyFont="1" applyFill="1" applyBorder="1" applyAlignment="1">
      <alignment horizontal="center" vertical="center"/>
      <protection/>
    </xf>
    <xf numFmtId="0" fontId="20" fillId="34" borderId="24" xfId="61" applyFont="1" applyFill="1" applyBorder="1" applyAlignment="1">
      <alignment horizontal="center" vertical="center"/>
      <protection/>
    </xf>
    <xf numFmtId="1" fontId="20" fillId="34" borderId="22" xfId="61" applyNumberFormat="1" applyFont="1" applyFill="1" applyBorder="1" applyAlignment="1">
      <alignment horizontal="center" vertical="center"/>
      <protection/>
    </xf>
    <xf numFmtId="1" fontId="20" fillId="34" borderId="24" xfId="61" applyNumberFormat="1" applyFont="1" applyFill="1" applyBorder="1" applyAlignment="1">
      <alignment horizontal="center" vertical="center"/>
      <protection/>
    </xf>
    <xf numFmtId="0" fontId="14" fillId="0" borderId="0" xfId="61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9" fillId="34" borderId="22" xfId="61" applyFont="1" applyFill="1" applyBorder="1" applyAlignment="1">
      <alignment horizontal="center" vertical="center"/>
      <protection/>
    </xf>
    <xf numFmtId="0" fontId="29" fillId="34" borderId="24" xfId="61" applyFont="1" applyFill="1" applyBorder="1" applyAlignment="1">
      <alignment horizontal="center" vertical="center"/>
      <protection/>
    </xf>
    <xf numFmtId="0" fontId="25" fillId="0" borderId="0" xfId="61" applyFont="1" applyAlignment="1">
      <alignment horizontal="center"/>
      <protection/>
    </xf>
    <xf numFmtId="0" fontId="30" fillId="34" borderId="22" xfId="61" applyFont="1" applyFill="1" applyBorder="1" applyAlignment="1">
      <alignment horizontal="center" vertical="center"/>
      <protection/>
    </xf>
    <xf numFmtId="0" fontId="30" fillId="34" borderId="24" xfId="61" applyFont="1" applyFill="1" applyBorder="1" applyAlignment="1">
      <alignment horizontal="center" vertical="center"/>
      <protection/>
    </xf>
    <xf numFmtId="0" fontId="33" fillId="34" borderId="22" xfId="61" applyFont="1" applyFill="1" applyBorder="1" applyAlignment="1">
      <alignment horizontal="center" vertical="center"/>
      <protection/>
    </xf>
    <xf numFmtId="0" fontId="33" fillId="34" borderId="24" xfId="61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2" xfId="48"/>
    <cellStyle name="Comma_21.Aktivet Afatgjata Materiale  09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rela\Local%20Settings\Temporary%20Internet%20Files\Content.IE5\DX824ND8\Book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DIO%20%202009%20PER%20MOZ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ILANCET%20E%20PASQYRAT%20FINANCIARE\Radio%202008\Radio.2008-Bilnaci%20format%20i%20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_blu%20RADIO%20%202010%20okok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KOKOKO%20Bilanci_blu%20RADIO%20%202011%20okok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penzimet"/>
      <sheetName val="Ls_AgXLB_WorkbookFile"/>
      <sheetName val="trial b"/>
      <sheetName val="Sheet1"/>
    </sheetNames>
    <sheetDataSet>
      <sheetData sheetId="2">
        <row r="5">
          <cell r="F5">
            <v>-164960000</v>
          </cell>
        </row>
        <row r="34">
          <cell r="F34">
            <v>-56950000</v>
          </cell>
        </row>
        <row r="42">
          <cell r="E42">
            <v>547074</v>
          </cell>
          <cell r="F42">
            <v>-2823690.31</v>
          </cell>
        </row>
        <row r="47">
          <cell r="F47">
            <v>-185600</v>
          </cell>
        </row>
        <row r="50">
          <cell r="E50">
            <v>488040</v>
          </cell>
          <cell r="F50">
            <v>-25082</v>
          </cell>
        </row>
        <row r="52">
          <cell r="E52">
            <v>10715</v>
          </cell>
          <cell r="F52">
            <v>-112193.02</v>
          </cell>
        </row>
        <row r="53">
          <cell r="E53">
            <v>2321864.75</v>
          </cell>
          <cell r="F53">
            <v>-79113.02</v>
          </cell>
        </row>
        <row r="58">
          <cell r="E58">
            <v>1238294.13</v>
          </cell>
        </row>
        <row r="59">
          <cell r="E59">
            <v>10976600.75</v>
          </cell>
        </row>
        <row r="61">
          <cell r="E61">
            <v>4785807.76</v>
          </cell>
        </row>
        <row r="68">
          <cell r="F68">
            <v>0</v>
          </cell>
        </row>
        <row r="75">
          <cell r="F75">
            <v>0</v>
          </cell>
        </row>
        <row r="130">
          <cell r="E130">
            <v>287625.44</v>
          </cell>
          <cell r="F130">
            <v>-424242.88</v>
          </cell>
        </row>
        <row r="131">
          <cell r="E131">
            <v>7301199.54</v>
          </cell>
          <cell r="F131">
            <v>-11532222.2</v>
          </cell>
        </row>
        <row r="132">
          <cell r="E132">
            <v>1489428.43</v>
          </cell>
          <cell r="F132">
            <v>-1482495.4</v>
          </cell>
        </row>
        <row r="135">
          <cell r="E135">
            <v>2695151.68</v>
          </cell>
          <cell r="F135">
            <v>-2818612.16</v>
          </cell>
        </row>
        <row r="143">
          <cell r="E143">
            <v>1353000</v>
          </cell>
          <cell r="F143">
            <v>-1353000</v>
          </cell>
        </row>
        <row r="144">
          <cell r="E144">
            <v>6153943.08</v>
          </cell>
          <cell r="F144">
            <v>-5896222.82</v>
          </cell>
        </row>
        <row r="145">
          <cell r="E145">
            <v>2695220.47</v>
          </cell>
          <cell r="F145">
            <v>-2695220.47</v>
          </cell>
        </row>
        <row r="146">
          <cell r="E146">
            <v>2194827</v>
          </cell>
          <cell r="F146">
            <v>-2353964</v>
          </cell>
        </row>
        <row r="147">
          <cell r="E147">
            <v>1256457</v>
          </cell>
          <cell r="F147">
            <v>-1335567.17</v>
          </cell>
        </row>
        <row r="148">
          <cell r="E148">
            <v>2341751.35</v>
          </cell>
          <cell r="F148">
            <v>-2341751.35</v>
          </cell>
        </row>
        <row r="149">
          <cell r="E149">
            <v>5184</v>
          </cell>
          <cell r="F149">
            <v>-5184</v>
          </cell>
        </row>
        <row r="150">
          <cell r="E150">
            <v>2751069.53</v>
          </cell>
          <cell r="F150">
            <v>-91686</v>
          </cell>
        </row>
        <row r="151">
          <cell r="E151">
            <v>1453</v>
          </cell>
          <cell r="F151">
            <v>-1453</v>
          </cell>
        </row>
        <row r="152">
          <cell r="E152">
            <v>1084992</v>
          </cell>
          <cell r="F152">
            <v>-1386860</v>
          </cell>
        </row>
        <row r="153">
          <cell r="E153">
            <v>76624.18</v>
          </cell>
          <cell r="F153">
            <v>-15530.78</v>
          </cell>
        </row>
        <row r="154">
          <cell r="E154">
            <v>119882.28</v>
          </cell>
          <cell r="F154">
            <v>-2732757.88</v>
          </cell>
        </row>
        <row r="155">
          <cell r="E155">
            <v>1357250</v>
          </cell>
          <cell r="F155">
            <v>-1329250</v>
          </cell>
        </row>
        <row r="156">
          <cell r="E156">
            <v>11095774.86</v>
          </cell>
          <cell r="F156">
            <v>-11595926.86</v>
          </cell>
        </row>
        <row r="157">
          <cell r="E157">
            <v>2167009</v>
          </cell>
          <cell r="F157">
            <v>-2167009</v>
          </cell>
        </row>
        <row r="158">
          <cell r="E158">
            <v>572712.33</v>
          </cell>
          <cell r="F158">
            <v>-572712.33</v>
          </cell>
        </row>
        <row r="159">
          <cell r="E159">
            <v>22250117.09</v>
          </cell>
          <cell r="F159">
            <v>-23195492.09</v>
          </cell>
        </row>
        <row r="160">
          <cell r="E160">
            <v>132000</v>
          </cell>
          <cell r="F160">
            <v>-132000</v>
          </cell>
        </row>
        <row r="161">
          <cell r="E161">
            <v>2447616</v>
          </cell>
          <cell r="F161">
            <v>-2261760</v>
          </cell>
        </row>
        <row r="162">
          <cell r="E162">
            <v>5579202.11</v>
          </cell>
          <cell r="F162">
            <v>-5579202.11</v>
          </cell>
        </row>
        <row r="163">
          <cell r="E163">
            <v>793781</v>
          </cell>
          <cell r="F163">
            <v>-793781</v>
          </cell>
        </row>
        <row r="164">
          <cell r="E164">
            <v>522239.04</v>
          </cell>
          <cell r="F164">
            <v>-522239.04</v>
          </cell>
        </row>
        <row r="165">
          <cell r="E165">
            <v>5000</v>
          </cell>
          <cell r="F165">
            <v>-4040</v>
          </cell>
        </row>
        <row r="166">
          <cell r="E166">
            <v>6861974.8</v>
          </cell>
          <cell r="F166">
            <v>-7331405.2</v>
          </cell>
        </row>
        <row r="167">
          <cell r="E167">
            <v>2717539</v>
          </cell>
          <cell r="F167">
            <v>-2671842.8</v>
          </cell>
        </row>
        <row r="168">
          <cell r="E168">
            <v>5856881.2</v>
          </cell>
          <cell r="F168">
            <v>-5786037</v>
          </cell>
        </row>
        <row r="170">
          <cell r="E170">
            <v>671259.6</v>
          </cell>
          <cell r="F170">
            <v>-190268.05</v>
          </cell>
        </row>
        <row r="173">
          <cell r="E173">
            <v>1587820</v>
          </cell>
          <cell r="F173">
            <v>-1490180.33</v>
          </cell>
        </row>
        <row r="176">
          <cell r="E176">
            <v>572712.33</v>
          </cell>
          <cell r="F176">
            <v>-572712.33</v>
          </cell>
        </row>
        <row r="177">
          <cell r="E177">
            <v>579500</v>
          </cell>
          <cell r="F177">
            <v>-581900.4</v>
          </cell>
        </row>
        <row r="178">
          <cell r="E178">
            <v>13000</v>
          </cell>
          <cell r="F178">
            <v>-14500</v>
          </cell>
        </row>
        <row r="179">
          <cell r="E179">
            <v>60632023.04</v>
          </cell>
          <cell r="F179">
            <v>-54955840.89</v>
          </cell>
        </row>
        <row r="180">
          <cell r="E180">
            <v>98106.29</v>
          </cell>
        </row>
        <row r="181">
          <cell r="E181">
            <v>1022222.5</v>
          </cell>
          <cell r="F181">
            <v>-1052055.4</v>
          </cell>
        </row>
        <row r="182">
          <cell r="E182">
            <v>123981.63</v>
          </cell>
          <cell r="F182">
            <v>-109584.47</v>
          </cell>
        </row>
        <row r="183">
          <cell r="E183">
            <v>59785047.22</v>
          </cell>
          <cell r="F183">
            <v>-59785047.22</v>
          </cell>
        </row>
        <row r="185">
          <cell r="E185">
            <v>86211</v>
          </cell>
          <cell r="F185">
            <v>-85655</v>
          </cell>
        </row>
        <row r="191">
          <cell r="E191">
            <v>16256365.96</v>
          </cell>
          <cell r="F191">
            <v>-16943233.59</v>
          </cell>
        </row>
        <row r="194">
          <cell r="E194">
            <v>0</v>
          </cell>
          <cell r="F194">
            <v>-116899</v>
          </cell>
        </row>
        <row r="197">
          <cell r="E197">
            <v>4933877.04</v>
          </cell>
          <cell r="F197">
            <v>-5036217.38</v>
          </cell>
        </row>
        <row r="207">
          <cell r="E207">
            <v>1591</v>
          </cell>
          <cell r="F207">
            <v>-5283462.46</v>
          </cell>
        </row>
        <row r="217">
          <cell r="E217">
            <v>1354667.24</v>
          </cell>
          <cell r="F217">
            <v>-1521956.01</v>
          </cell>
        </row>
        <row r="218">
          <cell r="E218">
            <v>115120</v>
          </cell>
          <cell r="F218">
            <v>-371920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I (Hyrje)"/>
      <sheetName val="Aktivi"/>
      <sheetName val="Pasivi "/>
      <sheetName val="Fitim Humbje Shpenzime "/>
      <sheetName val="Fitim Humbje Te ardhurat"/>
      <sheetName val="Levizjet e aktiveve "/>
      <sheetName val="Pasqyra e amotizimit "/>
      <sheetName val=".Shifra e afarizmit "/>
      <sheetName val="Rezultati tatimor"/>
      <sheetName val="Fondi i pagave"/>
    </sheetNames>
    <sheetDataSet>
      <sheetData sheetId="1">
        <row r="30">
          <cell r="F30">
            <v>452421.5</v>
          </cell>
        </row>
        <row r="34">
          <cell r="F34">
            <v>90435</v>
          </cell>
        </row>
        <row r="37">
          <cell r="F37">
            <v>1405599</v>
          </cell>
        </row>
        <row r="43">
          <cell r="F43">
            <v>54171.11</v>
          </cell>
        </row>
        <row r="44">
          <cell r="F44">
            <v>2500</v>
          </cell>
        </row>
      </sheetData>
      <sheetData sheetId="2">
        <row r="7">
          <cell r="F7">
            <v>5100000</v>
          </cell>
        </row>
        <row r="15">
          <cell r="F15">
            <v>-1521365.1400000001</v>
          </cell>
        </row>
        <row r="30">
          <cell r="F30">
            <v>2000</v>
          </cell>
        </row>
        <row r="33">
          <cell r="F33">
            <v>16437967.16</v>
          </cell>
        </row>
        <row r="39">
          <cell r="F39">
            <v>126004</v>
          </cell>
        </row>
        <row r="40">
          <cell r="F40">
            <v>71878</v>
          </cell>
        </row>
        <row r="41">
          <cell r="F41">
            <v>31230</v>
          </cell>
        </row>
      </sheetData>
      <sheetData sheetId="3">
        <row r="18">
          <cell r="E18">
            <v>1327950</v>
          </cell>
        </row>
        <row r="20">
          <cell r="E20">
            <v>215282</v>
          </cell>
        </row>
        <row r="21">
          <cell r="E21">
            <v>204738.37</v>
          </cell>
        </row>
        <row r="26">
          <cell r="E26">
            <v>218431</v>
          </cell>
        </row>
      </sheetData>
      <sheetData sheetId="4">
        <row r="9">
          <cell r="E9">
            <v>1278049.25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Aktivet 2008"/>
      <sheetName val="Pasivet 2008"/>
      <sheetName val="Te Ardhura &amp; Shpenzime 1"/>
      <sheetName val=" Fluksi Monetar 2"/>
      <sheetName val="Pasq.Ndih.Cash flow2008"/>
      <sheetName val="CF 2007"/>
      <sheetName val="Ndryshimet ne Kapital 2"/>
      <sheetName val="Pasq.per AAM 1"/>
      <sheetName val="Shenimet shpjeguese"/>
    </sheetNames>
    <sheetDataSet>
      <sheetData sheetId="1">
        <row r="8">
          <cell r="D8">
            <v>557680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1">
          <cell r="D11">
            <v>1468685</v>
          </cell>
          <cell r="E11">
            <v>1522599</v>
          </cell>
        </row>
        <row r="19">
          <cell r="D19">
            <v>441322</v>
          </cell>
          <cell r="E19">
            <v>441322</v>
          </cell>
        </row>
        <row r="31">
          <cell r="D31">
            <v>886321</v>
          </cell>
          <cell r="E31">
            <v>1176511</v>
          </cell>
        </row>
      </sheetData>
      <sheetData sheetId="2">
        <row r="8">
          <cell r="D8">
            <v>0</v>
          </cell>
          <cell r="E8">
            <v>0</v>
          </cell>
        </row>
        <row r="11">
          <cell r="D11">
            <v>2242283</v>
          </cell>
          <cell r="E11">
            <v>1906553</v>
          </cell>
        </row>
        <row r="18">
          <cell r="D18">
            <v>0</v>
          </cell>
        </row>
        <row r="19">
          <cell r="D19">
            <v>16086422</v>
          </cell>
          <cell r="E19">
            <v>17278974</v>
          </cell>
        </row>
        <row r="27">
          <cell r="D27">
            <v>-14974697</v>
          </cell>
          <cell r="E27">
            <v>-16045094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I (Hyrje)"/>
      <sheetName val="Aktivi"/>
      <sheetName val="Pasivi "/>
      <sheetName val="Fitim Humbje Shpenzime "/>
      <sheetName val="Fitim Humbje Te ardhurat"/>
      <sheetName val="Levizjet e aktiveve "/>
      <sheetName val="Pasqyra e amotizimit "/>
      <sheetName val=".Shifra e afarizmit "/>
      <sheetName val="Rezultati tatimor"/>
      <sheetName val="Fondi i pagave"/>
      <sheetName val="Sheet1"/>
    </sheetNames>
    <sheetDataSet>
      <sheetData sheetId="1">
        <row r="30">
          <cell r="F30">
            <v>452421.5</v>
          </cell>
        </row>
        <row r="34">
          <cell r="F34">
            <v>0</v>
          </cell>
        </row>
        <row r="37">
          <cell r="F37">
            <v>1399999</v>
          </cell>
        </row>
        <row r="43">
          <cell r="F43">
            <v>133741.98</v>
          </cell>
        </row>
        <row r="44">
          <cell r="F44">
            <v>0</v>
          </cell>
        </row>
      </sheetData>
      <sheetData sheetId="2">
        <row r="7">
          <cell r="F7">
            <v>5100000</v>
          </cell>
        </row>
        <row r="30">
          <cell r="F30">
            <v>470400</v>
          </cell>
        </row>
        <row r="33">
          <cell r="F33">
            <v>19459114.16</v>
          </cell>
        </row>
        <row r="39">
          <cell r="F39">
            <v>190913</v>
          </cell>
        </row>
        <row r="40">
          <cell r="F40">
            <v>267811</v>
          </cell>
        </row>
        <row r="41">
          <cell r="F41">
            <v>124020</v>
          </cell>
        </row>
      </sheetData>
      <sheetData sheetId="3">
        <row r="16">
          <cell r="E16">
            <v>795194.0399999999</v>
          </cell>
        </row>
        <row r="18">
          <cell r="E18">
            <v>2493600</v>
          </cell>
        </row>
        <row r="20">
          <cell r="E20">
            <v>320700</v>
          </cell>
        </row>
        <row r="21">
          <cell r="E21">
            <v>220520</v>
          </cell>
        </row>
        <row r="25">
          <cell r="E25">
            <v>112065</v>
          </cell>
        </row>
        <row r="26">
          <cell r="E26">
            <v>0</v>
          </cell>
        </row>
      </sheetData>
      <sheetData sheetId="4">
        <row r="11">
          <cell r="E11">
            <v>83082</v>
          </cell>
        </row>
        <row r="45">
          <cell r="E45">
            <v>-3862143.13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CI (Hyrje)"/>
      <sheetName val="2011 Aktivi"/>
      <sheetName val="2011 Pasivi "/>
      <sheetName val="2011 Fitim Humbje Shpenzime "/>
      <sheetName val="2011 Fitim Humbje Te ardhurat"/>
      <sheetName val="2011 Levizjet e aktiveve "/>
      <sheetName val="2011 Pasqyra e amotizimit "/>
      <sheetName val="2011  Shifra e afarizmit "/>
      <sheetName val="2011  Rezultati tatimor"/>
      <sheetName val="Fondi i pagave"/>
      <sheetName val="Sheet1"/>
    </sheetNames>
    <sheetDataSet>
      <sheetData sheetId="1">
        <row r="30">
          <cell r="F30">
            <v>452421.5</v>
          </cell>
        </row>
        <row r="34">
          <cell r="F34">
            <v>0</v>
          </cell>
        </row>
        <row r="37">
          <cell r="F37">
            <v>1399999</v>
          </cell>
        </row>
        <row r="43">
          <cell r="F43">
            <v>477096.27</v>
          </cell>
        </row>
        <row r="44">
          <cell r="F44">
            <v>0</v>
          </cell>
        </row>
      </sheetData>
      <sheetData sheetId="2">
        <row r="7">
          <cell r="F7">
            <v>5100000</v>
          </cell>
        </row>
        <row r="30">
          <cell r="F30">
            <v>718671.6</v>
          </cell>
        </row>
        <row r="33">
          <cell r="F33">
            <v>21691562.32</v>
          </cell>
        </row>
        <row r="39">
          <cell r="F39">
            <v>36000</v>
          </cell>
        </row>
        <row r="40">
          <cell r="F40">
            <v>0</v>
          </cell>
        </row>
        <row r="41">
          <cell r="F41">
            <v>2000</v>
          </cell>
        </row>
      </sheetData>
      <sheetData sheetId="3">
        <row r="16">
          <cell r="E16">
            <v>916315.54</v>
          </cell>
        </row>
        <row r="18">
          <cell r="E18">
            <v>1244280</v>
          </cell>
        </row>
        <row r="20">
          <cell r="E20">
            <v>137676</v>
          </cell>
        </row>
        <row r="21">
          <cell r="E21">
            <v>195520</v>
          </cell>
        </row>
        <row r="25">
          <cell r="E25">
            <v>100594</v>
          </cell>
        </row>
        <row r="26">
          <cell r="E26">
            <v>0</v>
          </cell>
        </row>
        <row r="36">
          <cell r="E36">
            <v>908.8</v>
          </cell>
        </row>
      </sheetData>
      <sheetData sheetId="4">
        <row r="11">
          <cell r="E11">
            <v>374700</v>
          </cell>
        </row>
        <row r="33">
          <cell r="E33">
            <v>4680.87</v>
          </cell>
        </row>
        <row r="45">
          <cell r="E45">
            <v>-2178281.4699999997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J4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0.42578125" style="0" customWidth="1"/>
    <col min="5" max="5" width="11.8515625" style="0" bestFit="1" customWidth="1"/>
    <col min="7" max="7" width="11.8515625" style="0" bestFit="1" customWidth="1"/>
    <col min="10" max="10" width="4.7109375" style="0" customWidth="1"/>
  </cols>
  <sheetData>
    <row r="1" spans="2:10" ht="15">
      <c r="B1" s="32"/>
      <c r="C1" s="33"/>
      <c r="D1" s="33"/>
      <c r="E1" s="33"/>
      <c r="F1" s="33"/>
      <c r="G1" s="33"/>
      <c r="H1" s="33"/>
      <c r="I1" s="33"/>
      <c r="J1" s="34"/>
    </row>
    <row r="2" spans="2:10" ht="15.75">
      <c r="B2" s="41" t="s">
        <v>126</v>
      </c>
      <c r="C2" s="26"/>
      <c r="D2" s="26"/>
      <c r="E2" s="45" t="s">
        <v>250</v>
      </c>
      <c r="F2" s="42"/>
      <c r="G2" s="42"/>
      <c r="H2" s="36"/>
      <c r="I2" s="36"/>
      <c r="J2" s="37"/>
    </row>
    <row r="3" spans="2:10" ht="15.75">
      <c r="B3" s="41" t="s">
        <v>127</v>
      </c>
      <c r="C3" s="26"/>
      <c r="D3" s="26"/>
      <c r="E3" s="42" t="s">
        <v>251</v>
      </c>
      <c r="F3" s="42"/>
      <c r="G3" s="42"/>
      <c r="H3" s="36"/>
      <c r="I3" s="36"/>
      <c r="J3" s="37"/>
    </row>
    <row r="4" spans="2:10" ht="15.75">
      <c r="B4" s="41" t="s">
        <v>128</v>
      </c>
      <c r="C4" s="26"/>
      <c r="D4" s="26"/>
      <c r="E4" s="42" t="s">
        <v>241</v>
      </c>
      <c r="F4" s="42"/>
      <c r="G4" s="42"/>
      <c r="H4" s="36"/>
      <c r="I4" s="36"/>
      <c r="J4" s="37"/>
    </row>
    <row r="5" spans="2:10" ht="15.75">
      <c r="B5" s="41"/>
      <c r="C5" s="26"/>
      <c r="D5" s="26"/>
      <c r="E5" s="26"/>
      <c r="F5" s="26"/>
      <c r="G5" s="26" t="s">
        <v>154</v>
      </c>
      <c r="H5" s="36"/>
      <c r="I5" s="36"/>
      <c r="J5" s="37"/>
    </row>
    <row r="6" spans="2:10" ht="15.75">
      <c r="B6" s="41" t="s">
        <v>129</v>
      </c>
      <c r="C6" s="26"/>
      <c r="D6" s="26"/>
      <c r="E6" s="52">
        <v>37466</v>
      </c>
      <c r="F6" s="42"/>
      <c r="G6" s="42"/>
      <c r="H6" s="36"/>
      <c r="I6" s="36"/>
      <c r="J6" s="37"/>
    </row>
    <row r="7" spans="2:10" ht="15.75">
      <c r="B7" s="41" t="s">
        <v>130</v>
      </c>
      <c r="C7" s="26"/>
      <c r="D7" s="26"/>
      <c r="E7" s="42">
        <v>28110</v>
      </c>
      <c r="F7" s="42"/>
      <c r="G7" s="42"/>
      <c r="H7" s="36"/>
      <c r="I7" s="36"/>
      <c r="J7" s="37"/>
    </row>
    <row r="8" spans="2:10" ht="15.75">
      <c r="B8" s="41"/>
      <c r="C8" s="26"/>
      <c r="D8" s="26"/>
      <c r="E8" s="26"/>
      <c r="F8" s="26"/>
      <c r="G8" s="26"/>
      <c r="H8" s="36"/>
      <c r="I8" s="36"/>
      <c r="J8" s="37"/>
    </row>
    <row r="9" spans="2:10" ht="15.75">
      <c r="B9" s="41" t="s">
        <v>131</v>
      </c>
      <c r="C9" s="26"/>
      <c r="D9" s="26"/>
      <c r="E9" s="42" t="s">
        <v>252</v>
      </c>
      <c r="F9" s="42"/>
      <c r="G9" s="42"/>
      <c r="H9" s="36"/>
      <c r="I9" s="36"/>
      <c r="J9" s="37"/>
    </row>
    <row r="10" spans="2:10" ht="1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5">
      <c r="B11" s="35"/>
      <c r="C11" s="36"/>
      <c r="D11" s="36"/>
      <c r="E11" s="36"/>
      <c r="F11" s="36"/>
      <c r="G11" s="36"/>
      <c r="H11" s="36"/>
      <c r="I11" s="36"/>
      <c r="J11" s="37"/>
    </row>
    <row r="12" spans="2:10" ht="15">
      <c r="B12" s="35"/>
      <c r="C12" s="36"/>
      <c r="D12" s="36"/>
      <c r="E12" s="36"/>
      <c r="F12" s="36"/>
      <c r="G12" s="36"/>
      <c r="H12" s="36"/>
      <c r="I12" s="36"/>
      <c r="J12" s="37"/>
    </row>
    <row r="13" spans="2:10" ht="15">
      <c r="B13" s="35"/>
      <c r="C13" s="36"/>
      <c r="D13" s="36"/>
      <c r="E13" s="36"/>
      <c r="F13" s="36"/>
      <c r="G13" s="36"/>
      <c r="H13" s="36"/>
      <c r="I13" s="36"/>
      <c r="J13" s="37"/>
    </row>
    <row r="14" spans="2:10" ht="15">
      <c r="B14" s="35"/>
      <c r="C14" s="36"/>
      <c r="D14" s="36"/>
      <c r="E14" s="36"/>
      <c r="F14" s="36"/>
      <c r="G14" s="36"/>
      <c r="H14" s="36"/>
      <c r="I14" s="36"/>
      <c r="J14" s="37"/>
    </row>
    <row r="15" spans="2:10" ht="15">
      <c r="B15" s="35"/>
      <c r="C15" s="36"/>
      <c r="D15" s="36"/>
      <c r="E15" s="36"/>
      <c r="F15" s="36"/>
      <c r="G15" s="36"/>
      <c r="H15" s="36"/>
      <c r="I15" s="36"/>
      <c r="J15" s="37"/>
    </row>
    <row r="16" spans="2:10" ht="15">
      <c r="B16" s="35"/>
      <c r="C16" s="36"/>
      <c r="D16" s="36"/>
      <c r="E16" s="36"/>
      <c r="F16" s="36"/>
      <c r="G16" s="36"/>
      <c r="H16" s="36"/>
      <c r="I16" s="36"/>
      <c r="J16" s="37"/>
    </row>
    <row r="17" spans="2:10" ht="15">
      <c r="B17" s="35"/>
      <c r="C17" s="36"/>
      <c r="D17" s="36"/>
      <c r="E17" s="36"/>
      <c r="F17" s="36"/>
      <c r="G17" s="36"/>
      <c r="H17" s="36"/>
      <c r="I17" s="36"/>
      <c r="J17" s="37"/>
    </row>
    <row r="18" spans="2:10" ht="28.5">
      <c r="B18" s="212" t="s">
        <v>132</v>
      </c>
      <c r="C18" s="213"/>
      <c r="D18" s="213"/>
      <c r="E18" s="213"/>
      <c r="F18" s="213"/>
      <c r="G18" s="213"/>
      <c r="H18" s="213"/>
      <c r="I18" s="213"/>
      <c r="J18" s="214"/>
    </row>
    <row r="19" spans="2:10" ht="30.75" customHeight="1">
      <c r="B19" s="215" t="s">
        <v>235</v>
      </c>
      <c r="C19" s="216"/>
      <c r="D19" s="216"/>
      <c r="E19" s="216"/>
      <c r="F19" s="216"/>
      <c r="G19" s="216"/>
      <c r="H19" s="216"/>
      <c r="I19" s="216"/>
      <c r="J19" s="217"/>
    </row>
    <row r="20" spans="2:10" ht="15">
      <c r="B20" s="35"/>
      <c r="C20" s="36"/>
      <c r="D20" s="36"/>
      <c r="E20" s="36"/>
      <c r="F20" s="36"/>
      <c r="G20" s="36"/>
      <c r="H20" s="36"/>
      <c r="I20" s="36"/>
      <c r="J20" s="37"/>
    </row>
    <row r="21" spans="2:10" ht="15">
      <c r="B21" s="35"/>
      <c r="C21" s="36"/>
      <c r="D21" s="36"/>
      <c r="E21" s="36"/>
      <c r="F21" s="36"/>
      <c r="G21" s="36"/>
      <c r="H21" s="36"/>
      <c r="I21" s="36"/>
      <c r="J21" s="37"/>
    </row>
    <row r="22" spans="2:10" ht="15">
      <c r="B22" s="35"/>
      <c r="C22" s="36"/>
      <c r="D22" s="36"/>
      <c r="E22" s="36"/>
      <c r="F22" s="36"/>
      <c r="G22" s="36"/>
      <c r="H22" s="36"/>
      <c r="I22" s="36"/>
      <c r="J22" s="37"/>
    </row>
    <row r="23" spans="2:10" ht="15">
      <c r="B23" s="35"/>
      <c r="C23" s="36"/>
      <c r="D23" s="36"/>
      <c r="E23" s="36"/>
      <c r="F23" s="36"/>
      <c r="G23" s="36"/>
      <c r="H23" s="36"/>
      <c r="I23" s="36"/>
      <c r="J23" s="37"/>
    </row>
    <row r="24" spans="2:10" ht="26.25">
      <c r="B24" s="218" t="s">
        <v>274</v>
      </c>
      <c r="C24" s="219"/>
      <c r="D24" s="219"/>
      <c r="E24" s="219"/>
      <c r="F24" s="219"/>
      <c r="G24" s="219"/>
      <c r="H24" s="219"/>
      <c r="I24" s="219"/>
      <c r="J24" s="220"/>
    </row>
    <row r="25" spans="2:10" ht="15">
      <c r="B25" s="35"/>
      <c r="C25" s="36"/>
      <c r="D25" s="36"/>
      <c r="E25" s="36"/>
      <c r="F25" s="36"/>
      <c r="G25" s="36"/>
      <c r="H25" s="36"/>
      <c r="I25" s="36"/>
      <c r="J25" s="37"/>
    </row>
    <row r="26" spans="2:10" ht="15">
      <c r="B26" s="35"/>
      <c r="C26" s="36"/>
      <c r="D26" s="36"/>
      <c r="E26" s="36"/>
      <c r="F26" s="36"/>
      <c r="G26" s="36"/>
      <c r="H26" s="36"/>
      <c r="I26" s="36"/>
      <c r="J26" s="37"/>
    </row>
    <row r="27" spans="2:10" ht="15">
      <c r="B27" s="35"/>
      <c r="C27" s="36"/>
      <c r="D27" s="36"/>
      <c r="E27" s="36"/>
      <c r="F27" s="36"/>
      <c r="G27" s="36"/>
      <c r="H27" s="36"/>
      <c r="I27" s="36"/>
      <c r="J27" s="37"/>
    </row>
    <row r="28" spans="2:10" ht="15">
      <c r="B28" s="35"/>
      <c r="C28" s="36"/>
      <c r="D28" s="36"/>
      <c r="E28" s="36"/>
      <c r="F28" s="36"/>
      <c r="G28" s="36"/>
      <c r="H28" s="36"/>
      <c r="I28" s="36"/>
      <c r="J28" s="37"/>
    </row>
    <row r="29" spans="2:10" ht="15">
      <c r="B29" s="35"/>
      <c r="C29" s="36"/>
      <c r="D29" s="36"/>
      <c r="E29" s="36"/>
      <c r="F29" s="36"/>
      <c r="G29" s="36"/>
      <c r="H29" s="36"/>
      <c r="I29" s="36"/>
      <c r="J29" s="37"/>
    </row>
    <row r="30" spans="2:10" ht="15">
      <c r="B30" s="35"/>
      <c r="C30" s="36"/>
      <c r="D30" s="36"/>
      <c r="E30" s="36"/>
      <c r="F30" s="36"/>
      <c r="G30" s="36"/>
      <c r="H30" s="36"/>
      <c r="I30" s="36"/>
      <c r="J30" s="37"/>
    </row>
    <row r="31" spans="2:10" ht="15">
      <c r="B31" s="35"/>
      <c r="C31" s="36"/>
      <c r="D31" s="36"/>
      <c r="E31" s="36"/>
      <c r="F31" s="36"/>
      <c r="G31" s="36"/>
      <c r="H31" s="36"/>
      <c r="I31" s="36"/>
      <c r="J31" s="37"/>
    </row>
    <row r="32" spans="2:10" ht="15">
      <c r="B32" s="35"/>
      <c r="C32" s="36"/>
      <c r="D32" s="36"/>
      <c r="E32" s="36"/>
      <c r="F32" s="36"/>
      <c r="G32" s="36"/>
      <c r="H32" s="36"/>
      <c r="I32" s="36"/>
      <c r="J32" s="37"/>
    </row>
    <row r="33" spans="2:10" ht="15.75">
      <c r="B33" s="41" t="s">
        <v>133</v>
      </c>
      <c r="C33" s="26"/>
      <c r="D33" s="26"/>
      <c r="E33" s="26"/>
      <c r="F33" s="26"/>
      <c r="G33" s="42"/>
      <c r="H33" s="42" t="s">
        <v>155</v>
      </c>
      <c r="I33" s="43"/>
      <c r="J33" s="37"/>
    </row>
    <row r="34" spans="2:10" ht="15.75">
      <c r="B34" s="41" t="s">
        <v>134</v>
      </c>
      <c r="C34" s="26"/>
      <c r="D34" s="26"/>
      <c r="E34" s="26"/>
      <c r="F34" s="26"/>
      <c r="G34" s="42"/>
      <c r="H34" s="42" t="s">
        <v>240</v>
      </c>
      <c r="I34" s="43"/>
      <c r="J34" s="37"/>
    </row>
    <row r="35" spans="2:10" ht="15.75">
      <c r="B35" s="41" t="s">
        <v>135</v>
      </c>
      <c r="C35" s="26"/>
      <c r="D35" s="26"/>
      <c r="E35" s="26"/>
      <c r="F35" s="26"/>
      <c r="G35" s="42"/>
      <c r="H35" s="42" t="s">
        <v>234</v>
      </c>
      <c r="I35" s="43"/>
      <c r="J35" s="37"/>
    </row>
    <row r="36" spans="2:10" ht="15.75">
      <c r="B36" s="41" t="s">
        <v>136</v>
      </c>
      <c r="C36" s="26"/>
      <c r="D36" s="26"/>
      <c r="E36" s="26"/>
      <c r="F36" s="26"/>
      <c r="G36" s="42"/>
      <c r="H36" s="42" t="s">
        <v>234</v>
      </c>
      <c r="I36" s="43"/>
      <c r="J36" s="37"/>
    </row>
    <row r="37" spans="2:10" ht="15.75">
      <c r="B37" s="41"/>
      <c r="C37" s="26"/>
      <c r="D37" s="26"/>
      <c r="E37" s="26"/>
      <c r="F37" s="26"/>
      <c r="G37" s="26"/>
      <c r="H37" s="26"/>
      <c r="I37" s="36"/>
      <c r="J37" s="37"/>
    </row>
    <row r="38" spans="2:10" ht="15.75">
      <c r="B38" s="41"/>
      <c r="C38" s="26"/>
      <c r="D38" s="26"/>
      <c r="E38" s="26"/>
      <c r="F38" s="26"/>
      <c r="G38" s="26"/>
      <c r="H38" s="26"/>
      <c r="I38" s="36"/>
      <c r="J38" s="37"/>
    </row>
    <row r="39" spans="2:10" ht="15.75">
      <c r="B39" s="41"/>
      <c r="C39" s="26"/>
      <c r="D39" s="26"/>
      <c r="E39" s="26"/>
      <c r="F39" s="26"/>
      <c r="G39" s="26"/>
      <c r="H39" s="26"/>
      <c r="I39" s="36"/>
      <c r="J39" s="37"/>
    </row>
    <row r="40" spans="2:10" ht="15.75">
      <c r="B40" s="41"/>
      <c r="C40" s="26"/>
      <c r="D40" s="26"/>
      <c r="E40" s="26"/>
      <c r="F40" s="26"/>
      <c r="G40" s="26"/>
      <c r="H40" s="26"/>
      <c r="I40" s="36"/>
      <c r="J40" s="37"/>
    </row>
    <row r="41" spans="2:10" ht="15.75">
      <c r="B41" s="41" t="s">
        <v>137</v>
      </c>
      <c r="C41" s="26"/>
      <c r="D41" s="26"/>
      <c r="E41" s="26"/>
      <c r="F41" s="26"/>
      <c r="G41" s="26" t="s">
        <v>275</v>
      </c>
      <c r="H41" s="26"/>
      <c r="I41" s="36"/>
      <c r="J41" s="37"/>
    </row>
    <row r="42" spans="2:10" ht="15.75">
      <c r="B42" s="41"/>
      <c r="C42" s="26"/>
      <c r="D42" s="26"/>
      <c r="E42" s="26"/>
      <c r="F42" s="26"/>
      <c r="G42" s="26" t="s">
        <v>276</v>
      </c>
      <c r="H42" s="26"/>
      <c r="I42" s="36"/>
      <c r="J42" s="37"/>
    </row>
    <row r="43" spans="2:10" ht="15.75">
      <c r="B43" s="41"/>
      <c r="C43" s="26"/>
      <c r="D43" s="26"/>
      <c r="E43" s="26"/>
      <c r="F43" s="26"/>
      <c r="G43" s="26"/>
      <c r="H43" s="26"/>
      <c r="I43" s="36"/>
      <c r="J43" s="37"/>
    </row>
    <row r="44" spans="2:10" ht="15.75">
      <c r="B44" s="41"/>
      <c r="C44" s="26"/>
      <c r="D44" s="26"/>
      <c r="E44" s="26"/>
      <c r="F44" s="26"/>
      <c r="G44" s="26"/>
      <c r="H44" s="26"/>
      <c r="I44" s="36"/>
      <c r="J44" s="37"/>
    </row>
    <row r="45" spans="2:10" ht="15.75">
      <c r="B45" s="41"/>
      <c r="C45" s="26"/>
      <c r="D45" s="26"/>
      <c r="E45" s="26"/>
      <c r="F45" s="26"/>
      <c r="G45" s="26"/>
      <c r="H45" s="26"/>
      <c r="I45" s="36"/>
      <c r="J45" s="37"/>
    </row>
    <row r="46" spans="2:10" ht="15.75">
      <c r="B46" s="41" t="s">
        <v>138</v>
      </c>
      <c r="C46" s="26"/>
      <c r="D46" s="26"/>
      <c r="E46" s="26"/>
      <c r="F46" s="26"/>
      <c r="G46" s="93" t="s">
        <v>292</v>
      </c>
      <c r="H46" s="26"/>
      <c r="I46" s="36"/>
      <c r="J46" s="37"/>
    </row>
    <row r="47" spans="2:10" ht="15.75" thickBot="1">
      <c r="B47" s="38"/>
      <c r="C47" s="39"/>
      <c r="D47" s="39"/>
      <c r="E47" s="39"/>
      <c r="F47" s="39"/>
      <c r="G47" s="39"/>
      <c r="H47" s="39"/>
      <c r="I47" s="39"/>
      <c r="J47" s="40"/>
    </row>
  </sheetData>
  <sheetProtection/>
  <mergeCells count="3">
    <mergeCell ref="B18:J18"/>
    <mergeCell ref="B19:J19"/>
    <mergeCell ref="B24:J24"/>
  </mergeCells>
  <printOptions/>
  <pageMargins left="0.32" right="0.17" top="0.69" bottom="0.68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L31"/>
  <sheetViews>
    <sheetView zoomScalePageLayoutView="0" workbookViewId="0" topLeftCell="B7">
      <selection activeCell="F36" sqref="F36"/>
    </sheetView>
  </sheetViews>
  <sheetFormatPr defaultColWidth="9.140625" defaultRowHeight="15"/>
  <cols>
    <col min="1" max="1" width="2.28125" style="66" customWidth="1"/>
    <col min="2" max="2" width="19.7109375" style="66" customWidth="1"/>
    <col min="3" max="3" width="17.8515625" style="66" customWidth="1"/>
    <col min="4" max="4" width="12.28125" style="66" bestFit="1" customWidth="1"/>
    <col min="5" max="5" width="12.00390625" style="66" customWidth="1"/>
    <col min="6" max="6" width="11.8515625" style="66" customWidth="1"/>
    <col min="7" max="7" width="11.140625" style="66" customWidth="1"/>
    <col min="8" max="8" width="11.421875" style="66" bestFit="1" customWidth="1"/>
    <col min="9" max="9" width="11.28125" style="66" customWidth="1"/>
    <col min="10" max="10" width="11.7109375" style="66" customWidth="1"/>
    <col min="11" max="11" width="10.8515625" style="66" bestFit="1" customWidth="1"/>
    <col min="12" max="16384" width="9.140625" style="66" customWidth="1"/>
  </cols>
  <sheetData>
    <row r="2" ht="18.75">
      <c r="B2" s="113" t="s">
        <v>250</v>
      </c>
    </row>
    <row r="3" spans="8:9" ht="15.75">
      <c r="H3" s="126"/>
      <c r="I3" s="127" t="s">
        <v>204</v>
      </c>
    </row>
    <row r="4" spans="8:9" ht="15.75">
      <c r="H4" s="126"/>
      <c r="I4" s="127"/>
    </row>
    <row r="6" spans="3:8" ht="15.75">
      <c r="C6" s="228" t="s">
        <v>205</v>
      </c>
      <c r="D6" s="228"/>
      <c r="E6" s="228"/>
      <c r="F6" s="228"/>
      <c r="G6" s="228"/>
      <c r="H6" s="68"/>
    </row>
    <row r="7" spans="3:8" ht="15.75">
      <c r="C7" s="228" t="s">
        <v>262</v>
      </c>
      <c r="D7" s="228"/>
      <c r="E7" s="228"/>
      <c r="F7" s="228"/>
      <c r="G7" s="228"/>
      <c r="H7" s="68"/>
    </row>
    <row r="10" spans="1:10" s="126" customFormat="1" ht="13.5" customHeight="1">
      <c r="A10" s="224" t="s">
        <v>187</v>
      </c>
      <c r="B10" s="224" t="s">
        <v>104</v>
      </c>
      <c r="C10" s="117"/>
      <c r="D10" s="117"/>
      <c r="E10" s="117"/>
      <c r="F10" s="117"/>
      <c r="G10" s="117"/>
      <c r="H10" s="118" t="s">
        <v>206</v>
      </c>
      <c r="I10" s="118" t="s">
        <v>206</v>
      </c>
      <c r="J10" s="117" t="s">
        <v>207</v>
      </c>
    </row>
    <row r="11" spans="1:10" s="126" customFormat="1" ht="13.5" customHeight="1">
      <c r="A11" s="225"/>
      <c r="B11" s="225"/>
      <c r="C11" s="119"/>
      <c r="D11" s="119"/>
      <c r="E11" s="119"/>
      <c r="F11" s="119"/>
      <c r="G11" s="119"/>
      <c r="H11" s="120" t="s">
        <v>263</v>
      </c>
      <c r="I11" s="120" t="s">
        <v>264</v>
      </c>
      <c r="J11" s="119" t="s">
        <v>208</v>
      </c>
    </row>
    <row r="12" spans="1:10" ht="20.25" customHeight="1">
      <c r="A12" s="69">
        <v>1</v>
      </c>
      <c r="B12" s="70" t="s">
        <v>186</v>
      </c>
      <c r="C12" s="70"/>
      <c r="D12" s="71"/>
      <c r="E12" s="71"/>
      <c r="F12" s="71"/>
      <c r="G12" s="71"/>
      <c r="H12" s="72">
        <f>'Aktivet 2011'!H8</f>
        <v>0</v>
      </c>
      <c r="I12" s="72">
        <v>0</v>
      </c>
      <c r="J12" s="72">
        <f>H12-I12</f>
        <v>0</v>
      </c>
    </row>
    <row r="13" spans="1:10" ht="20.25" customHeight="1">
      <c r="A13" s="69">
        <v>2</v>
      </c>
      <c r="B13" s="70" t="s">
        <v>188</v>
      </c>
      <c r="C13" s="70"/>
      <c r="D13" s="71"/>
      <c r="E13" s="71"/>
      <c r="F13" s="71"/>
      <c r="G13" s="71"/>
      <c r="H13" s="72">
        <f>'Aktivet 2011'!H9</f>
        <v>0</v>
      </c>
      <c r="I13" s="72">
        <v>0</v>
      </c>
      <c r="J13" s="72">
        <f>H13-I13</f>
        <v>0</v>
      </c>
    </row>
    <row r="14" spans="1:10" s="128" customFormat="1" ht="27" customHeight="1">
      <c r="A14" s="125"/>
      <c r="B14" s="114" t="s">
        <v>209</v>
      </c>
      <c r="C14" s="114"/>
      <c r="D14" s="115"/>
      <c r="E14" s="115"/>
      <c r="F14" s="115"/>
      <c r="G14" s="115"/>
      <c r="H14" s="116">
        <f>SUM(H12:H13)</f>
        <v>0</v>
      </c>
      <c r="I14" s="116">
        <f>SUM(I12:I13)</f>
        <v>0</v>
      </c>
      <c r="J14" s="116">
        <f>SUM(J12:J13)</f>
        <v>0</v>
      </c>
    </row>
    <row r="15" spans="4:10" ht="12">
      <c r="D15" s="75"/>
      <c r="E15" s="75"/>
      <c r="F15" s="75"/>
      <c r="G15" s="75"/>
      <c r="H15" s="75"/>
      <c r="I15" s="75"/>
      <c r="J15" s="75"/>
    </row>
    <row r="16" spans="4:10" ht="12">
      <c r="D16" s="75"/>
      <c r="E16" s="75"/>
      <c r="F16" s="75"/>
      <c r="G16" s="75"/>
      <c r="H16" s="75"/>
      <c r="I16" s="75"/>
      <c r="J16" s="75"/>
    </row>
    <row r="17" spans="4:10" ht="12">
      <c r="D17" s="75"/>
      <c r="E17" s="75"/>
      <c r="F17" s="75"/>
      <c r="G17" s="75"/>
      <c r="H17" s="75"/>
      <c r="I17" s="75"/>
      <c r="J17" s="75"/>
    </row>
    <row r="18" spans="1:10" s="128" customFormat="1" ht="13.5" customHeight="1">
      <c r="A18" s="129" t="s">
        <v>187</v>
      </c>
      <c r="B18" s="224" t="s">
        <v>104</v>
      </c>
      <c r="C18" s="224" t="s">
        <v>210</v>
      </c>
      <c r="D18" s="121" t="s">
        <v>206</v>
      </c>
      <c r="E18" s="121" t="s">
        <v>206</v>
      </c>
      <c r="F18" s="121" t="s">
        <v>211</v>
      </c>
      <c r="G18" s="121" t="s">
        <v>211</v>
      </c>
      <c r="H18" s="121" t="s">
        <v>212</v>
      </c>
      <c r="I18" s="121" t="s">
        <v>213</v>
      </c>
      <c r="J18" s="121" t="s">
        <v>207</v>
      </c>
    </row>
    <row r="19" spans="1:10" s="128" customFormat="1" ht="13.5" customHeight="1">
      <c r="A19" s="130"/>
      <c r="B19" s="225"/>
      <c r="C19" s="225"/>
      <c r="D19" s="122" t="s">
        <v>265</v>
      </c>
      <c r="E19" s="122" t="s">
        <v>266</v>
      </c>
      <c r="F19" s="122"/>
      <c r="G19" s="122"/>
      <c r="H19" s="123"/>
      <c r="I19" s="123"/>
      <c r="J19" s="123" t="s">
        <v>208</v>
      </c>
    </row>
    <row r="20" spans="1:11" ht="18" customHeight="1">
      <c r="A20" s="69">
        <v>1</v>
      </c>
      <c r="B20" s="70" t="s">
        <v>214</v>
      </c>
      <c r="C20" s="76" t="s">
        <v>215</v>
      </c>
      <c r="D20" s="72">
        <f>+'Aktivet 2011'!H31</f>
        <v>1176511</v>
      </c>
      <c r="E20" s="72">
        <v>1562122</v>
      </c>
      <c r="F20" s="72">
        <f>D20-E20</f>
        <v>-385611</v>
      </c>
      <c r="G20" s="72">
        <f>E20-D20</f>
        <v>385611</v>
      </c>
      <c r="H20" s="72">
        <f>-('[1]trial b'!$F$34+'[1]trial b'!$F$42+'[1]trial b'!$F$47+'[1]trial b'!$F$50+'[1]trial b'!$F$52+'[1]trial b'!$F$53)</f>
        <v>60175678.35000001</v>
      </c>
      <c r="I20" s="72">
        <f>'[1]trial b'!$E$42+'[1]trial b'!$E$50+'[1]trial b'!$E$52+'[1]trial b'!$E$53+'[1]trial b'!$E$58+'[1]trial b'!$E$59+'[1]trial b'!$E$61</f>
        <v>20368396.39</v>
      </c>
      <c r="J20" s="72">
        <f aca="true" t="shared" si="0" ref="J20:J27">H20-I20</f>
        <v>39807281.96000001</v>
      </c>
      <c r="K20" s="77"/>
    </row>
    <row r="21" spans="1:11" ht="18" customHeight="1">
      <c r="A21" s="69">
        <v>2</v>
      </c>
      <c r="B21" s="70" t="s">
        <v>216</v>
      </c>
      <c r="C21" s="76" t="s">
        <v>217</v>
      </c>
      <c r="D21" s="72">
        <v>0</v>
      </c>
      <c r="E21" s="72">
        <v>0</v>
      </c>
      <c r="F21" s="72">
        <f>D21-E21</f>
        <v>0</v>
      </c>
      <c r="G21" s="72">
        <f>E21-D21</f>
        <v>0</v>
      </c>
      <c r="H21" s="72">
        <v>0</v>
      </c>
      <c r="I21" s="72">
        <v>0</v>
      </c>
      <c r="J21" s="72">
        <f t="shared" si="0"/>
        <v>0</v>
      </c>
      <c r="K21" s="77"/>
    </row>
    <row r="22" spans="1:11" ht="18" customHeight="1">
      <c r="A22" s="69">
        <v>3</v>
      </c>
      <c r="B22" s="70" t="s">
        <v>218</v>
      </c>
      <c r="C22" s="76" t="s">
        <v>215</v>
      </c>
      <c r="D22" s="72">
        <f>+'Aktivet 2011'!H19</f>
        <v>441322</v>
      </c>
      <c r="E22" s="72">
        <v>423722</v>
      </c>
      <c r="F22" s="72">
        <f aca="true" t="shared" si="1" ref="F22:F27">D22-E22</f>
        <v>17600</v>
      </c>
      <c r="G22" s="72">
        <f>E22-D22</f>
        <v>-17600</v>
      </c>
      <c r="H22" s="72">
        <f>-'[1]trial b'!$F$130-'[1]trial b'!$F$131-'[1]trial b'!$F$132-'[1]trial b'!$F$135</f>
        <v>16257572.64</v>
      </c>
      <c r="I22" s="72">
        <f>'[1]trial b'!$E$130+'[1]trial b'!$E$131+'[1]trial b'!$E$132+'[1]trial b'!$E$135</f>
        <v>11773405.09</v>
      </c>
      <c r="J22" s="72">
        <f t="shared" si="0"/>
        <v>4484167.550000001</v>
      </c>
      <c r="K22" s="77"/>
    </row>
    <row r="23" spans="1:11" ht="18" customHeight="1">
      <c r="A23" s="69">
        <v>4</v>
      </c>
      <c r="B23" s="70" t="s">
        <v>219</v>
      </c>
      <c r="C23" s="76" t="s">
        <v>215</v>
      </c>
      <c r="D23" s="72">
        <f>+'Aktivet 2011'!H11</f>
        <v>1522599</v>
      </c>
      <c r="E23" s="72">
        <v>1045600</v>
      </c>
      <c r="F23" s="72">
        <f t="shared" si="1"/>
        <v>476999</v>
      </c>
      <c r="G23" s="72">
        <f>E23-D23</f>
        <v>-476999</v>
      </c>
      <c r="H23" s="72">
        <f>-'[1]trial b'!$F$176-'[1]trial b'!$F$177-'[1]trial b'!$F$178-'[1]trial b'!$F$179-'[1]trial b'!$F$181-'[1]trial b'!$F$182-'[1]trial b'!$F$183-'[1]trial b'!$F$185-'[1]trial b'!$F$170</f>
        <v>117347563.75999999</v>
      </c>
      <c r="I23" s="72">
        <f>'[1]trial b'!$E$176+'[1]trial b'!$E$177+'[1]trial b'!$E$178+'[1]trial b'!$E$179+'[1]trial b'!$E$180+'[1]trial b'!$E$181+'[1]trial b'!$E$182+'[1]trial b'!$E$183+'[1]trial b'!$E$185+'[1]trial b'!$E$170</f>
        <v>123584063.60999998</v>
      </c>
      <c r="J23" s="72">
        <f t="shared" si="0"/>
        <v>-6236499.849999994</v>
      </c>
      <c r="K23" s="77"/>
    </row>
    <row r="24" spans="1:11" ht="18" customHeight="1">
      <c r="A24" s="69">
        <v>5</v>
      </c>
      <c r="B24" s="70" t="s">
        <v>220</v>
      </c>
      <c r="C24" s="76" t="s">
        <v>215</v>
      </c>
      <c r="D24" s="72"/>
      <c r="E24" s="72">
        <v>0</v>
      </c>
      <c r="F24" s="72">
        <f t="shared" si="1"/>
        <v>0</v>
      </c>
      <c r="G24" s="72">
        <f>E24-D24</f>
        <v>0</v>
      </c>
      <c r="H24" s="72">
        <f>-'[1]trial b'!$F$194-'[1]trial b'!$F$207</f>
        <v>5400361.46</v>
      </c>
      <c r="I24" s="72">
        <f>'[1]trial b'!$E$194+'[1]trial b'!$E$207</f>
        <v>1591</v>
      </c>
      <c r="J24" s="72">
        <f>H24-I24</f>
        <v>5398770.46</v>
      </c>
      <c r="K24" s="77"/>
    </row>
    <row r="25" spans="1:11" ht="18" customHeight="1">
      <c r="A25" s="69">
        <v>6</v>
      </c>
      <c r="B25" s="70" t="s">
        <v>221</v>
      </c>
      <c r="C25" s="76" t="s">
        <v>217</v>
      </c>
      <c r="D25" s="72">
        <f>+'Pasivet 2011'!H27</f>
        <v>-16045094</v>
      </c>
      <c r="E25" s="72">
        <v>-14713300</v>
      </c>
      <c r="F25" s="72">
        <f>D25-E25</f>
        <v>-1331794</v>
      </c>
      <c r="G25" s="72">
        <f>-(E25-D25)</f>
        <v>-1331794</v>
      </c>
      <c r="H25" s="72">
        <f>-'[1]trial b'!$F$5</f>
        <v>164960000</v>
      </c>
      <c r="I25" s="72"/>
      <c r="J25" s="72">
        <f t="shared" si="0"/>
        <v>164960000</v>
      </c>
      <c r="K25" s="77"/>
    </row>
    <row r="26" spans="1:12" ht="18" customHeight="1">
      <c r="A26" s="69">
        <v>7</v>
      </c>
      <c r="B26" s="70" t="s">
        <v>222</v>
      </c>
      <c r="C26" s="76" t="s">
        <v>217</v>
      </c>
      <c r="D26" s="72">
        <f>'Pasivet 2011'!H11+'Pasivet 2011'!H19</f>
        <v>19185527</v>
      </c>
      <c r="E26" s="72">
        <v>17744743</v>
      </c>
      <c r="F26" s="72">
        <f t="shared" si="1"/>
        <v>1440784</v>
      </c>
      <c r="G26" s="72">
        <f>-(E26-D26)</f>
        <v>1440784</v>
      </c>
      <c r="H26" s="72">
        <f>-SUM('[1]trial b'!$F$143:$F$168)-'[1]trial b'!$F$173</f>
        <v>85642075.23</v>
      </c>
      <c r="I26" s="72">
        <f>SUM('[1]trial b'!$E$143:$E$168)+'[1]trial b'!$E$173</f>
        <v>83981320.32000001</v>
      </c>
      <c r="J26" s="72">
        <f t="shared" si="0"/>
        <v>1660754.9099999964</v>
      </c>
      <c r="K26" s="77"/>
      <c r="L26" s="77"/>
    </row>
    <row r="27" spans="1:11" ht="18" customHeight="1">
      <c r="A27" s="69">
        <v>8</v>
      </c>
      <c r="B27" s="70" t="s">
        <v>223</v>
      </c>
      <c r="C27" s="76" t="s">
        <v>217</v>
      </c>
      <c r="D27" s="72">
        <f>'Pasivet 2011'!H8</f>
        <v>0</v>
      </c>
      <c r="E27" s="72"/>
      <c r="F27" s="72">
        <f t="shared" si="1"/>
        <v>0</v>
      </c>
      <c r="G27" s="72">
        <f>-(E27-D27)</f>
        <v>0</v>
      </c>
      <c r="H27" s="72">
        <f>-'[1]trial b'!$F$191-'[1]trial b'!$F$197-'[1]trial b'!$F$217-'[1]trial b'!$F$218</f>
        <v>23873326.98</v>
      </c>
      <c r="I27" s="72">
        <f>'[1]trial b'!$E$191+'[1]trial b'!$E$197+'[1]trial b'!$E$217+'[1]trial b'!$E$218</f>
        <v>22660030.24</v>
      </c>
      <c r="J27" s="72">
        <f t="shared" si="0"/>
        <v>1213296.740000002</v>
      </c>
      <c r="K27" s="77"/>
    </row>
    <row r="28" spans="1:10" s="128" customFormat="1" ht="27" customHeight="1">
      <c r="A28" s="125"/>
      <c r="B28" s="125" t="s">
        <v>224</v>
      </c>
      <c r="C28" s="125"/>
      <c r="D28" s="116">
        <f>SUM(D20:D27)</f>
        <v>6280865</v>
      </c>
      <c r="E28" s="116">
        <f aca="true" t="shared" si="2" ref="E28:J28">SUM(E20:E27)</f>
        <v>6062887</v>
      </c>
      <c r="F28" s="116">
        <f t="shared" si="2"/>
        <v>217978</v>
      </c>
      <c r="G28" s="116">
        <f>SUM(G20:G27)-2</f>
        <v>0</v>
      </c>
      <c r="H28" s="116">
        <f t="shared" si="2"/>
        <v>473656578.4200001</v>
      </c>
      <c r="I28" s="116">
        <f t="shared" si="2"/>
        <v>262368806.64999998</v>
      </c>
      <c r="J28" s="116">
        <f t="shared" si="2"/>
        <v>211287771.77</v>
      </c>
    </row>
    <row r="30" ht="12">
      <c r="I30" s="77"/>
    </row>
    <row r="31" ht="12">
      <c r="H31" s="77"/>
    </row>
  </sheetData>
  <sheetProtection/>
  <mergeCells count="6">
    <mergeCell ref="A10:A11"/>
    <mergeCell ref="B10:B11"/>
    <mergeCell ref="B18:B19"/>
    <mergeCell ref="C18:C19"/>
    <mergeCell ref="C6:G6"/>
    <mergeCell ref="C7:G7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S38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3.00390625" style="0" customWidth="1"/>
    <col min="2" max="2" width="37.8515625" style="0" customWidth="1"/>
    <col min="3" max="3" width="13.421875" style="0" customWidth="1"/>
    <col min="4" max="4" width="11.8515625" style="0" customWidth="1"/>
    <col min="5" max="5" width="15.421875" style="0" customWidth="1"/>
    <col min="6" max="6" width="14.7109375" style="0" customWidth="1"/>
    <col min="7" max="7" width="19.7109375" style="0" customWidth="1"/>
    <col min="8" max="8" width="16.00390625" style="0" customWidth="1"/>
  </cols>
  <sheetData>
    <row r="1" ht="5.25" customHeight="1"/>
    <row r="2" spans="1:9" ht="18.75">
      <c r="A2" s="229" t="s">
        <v>284</v>
      </c>
      <c r="B2" s="229"/>
      <c r="C2" s="229"/>
      <c r="D2" s="229"/>
      <c r="E2" s="229"/>
      <c r="F2" s="229"/>
      <c r="G2" s="229"/>
      <c r="H2" s="229"/>
      <c r="I2" s="229"/>
    </row>
    <row r="3" spans="1:9" ht="18.75">
      <c r="A3" s="223" t="s">
        <v>250</v>
      </c>
      <c r="B3" s="223"/>
      <c r="C3" s="223"/>
      <c r="D3" s="223"/>
      <c r="E3" s="223"/>
      <c r="F3" s="223"/>
      <c r="G3" s="223"/>
      <c r="H3" s="223"/>
      <c r="I3" s="223"/>
    </row>
    <row r="4" ht="8.25" customHeight="1">
      <c r="A4" s="24"/>
    </row>
    <row r="5" spans="1:8" ht="38.25" customHeight="1">
      <c r="A5" s="96" t="s">
        <v>0</v>
      </c>
      <c r="B5" s="95" t="s">
        <v>104</v>
      </c>
      <c r="C5" s="95" t="s">
        <v>105</v>
      </c>
      <c r="D5" s="95" t="s">
        <v>106</v>
      </c>
      <c r="E5" s="95" t="s">
        <v>107</v>
      </c>
      <c r="F5" s="95" t="s">
        <v>122</v>
      </c>
      <c r="G5" s="95" t="s">
        <v>108</v>
      </c>
      <c r="H5" s="95" t="s">
        <v>109</v>
      </c>
    </row>
    <row r="6" spans="1:8" ht="13.5" customHeight="1">
      <c r="A6" s="146" t="s">
        <v>3</v>
      </c>
      <c r="B6" s="147" t="s">
        <v>121</v>
      </c>
      <c r="C6" s="148">
        <f>'Pasivet 2011'!H30</f>
        <v>100000</v>
      </c>
      <c r="D6" s="148"/>
      <c r="E6" s="148"/>
      <c r="F6" s="148"/>
      <c r="G6" s="148">
        <f>'Pasivet 2011'!H36</f>
        <v>-14813300</v>
      </c>
      <c r="H6" s="148">
        <f>SUM(C6:G6)</f>
        <v>-14713300</v>
      </c>
    </row>
    <row r="7" spans="1:8" ht="13.5" customHeight="1">
      <c r="A7" s="1" t="s">
        <v>111</v>
      </c>
      <c r="B7" s="18" t="s">
        <v>112</v>
      </c>
      <c r="C7" s="29"/>
      <c r="D7" s="29"/>
      <c r="E7" s="29"/>
      <c r="F7" s="29"/>
      <c r="G7" s="29"/>
      <c r="H7" s="27">
        <f aca="true" t="shared" si="0" ref="H7:H22">SUM(C7:G7)</f>
        <v>0</v>
      </c>
    </row>
    <row r="8" spans="1:8" ht="13.5" customHeight="1">
      <c r="A8" s="146" t="s">
        <v>114</v>
      </c>
      <c r="B8" s="147" t="s">
        <v>113</v>
      </c>
      <c r="C8" s="148">
        <f>SUM(C9:C12)</f>
        <v>0</v>
      </c>
      <c r="D8" s="148">
        <f>SUM(D9:D12)</f>
        <v>0</v>
      </c>
      <c r="E8" s="148">
        <f>SUM(E9:E12)</f>
        <v>0</v>
      </c>
      <c r="F8" s="148">
        <f>SUM(F9:F12)</f>
        <v>0</v>
      </c>
      <c r="G8" s="148">
        <f>SUM(G9:G12)</f>
        <v>-1331794</v>
      </c>
      <c r="H8" s="148">
        <f>SUM(C8:G8)</f>
        <v>-1331794</v>
      </c>
    </row>
    <row r="9" spans="1:8" ht="13.5" customHeight="1">
      <c r="A9" s="1">
        <v>1</v>
      </c>
      <c r="B9" s="18" t="s">
        <v>118</v>
      </c>
      <c r="C9" s="29"/>
      <c r="D9" s="29"/>
      <c r="E9" s="29"/>
      <c r="F9" s="29"/>
      <c r="G9" s="29">
        <f>'Pasivet 2011'!H37</f>
        <v>-1331794</v>
      </c>
      <c r="H9" s="27">
        <f t="shared" si="0"/>
        <v>-1331794</v>
      </c>
    </row>
    <row r="10" spans="1:8" ht="13.5" customHeight="1">
      <c r="A10" s="1">
        <v>2</v>
      </c>
      <c r="B10" s="18" t="s">
        <v>115</v>
      </c>
      <c r="C10" s="29"/>
      <c r="D10" s="29"/>
      <c r="E10" s="29"/>
      <c r="F10" s="29"/>
      <c r="G10" s="29"/>
      <c r="H10" s="27">
        <f t="shared" si="0"/>
        <v>0</v>
      </c>
    </row>
    <row r="11" spans="1:8" ht="13.5" customHeight="1">
      <c r="A11" s="1">
        <v>3</v>
      </c>
      <c r="B11" s="18" t="s">
        <v>123</v>
      </c>
      <c r="C11" s="29"/>
      <c r="D11" s="29"/>
      <c r="E11" s="29"/>
      <c r="F11" s="29"/>
      <c r="G11" s="29"/>
      <c r="H11" s="27">
        <f t="shared" si="0"/>
        <v>0</v>
      </c>
    </row>
    <row r="12" spans="1:8" ht="13.5" customHeight="1">
      <c r="A12" s="1">
        <v>4</v>
      </c>
      <c r="B12" s="25" t="s">
        <v>124</v>
      </c>
      <c r="C12" s="29"/>
      <c r="D12" s="29"/>
      <c r="E12" s="29"/>
      <c r="F12" s="29"/>
      <c r="G12" s="29"/>
      <c r="H12" s="27">
        <f t="shared" si="0"/>
        <v>0</v>
      </c>
    </row>
    <row r="13" spans="1:8" ht="13.5" customHeight="1">
      <c r="A13" s="146" t="s">
        <v>120</v>
      </c>
      <c r="B13" s="147" t="s">
        <v>110</v>
      </c>
      <c r="C13" s="148">
        <f>SUM(C14:C17)</f>
        <v>2500000</v>
      </c>
      <c r="D13" s="148">
        <f>SUM(D14:D17)</f>
        <v>0</v>
      </c>
      <c r="E13" s="148">
        <f>SUM(E14:E17)</f>
        <v>0</v>
      </c>
      <c r="F13" s="148">
        <f>SUM(F14:F17)</f>
        <v>0</v>
      </c>
      <c r="G13" s="148">
        <f>SUM(G14:G17)</f>
        <v>-1429603</v>
      </c>
      <c r="H13" s="148">
        <f>SUM(C13:G13)</f>
        <v>1070397</v>
      </c>
    </row>
    <row r="14" spans="1:8" ht="13.5" customHeight="1">
      <c r="A14" s="1">
        <v>1</v>
      </c>
      <c r="B14" s="18" t="s">
        <v>118</v>
      </c>
      <c r="C14" s="29"/>
      <c r="D14" s="29"/>
      <c r="E14" s="29"/>
      <c r="F14" s="29"/>
      <c r="G14" s="29">
        <f>'Pasivet 2011'!G37</f>
        <v>-1429603</v>
      </c>
      <c r="H14" s="27">
        <f t="shared" si="0"/>
        <v>-1429603</v>
      </c>
    </row>
    <row r="15" spans="1:8" ht="13.5" customHeight="1">
      <c r="A15" s="1">
        <v>2</v>
      </c>
      <c r="B15" s="18" t="s">
        <v>115</v>
      </c>
      <c r="C15" s="29"/>
      <c r="D15" s="29"/>
      <c r="E15" s="29"/>
      <c r="F15" s="29"/>
      <c r="G15" s="29"/>
      <c r="H15" s="27">
        <f t="shared" si="0"/>
        <v>0</v>
      </c>
    </row>
    <row r="16" spans="1:8" ht="13.5" customHeight="1">
      <c r="A16" s="1">
        <v>3</v>
      </c>
      <c r="B16" s="25" t="s">
        <v>116</v>
      </c>
      <c r="C16" s="29">
        <v>2500000</v>
      </c>
      <c r="D16" s="29"/>
      <c r="E16" s="29"/>
      <c r="F16" s="29"/>
      <c r="G16" s="29"/>
      <c r="H16" s="27">
        <f t="shared" si="0"/>
        <v>2500000</v>
      </c>
    </row>
    <row r="17" spans="1:8" ht="13.5" customHeight="1">
      <c r="A17" s="1">
        <v>4</v>
      </c>
      <c r="B17" s="25" t="s">
        <v>119</v>
      </c>
      <c r="C17" s="29"/>
      <c r="D17" s="29"/>
      <c r="E17" s="29"/>
      <c r="F17" s="29"/>
      <c r="G17" s="29"/>
      <c r="H17" s="27">
        <f t="shared" si="0"/>
        <v>0</v>
      </c>
    </row>
    <row r="18" spans="1:8" ht="13.5" customHeight="1">
      <c r="A18" s="146" t="s">
        <v>42</v>
      </c>
      <c r="B18" s="147" t="s">
        <v>117</v>
      </c>
      <c r="C18" s="148">
        <f>C6+C8+C13</f>
        <v>2600000</v>
      </c>
      <c r="D18" s="148">
        <f>D6+D8+D13</f>
        <v>0</v>
      </c>
      <c r="E18" s="148">
        <f>E6+E8+E13</f>
        <v>0</v>
      </c>
      <c r="F18" s="148">
        <f>F6+F8+F13</f>
        <v>0</v>
      </c>
      <c r="G18" s="148">
        <f>SUM(G19:G22)</f>
        <v>-1521365.1400000001</v>
      </c>
      <c r="H18" s="148">
        <f>SUM(C18:G18)</f>
        <v>1078634.8599999999</v>
      </c>
    </row>
    <row r="19" spans="1:8" ht="13.5" customHeight="1">
      <c r="A19" s="1">
        <v>1</v>
      </c>
      <c r="B19" s="18" t="s">
        <v>118</v>
      </c>
      <c r="C19" s="27"/>
      <c r="D19" s="27"/>
      <c r="E19" s="27"/>
      <c r="F19" s="27"/>
      <c r="G19" s="29">
        <f>'Pasivet 2011'!F37</f>
        <v>-1521365.1400000001</v>
      </c>
      <c r="H19" s="27">
        <f t="shared" si="0"/>
        <v>-1521365.1400000001</v>
      </c>
    </row>
    <row r="20" spans="1:8" ht="13.5" customHeight="1">
      <c r="A20" s="1">
        <v>2</v>
      </c>
      <c r="B20" s="18" t="s">
        <v>115</v>
      </c>
      <c r="C20" s="29"/>
      <c r="D20" s="29"/>
      <c r="E20" s="29"/>
      <c r="F20" s="29"/>
      <c r="G20" s="29"/>
      <c r="H20" s="27">
        <f t="shared" si="0"/>
        <v>0</v>
      </c>
    </row>
    <row r="21" spans="1:8" ht="13.5" customHeight="1">
      <c r="A21" s="1">
        <v>3</v>
      </c>
      <c r="B21" s="25" t="s">
        <v>116</v>
      </c>
      <c r="C21" s="29">
        <v>2500000</v>
      </c>
      <c r="D21" s="29"/>
      <c r="E21" s="29"/>
      <c r="F21" s="29"/>
      <c r="G21" s="29"/>
      <c r="H21" s="27">
        <f>SUM(C21:G21)</f>
        <v>2500000</v>
      </c>
    </row>
    <row r="22" spans="1:8" ht="13.5" customHeight="1">
      <c r="A22" s="1">
        <v>4</v>
      </c>
      <c r="B22" s="25" t="s">
        <v>119</v>
      </c>
      <c r="C22" s="29"/>
      <c r="D22" s="29"/>
      <c r="E22" s="29"/>
      <c r="F22" s="29"/>
      <c r="G22" s="29"/>
      <c r="H22" s="27">
        <f t="shared" si="0"/>
        <v>0</v>
      </c>
    </row>
    <row r="23" spans="1:8" ht="13.5" customHeight="1">
      <c r="A23" s="146" t="s">
        <v>193</v>
      </c>
      <c r="B23" s="147" t="s">
        <v>267</v>
      </c>
      <c r="C23" s="148">
        <f>C11+C13+C18</f>
        <v>5100000</v>
      </c>
      <c r="D23" s="148">
        <f>D11+D13+D18</f>
        <v>0</v>
      </c>
      <c r="E23" s="148">
        <f>E11+E13+E18</f>
        <v>0</v>
      </c>
      <c r="F23" s="148">
        <f>F11+F13+F18</f>
        <v>0</v>
      </c>
      <c r="G23" s="148">
        <f>SUM(G24:G27)</f>
        <v>-3862143.13</v>
      </c>
      <c r="H23" s="148">
        <f>SUM(C23:G23)</f>
        <v>1237856.87</v>
      </c>
    </row>
    <row r="24" spans="1:8" ht="13.5" customHeight="1">
      <c r="A24" s="1"/>
      <c r="B24" s="18" t="s">
        <v>118</v>
      </c>
      <c r="C24" s="27"/>
      <c r="D24" s="27"/>
      <c r="E24" s="27"/>
      <c r="F24" s="27"/>
      <c r="G24" s="29">
        <f>'Pasivet 2011'!E37</f>
        <v>-3862143.13</v>
      </c>
      <c r="H24" s="27">
        <f>SUM(C24:G24)</f>
        <v>-3862143.13</v>
      </c>
    </row>
    <row r="25" spans="1:8" ht="13.5" customHeight="1">
      <c r="A25" s="1"/>
      <c r="B25" s="18" t="s">
        <v>115</v>
      </c>
      <c r="C25" s="29"/>
      <c r="D25" s="29"/>
      <c r="E25" s="29"/>
      <c r="F25" s="29"/>
      <c r="G25" s="29"/>
      <c r="H25" s="27">
        <f>SUM(C25:G25)</f>
        <v>0</v>
      </c>
    </row>
    <row r="26" spans="1:8" ht="13.5" customHeight="1">
      <c r="A26" s="1"/>
      <c r="B26" s="25" t="s">
        <v>116</v>
      </c>
      <c r="C26" s="29"/>
      <c r="D26" s="29"/>
      <c r="E26" s="29"/>
      <c r="F26" s="29"/>
      <c r="G26" s="29"/>
      <c r="H26" s="27">
        <f>SUM(C26:G26)</f>
        <v>0</v>
      </c>
    </row>
    <row r="27" spans="1:8" ht="13.5" customHeight="1">
      <c r="A27" s="1"/>
      <c r="B27" s="25" t="s">
        <v>119</v>
      </c>
      <c r="C27" s="29"/>
      <c r="D27" s="29"/>
      <c r="E27" s="29"/>
      <c r="F27" s="29"/>
      <c r="G27" s="29"/>
      <c r="H27" s="27">
        <f>SUM(C27:G27)</f>
        <v>0</v>
      </c>
    </row>
    <row r="28" spans="1:8" ht="13.5" customHeight="1">
      <c r="A28" s="146" t="s">
        <v>194</v>
      </c>
      <c r="B28" s="147" t="s">
        <v>273</v>
      </c>
      <c r="C28" s="148">
        <f>C23</f>
        <v>5100000</v>
      </c>
      <c r="D28" s="148"/>
      <c r="E28" s="148"/>
      <c r="F28" s="148"/>
      <c r="G28" s="148">
        <f>SUM(G29:G32)</f>
        <v>-2178281.4699999997</v>
      </c>
      <c r="H28" s="148">
        <f>G28+C28</f>
        <v>2921718.5300000003</v>
      </c>
    </row>
    <row r="29" spans="1:8" ht="13.5" customHeight="1">
      <c r="A29" s="1"/>
      <c r="B29" s="18" t="s">
        <v>118</v>
      </c>
      <c r="C29" s="27"/>
      <c r="D29" s="27"/>
      <c r="E29" s="27"/>
      <c r="F29" s="27"/>
      <c r="G29" s="29">
        <f>'Pasivet 2011'!D37</f>
        <v>-2178281.4699999997</v>
      </c>
      <c r="H29" s="27">
        <f>SUM(C29:G29)</f>
        <v>-2178281.4699999997</v>
      </c>
    </row>
    <row r="30" spans="1:8" ht="13.5" customHeight="1">
      <c r="A30" s="1"/>
      <c r="B30" s="18" t="s">
        <v>115</v>
      </c>
      <c r="C30" s="29"/>
      <c r="D30" s="29"/>
      <c r="E30" s="29"/>
      <c r="F30" s="29"/>
      <c r="G30" s="29"/>
      <c r="H30" s="27">
        <f>SUM(C30:G30)</f>
        <v>0</v>
      </c>
    </row>
    <row r="31" spans="1:8" ht="13.5" customHeight="1">
      <c r="A31" s="1"/>
      <c r="B31" s="25" t="s">
        <v>116</v>
      </c>
      <c r="C31" s="29"/>
      <c r="D31" s="29"/>
      <c r="E31" s="29"/>
      <c r="F31" s="29"/>
      <c r="G31" s="29"/>
      <c r="H31" s="27">
        <f>SUM(C31:G31)</f>
        <v>0</v>
      </c>
    </row>
    <row r="32" spans="1:8" ht="13.5" customHeight="1">
      <c r="A32" s="1"/>
      <c r="B32" s="25" t="s">
        <v>119</v>
      </c>
      <c r="C32" s="29"/>
      <c r="D32" s="29"/>
      <c r="E32" s="29"/>
      <c r="F32" s="29"/>
      <c r="G32" s="29"/>
      <c r="H32" s="27">
        <f>SUM(C32:G32)</f>
        <v>0</v>
      </c>
    </row>
    <row r="33" spans="1:8" ht="13.5" customHeight="1">
      <c r="A33" s="146" t="s">
        <v>285</v>
      </c>
      <c r="B33" s="147" t="s">
        <v>286</v>
      </c>
      <c r="C33" s="148">
        <f>C28</f>
        <v>5100000</v>
      </c>
      <c r="D33" s="148"/>
      <c r="E33" s="148"/>
      <c r="F33" s="148"/>
      <c r="G33" s="148">
        <f>G6+G23+G18+G13+G8+G28</f>
        <v>-25136486.74</v>
      </c>
      <c r="H33" s="148">
        <f>G33+C33</f>
        <v>-20036486.74</v>
      </c>
    </row>
    <row r="34" ht="6.75" customHeight="1"/>
    <row r="35" spans="2:19" ht="15">
      <c r="B35" s="97" t="s">
        <v>236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7:10" ht="15">
      <c r="G36" s="150"/>
      <c r="J36" s="36"/>
    </row>
    <row r="37" ht="15">
      <c r="G37" s="151"/>
    </row>
    <row r="38" ht="15">
      <c r="G38" s="50"/>
    </row>
  </sheetData>
  <sheetProtection/>
  <mergeCells count="2">
    <mergeCell ref="A3:I3"/>
    <mergeCell ref="A2:I2"/>
  </mergeCells>
  <printOptions/>
  <pageMargins left="0.28" right="0.29" top="0.58" bottom="0.3" header="0.3" footer="0.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4:I40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.57421875" style="59" customWidth="1"/>
    <col min="2" max="2" width="33.00390625" style="59" customWidth="1"/>
    <col min="3" max="3" width="11.421875" style="59" customWidth="1"/>
    <col min="4" max="4" width="25.421875" style="59" customWidth="1"/>
    <col min="5" max="5" width="11.00390625" style="59" customWidth="1"/>
    <col min="6" max="6" width="12.00390625" style="59" customWidth="1"/>
    <col min="7" max="7" width="16.00390625" style="59" customWidth="1"/>
    <col min="8" max="8" width="6.28125" style="59" customWidth="1"/>
    <col min="9" max="9" width="11.140625" style="59" bestFit="1" customWidth="1"/>
    <col min="10" max="10" width="9.140625" style="59" customWidth="1"/>
    <col min="11" max="11" width="7.28125" style="59" customWidth="1"/>
    <col min="12" max="12" width="19.00390625" style="59" customWidth="1"/>
    <col min="13" max="17" width="9.140625" style="59" customWidth="1"/>
    <col min="18" max="18" width="10.421875" style="59" customWidth="1"/>
    <col min="19" max="19" width="10.7109375" style="59" customWidth="1"/>
    <col min="20" max="20" width="10.421875" style="59" customWidth="1"/>
    <col min="21" max="21" width="11.140625" style="59" customWidth="1"/>
    <col min="22" max="22" width="13.7109375" style="59" customWidth="1"/>
    <col min="23" max="16384" width="9.140625" style="59" customWidth="1"/>
  </cols>
  <sheetData>
    <row r="4" ht="18">
      <c r="B4" s="182" t="s">
        <v>296</v>
      </c>
    </row>
    <row r="7" spans="2:7" ht="18" customHeight="1">
      <c r="B7" s="232" t="s">
        <v>287</v>
      </c>
      <c r="C7" s="232"/>
      <c r="D7" s="232"/>
      <c r="E7" s="232"/>
      <c r="F7" s="232"/>
      <c r="G7" s="232"/>
    </row>
    <row r="8" ht="21" customHeight="1"/>
    <row r="9" spans="1:7" s="60" customFormat="1" ht="15" customHeight="1">
      <c r="A9" s="230" t="s">
        <v>187</v>
      </c>
      <c r="B9" s="233" t="s">
        <v>104</v>
      </c>
      <c r="C9" s="230" t="s">
        <v>229</v>
      </c>
      <c r="D9" s="153" t="s">
        <v>230</v>
      </c>
      <c r="E9" s="230" t="s">
        <v>231</v>
      </c>
      <c r="F9" s="230" t="s">
        <v>232</v>
      </c>
      <c r="G9" s="153" t="s">
        <v>230</v>
      </c>
    </row>
    <row r="10" spans="1:7" s="60" customFormat="1" ht="15" customHeight="1">
      <c r="A10" s="231"/>
      <c r="B10" s="234"/>
      <c r="C10" s="231"/>
      <c r="D10" s="154">
        <v>40544</v>
      </c>
      <c r="E10" s="231"/>
      <c r="F10" s="231"/>
      <c r="G10" s="154">
        <v>40908</v>
      </c>
    </row>
    <row r="11" spans="1:7" s="68" customFormat="1" ht="36" customHeight="1">
      <c r="A11" s="163">
        <v>1</v>
      </c>
      <c r="B11" s="171" t="s">
        <v>253</v>
      </c>
      <c r="C11" s="163"/>
      <c r="D11" s="164">
        <v>3247754</v>
      </c>
      <c r="E11" s="164"/>
      <c r="F11" s="164"/>
      <c r="G11" s="164">
        <f>D11+E11-F11</f>
        <v>3247754</v>
      </c>
    </row>
    <row r="12" spans="1:7" s="68" customFormat="1" ht="36" customHeight="1">
      <c r="A12" s="163">
        <v>2</v>
      </c>
      <c r="B12" s="170" t="s">
        <v>254</v>
      </c>
      <c r="C12" s="163"/>
      <c r="D12" s="164">
        <v>192200</v>
      </c>
      <c r="E12" s="164"/>
      <c r="F12" s="164"/>
      <c r="G12" s="164">
        <f>D12+E12-F12</f>
        <v>192200</v>
      </c>
    </row>
    <row r="13" spans="1:7" s="68" customFormat="1" ht="36" customHeight="1">
      <c r="A13" s="163">
        <v>3</v>
      </c>
      <c r="B13" s="171" t="s">
        <v>255</v>
      </c>
      <c r="C13" s="163"/>
      <c r="D13" s="164">
        <v>221794</v>
      </c>
      <c r="E13" s="164"/>
      <c r="F13" s="164"/>
      <c r="G13" s="164">
        <f>D13+E13-F13</f>
        <v>221794</v>
      </c>
    </row>
    <row r="14" spans="1:7" s="169" customFormat="1" ht="30" customHeight="1">
      <c r="A14" s="165"/>
      <c r="B14" s="166" t="s">
        <v>233</v>
      </c>
      <c r="C14" s="167"/>
      <c r="D14" s="168">
        <f>SUM(D11:D13)</f>
        <v>3661748</v>
      </c>
      <c r="E14" s="168">
        <f>SUM(E11:E13)</f>
        <v>0</v>
      </c>
      <c r="F14" s="168">
        <f>SUM(F11:F13)</f>
        <v>0</v>
      </c>
      <c r="G14" s="168">
        <f>SUM(G11:G13)</f>
        <v>3661748</v>
      </c>
    </row>
    <row r="15" spans="1:7" s="83" customFormat="1" ht="30" customHeight="1">
      <c r="A15" s="131"/>
      <c r="B15" s="132"/>
      <c r="C15" s="133"/>
      <c r="D15" s="134"/>
      <c r="E15" s="134"/>
      <c r="F15" s="134"/>
      <c r="G15" s="134"/>
    </row>
    <row r="16" spans="1:7" s="83" customFormat="1" ht="30" customHeight="1">
      <c r="A16" s="131"/>
      <c r="B16" s="132"/>
      <c r="C16" s="133"/>
      <c r="D16" s="134"/>
      <c r="E16" s="134"/>
      <c r="F16" s="134"/>
      <c r="G16" s="134"/>
    </row>
    <row r="18" spans="2:7" ht="18">
      <c r="B18" s="232" t="s">
        <v>288</v>
      </c>
      <c r="C18" s="232"/>
      <c r="D18" s="232"/>
      <c r="E18" s="232"/>
      <c r="F18" s="232"/>
      <c r="G18" s="232"/>
    </row>
    <row r="19" ht="16.5" customHeight="1"/>
    <row r="20" spans="1:7" ht="12.75">
      <c r="A20" s="230" t="s">
        <v>187</v>
      </c>
      <c r="B20" s="233" t="s">
        <v>104</v>
      </c>
      <c r="C20" s="230" t="s">
        <v>229</v>
      </c>
      <c r="D20" s="153" t="s">
        <v>230</v>
      </c>
      <c r="E20" s="230" t="s">
        <v>231</v>
      </c>
      <c r="F20" s="230" t="s">
        <v>232</v>
      </c>
      <c r="G20" s="153" t="s">
        <v>230</v>
      </c>
    </row>
    <row r="21" spans="1:7" ht="18" customHeight="1">
      <c r="A21" s="231"/>
      <c r="B21" s="234"/>
      <c r="C21" s="231"/>
      <c r="D21" s="154">
        <v>40544</v>
      </c>
      <c r="E21" s="231"/>
      <c r="F21" s="231"/>
      <c r="G21" s="154">
        <v>40908</v>
      </c>
    </row>
    <row r="22" spans="1:7" s="68" customFormat="1" ht="33" customHeight="1">
      <c r="A22" s="149">
        <v>1</v>
      </c>
      <c r="B22" s="171" t="s">
        <v>253</v>
      </c>
      <c r="C22" s="149"/>
      <c r="D22" s="164">
        <v>2669723.5</v>
      </c>
      <c r="E22" s="164">
        <v>0</v>
      </c>
      <c r="F22" s="164">
        <f>-'[1]trial b'!$F$68</f>
        <v>0</v>
      </c>
      <c r="G22" s="164">
        <f>D22+E22-F22</f>
        <v>2669723.5</v>
      </c>
    </row>
    <row r="23" spans="1:7" s="68" customFormat="1" ht="33" customHeight="1">
      <c r="A23" s="149">
        <v>2</v>
      </c>
      <c r="B23" s="170" t="s">
        <v>254</v>
      </c>
      <c r="C23" s="163"/>
      <c r="D23" s="164">
        <v>141816</v>
      </c>
      <c r="E23" s="164">
        <v>0</v>
      </c>
      <c r="F23" s="164">
        <v>0</v>
      </c>
      <c r="G23" s="164">
        <f>D23+E23-F23</f>
        <v>141816</v>
      </c>
    </row>
    <row r="24" spans="1:7" s="68" customFormat="1" ht="33" customHeight="1">
      <c r="A24" s="149">
        <v>3</v>
      </c>
      <c r="B24" s="171" t="s">
        <v>255</v>
      </c>
      <c r="C24" s="149"/>
      <c r="D24" s="164">
        <v>182318.5</v>
      </c>
      <c r="E24" s="164">
        <v>0</v>
      </c>
      <c r="F24" s="164">
        <f>-'[1]trial b'!$F$75</f>
        <v>0</v>
      </c>
      <c r="G24" s="164">
        <f>D24+E24-F24</f>
        <v>182318.5</v>
      </c>
    </row>
    <row r="25" spans="1:7" s="170" customFormat="1" ht="30" customHeight="1">
      <c r="A25" s="165"/>
      <c r="B25" s="166" t="s">
        <v>233</v>
      </c>
      <c r="C25" s="167"/>
      <c r="D25" s="168">
        <f>SUM(D22:D24)</f>
        <v>2993858</v>
      </c>
      <c r="E25" s="168">
        <f>SUM(E22:E24)</f>
        <v>0</v>
      </c>
      <c r="F25" s="168">
        <f>SUM(F22:F24)</f>
        <v>0</v>
      </c>
      <c r="G25" s="168">
        <f>SUM(G22:G24)</f>
        <v>2993858</v>
      </c>
    </row>
    <row r="26" spans="1:7" ht="30" customHeight="1">
      <c r="A26" s="131"/>
      <c r="B26" s="132"/>
      <c r="C26" s="133"/>
      <c r="D26" s="134"/>
      <c r="E26" s="134"/>
      <c r="F26" s="134"/>
      <c r="G26" s="134"/>
    </row>
    <row r="27" spans="1:7" ht="30" customHeight="1">
      <c r="A27" s="131"/>
      <c r="B27" s="132"/>
      <c r="C27" s="133"/>
      <c r="D27" s="134"/>
      <c r="E27" s="134"/>
      <c r="F27" s="134"/>
      <c r="G27" s="134"/>
    </row>
    <row r="30" spans="2:7" ht="18">
      <c r="B30" s="232" t="s">
        <v>289</v>
      </c>
      <c r="C30" s="232"/>
      <c r="D30" s="232"/>
      <c r="E30" s="232"/>
      <c r="F30" s="232"/>
      <c r="G30" s="232"/>
    </row>
    <row r="31" ht="17.25" customHeight="1"/>
    <row r="32" spans="1:7" ht="12.75" customHeight="1">
      <c r="A32" s="230" t="s">
        <v>187</v>
      </c>
      <c r="B32" s="233" t="s">
        <v>104</v>
      </c>
      <c r="C32" s="230" t="s">
        <v>229</v>
      </c>
      <c r="D32" s="153" t="s">
        <v>230</v>
      </c>
      <c r="E32" s="230" t="s">
        <v>231</v>
      </c>
      <c r="F32" s="230" t="s">
        <v>232</v>
      </c>
      <c r="G32" s="153" t="s">
        <v>230</v>
      </c>
    </row>
    <row r="33" spans="1:7" ht="18.75" customHeight="1">
      <c r="A33" s="231"/>
      <c r="B33" s="234"/>
      <c r="C33" s="231"/>
      <c r="D33" s="154">
        <v>40544</v>
      </c>
      <c r="E33" s="231"/>
      <c r="F33" s="231"/>
      <c r="G33" s="154">
        <v>40908</v>
      </c>
    </row>
    <row r="34" spans="1:7" ht="41.25" customHeight="1">
      <c r="A34" s="149">
        <v>1</v>
      </c>
      <c r="B34" s="171" t="s">
        <v>253</v>
      </c>
      <c r="C34" s="149"/>
      <c r="D34" s="164">
        <f>D11-D22</f>
        <v>578030.5</v>
      </c>
      <c r="E34" s="164">
        <f>E11-E22</f>
        <v>0</v>
      </c>
      <c r="F34" s="164">
        <f aca="true" t="shared" si="0" ref="E34:F36">F11-F22</f>
        <v>0</v>
      </c>
      <c r="G34" s="164">
        <f>D34+E34-F34</f>
        <v>578030.5</v>
      </c>
    </row>
    <row r="35" spans="1:7" ht="41.25" customHeight="1">
      <c r="A35" s="149">
        <v>2</v>
      </c>
      <c r="B35" s="170" t="s">
        <v>254</v>
      </c>
      <c r="C35" s="163"/>
      <c r="D35" s="164">
        <f>D12-D23</f>
        <v>50384</v>
      </c>
      <c r="E35" s="164">
        <f t="shared" si="0"/>
        <v>0</v>
      </c>
      <c r="F35" s="164">
        <f t="shared" si="0"/>
        <v>0</v>
      </c>
      <c r="G35" s="164">
        <f>D35+E35-F35</f>
        <v>50384</v>
      </c>
    </row>
    <row r="36" spans="1:7" ht="41.25" customHeight="1">
      <c r="A36" s="149">
        <v>3</v>
      </c>
      <c r="B36" s="171" t="s">
        <v>255</v>
      </c>
      <c r="C36" s="149"/>
      <c r="D36" s="164">
        <f>D13-D24</f>
        <v>39475.5</v>
      </c>
      <c r="E36" s="164">
        <f t="shared" si="0"/>
        <v>0</v>
      </c>
      <c r="F36" s="164">
        <f t="shared" si="0"/>
        <v>0</v>
      </c>
      <c r="G36" s="164">
        <f>D36+E36-F36</f>
        <v>39475.5</v>
      </c>
    </row>
    <row r="37" spans="1:9" s="152" customFormat="1" ht="30" customHeight="1">
      <c r="A37" s="165"/>
      <c r="B37" s="166" t="s">
        <v>233</v>
      </c>
      <c r="C37" s="167"/>
      <c r="D37" s="168">
        <f>SUM(D34:D36)</f>
        <v>667890</v>
      </c>
      <c r="E37" s="168">
        <f>SUM(E34:E36)</f>
        <v>0</v>
      </c>
      <c r="F37" s="168">
        <f>SUM(F34:F36)</f>
        <v>0</v>
      </c>
      <c r="G37" s="168">
        <f>SUM(G34:G36)</f>
        <v>667890</v>
      </c>
      <c r="I37" s="155"/>
    </row>
    <row r="38" ht="12.75">
      <c r="D38" s="85"/>
    </row>
    <row r="39" spans="4:6" ht="15">
      <c r="D39" s="84"/>
      <c r="F39" s="82"/>
    </row>
    <row r="40" ht="12.75">
      <c r="D40" s="85"/>
    </row>
  </sheetData>
  <sheetProtection/>
  <mergeCells count="18">
    <mergeCell ref="B18:G18"/>
    <mergeCell ref="A20:A21"/>
    <mergeCell ref="B20:B21"/>
    <mergeCell ref="B7:G7"/>
    <mergeCell ref="F9:F10"/>
    <mergeCell ref="A9:A10"/>
    <mergeCell ref="B9:B10"/>
    <mergeCell ref="C9:C10"/>
    <mergeCell ref="E9:E10"/>
    <mergeCell ref="C20:C21"/>
    <mergeCell ref="E20:E21"/>
    <mergeCell ref="B30:G30"/>
    <mergeCell ref="A32:A33"/>
    <mergeCell ref="B32:B33"/>
    <mergeCell ref="C32:C33"/>
    <mergeCell ref="E32:E33"/>
    <mergeCell ref="F32:F33"/>
    <mergeCell ref="F20:F21"/>
  </mergeCells>
  <printOptions horizontalCentered="1"/>
  <pageMargins left="0" right="0" top="0.25" bottom="0.16" header="0.17" footer="0.21"/>
  <pageSetup horizontalDpi="600" verticalDpi="600" orientation="portrait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5:J2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.421875" style="0" customWidth="1"/>
    <col min="2" max="2" width="5.00390625" style="0" customWidth="1"/>
    <col min="3" max="3" width="16.28125" style="0" customWidth="1"/>
    <col min="4" max="4" width="6.140625" style="0" customWidth="1"/>
    <col min="5" max="5" width="29.28125" style="0" customWidth="1"/>
    <col min="6" max="6" width="17.28125" style="0" bestFit="1" customWidth="1"/>
    <col min="7" max="7" width="13.421875" style="0" customWidth="1"/>
    <col min="8" max="8" width="11.57421875" style="0" customWidth="1"/>
    <col min="9" max="9" width="17.8515625" style="0" customWidth="1"/>
    <col min="10" max="10" width="15.421875" style="0" customWidth="1"/>
  </cols>
  <sheetData>
    <row r="5" spans="2:5" ht="15">
      <c r="B5" s="204" t="s">
        <v>296</v>
      </c>
      <c r="E5" s="183"/>
    </row>
    <row r="6" ht="15">
      <c r="E6" s="183"/>
    </row>
    <row r="7" ht="15">
      <c r="E7" s="183"/>
    </row>
    <row r="8" spans="2:10" ht="18">
      <c r="B8" s="59"/>
      <c r="C8" s="232" t="s">
        <v>297</v>
      </c>
      <c r="D8" s="232"/>
      <c r="E8" s="232"/>
      <c r="F8" s="232"/>
      <c r="G8" s="232"/>
      <c r="H8" s="232"/>
      <c r="I8" s="232"/>
      <c r="J8" s="232"/>
    </row>
    <row r="9" spans="2:10" ht="15">
      <c r="B9" s="59"/>
      <c r="C9" s="59"/>
      <c r="D9" s="59"/>
      <c r="E9" s="60"/>
      <c r="F9" s="59"/>
      <c r="G9" s="59"/>
      <c r="H9" s="59"/>
      <c r="I9" s="59"/>
      <c r="J9" s="59"/>
    </row>
    <row r="10" spans="2:10" s="204" customFormat="1" ht="15">
      <c r="B10" s="235" t="s">
        <v>187</v>
      </c>
      <c r="C10" s="235" t="s">
        <v>298</v>
      </c>
      <c r="D10" s="235" t="s">
        <v>299</v>
      </c>
      <c r="E10" s="202"/>
      <c r="F10" s="203" t="s">
        <v>230</v>
      </c>
      <c r="G10" s="203" t="s">
        <v>300</v>
      </c>
      <c r="H10" s="235" t="s">
        <v>301</v>
      </c>
      <c r="I10" s="235" t="s">
        <v>310</v>
      </c>
      <c r="J10" s="203" t="s">
        <v>230</v>
      </c>
    </row>
    <row r="11" spans="2:10" s="204" customFormat="1" ht="15">
      <c r="B11" s="236"/>
      <c r="C11" s="236"/>
      <c r="D11" s="236"/>
      <c r="E11" s="205" t="s">
        <v>302</v>
      </c>
      <c r="F11" s="206">
        <v>40544</v>
      </c>
      <c r="G11" s="206" t="s">
        <v>303</v>
      </c>
      <c r="H11" s="236"/>
      <c r="I11" s="236"/>
      <c r="J11" s="206">
        <v>40908</v>
      </c>
    </row>
    <row r="12" spans="2:10" s="189" customFormat="1" ht="12">
      <c r="B12" s="184">
        <v>1</v>
      </c>
      <c r="C12" s="185" t="s">
        <v>305</v>
      </c>
      <c r="D12" s="186" t="s">
        <v>234</v>
      </c>
      <c r="E12" s="186" t="s">
        <v>307</v>
      </c>
      <c r="F12" s="194">
        <v>44289</v>
      </c>
      <c r="G12" s="194"/>
      <c r="H12" s="195">
        <v>392875.3</v>
      </c>
      <c r="I12" s="195">
        <v>44367.56</v>
      </c>
      <c r="J12" s="195">
        <f>F12+H12-I12</f>
        <v>392796.74</v>
      </c>
    </row>
    <row r="13" spans="2:10" s="189" customFormat="1" ht="12">
      <c r="B13" s="190"/>
      <c r="C13" s="191"/>
      <c r="D13" s="192" t="s">
        <v>304</v>
      </c>
      <c r="E13" s="192" t="s">
        <v>308</v>
      </c>
      <c r="F13" s="196">
        <v>43.28</v>
      </c>
      <c r="G13" s="197">
        <v>6005.97</v>
      </c>
      <c r="H13" s="198"/>
      <c r="I13" s="198" t="s">
        <v>311</v>
      </c>
      <c r="J13" s="198">
        <f>G13-2153.44</f>
        <v>3852.53</v>
      </c>
    </row>
    <row r="14" spans="2:10" s="189" customFormat="1" ht="24" customHeight="1">
      <c r="B14" s="190"/>
      <c r="C14" s="191"/>
      <c r="D14" s="193"/>
      <c r="E14" s="193"/>
      <c r="F14" s="199"/>
      <c r="G14" s="200"/>
      <c r="H14" s="201"/>
      <c r="I14" s="201"/>
      <c r="J14" s="201"/>
    </row>
    <row r="15" spans="2:10" s="189" customFormat="1" ht="22.5" customHeight="1">
      <c r="B15" s="184">
        <v>2</v>
      </c>
      <c r="C15" s="185" t="s">
        <v>306</v>
      </c>
      <c r="D15" s="186" t="s">
        <v>234</v>
      </c>
      <c r="E15" s="186" t="s">
        <v>309</v>
      </c>
      <c r="F15" s="187">
        <v>83447</v>
      </c>
      <c r="G15" s="187"/>
      <c r="H15" s="188"/>
      <c r="I15" s="188">
        <v>3000</v>
      </c>
      <c r="J15" s="188">
        <f>F15+H15-I15</f>
        <v>80447</v>
      </c>
    </row>
    <row r="16" spans="2:10" s="204" customFormat="1" ht="26.25" customHeight="1">
      <c r="B16" s="207"/>
      <c r="C16" s="208" t="s">
        <v>233</v>
      </c>
      <c r="D16" s="209"/>
      <c r="E16" s="209"/>
      <c r="F16" s="210">
        <f>SUM(F12:F15)</f>
        <v>127779.28</v>
      </c>
      <c r="G16" s="210">
        <f>SUM(G12:G15)</f>
        <v>6005.97</v>
      </c>
      <c r="H16" s="211">
        <f>SUM(H12:H15)</f>
        <v>392875.3</v>
      </c>
      <c r="I16" s="211">
        <f>I12+2153.447+I15</f>
        <v>49521.007</v>
      </c>
      <c r="J16" s="211">
        <f>SUM(J12:J15)</f>
        <v>477096.27</v>
      </c>
    </row>
    <row r="17" ht="15">
      <c r="E17" s="183"/>
    </row>
    <row r="18" ht="15">
      <c r="E18" s="183"/>
    </row>
    <row r="19" ht="15">
      <c r="E19" s="183"/>
    </row>
    <row r="21" ht="15">
      <c r="J21" s="61"/>
    </row>
  </sheetData>
  <sheetProtection/>
  <mergeCells count="6">
    <mergeCell ref="C8:J8"/>
    <mergeCell ref="B10:B11"/>
    <mergeCell ref="C10:C11"/>
    <mergeCell ref="D10:D11"/>
    <mergeCell ref="H10:H11"/>
    <mergeCell ref="I10:I11"/>
  </mergeCells>
  <printOptions/>
  <pageMargins left="0.25" right="0.25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48"/>
  <sheetViews>
    <sheetView zoomScalePageLayoutView="0" workbookViewId="0" topLeftCell="A15">
      <selection activeCell="L30" sqref="L30"/>
    </sheetView>
  </sheetViews>
  <sheetFormatPr defaultColWidth="9.140625" defaultRowHeight="15"/>
  <cols>
    <col min="1" max="1" width="0.5625" style="0" customWidth="1"/>
    <col min="10" max="10" width="21.8515625" style="0" customWidth="1"/>
    <col min="11" max="11" width="2.00390625" style="0" customWidth="1"/>
  </cols>
  <sheetData>
    <row r="1" spans="2:10" ht="15">
      <c r="B1" s="32"/>
      <c r="C1" s="33"/>
      <c r="D1" s="33"/>
      <c r="E1" s="33"/>
      <c r="F1" s="33"/>
      <c r="G1" s="33"/>
      <c r="H1" s="33"/>
      <c r="I1" s="33"/>
      <c r="J1" s="34"/>
    </row>
    <row r="2" spans="2:10" ht="21">
      <c r="B2" s="237" t="s">
        <v>140</v>
      </c>
      <c r="C2" s="238"/>
      <c r="D2" s="238"/>
      <c r="E2" s="238"/>
      <c r="F2" s="238"/>
      <c r="G2" s="238"/>
      <c r="H2" s="238"/>
      <c r="I2" s="238"/>
      <c r="J2" s="239"/>
    </row>
    <row r="3" spans="2:10" ht="15.75">
      <c r="B3" s="87" t="s">
        <v>156</v>
      </c>
      <c r="C3" s="46" t="s">
        <v>157</v>
      </c>
      <c r="D3" s="36"/>
      <c r="E3" s="36"/>
      <c r="F3" s="36"/>
      <c r="G3" s="36"/>
      <c r="H3" s="36"/>
      <c r="I3" s="36"/>
      <c r="J3" s="37"/>
    </row>
    <row r="4" spans="2:10" ht="15">
      <c r="B4" s="88"/>
      <c r="C4" s="36"/>
      <c r="D4" s="36"/>
      <c r="E4" s="36"/>
      <c r="F4" s="36"/>
      <c r="G4" s="36"/>
      <c r="H4" s="36"/>
      <c r="I4" s="36"/>
      <c r="J4" s="37"/>
    </row>
    <row r="5" spans="2:10" ht="15">
      <c r="B5" s="89">
        <v>1</v>
      </c>
      <c r="C5" s="47" t="s">
        <v>158</v>
      </c>
      <c r="D5" s="36"/>
      <c r="E5" s="36"/>
      <c r="F5" s="36"/>
      <c r="G5" s="36"/>
      <c r="H5" s="36"/>
      <c r="I5" s="36"/>
      <c r="J5" s="37"/>
    </row>
    <row r="6" spans="2:10" ht="15">
      <c r="B6" s="89">
        <v>2</v>
      </c>
      <c r="C6" s="48" t="s">
        <v>159</v>
      </c>
      <c r="D6" s="36"/>
      <c r="E6" s="36"/>
      <c r="F6" s="36"/>
      <c r="G6" s="36"/>
      <c r="H6" s="36"/>
      <c r="I6" s="36"/>
      <c r="J6" s="37"/>
    </row>
    <row r="7" spans="2:10" ht="15">
      <c r="B7" s="90">
        <v>3</v>
      </c>
      <c r="C7" s="48" t="s">
        <v>160</v>
      </c>
      <c r="D7" s="36"/>
      <c r="E7" s="36"/>
      <c r="F7" s="36"/>
      <c r="G7" s="36"/>
      <c r="H7" s="36"/>
      <c r="I7" s="36"/>
      <c r="J7" s="37"/>
    </row>
    <row r="8" spans="2:10" ht="15">
      <c r="B8" s="90">
        <v>4</v>
      </c>
      <c r="C8" s="48" t="s">
        <v>161</v>
      </c>
      <c r="D8" s="36"/>
      <c r="E8" s="36"/>
      <c r="F8" s="36"/>
      <c r="G8" s="36"/>
      <c r="H8" s="36"/>
      <c r="I8" s="36"/>
      <c r="J8" s="37"/>
    </row>
    <row r="9" spans="2:10" ht="15">
      <c r="B9" s="90"/>
      <c r="C9" s="47" t="s">
        <v>162</v>
      </c>
      <c r="D9" s="36"/>
      <c r="E9" s="36"/>
      <c r="F9" s="36"/>
      <c r="G9" s="36"/>
      <c r="H9" s="36"/>
      <c r="I9" s="36"/>
      <c r="J9" s="37"/>
    </row>
    <row r="10" spans="2:10" ht="15">
      <c r="B10" s="90" t="s">
        <v>163</v>
      </c>
      <c r="C10" s="48"/>
      <c r="D10" s="36"/>
      <c r="E10" s="36"/>
      <c r="F10" s="36"/>
      <c r="G10" s="36"/>
      <c r="H10" s="36"/>
      <c r="I10" s="36"/>
      <c r="J10" s="37"/>
    </row>
    <row r="11" spans="2:10" ht="15">
      <c r="B11" s="90"/>
      <c r="C11" s="47" t="s">
        <v>164</v>
      </c>
      <c r="D11" s="36"/>
      <c r="E11" s="36"/>
      <c r="F11" s="36"/>
      <c r="G11" s="36"/>
      <c r="H11" s="36"/>
      <c r="I11" s="36"/>
      <c r="J11" s="37"/>
    </row>
    <row r="12" spans="2:10" ht="15">
      <c r="B12" s="90" t="s">
        <v>165</v>
      </c>
      <c r="C12" s="48"/>
      <c r="D12" s="36"/>
      <c r="E12" s="36"/>
      <c r="F12" s="36"/>
      <c r="G12" s="36"/>
      <c r="H12" s="36"/>
      <c r="I12" s="36"/>
      <c r="J12" s="37"/>
    </row>
    <row r="13" spans="2:10" ht="15">
      <c r="B13" s="90"/>
      <c r="C13" s="47" t="s">
        <v>166</v>
      </c>
      <c r="D13" s="36"/>
      <c r="E13" s="36"/>
      <c r="F13" s="36"/>
      <c r="G13" s="36"/>
      <c r="H13" s="36"/>
      <c r="I13" s="36"/>
      <c r="J13" s="37"/>
    </row>
    <row r="14" spans="2:10" ht="15">
      <c r="B14" s="90" t="s">
        <v>167</v>
      </c>
      <c r="C14" s="48"/>
      <c r="D14" s="36"/>
      <c r="E14" s="36"/>
      <c r="F14" s="36"/>
      <c r="G14" s="36"/>
      <c r="H14" s="36"/>
      <c r="I14" s="36"/>
      <c r="J14" s="37"/>
    </row>
    <row r="15" spans="2:10" ht="15">
      <c r="B15" s="90"/>
      <c r="C15" s="48" t="s">
        <v>168</v>
      </c>
      <c r="D15" s="36"/>
      <c r="E15" s="36"/>
      <c r="F15" s="36"/>
      <c r="G15" s="36"/>
      <c r="H15" s="36"/>
      <c r="I15" s="36"/>
      <c r="J15" s="37"/>
    </row>
    <row r="16" spans="2:10" ht="15">
      <c r="B16" s="90" t="s">
        <v>169</v>
      </c>
      <c r="C16" s="48"/>
      <c r="D16" s="36"/>
      <c r="E16" s="36"/>
      <c r="F16" s="36"/>
      <c r="G16" s="36"/>
      <c r="H16" s="36"/>
      <c r="I16" s="36"/>
      <c r="J16" s="37"/>
    </row>
    <row r="17" spans="2:10" ht="15">
      <c r="B17" s="91" t="s">
        <v>170</v>
      </c>
      <c r="C17" s="48"/>
      <c r="D17" s="36"/>
      <c r="E17" s="36"/>
      <c r="F17" s="36"/>
      <c r="G17" s="36"/>
      <c r="H17" s="36"/>
      <c r="I17" s="36"/>
      <c r="J17" s="37"/>
    </row>
    <row r="18" spans="2:10" ht="15">
      <c r="B18" s="90"/>
      <c r="C18" s="48" t="s">
        <v>171</v>
      </c>
      <c r="D18" s="36"/>
      <c r="E18" s="36"/>
      <c r="F18" s="36"/>
      <c r="G18" s="36"/>
      <c r="H18" s="36"/>
      <c r="I18" s="36"/>
      <c r="J18" s="37"/>
    </row>
    <row r="19" spans="2:10" ht="15">
      <c r="B19" s="91" t="s">
        <v>172</v>
      </c>
      <c r="C19" s="48"/>
      <c r="D19" s="36"/>
      <c r="E19" s="36"/>
      <c r="F19" s="36"/>
      <c r="G19" s="36"/>
      <c r="H19" s="36"/>
      <c r="I19" s="36"/>
      <c r="J19" s="37"/>
    </row>
    <row r="20" spans="2:10" ht="15">
      <c r="B20" s="90"/>
      <c r="C20" s="48" t="s">
        <v>173</v>
      </c>
      <c r="D20" s="36"/>
      <c r="E20" s="36"/>
      <c r="F20" s="36"/>
      <c r="G20" s="36"/>
      <c r="H20" s="36"/>
      <c r="I20" s="36"/>
      <c r="J20" s="37"/>
    </row>
    <row r="21" spans="2:10" ht="15">
      <c r="B21" s="91" t="s">
        <v>174</v>
      </c>
      <c r="C21" s="48"/>
      <c r="D21" s="36"/>
      <c r="E21" s="36"/>
      <c r="F21" s="36"/>
      <c r="G21" s="36"/>
      <c r="H21" s="36"/>
      <c r="I21" s="36"/>
      <c r="J21" s="37"/>
    </row>
    <row r="22" spans="2:10" ht="15">
      <c r="B22" s="90" t="s">
        <v>175</v>
      </c>
      <c r="C22" s="48" t="s">
        <v>176</v>
      </c>
      <c r="D22" s="36"/>
      <c r="E22" s="36"/>
      <c r="F22" s="36"/>
      <c r="G22" s="36"/>
      <c r="H22" s="36"/>
      <c r="I22" s="36"/>
      <c r="J22" s="37"/>
    </row>
    <row r="23" spans="2:10" ht="15">
      <c r="B23" s="90"/>
      <c r="C23" s="47" t="s">
        <v>177</v>
      </c>
      <c r="D23" s="36"/>
      <c r="E23" s="36"/>
      <c r="F23" s="36"/>
      <c r="G23" s="36"/>
      <c r="H23" s="36"/>
      <c r="I23" s="36"/>
      <c r="J23" s="37"/>
    </row>
    <row r="24" spans="2:10" ht="15">
      <c r="B24" s="90"/>
      <c r="C24" s="47" t="s">
        <v>178</v>
      </c>
      <c r="D24" s="36"/>
      <c r="E24" s="36"/>
      <c r="F24" s="36"/>
      <c r="G24" s="36"/>
      <c r="H24" s="36"/>
      <c r="I24" s="36"/>
      <c r="J24" s="37"/>
    </row>
    <row r="25" spans="2:10" ht="15">
      <c r="B25" s="90"/>
      <c r="C25" s="47" t="s">
        <v>179</v>
      </c>
      <c r="D25" s="36"/>
      <c r="E25" s="36"/>
      <c r="F25" s="36"/>
      <c r="G25" s="36"/>
      <c r="H25" s="36"/>
      <c r="I25" s="36"/>
      <c r="J25" s="37"/>
    </row>
    <row r="26" spans="2:10" ht="15">
      <c r="B26" s="90"/>
      <c r="C26" s="47" t="s">
        <v>180</v>
      </c>
      <c r="D26" s="36"/>
      <c r="E26" s="36"/>
      <c r="F26" s="36"/>
      <c r="G26" s="36"/>
      <c r="H26" s="36"/>
      <c r="I26" s="36"/>
      <c r="J26" s="37"/>
    </row>
    <row r="27" spans="2:10" ht="15">
      <c r="B27" s="90"/>
      <c r="C27" s="47" t="s">
        <v>181</v>
      </c>
      <c r="D27" s="36"/>
      <c r="E27" s="36"/>
      <c r="F27" s="36"/>
      <c r="G27" s="36"/>
      <c r="H27" s="36"/>
      <c r="I27" s="36"/>
      <c r="J27" s="37"/>
    </row>
    <row r="28" spans="2:10" ht="15">
      <c r="B28" s="90"/>
      <c r="C28" s="47" t="s">
        <v>182</v>
      </c>
      <c r="D28" s="36"/>
      <c r="E28" s="36"/>
      <c r="F28" s="36"/>
      <c r="G28" s="36"/>
      <c r="H28" s="36"/>
      <c r="I28" s="36"/>
      <c r="J28" s="37"/>
    </row>
    <row r="29" spans="2:10" ht="15">
      <c r="B29" s="90"/>
      <c r="C29" s="48"/>
      <c r="D29" s="36"/>
      <c r="E29" s="36"/>
      <c r="F29" s="36"/>
      <c r="G29" s="36"/>
      <c r="H29" s="36"/>
      <c r="I29" s="36"/>
      <c r="J29" s="37"/>
    </row>
    <row r="30" spans="2:10" ht="15.75">
      <c r="B30" s="87" t="s">
        <v>183</v>
      </c>
      <c r="C30" s="46" t="s">
        <v>184</v>
      </c>
      <c r="D30" s="36"/>
      <c r="E30" s="36"/>
      <c r="F30" s="36"/>
      <c r="G30" s="36"/>
      <c r="H30" s="36"/>
      <c r="I30" s="36"/>
      <c r="J30" s="37"/>
    </row>
    <row r="31" spans="2:10" ht="15">
      <c r="B31" s="90"/>
      <c r="C31" s="48"/>
      <c r="D31" s="36"/>
      <c r="E31" s="36"/>
      <c r="F31" s="36"/>
      <c r="G31" s="36"/>
      <c r="H31" s="36"/>
      <c r="I31" s="36"/>
      <c r="J31" s="37"/>
    </row>
    <row r="32" spans="2:10" ht="15">
      <c r="B32" s="90" t="s">
        <v>290</v>
      </c>
      <c r="C32" s="50"/>
      <c r="D32" s="36"/>
      <c r="E32" s="36"/>
      <c r="F32" s="36"/>
      <c r="G32" s="36"/>
      <c r="H32" s="36"/>
      <c r="I32" s="36"/>
      <c r="J32" s="37"/>
    </row>
    <row r="33" spans="2:10" ht="15">
      <c r="B33" s="35" t="s">
        <v>291</v>
      </c>
      <c r="C33" s="48"/>
      <c r="D33" s="36"/>
      <c r="E33" s="36"/>
      <c r="F33" s="36"/>
      <c r="G33" s="36"/>
      <c r="H33" s="36"/>
      <c r="I33" s="36"/>
      <c r="J33" s="37"/>
    </row>
    <row r="34" spans="2:10" ht="15">
      <c r="B34" s="90"/>
      <c r="C34" s="48"/>
      <c r="D34" s="36"/>
      <c r="E34" s="36"/>
      <c r="F34" s="36"/>
      <c r="G34" s="36"/>
      <c r="H34" s="36"/>
      <c r="I34" s="36"/>
      <c r="J34" s="37"/>
    </row>
    <row r="35" spans="2:10" ht="15">
      <c r="B35" s="90"/>
      <c r="C35" s="48"/>
      <c r="D35" s="36"/>
      <c r="E35" s="36"/>
      <c r="F35" s="36"/>
      <c r="G35" s="36"/>
      <c r="H35" s="36"/>
      <c r="I35" s="36"/>
      <c r="J35" s="37"/>
    </row>
    <row r="36" spans="2:10" ht="15">
      <c r="B36" s="156"/>
      <c r="C36" s="157"/>
      <c r="D36" s="158"/>
      <c r="E36" s="158"/>
      <c r="F36" s="158"/>
      <c r="G36" s="158"/>
      <c r="H36" s="158"/>
      <c r="I36" s="158"/>
      <c r="J36" s="159"/>
    </row>
    <row r="37" spans="2:10" ht="15">
      <c r="B37" s="90"/>
      <c r="C37" s="48"/>
      <c r="D37" s="36"/>
      <c r="E37" s="36"/>
      <c r="F37" s="36"/>
      <c r="G37" s="36"/>
      <c r="H37" s="36"/>
      <c r="I37" s="36"/>
      <c r="J37" s="37"/>
    </row>
    <row r="38" spans="2:10" ht="15">
      <c r="B38" s="90"/>
      <c r="C38" s="92"/>
      <c r="D38" s="36"/>
      <c r="E38" s="36"/>
      <c r="F38" s="36"/>
      <c r="G38" s="36"/>
      <c r="H38" s="36"/>
      <c r="I38" s="36"/>
      <c r="J38" s="37"/>
    </row>
    <row r="39" spans="2:10" ht="15">
      <c r="B39" s="35"/>
      <c r="C39" s="98"/>
      <c r="D39" s="240" t="s">
        <v>237</v>
      </c>
      <c r="E39" s="240"/>
      <c r="F39" s="240"/>
      <c r="G39" s="240"/>
      <c r="H39" s="240"/>
      <c r="I39" s="98"/>
      <c r="J39" s="37"/>
    </row>
    <row r="40" spans="2:10" ht="15">
      <c r="B40" s="35"/>
      <c r="C40" s="98"/>
      <c r="D40" s="98"/>
      <c r="E40" s="98"/>
      <c r="F40" s="98"/>
      <c r="G40" s="98"/>
      <c r="H40" s="98"/>
      <c r="I40" s="98"/>
      <c r="J40" s="37"/>
    </row>
    <row r="41" spans="2:10" ht="15">
      <c r="B41" s="35"/>
      <c r="C41" s="98" t="s">
        <v>238</v>
      </c>
      <c r="D41" s="36"/>
      <c r="E41" s="36"/>
      <c r="F41" s="36"/>
      <c r="G41" s="36"/>
      <c r="H41" s="98" t="s">
        <v>239</v>
      </c>
      <c r="I41" s="98"/>
      <c r="J41" s="37"/>
    </row>
    <row r="42" spans="2:10" ht="15">
      <c r="B42" s="35"/>
      <c r="C42" s="36"/>
      <c r="D42" s="36"/>
      <c r="E42" s="36"/>
      <c r="F42" s="36"/>
      <c r="G42" s="36"/>
      <c r="H42" s="36"/>
      <c r="I42" s="36"/>
      <c r="J42" s="37"/>
    </row>
    <row r="43" spans="2:10" ht="15">
      <c r="B43" s="35"/>
      <c r="C43" s="36"/>
      <c r="D43" s="36"/>
      <c r="E43" s="36"/>
      <c r="F43" s="36"/>
      <c r="G43" s="36"/>
      <c r="H43" s="36"/>
      <c r="I43" s="36"/>
      <c r="J43" s="37"/>
    </row>
    <row r="44" spans="2:10" ht="15">
      <c r="B44" s="35"/>
      <c r="C44" s="49" t="s">
        <v>185</v>
      </c>
      <c r="D44" s="36"/>
      <c r="E44" s="36"/>
      <c r="F44" s="36"/>
      <c r="G44" s="36"/>
      <c r="H44" s="49" t="s">
        <v>312</v>
      </c>
      <c r="I44" s="51"/>
      <c r="J44" s="37"/>
    </row>
    <row r="45" spans="2:10" ht="15">
      <c r="B45" s="35"/>
      <c r="C45" s="36"/>
      <c r="D45" s="36"/>
      <c r="E45" s="36"/>
      <c r="F45" s="36"/>
      <c r="G45" s="36"/>
      <c r="H45" s="36"/>
      <c r="I45" s="36"/>
      <c r="J45" s="37"/>
    </row>
    <row r="46" spans="2:10" ht="15">
      <c r="B46" s="35"/>
      <c r="C46" s="36"/>
      <c r="D46" s="36"/>
      <c r="E46" s="36"/>
      <c r="F46" s="36"/>
      <c r="G46" s="36"/>
      <c r="H46" s="36"/>
      <c r="I46" s="36"/>
      <c r="J46" s="37"/>
    </row>
    <row r="47" spans="2:10" ht="15">
      <c r="B47" s="35"/>
      <c r="C47" s="36"/>
      <c r="D47" s="36"/>
      <c r="E47" s="36"/>
      <c r="F47" s="36"/>
      <c r="G47" s="36"/>
      <c r="H47" s="36"/>
      <c r="I47" s="36"/>
      <c r="J47" s="37"/>
    </row>
    <row r="48" spans="2:10" ht="15.75" thickBot="1">
      <c r="B48" s="38"/>
      <c r="C48" s="39"/>
      <c r="D48" s="39"/>
      <c r="E48" s="39"/>
      <c r="F48" s="39"/>
      <c r="G48" s="39"/>
      <c r="H48" s="39"/>
      <c r="I48" s="39"/>
      <c r="J48" s="40"/>
    </row>
  </sheetData>
  <sheetProtection/>
  <mergeCells count="2">
    <mergeCell ref="B2:J2"/>
    <mergeCell ref="D39:H39"/>
  </mergeCells>
  <printOptions/>
  <pageMargins left="0.27" right="0.21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2"/>
  <sheetViews>
    <sheetView zoomScalePageLayoutView="0" workbookViewId="0" topLeftCell="A3">
      <selection activeCell="N20" sqref="N20"/>
    </sheetView>
  </sheetViews>
  <sheetFormatPr defaultColWidth="9.140625" defaultRowHeight="15"/>
  <cols>
    <col min="1" max="1" width="3.28125" style="0" customWidth="1"/>
    <col min="2" max="2" width="45.8515625" style="0" customWidth="1"/>
    <col min="3" max="3" width="7.28125" style="0" customWidth="1"/>
    <col min="4" max="4" width="15.140625" style="0" customWidth="1"/>
    <col min="5" max="5" width="16.00390625" style="0" customWidth="1"/>
    <col min="6" max="6" width="10.00390625" style="0" hidden="1" customWidth="1"/>
    <col min="7" max="7" width="9.7109375" style="0" hidden="1" customWidth="1"/>
    <col min="8" max="8" width="10.421875" style="0" hidden="1" customWidth="1"/>
    <col min="10" max="10" width="11.57421875" style="0" bestFit="1" customWidth="1"/>
  </cols>
  <sheetData>
    <row r="1" spans="1:2" ht="18.75">
      <c r="A1" s="181" t="s">
        <v>294</v>
      </c>
      <c r="B1" s="181"/>
    </row>
    <row r="2" spans="1:8" ht="3.75" customHeight="1">
      <c r="A2" s="30"/>
      <c r="B2" s="30"/>
      <c r="C2" s="30"/>
      <c r="D2" s="30"/>
      <c r="E2" s="30"/>
      <c r="F2" s="30"/>
      <c r="G2" s="30"/>
      <c r="H2" s="30"/>
    </row>
    <row r="3" spans="1:8" ht="18.75">
      <c r="A3" s="30"/>
      <c r="B3" s="108" t="s">
        <v>250</v>
      </c>
      <c r="C3" s="30"/>
      <c r="D3" s="30"/>
      <c r="E3" s="30"/>
      <c r="F3" s="30"/>
      <c r="G3" s="30"/>
      <c r="H3" s="30"/>
    </row>
    <row r="4" spans="1:8" ht="15.75" customHeight="1">
      <c r="A4" s="10"/>
      <c r="B4" s="10"/>
      <c r="C4" s="10"/>
      <c r="D4" s="10">
        <v>2011</v>
      </c>
      <c r="E4" s="10">
        <v>2010</v>
      </c>
      <c r="F4" s="10">
        <v>2009</v>
      </c>
      <c r="G4" s="10">
        <v>2008</v>
      </c>
      <c r="H4" s="10">
        <v>2007</v>
      </c>
    </row>
    <row r="5" spans="1:8" ht="45">
      <c r="A5" s="1" t="s">
        <v>0</v>
      </c>
      <c r="B5" s="107" t="s">
        <v>153</v>
      </c>
      <c r="C5" s="107" t="s">
        <v>1</v>
      </c>
      <c r="D5" s="143" t="s">
        <v>2</v>
      </c>
      <c r="E5" s="143" t="s">
        <v>22</v>
      </c>
      <c r="F5" s="143" t="s">
        <v>22</v>
      </c>
      <c r="G5" s="143" t="s">
        <v>22</v>
      </c>
      <c r="H5" s="143" t="s">
        <v>22</v>
      </c>
    </row>
    <row r="6" spans="1:8" ht="15.75">
      <c r="A6" s="3" t="s">
        <v>3</v>
      </c>
      <c r="B6" s="4" t="s">
        <v>4</v>
      </c>
      <c r="C6" s="5"/>
      <c r="D6" s="31">
        <f>SUM(D7,D10:D11,D19,D26:D28)</f>
        <v>2329516.77</v>
      </c>
      <c r="E6" s="31">
        <f>SUM(E7,E10:E11,E19,E26:E28)</f>
        <v>1986162.48</v>
      </c>
      <c r="F6" s="31">
        <f>SUM(F7,F10:F11,F19,F26:F28)</f>
        <v>2005126.61</v>
      </c>
      <c r="G6" s="27">
        <f>SUM(G7,G10:G11,G19,G26:G28)</f>
        <v>2467687</v>
      </c>
      <c r="H6" s="31">
        <f>SUM(H7,H10:H11,H19,H26:H28)</f>
        <v>1963921</v>
      </c>
    </row>
    <row r="7" spans="1:8" ht="15.75" customHeight="1">
      <c r="A7" s="2"/>
      <c r="B7" s="9" t="s">
        <v>5</v>
      </c>
      <c r="C7" s="2"/>
      <c r="D7" s="27">
        <f>SUM(D8:D9)</f>
        <v>477096.27</v>
      </c>
      <c r="E7" s="27">
        <f>SUM(E8:E9)</f>
        <v>133741.98</v>
      </c>
      <c r="F7" s="27">
        <f>SUM(F8:F9)</f>
        <v>56671.11</v>
      </c>
      <c r="G7" s="27">
        <f>SUM(G8:G9)</f>
        <v>557680</v>
      </c>
      <c r="H7" s="27">
        <f>SUM(H8:H9)</f>
        <v>0</v>
      </c>
    </row>
    <row r="8" spans="1:8" ht="15.75" customHeight="1">
      <c r="A8" s="2"/>
      <c r="B8" s="2" t="s">
        <v>16</v>
      </c>
      <c r="C8" s="2"/>
      <c r="D8" s="29">
        <f>'[5]2011 Aktivi'!$F$43</f>
        <v>477096.27</v>
      </c>
      <c r="E8" s="29">
        <f>'[4]Aktivi'!$F$43</f>
        <v>133741.98</v>
      </c>
      <c r="F8" s="29">
        <f>'[2]Aktivi'!$F$43</f>
        <v>54171.11</v>
      </c>
      <c r="G8" s="29">
        <v>557680</v>
      </c>
      <c r="H8" s="29">
        <v>0</v>
      </c>
    </row>
    <row r="9" spans="1:8" ht="15.75" customHeight="1">
      <c r="A9" s="2"/>
      <c r="B9" s="2" t="s">
        <v>17</v>
      </c>
      <c r="C9" s="2"/>
      <c r="D9" s="29">
        <f>'[5]2011 Aktivi'!$F$44</f>
        <v>0</v>
      </c>
      <c r="E9" s="29">
        <f>'[4]Aktivi'!$F$44</f>
        <v>0</v>
      </c>
      <c r="F9" s="29">
        <f>'[2]Aktivi'!$F$44</f>
        <v>2500</v>
      </c>
      <c r="G9" s="29">
        <v>0</v>
      </c>
      <c r="H9" s="29">
        <v>0</v>
      </c>
    </row>
    <row r="10" spans="1:8" ht="15.75" customHeight="1">
      <c r="A10" s="2"/>
      <c r="B10" s="9" t="s">
        <v>6</v>
      </c>
      <c r="C10" s="2"/>
      <c r="D10" s="27"/>
      <c r="E10" s="27"/>
      <c r="F10" s="27"/>
      <c r="G10" s="27"/>
      <c r="H10" s="27"/>
    </row>
    <row r="11" spans="1:8" ht="15.75" customHeight="1">
      <c r="A11" s="2"/>
      <c r="B11" s="9" t="s">
        <v>7</v>
      </c>
      <c r="C11" s="2"/>
      <c r="D11" s="99">
        <f>SUM(D12:D18)</f>
        <v>1399999</v>
      </c>
      <c r="E11" s="99">
        <f>SUM(E12:E18)</f>
        <v>1399999</v>
      </c>
      <c r="F11" s="99">
        <f>SUM(F12:F18)</f>
        <v>1496034</v>
      </c>
      <c r="G11" s="99">
        <f>SUM(G12:G18)</f>
        <v>1468685</v>
      </c>
      <c r="H11" s="54">
        <f>SUM(H12:H18)</f>
        <v>1522599</v>
      </c>
    </row>
    <row r="12" spans="1:8" ht="15.75" customHeight="1">
      <c r="A12" s="2"/>
      <c r="B12" s="2" t="s">
        <v>141</v>
      </c>
      <c r="C12" s="2"/>
      <c r="D12" s="29">
        <f>'[5]2011 Aktivi'!$F$34</f>
        <v>0</v>
      </c>
      <c r="E12" s="29">
        <f>'[4]Aktivi'!$F$34</f>
        <v>0</v>
      </c>
      <c r="F12" s="29">
        <f>'[2]Aktivi'!$F$34</f>
        <v>90435</v>
      </c>
      <c r="G12" s="29">
        <v>63086</v>
      </c>
      <c r="H12" s="29">
        <v>117000</v>
      </c>
    </row>
    <row r="13" spans="1:8" ht="15.75" customHeight="1">
      <c r="A13" s="2"/>
      <c r="B13" s="2" t="s">
        <v>18</v>
      </c>
      <c r="C13" s="2"/>
      <c r="D13" s="29"/>
      <c r="E13" s="29"/>
      <c r="F13" s="29"/>
      <c r="G13" s="29"/>
      <c r="H13" s="29">
        <v>1405599</v>
      </c>
    </row>
    <row r="14" spans="1:8" ht="15.75" customHeight="1">
      <c r="A14" s="2"/>
      <c r="B14" s="2" t="s">
        <v>19</v>
      </c>
      <c r="C14" s="2"/>
      <c r="D14" s="29">
        <f>'[5]2011 Aktivi'!$F$37</f>
        <v>1399999</v>
      </c>
      <c r="E14" s="29">
        <f>'[4]Aktivi'!$F$37</f>
        <v>1399999</v>
      </c>
      <c r="F14" s="29">
        <f>'[2]Aktivi'!$F$37</f>
        <v>1405599</v>
      </c>
      <c r="G14" s="29">
        <v>1405599</v>
      </c>
      <c r="H14" s="29"/>
    </row>
    <row r="15" spans="1:8" ht="15.75" customHeight="1">
      <c r="A15" s="2"/>
      <c r="B15" s="2" t="s">
        <v>20</v>
      </c>
      <c r="C15" s="2"/>
      <c r="D15" s="29"/>
      <c r="E15" s="29"/>
      <c r="F15" s="55"/>
      <c r="G15" s="55"/>
      <c r="H15" s="29"/>
    </row>
    <row r="16" spans="1:8" ht="15.75" customHeight="1">
      <c r="A16" s="2"/>
      <c r="B16" s="2" t="s">
        <v>21</v>
      </c>
      <c r="C16" s="2"/>
      <c r="D16" s="29"/>
      <c r="E16" s="29"/>
      <c r="F16" s="55"/>
      <c r="G16" s="55"/>
      <c r="H16" s="29"/>
    </row>
    <row r="17" spans="1:8" ht="15.75" customHeight="1">
      <c r="A17" s="2"/>
      <c r="B17" s="2" t="s">
        <v>152</v>
      </c>
      <c r="C17" s="2"/>
      <c r="D17" s="29"/>
      <c r="E17" s="29"/>
      <c r="F17" s="55"/>
      <c r="G17" s="55"/>
      <c r="H17" s="29"/>
    </row>
    <row r="18" spans="1:8" ht="15.75" customHeight="1">
      <c r="A18" s="2"/>
      <c r="B18" s="2" t="s">
        <v>192</v>
      </c>
      <c r="C18" s="2"/>
      <c r="D18" s="29"/>
      <c r="E18" s="29"/>
      <c r="F18" s="56"/>
      <c r="G18" s="56"/>
      <c r="H18" s="29"/>
    </row>
    <row r="19" spans="1:8" ht="15.75" customHeight="1">
      <c r="A19" s="2"/>
      <c r="B19" s="9" t="s">
        <v>8</v>
      </c>
      <c r="C19" s="2"/>
      <c r="D19" s="94">
        <f>SUM(D20:D25)</f>
        <v>452421.5</v>
      </c>
      <c r="E19" s="94">
        <f>SUM(E20:E25)</f>
        <v>452421.5</v>
      </c>
      <c r="F19" s="94">
        <f>SUM(F20:F25)</f>
        <v>452421.5</v>
      </c>
      <c r="G19" s="94">
        <f>SUM(G20:G25)</f>
        <v>441322</v>
      </c>
      <c r="H19" s="27">
        <f>SUM(H20:H25)</f>
        <v>441322</v>
      </c>
    </row>
    <row r="20" spans="1:8" ht="15.75" customHeight="1">
      <c r="A20" s="2"/>
      <c r="B20" s="2" t="s">
        <v>197</v>
      </c>
      <c r="C20" s="2"/>
      <c r="D20" s="29"/>
      <c r="E20" s="29"/>
      <c r="F20" s="28"/>
      <c r="G20" s="28"/>
      <c r="H20" s="28"/>
    </row>
    <row r="21" spans="1:8" ht="15.75" customHeight="1">
      <c r="A21" s="2"/>
      <c r="B21" s="2" t="s">
        <v>242</v>
      </c>
      <c r="C21" s="2"/>
      <c r="D21" s="29">
        <f>'[5]2011 Aktivi'!$F$30</f>
        <v>452421.5</v>
      </c>
      <c r="E21" s="29">
        <f>'[4]Aktivi'!$F$30</f>
        <v>452421.5</v>
      </c>
      <c r="F21" s="28">
        <f>'[2]Aktivi'!$F$30</f>
        <v>452421.5</v>
      </c>
      <c r="G21" s="28">
        <v>441322</v>
      </c>
      <c r="H21" s="28">
        <v>441322</v>
      </c>
    </row>
    <row r="22" spans="1:8" ht="15.75" customHeight="1">
      <c r="A22" s="2"/>
      <c r="B22" s="2" t="s">
        <v>196</v>
      </c>
      <c r="C22" s="2"/>
      <c r="D22" s="28"/>
      <c r="E22" s="28"/>
      <c r="F22" s="28"/>
      <c r="G22" s="28"/>
      <c r="H22" s="28"/>
    </row>
    <row r="23" spans="1:8" ht="15.75" customHeight="1">
      <c r="A23" s="2"/>
      <c r="B23" s="11" t="s">
        <v>142</v>
      </c>
      <c r="C23" s="2"/>
      <c r="D23" s="28"/>
      <c r="E23" s="28"/>
      <c r="F23" s="28"/>
      <c r="G23" s="28"/>
      <c r="H23" s="28"/>
    </row>
    <row r="24" spans="1:8" ht="15.75" customHeight="1">
      <c r="A24" s="2"/>
      <c r="B24" s="2" t="s">
        <v>195</v>
      </c>
      <c r="C24" s="2"/>
      <c r="D24" s="28"/>
      <c r="E24" s="28"/>
      <c r="F24" s="28"/>
      <c r="G24" s="28"/>
      <c r="H24" s="28"/>
    </row>
    <row r="25" spans="1:8" ht="15.75" customHeight="1">
      <c r="A25" s="2"/>
      <c r="B25" s="2" t="s">
        <v>198</v>
      </c>
      <c r="C25" s="2"/>
      <c r="D25" s="28"/>
      <c r="E25" s="28"/>
      <c r="F25" s="28"/>
      <c r="G25" s="28"/>
      <c r="H25" s="28"/>
    </row>
    <row r="26" spans="1:8" ht="15.75" customHeight="1">
      <c r="A26" s="2"/>
      <c r="B26" s="9" t="s">
        <v>9</v>
      </c>
      <c r="C26" s="2"/>
      <c r="D26" s="28"/>
      <c r="E26" s="28"/>
      <c r="F26" s="28"/>
      <c r="G26" s="28"/>
      <c r="H26" s="28"/>
    </row>
    <row r="27" spans="1:8" ht="15.75" customHeight="1">
      <c r="A27" s="2"/>
      <c r="B27" s="9" t="s">
        <v>10</v>
      </c>
      <c r="C27" s="2"/>
      <c r="D27" s="28"/>
      <c r="E27" s="28"/>
      <c r="F27" s="28"/>
      <c r="G27" s="28"/>
      <c r="H27" s="28"/>
    </row>
    <row r="28" spans="1:8" ht="15.75" customHeight="1">
      <c r="A28" s="2"/>
      <c r="B28" s="9" t="s">
        <v>11</v>
      </c>
      <c r="C28" s="2"/>
      <c r="D28" s="27">
        <f>SUM(D29:D30)</f>
        <v>0</v>
      </c>
      <c r="E28" s="27">
        <f>SUM(E29:E30)</f>
        <v>0</v>
      </c>
      <c r="F28" s="27">
        <f>SUM(F29:F30)</f>
        <v>0</v>
      </c>
      <c r="G28" s="27">
        <f>SUM(G29:G30)</f>
        <v>0</v>
      </c>
      <c r="H28" s="27">
        <f>SUM(H29:H30)</f>
        <v>0</v>
      </c>
    </row>
    <row r="29" spans="1:8" ht="15.75" customHeight="1">
      <c r="A29" s="2"/>
      <c r="B29" s="11" t="s">
        <v>144</v>
      </c>
      <c r="C29" s="2"/>
      <c r="D29" s="2"/>
      <c r="E29" s="2"/>
      <c r="F29" s="2"/>
      <c r="G29" s="2"/>
      <c r="H29" s="27"/>
    </row>
    <row r="30" spans="1:8" ht="15.75" customHeight="1">
      <c r="A30" s="2"/>
      <c r="B30" s="2" t="s">
        <v>143</v>
      </c>
      <c r="C30" s="2"/>
      <c r="D30" s="27"/>
      <c r="E30" s="27"/>
      <c r="F30" s="27"/>
      <c r="G30" s="27"/>
      <c r="H30" s="27"/>
    </row>
    <row r="31" spans="1:10" ht="15.75" customHeight="1">
      <c r="A31" s="3" t="s">
        <v>12</v>
      </c>
      <c r="B31" s="4" t="s">
        <v>13</v>
      </c>
      <c r="C31" s="5"/>
      <c r="D31" s="31">
        <f>D32+D33+D38+D39+D42+D43</f>
        <v>667889.84</v>
      </c>
      <c r="E31" s="31">
        <f>E32+E33+E38+E39+E42+E43</f>
        <v>667889.94</v>
      </c>
      <c r="F31" s="31">
        <f>F32+F33+F38+F39+F42+F43</f>
        <v>667890.4</v>
      </c>
      <c r="G31" s="31">
        <f>G32+G33+G38+G39+G42+G43</f>
        <v>886321</v>
      </c>
      <c r="H31" s="31">
        <f>H32+H33+H38+H39+H42+H43</f>
        <v>1176511</v>
      </c>
      <c r="J31" s="61"/>
    </row>
    <row r="32" spans="1:8" ht="15.75" customHeight="1">
      <c r="A32" s="2"/>
      <c r="B32" s="9" t="s">
        <v>14</v>
      </c>
      <c r="C32" s="2"/>
      <c r="D32" s="27"/>
      <c r="E32" s="27"/>
      <c r="F32" s="27"/>
      <c r="G32" s="27"/>
      <c r="H32" s="27"/>
    </row>
    <row r="33" spans="1:11" ht="15.75" customHeight="1">
      <c r="A33" s="2"/>
      <c r="B33" s="9" t="s">
        <v>145</v>
      </c>
      <c r="C33" s="2"/>
      <c r="D33" s="94">
        <f>SUM(D35:D37)</f>
        <v>667889.84</v>
      </c>
      <c r="E33" s="94">
        <f>SUM(E35:E37)</f>
        <v>667889.84</v>
      </c>
      <c r="F33" s="94">
        <f>SUM(F35:F37)</f>
        <v>667889.85</v>
      </c>
      <c r="G33" s="94">
        <f>SUM(G35:G37)</f>
        <v>886321</v>
      </c>
      <c r="H33" s="27">
        <f>SUM(H34:H37)-1</f>
        <v>1176511</v>
      </c>
      <c r="K33" s="44"/>
    </row>
    <row r="34" spans="1:8" ht="15.75" customHeight="1">
      <c r="A34" s="2"/>
      <c r="B34" s="2" t="s">
        <v>243</v>
      </c>
      <c r="C34" s="2"/>
      <c r="D34" s="27"/>
      <c r="E34" s="27"/>
      <c r="F34" s="27"/>
      <c r="G34" s="27"/>
      <c r="H34" s="28"/>
    </row>
    <row r="35" spans="1:8" ht="15.75" customHeight="1">
      <c r="A35" s="2"/>
      <c r="B35" s="2" t="s">
        <v>146</v>
      </c>
      <c r="C35" s="2"/>
      <c r="D35" s="28">
        <f>3247754-2669723.5</f>
        <v>578030.5</v>
      </c>
      <c r="E35" s="28">
        <f>3247754-2669723.5</f>
        <v>578030.5</v>
      </c>
      <c r="F35" s="28">
        <f>578030.45</f>
        <v>578030.45</v>
      </c>
      <c r="G35" s="28">
        <v>770708</v>
      </c>
      <c r="H35" s="28">
        <v>1027610</v>
      </c>
    </row>
    <row r="36" spans="1:8" ht="15.75" customHeight="1">
      <c r="A36" s="2"/>
      <c r="B36" s="2" t="s">
        <v>147</v>
      </c>
      <c r="C36" s="2"/>
      <c r="D36" s="28">
        <f>192200+221793.84-141816-182318.5</f>
        <v>89859.33999999997</v>
      </c>
      <c r="E36" s="28">
        <f>192200+221793.84-141816-182318.5</f>
        <v>89859.33999999997</v>
      </c>
      <c r="F36" s="28">
        <f>50384+39475.4</f>
        <v>89859.4</v>
      </c>
      <c r="G36" s="28">
        <v>115613</v>
      </c>
      <c r="H36" s="28">
        <v>148902</v>
      </c>
    </row>
    <row r="37" spans="1:8" ht="15.75" customHeight="1">
      <c r="A37" s="2"/>
      <c r="B37" s="2" t="s">
        <v>190</v>
      </c>
      <c r="C37" s="2"/>
      <c r="D37" s="28"/>
      <c r="E37" s="28"/>
      <c r="F37" s="28"/>
      <c r="G37" s="28">
        <v>0</v>
      </c>
      <c r="H37" s="28"/>
    </row>
    <row r="38" spans="1:8" ht="15.75" customHeight="1">
      <c r="A38" s="2"/>
      <c r="B38" s="9" t="s">
        <v>148</v>
      </c>
      <c r="C38" s="2"/>
      <c r="D38" s="27"/>
      <c r="E38" s="27"/>
      <c r="F38" s="27"/>
      <c r="G38" s="27"/>
      <c r="H38" s="27"/>
    </row>
    <row r="39" spans="1:8" ht="15.75" customHeight="1">
      <c r="A39" s="2"/>
      <c r="B39" s="9" t="s">
        <v>149</v>
      </c>
      <c r="C39" s="2"/>
      <c r="D39" s="27">
        <f>SUM(D40:D41)</f>
        <v>0</v>
      </c>
      <c r="E39" s="27">
        <f>SUM(E40:E41)</f>
        <v>0.1</v>
      </c>
      <c r="F39" s="27">
        <f>SUM(F40:F41)</f>
        <v>0.55</v>
      </c>
      <c r="G39" s="27">
        <f>SUM(G40:G41)</f>
        <v>0</v>
      </c>
      <c r="H39" s="27">
        <f>SUM(H40:H41)</f>
        <v>0</v>
      </c>
    </row>
    <row r="40" spans="1:8" ht="15.75" customHeight="1">
      <c r="A40" s="2"/>
      <c r="B40" s="2" t="s">
        <v>189</v>
      </c>
      <c r="C40" s="2"/>
      <c r="D40" s="28"/>
      <c r="E40" s="28">
        <v>0</v>
      </c>
      <c r="F40" s="28">
        <v>0.45</v>
      </c>
      <c r="G40" s="28"/>
      <c r="H40" s="28"/>
    </row>
    <row r="41" spans="1:8" ht="15.75" customHeight="1">
      <c r="A41" s="2"/>
      <c r="B41" s="2" t="s">
        <v>191</v>
      </c>
      <c r="C41" s="2"/>
      <c r="D41" s="28"/>
      <c r="E41" s="28">
        <v>0.1</v>
      </c>
      <c r="F41" s="28">
        <v>0.1</v>
      </c>
      <c r="G41" s="28"/>
      <c r="H41" s="28"/>
    </row>
    <row r="42" spans="1:8" ht="15.75" customHeight="1">
      <c r="A42" s="2"/>
      <c r="B42" s="13" t="s">
        <v>150</v>
      </c>
      <c r="C42" s="2"/>
      <c r="D42" s="27"/>
      <c r="E42" s="27"/>
      <c r="F42" s="27"/>
      <c r="G42" s="27"/>
      <c r="H42" s="27"/>
    </row>
    <row r="43" spans="1:8" ht="15.75" customHeight="1">
      <c r="A43" s="103"/>
      <c r="B43" s="104" t="s">
        <v>151</v>
      </c>
      <c r="C43" s="2"/>
      <c r="D43" s="175"/>
      <c r="E43" s="175"/>
      <c r="F43" s="27"/>
      <c r="G43" s="27"/>
      <c r="H43" s="27"/>
    </row>
    <row r="44" spans="1:8" ht="22.5" customHeight="1">
      <c r="A44" s="105"/>
      <c r="B44" s="106" t="s">
        <v>15</v>
      </c>
      <c r="C44" s="102"/>
      <c r="D44" s="58">
        <f>SUM(D6,D31)</f>
        <v>2997406.61</v>
      </c>
      <c r="E44" s="58">
        <f>SUM(E6,E31)</f>
        <v>2654052.42</v>
      </c>
      <c r="F44" s="58">
        <f>SUM(F6,F31)</f>
        <v>2673017.0100000002</v>
      </c>
      <c r="G44" s="139">
        <f>SUM(G6,G31)</f>
        <v>3354008</v>
      </c>
      <c r="H44" s="31">
        <f>SUM(H6,H31)</f>
        <v>3140432</v>
      </c>
    </row>
    <row r="45" spans="7:8" ht="15">
      <c r="G45" s="81"/>
      <c r="H45" s="57"/>
    </row>
    <row r="46" spans="7:8" ht="15">
      <c r="G46" s="57"/>
      <c r="H46" s="57"/>
    </row>
    <row r="47" ht="15">
      <c r="G47" s="57"/>
    </row>
    <row r="48" spans="5:8" ht="15">
      <c r="E48" s="176"/>
      <c r="F48" s="176"/>
      <c r="G48" s="57"/>
      <c r="H48" s="44"/>
    </row>
    <row r="49" spans="5:7" ht="15">
      <c r="E49" s="177"/>
      <c r="F49" s="176"/>
      <c r="G49" s="57"/>
    </row>
    <row r="50" spans="5:7" ht="15">
      <c r="E50" s="176"/>
      <c r="F50" s="176"/>
      <c r="G50" s="57"/>
    </row>
    <row r="51" ht="15">
      <c r="G51" s="57"/>
    </row>
    <row r="52" ht="15">
      <c r="G52" s="57"/>
    </row>
  </sheetData>
  <sheetProtection/>
  <printOptions/>
  <pageMargins left="0.49" right="0.37" top="0.75" bottom="0.75" header="0.34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3"/>
  <sheetViews>
    <sheetView zoomScalePageLayoutView="0" workbookViewId="0" topLeftCell="A1">
      <selection activeCell="U19" sqref="U19"/>
    </sheetView>
  </sheetViews>
  <sheetFormatPr defaultColWidth="9.140625" defaultRowHeight="15"/>
  <cols>
    <col min="1" max="1" width="2.8515625" style="0" customWidth="1"/>
    <col min="2" max="2" width="36.140625" style="0" customWidth="1"/>
    <col min="3" max="3" width="7.28125" style="0" customWidth="1"/>
    <col min="4" max="4" width="18.57421875" style="0" customWidth="1"/>
    <col min="5" max="5" width="16.421875" style="0" customWidth="1"/>
    <col min="6" max="6" width="0.13671875" style="0" hidden="1" customWidth="1"/>
    <col min="7" max="7" width="11.00390625" style="0" hidden="1" customWidth="1"/>
    <col min="8" max="8" width="15.140625" style="0" hidden="1" customWidth="1"/>
    <col min="9" max="9" width="9.140625" style="0" hidden="1" customWidth="1"/>
    <col min="10" max="10" width="22.28125" style="57" hidden="1" customWidth="1"/>
    <col min="11" max="11" width="16.8515625" style="0" bestFit="1" customWidth="1"/>
  </cols>
  <sheetData>
    <row r="1" spans="1:8" ht="18.75">
      <c r="A1" s="63" t="s">
        <v>295</v>
      </c>
      <c r="B1" s="57"/>
      <c r="C1" s="57"/>
      <c r="D1" s="57"/>
      <c r="E1" s="57"/>
      <c r="F1" s="57"/>
      <c r="G1" s="57"/>
      <c r="H1" s="57"/>
    </row>
    <row r="2" spans="1:8" ht="4.5" customHeight="1">
      <c r="A2" s="30"/>
      <c r="B2" s="30"/>
      <c r="C2" s="30"/>
      <c r="D2" s="30"/>
      <c r="E2" s="30"/>
      <c r="F2" s="30"/>
      <c r="G2" s="30"/>
      <c r="H2" s="30"/>
    </row>
    <row r="3" spans="1:8" ht="15.75" customHeight="1">
      <c r="A3" s="30"/>
      <c r="B3" s="108" t="s">
        <v>250</v>
      </c>
      <c r="C3" s="30"/>
      <c r="D3" s="30"/>
      <c r="E3" s="30"/>
      <c r="F3" s="30"/>
      <c r="G3" s="30"/>
      <c r="H3" s="30"/>
    </row>
    <row r="4" spans="1:8" ht="15" customHeight="1">
      <c r="A4" s="10"/>
      <c r="B4" s="10"/>
      <c r="C4" s="10"/>
      <c r="D4" s="10">
        <v>2011</v>
      </c>
      <c r="E4" s="10">
        <v>2010</v>
      </c>
      <c r="F4" s="10">
        <v>2009</v>
      </c>
      <c r="G4" s="10">
        <v>2008</v>
      </c>
      <c r="H4" s="10">
        <v>2007</v>
      </c>
    </row>
    <row r="5" spans="1:10" ht="285">
      <c r="A5" s="1" t="s">
        <v>0</v>
      </c>
      <c r="B5" s="1" t="s">
        <v>23</v>
      </c>
      <c r="C5" s="135" t="s">
        <v>1</v>
      </c>
      <c r="D5" s="143" t="s">
        <v>2</v>
      </c>
      <c r="E5" s="143" t="s">
        <v>22</v>
      </c>
      <c r="F5" s="143" t="s">
        <v>22</v>
      </c>
      <c r="G5" s="143" t="s">
        <v>22</v>
      </c>
      <c r="H5" s="143" t="s">
        <v>22</v>
      </c>
      <c r="J5" s="53"/>
    </row>
    <row r="6" spans="1:12" s="6" customFormat="1" ht="15.75">
      <c r="A6" s="3" t="s">
        <v>3</v>
      </c>
      <c r="B6" s="4" t="s">
        <v>24</v>
      </c>
      <c r="C6" s="5"/>
      <c r="D6" s="136">
        <f>SUM(D7:D8,D11,D17:D18)</f>
        <v>756671.6</v>
      </c>
      <c r="E6" s="136">
        <f>SUM(E7:E8,E11,E17:E18)</f>
        <v>1053144</v>
      </c>
      <c r="F6" s="136">
        <f>SUM(F7:F8,F11,F17:F18)</f>
        <v>231112</v>
      </c>
      <c r="G6" s="136">
        <f>SUM(G7:G8,G11,G17:G18)</f>
        <v>2242283</v>
      </c>
      <c r="H6" s="136">
        <f>SUM(H7:H8,H11,H17:H18)</f>
        <v>1906553</v>
      </c>
      <c r="J6" s="62"/>
      <c r="L6" s="64"/>
    </row>
    <row r="7" spans="1:8" ht="18.75" customHeight="1">
      <c r="A7" s="2"/>
      <c r="B7" s="9" t="s">
        <v>25</v>
      </c>
      <c r="C7" s="2"/>
      <c r="D7" s="2"/>
      <c r="E7" s="2"/>
      <c r="F7" s="137"/>
      <c r="G7" s="136"/>
      <c r="H7" s="136"/>
    </row>
    <row r="8" spans="1:8" ht="18.75" customHeight="1">
      <c r="A8" s="2"/>
      <c r="B8" s="9" t="s">
        <v>26</v>
      </c>
      <c r="C8" s="2"/>
      <c r="D8" s="2"/>
      <c r="E8" s="2"/>
      <c r="F8" s="136">
        <f>SUM(F9:F10)</f>
        <v>0</v>
      </c>
      <c r="G8" s="136">
        <f>SUM(G9:G10)</f>
        <v>0</v>
      </c>
      <c r="H8" s="136">
        <f>SUM(H9:H10)</f>
        <v>0</v>
      </c>
    </row>
    <row r="9" spans="1:8" ht="18" customHeight="1">
      <c r="A9" s="2"/>
      <c r="B9" s="2" t="s">
        <v>27</v>
      </c>
      <c r="C9" s="2"/>
      <c r="D9" s="2"/>
      <c r="E9" s="2"/>
      <c r="F9" s="137"/>
      <c r="G9" s="138">
        <v>0</v>
      </c>
      <c r="H9" s="138">
        <v>0</v>
      </c>
    </row>
    <row r="10" spans="1:8" ht="18.75" customHeight="1">
      <c r="A10" s="2"/>
      <c r="B10" s="2" t="s">
        <v>28</v>
      </c>
      <c r="C10" s="2"/>
      <c r="D10" s="2"/>
      <c r="E10" s="2"/>
      <c r="F10" s="137"/>
      <c r="G10" s="138">
        <v>0</v>
      </c>
      <c r="H10" s="138">
        <v>0</v>
      </c>
    </row>
    <row r="11" spans="1:8" ht="18.75" customHeight="1">
      <c r="A11" s="2"/>
      <c r="B11" s="9" t="s">
        <v>29</v>
      </c>
      <c r="C11" s="2"/>
      <c r="D11" s="136">
        <f>SUM(D12:D16)</f>
        <v>756671.6</v>
      </c>
      <c r="E11" s="136">
        <f>SUM(E12:E16)</f>
        <v>1053144</v>
      </c>
      <c r="F11" s="136">
        <f>SUM(F12:F16)</f>
        <v>231112</v>
      </c>
      <c r="G11" s="136">
        <f>SUM(G12:G16)</f>
        <v>2242283</v>
      </c>
      <c r="H11" s="136">
        <f>SUM(H12:H16)</f>
        <v>1906553</v>
      </c>
    </row>
    <row r="12" spans="1:10" ht="18.75" customHeight="1">
      <c r="A12" s="2"/>
      <c r="B12" s="2" t="s">
        <v>30</v>
      </c>
      <c r="C12" s="2"/>
      <c r="D12" s="138">
        <f>'[5]2011 Pasivi '!$F$30</f>
        <v>718671.6</v>
      </c>
      <c r="E12" s="138">
        <f>'[4]Pasivi '!$F$30</f>
        <v>470400</v>
      </c>
      <c r="F12" s="138">
        <f>'[2]Pasivi '!$F$30</f>
        <v>2000</v>
      </c>
      <c r="G12" s="138">
        <v>2119114</v>
      </c>
      <c r="H12" s="138">
        <v>1783114</v>
      </c>
      <c r="J12" s="57">
        <f>336000+134400</f>
        <v>470400</v>
      </c>
    </row>
    <row r="13" spans="1:8" ht="18.75" customHeight="1">
      <c r="A13" s="2"/>
      <c r="B13" s="2" t="s">
        <v>31</v>
      </c>
      <c r="C13" s="2"/>
      <c r="D13" s="138">
        <f>'[5]2011 Pasivi '!$F$39</f>
        <v>36000</v>
      </c>
      <c r="E13" s="138">
        <f>'[4]Pasivi '!$F$39</f>
        <v>190913</v>
      </c>
      <c r="F13" s="138">
        <f>'[2]Pasivi '!$F$39</f>
        <v>126004</v>
      </c>
      <c r="G13" s="138">
        <v>77429</v>
      </c>
      <c r="H13" s="138">
        <v>77699</v>
      </c>
    </row>
    <row r="14" spans="1:8" ht="18.75" customHeight="1">
      <c r="A14" s="2"/>
      <c r="B14" s="2" t="s">
        <v>32</v>
      </c>
      <c r="C14" s="2"/>
      <c r="D14" s="138">
        <f>'[5]2011 Pasivi '!$F$40</f>
        <v>0</v>
      </c>
      <c r="E14" s="138">
        <f>'[4]Pasivi '!$F$40</f>
        <v>267811</v>
      </c>
      <c r="F14" s="138">
        <f>'[2]Pasivi '!$F$40</f>
        <v>71878</v>
      </c>
      <c r="G14" s="138">
        <v>32443</v>
      </c>
      <c r="H14" s="138">
        <v>32443</v>
      </c>
    </row>
    <row r="15" spans="1:8" ht="18.75" customHeight="1">
      <c r="A15" s="2"/>
      <c r="B15" s="2" t="s">
        <v>199</v>
      </c>
      <c r="C15" s="2"/>
      <c r="D15" s="138">
        <f>'[5]2011 Pasivi '!$F$41</f>
        <v>2000</v>
      </c>
      <c r="E15" s="138">
        <f>'[4]Pasivi '!$F$41</f>
        <v>124020</v>
      </c>
      <c r="F15" s="138">
        <f>'[2]Pasivi '!$F$41</f>
        <v>31230</v>
      </c>
      <c r="G15" s="138">
        <v>13297</v>
      </c>
      <c r="H15" s="138">
        <v>13297</v>
      </c>
    </row>
    <row r="16" spans="1:8" ht="18.75" customHeight="1">
      <c r="A16" s="2"/>
      <c r="B16" s="2" t="s">
        <v>244</v>
      </c>
      <c r="C16" s="2"/>
      <c r="D16" s="138"/>
      <c r="E16" s="138"/>
      <c r="F16" s="137"/>
      <c r="G16" s="138">
        <v>0</v>
      </c>
      <c r="H16" s="138">
        <v>0</v>
      </c>
    </row>
    <row r="17" spans="1:8" ht="18.75" customHeight="1">
      <c r="A17" s="2"/>
      <c r="B17" s="9" t="s">
        <v>33</v>
      </c>
      <c r="C17" s="2"/>
      <c r="D17" s="138"/>
      <c r="E17" s="138"/>
      <c r="F17" s="136">
        <v>0</v>
      </c>
      <c r="G17" s="136">
        <v>0</v>
      </c>
      <c r="H17" s="136"/>
    </row>
    <row r="18" spans="1:8" ht="18.75" customHeight="1">
      <c r="A18" s="2"/>
      <c r="B18" s="9" t="s">
        <v>34</v>
      </c>
      <c r="C18" s="2"/>
      <c r="D18" s="138"/>
      <c r="E18" s="138"/>
      <c r="F18" s="136">
        <v>0</v>
      </c>
      <c r="G18" s="136">
        <v>0</v>
      </c>
      <c r="H18" s="136"/>
    </row>
    <row r="19" spans="1:10" s="6" customFormat="1" ht="18.75" customHeight="1">
      <c r="A19" s="3" t="s">
        <v>12</v>
      </c>
      <c r="B19" s="4" t="s">
        <v>35</v>
      </c>
      <c r="C19" s="5"/>
      <c r="D19" s="136">
        <f>SUM(D20,D23:D25)</f>
        <v>22277221.82</v>
      </c>
      <c r="E19" s="136">
        <f>SUM(E20,E23:E25)</f>
        <v>19459114.16</v>
      </c>
      <c r="F19" s="136">
        <f>SUM(F20,F23:F25)</f>
        <v>16437967.16</v>
      </c>
      <c r="G19" s="136">
        <f>SUM(G20,G23:G25)</f>
        <v>16086422</v>
      </c>
      <c r="H19" s="136">
        <f>SUM(H20,H23:H25)</f>
        <v>17278974</v>
      </c>
      <c r="J19" s="62"/>
    </row>
    <row r="20" spans="1:8" ht="18.75" customHeight="1">
      <c r="A20" s="2"/>
      <c r="B20" s="9" t="s">
        <v>36</v>
      </c>
      <c r="C20" s="2"/>
      <c r="D20" s="136"/>
      <c r="E20" s="136">
        <f>SUM(E21:E22)</f>
        <v>0</v>
      </c>
      <c r="F20" s="136">
        <f>SUM(F21:F22)</f>
        <v>0</v>
      </c>
      <c r="G20" s="136">
        <f>SUM(G21:G22)</f>
        <v>0</v>
      </c>
      <c r="H20" s="136">
        <f>SUM(H21:H22)</f>
        <v>0</v>
      </c>
    </row>
    <row r="21" spans="1:8" ht="18.75" customHeight="1">
      <c r="A21" s="2"/>
      <c r="B21" s="2" t="s">
        <v>37</v>
      </c>
      <c r="C21" s="2"/>
      <c r="D21" s="138"/>
      <c r="E21" s="138"/>
      <c r="F21" s="137"/>
      <c r="G21" s="138"/>
      <c r="H21" s="138"/>
    </row>
    <row r="22" spans="1:8" ht="18.75" customHeight="1">
      <c r="A22" s="2"/>
      <c r="B22" s="2" t="s">
        <v>38</v>
      </c>
      <c r="C22" s="2"/>
      <c r="D22" s="138"/>
      <c r="E22" s="138"/>
      <c r="F22" s="137"/>
      <c r="G22" s="138"/>
      <c r="H22" s="138"/>
    </row>
    <row r="23" spans="1:10" ht="18.75" customHeight="1">
      <c r="A23" s="2"/>
      <c r="B23" s="9" t="s">
        <v>39</v>
      </c>
      <c r="C23" s="2"/>
      <c r="D23" s="136">
        <f>'[5]2011 Pasivi '!$F$33</f>
        <v>21691562.32</v>
      </c>
      <c r="E23" s="136">
        <f>'[4]Pasivi '!$F$33</f>
        <v>19459114.16</v>
      </c>
      <c r="F23" s="136">
        <f>'[2]Pasivi '!$F$33</f>
        <v>16437967.16</v>
      </c>
      <c r="G23" s="136">
        <v>16086422</v>
      </c>
      <c r="H23" s="136">
        <v>17278974</v>
      </c>
      <c r="J23" s="57">
        <f>227582.8+19294416.96-62885.6</f>
        <v>19459114.16</v>
      </c>
    </row>
    <row r="24" spans="1:8" ht="18.75" customHeight="1">
      <c r="A24" s="2"/>
      <c r="B24" s="9" t="s">
        <v>40</v>
      </c>
      <c r="C24" s="2"/>
      <c r="D24" s="138"/>
      <c r="E24" s="138"/>
      <c r="F24" s="137"/>
      <c r="G24" s="136"/>
      <c r="H24" s="136"/>
    </row>
    <row r="25" spans="1:8" ht="18.75" customHeight="1">
      <c r="A25" s="2"/>
      <c r="B25" s="9" t="s">
        <v>277</v>
      </c>
      <c r="C25" s="2"/>
      <c r="D25" s="136">
        <v>585659.5</v>
      </c>
      <c r="E25" s="2"/>
      <c r="F25" s="137"/>
      <c r="G25" s="136"/>
      <c r="H25" s="136"/>
    </row>
    <row r="26" spans="1:11" s="6" customFormat="1" ht="18.75" customHeight="1">
      <c r="A26" s="5"/>
      <c r="B26" s="4" t="s">
        <v>41</v>
      </c>
      <c r="C26" s="5"/>
      <c r="D26" s="136">
        <f>SUM(D6,D19)</f>
        <v>23033893.42</v>
      </c>
      <c r="E26" s="136">
        <f>SUM(E6,E19)</f>
        <v>20512258.16</v>
      </c>
      <c r="F26" s="136">
        <f>SUM(F6,F19)</f>
        <v>16669079.16</v>
      </c>
      <c r="G26" s="136">
        <f>SUM(G6,G19)</f>
        <v>18328705</v>
      </c>
      <c r="H26" s="136">
        <f>SUM(H6,H19)</f>
        <v>19185527</v>
      </c>
      <c r="J26" s="62"/>
      <c r="K26"/>
    </row>
    <row r="27" spans="1:11" s="6" customFormat="1" ht="18.75" customHeight="1">
      <c r="A27" s="3" t="s">
        <v>42</v>
      </c>
      <c r="B27" s="15" t="s">
        <v>43</v>
      </c>
      <c r="C27" s="5"/>
      <c r="D27" s="136">
        <f>SUM(D28:D37)</f>
        <v>-20036486.74</v>
      </c>
      <c r="E27" s="136">
        <f>SUM(E28:E37)</f>
        <v>-17858205.27</v>
      </c>
      <c r="F27" s="136">
        <f>SUM(F28:F37)</f>
        <v>-13996062.14</v>
      </c>
      <c r="G27" s="136">
        <f>SUM(G28:G37)</f>
        <v>-14974697</v>
      </c>
      <c r="H27" s="136">
        <f>SUM(H28:H37)</f>
        <v>-16045094</v>
      </c>
      <c r="J27" s="62"/>
      <c r="K27" s="57"/>
    </row>
    <row r="28" spans="1:11" ht="18.75" customHeight="1">
      <c r="A28" s="2"/>
      <c r="B28" s="13" t="s">
        <v>44</v>
      </c>
      <c r="C28" s="2"/>
      <c r="D28" s="2"/>
      <c r="E28" s="2"/>
      <c r="F28" s="137"/>
      <c r="G28" s="136"/>
      <c r="H28" s="136"/>
      <c r="K28" s="57"/>
    </row>
    <row r="29" spans="1:11" ht="18.75" customHeight="1">
      <c r="A29" s="2"/>
      <c r="B29" s="13" t="s">
        <v>45</v>
      </c>
      <c r="C29" s="2"/>
      <c r="D29" s="2"/>
      <c r="E29" s="2"/>
      <c r="F29" s="137"/>
      <c r="G29" s="136"/>
      <c r="H29" s="136"/>
      <c r="K29" s="57"/>
    </row>
    <row r="30" spans="1:11" ht="18.75" customHeight="1">
      <c r="A30" s="2"/>
      <c r="B30" s="13" t="s">
        <v>125</v>
      </c>
      <c r="C30" s="2"/>
      <c r="D30" s="136">
        <f>'[5]2011 Pasivi '!$F$7</f>
        <v>5100000</v>
      </c>
      <c r="E30" s="136">
        <f>'[4]Pasivi '!$F$7</f>
        <v>5100000</v>
      </c>
      <c r="F30" s="136">
        <f>'[2]Pasivi '!$F$7</f>
        <v>5100000</v>
      </c>
      <c r="G30" s="136">
        <v>2600000</v>
      </c>
      <c r="H30" s="136">
        <v>100000</v>
      </c>
      <c r="K30" s="57"/>
    </row>
    <row r="31" spans="1:11" ht="18.75" customHeight="1">
      <c r="A31" s="2"/>
      <c r="B31" s="13" t="s">
        <v>46</v>
      </c>
      <c r="C31" s="2"/>
      <c r="D31" s="2"/>
      <c r="E31" s="2"/>
      <c r="F31" s="137"/>
      <c r="G31" s="136"/>
      <c r="H31" s="136"/>
      <c r="K31" s="57"/>
    </row>
    <row r="32" spans="1:11" ht="18.75" customHeight="1">
      <c r="A32" s="2"/>
      <c r="B32" s="13" t="s">
        <v>47</v>
      </c>
      <c r="C32" s="2"/>
      <c r="D32" s="2"/>
      <c r="E32" s="2"/>
      <c r="F32" s="137"/>
      <c r="G32" s="136"/>
      <c r="H32" s="136"/>
      <c r="K32" s="57"/>
    </row>
    <row r="33" spans="1:11" ht="18.75" customHeight="1">
      <c r="A33" s="2"/>
      <c r="B33" s="13" t="s">
        <v>48</v>
      </c>
      <c r="C33" s="2"/>
      <c r="D33" s="2"/>
      <c r="E33" s="2"/>
      <c r="F33" s="137"/>
      <c r="G33" s="136"/>
      <c r="H33" s="136"/>
      <c r="K33" s="57"/>
    </row>
    <row r="34" spans="1:11" ht="18.75" customHeight="1">
      <c r="A34" s="2"/>
      <c r="B34" s="13" t="s">
        <v>49</v>
      </c>
      <c r="C34" s="2"/>
      <c r="D34" s="2"/>
      <c r="E34" s="2"/>
      <c r="F34" s="137"/>
      <c r="G34" s="136"/>
      <c r="H34" s="136"/>
      <c r="K34" s="57"/>
    </row>
    <row r="35" spans="1:11" ht="18.75" customHeight="1">
      <c r="A35" s="2"/>
      <c r="B35" s="13" t="s">
        <v>50</v>
      </c>
      <c r="C35" s="2"/>
      <c r="D35" s="2"/>
      <c r="E35" s="2"/>
      <c r="F35" s="137"/>
      <c r="G35" s="136"/>
      <c r="H35" s="136"/>
      <c r="K35" s="57"/>
    </row>
    <row r="36" spans="1:11" ht="18.75" customHeight="1">
      <c r="A36" s="2"/>
      <c r="B36" s="13" t="s">
        <v>51</v>
      </c>
      <c r="C36" s="2"/>
      <c r="D36" s="139">
        <f>E36+E37</f>
        <v>-22958205.27</v>
      </c>
      <c r="E36" s="139">
        <f>F36+F37</f>
        <v>-19096062.14</v>
      </c>
      <c r="F36" s="136">
        <f>G36+G37</f>
        <v>-17574697</v>
      </c>
      <c r="G36" s="136">
        <f>H36+H37</f>
        <v>-16145094</v>
      </c>
      <c r="H36" s="136">
        <v>-14813300</v>
      </c>
      <c r="K36" s="57"/>
    </row>
    <row r="37" spans="1:11" ht="18.75" customHeight="1">
      <c r="A37" s="2"/>
      <c r="B37" s="13" t="s">
        <v>52</v>
      </c>
      <c r="C37" s="2"/>
      <c r="D37" s="139">
        <f>'[5]2011 Fitim Humbje Te ardhurat'!$E$45</f>
        <v>-2178281.4699999997</v>
      </c>
      <c r="E37" s="139">
        <f>'[4]Fitim Humbje Te ardhurat'!$E$45</f>
        <v>-3862143.13</v>
      </c>
      <c r="F37" s="139">
        <f>'[2]Pasivi '!$F$15</f>
        <v>-1521365.1400000001</v>
      </c>
      <c r="G37" s="139">
        <v>-1429603</v>
      </c>
      <c r="H37" s="136">
        <v>-1331794</v>
      </c>
      <c r="K37" s="57"/>
    </row>
    <row r="38" spans="1:11" s="8" customFormat="1" ht="18.75">
      <c r="A38" s="7"/>
      <c r="B38" s="14" t="s">
        <v>53</v>
      </c>
      <c r="C38" s="7"/>
      <c r="D38" s="136">
        <f>SUM(D26:D27)</f>
        <v>2997406.6800000034</v>
      </c>
      <c r="E38" s="136">
        <f>SUM(E26:E27)</f>
        <v>2654052.8900000006</v>
      </c>
      <c r="F38" s="136">
        <f>SUM(F26:F27)</f>
        <v>2673017.0199999996</v>
      </c>
      <c r="G38" s="136">
        <f>SUM(G26:G27)</f>
        <v>3354008</v>
      </c>
      <c r="H38" s="136">
        <f>SUM(H26:H27)-1</f>
        <v>3140432</v>
      </c>
      <c r="J38" s="63"/>
      <c r="K38" s="63"/>
    </row>
    <row r="39" spans="2:6" ht="15">
      <c r="B39" s="178" t="s">
        <v>203</v>
      </c>
      <c r="D39" s="140">
        <f>'Aktivet 2011'!D44</f>
        <v>2997406.61</v>
      </c>
      <c r="E39" s="140">
        <f>'Aktivet 2011'!E44</f>
        <v>2654052.42</v>
      </c>
      <c r="F39" s="140">
        <f>'Aktivet 2011'!F44</f>
        <v>2673017.0100000002</v>
      </c>
    </row>
    <row r="40" spans="2:6" ht="15">
      <c r="B40" s="179" t="s">
        <v>201</v>
      </c>
      <c r="D40" s="140">
        <f>D38-D39-0</f>
        <v>0.07000000355765224</v>
      </c>
      <c r="E40" s="140">
        <f>E38-E39</f>
        <v>0.47000000067055225</v>
      </c>
      <c r="F40" s="140">
        <f>F38-F39</f>
        <v>0.009999999310821295</v>
      </c>
    </row>
    <row r="41" spans="2:6" ht="12.75" customHeight="1">
      <c r="B41" s="179" t="s">
        <v>202</v>
      </c>
      <c r="D41" s="141">
        <f>D37</f>
        <v>-2178281.4699999997</v>
      </c>
      <c r="E41" s="141">
        <f>E37</f>
        <v>-3862143.13</v>
      </c>
      <c r="F41" s="141">
        <f>F37</f>
        <v>-1521365.1400000001</v>
      </c>
    </row>
    <row r="42" ht="15">
      <c r="G42" s="61"/>
    </row>
    <row r="43" ht="15">
      <c r="G43" s="61"/>
    </row>
  </sheetData>
  <sheetProtection/>
  <printOptions/>
  <pageMargins left="0.45" right="0.1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zoomScalePageLayoutView="0" workbookViewId="0" topLeftCell="A5">
      <selection activeCell="K8" sqref="K8"/>
    </sheetView>
  </sheetViews>
  <sheetFormatPr defaultColWidth="9.140625" defaultRowHeight="15"/>
  <cols>
    <col min="1" max="1" width="3.7109375" style="0" customWidth="1"/>
    <col min="2" max="2" width="53.7109375" style="0" customWidth="1"/>
    <col min="3" max="3" width="17.8515625" style="0" customWidth="1"/>
    <col min="4" max="4" width="17.140625" style="0" customWidth="1"/>
    <col min="5" max="5" width="19.00390625" style="0" hidden="1" customWidth="1"/>
    <col min="6" max="6" width="17.57421875" style="0" hidden="1" customWidth="1"/>
    <col min="7" max="7" width="17.28125" style="0" hidden="1" customWidth="1"/>
    <col min="8" max="8" width="4.8515625" style="0" customWidth="1"/>
  </cols>
  <sheetData>
    <row r="1" spans="1:7" ht="18.75">
      <c r="A1" s="221" t="s">
        <v>293</v>
      </c>
      <c r="B1" s="221"/>
      <c r="C1" s="221"/>
      <c r="D1" s="221"/>
      <c r="E1" s="221"/>
      <c r="F1" s="221"/>
      <c r="G1" s="221"/>
    </row>
    <row r="2" spans="1:7" ht="18.75">
      <c r="A2" s="222" t="s">
        <v>54</v>
      </c>
      <c r="B2" s="222"/>
      <c r="C2" s="222"/>
      <c r="D2" s="222"/>
      <c r="E2" s="222"/>
      <c r="F2" s="222"/>
      <c r="G2" s="222"/>
    </row>
    <row r="3" spans="1:7" ht="18.75">
      <c r="A3" s="30"/>
      <c r="B3" s="30"/>
      <c r="C3" s="30"/>
      <c r="D3" s="30"/>
      <c r="E3" s="30"/>
      <c r="F3" s="30"/>
      <c r="G3" s="30"/>
    </row>
    <row r="4" spans="1:7" ht="18.75">
      <c r="A4" s="30"/>
      <c r="B4" s="108" t="s">
        <v>250</v>
      </c>
      <c r="C4" s="108"/>
      <c r="D4" s="108"/>
      <c r="E4" s="108"/>
      <c r="F4" s="30"/>
      <c r="G4" s="30"/>
    </row>
    <row r="5" spans="1:7" ht="15">
      <c r="A5" s="21"/>
      <c r="B5" s="21"/>
      <c r="C5" s="142">
        <v>2011</v>
      </c>
      <c r="D5" s="142">
        <v>2010</v>
      </c>
      <c r="E5" s="142">
        <v>2009</v>
      </c>
      <c r="F5" s="142">
        <v>2008</v>
      </c>
      <c r="G5" s="142"/>
    </row>
    <row r="6" spans="1:7" ht="30" customHeight="1">
      <c r="A6" s="1" t="s">
        <v>0</v>
      </c>
      <c r="B6" s="1" t="s">
        <v>55</v>
      </c>
      <c r="C6" s="143" t="s">
        <v>2</v>
      </c>
      <c r="D6" s="143" t="s">
        <v>56</v>
      </c>
      <c r="E6" s="143" t="s">
        <v>56</v>
      </c>
      <c r="F6" s="143" t="s">
        <v>56</v>
      </c>
      <c r="G6" s="143">
        <v>2007</v>
      </c>
    </row>
    <row r="7" spans="1:7" s="12" customFormat="1" ht="27" customHeight="1">
      <c r="A7" s="16">
        <v>1</v>
      </c>
      <c r="B7" s="17" t="s">
        <v>57</v>
      </c>
      <c r="C7" s="86">
        <f>'[5]2011 Fitim Humbje Te ardhurat'!$E$11</f>
        <v>374700</v>
      </c>
      <c r="D7" s="86">
        <f>'[4]Fitim Humbje Te ardhurat'!$E$11</f>
        <v>83082</v>
      </c>
      <c r="E7" s="86">
        <f>'[2]Fitim Humbje Te ardhurat'!$E$9</f>
        <v>1278049.25</v>
      </c>
      <c r="F7" s="86">
        <v>1563741</v>
      </c>
      <c r="G7" s="86">
        <v>1028600</v>
      </c>
    </row>
    <row r="8" spans="1:7" s="12" customFormat="1" ht="27" customHeight="1">
      <c r="A8" s="16">
        <v>2</v>
      </c>
      <c r="B8" s="17" t="s">
        <v>58</v>
      </c>
      <c r="C8" s="17"/>
      <c r="D8" s="17"/>
      <c r="E8" s="17"/>
      <c r="F8" s="86">
        <v>0</v>
      </c>
      <c r="G8" s="86">
        <v>0</v>
      </c>
    </row>
    <row r="9" spans="1:7" s="12" customFormat="1" ht="27" customHeight="1">
      <c r="A9" s="16">
        <v>3</v>
      </c>
      <c r="B9" s="17" t="s">
        <v>59</v>
      </c>
      <c r="C9" s="17"/>
      <c r="D9" s="17"/>
      <c r="E9" s="17"/>
      <c r="F9" s="100">
        <v>0</v>
      </c>
      <c r="G9" s="86">
        <v>0</v>
      </c>
    </row>
    <row r="10" spans="1:7" s="12" customFormat="1" ht="27" customHeight="1">
      <c r="A10" s="16">
        <v>4</v>
      </c>
      <c r="B10" s="17" t="s">
        <v>60</v>
      </c>
      <c r="C10" s="65">
        <f>SUM(C11:C12)</f>
        <v>1381956</v>
      </c>
      <c r="D10" s="65">
        <f>SUM(D11:D12)</f>
        <v>2814300</v>
      </c>
      <c r="E10" s="65">
        <f>SUM(E11:E12)</f>
        <v>1543232</v>
      </c>
      <c r="F10" s="65">
        <f>SUM(F11:F12)</f>
        <v>1439952</v>
      </c>
      <c r="G10" s="65">
        <f>SUM(G11:G12)</f>
        <v>1387052</v>
      </c>
    </row>
    <row r="11" spans="1:7" s="12" customFormat="1" ht="27" customHeight="1">
      <c r="A11" s="16"/>
      <c r="B11" s="18" t="s">
        <v>70</v>
      </c>
      <c r="C11" s="29">
        <f>'[5]2011 Fitim Humbje Shpenzime '!$E$18</f>
        <v>1244280</v>
      </c>
      <c r="D11" s="29">
        <f>'[4]Fitim Humbje Shpenzime '!$E$18</f>
        <v>2493600</v>
      </c>
      <c r="E11" s="29">
        <f>'[2]Fitim Humbje Shpenzime '!$E$18</f>
        <v>1327950</v>
      </c>
      <c r="F11" s="29">
        <v>1183200</v>
      </c>
      <c r="G11" s="28">
        <v>1126403</v>
      </c>
    </row>
    <row r="12" spans="1:7" ht="27" customHeight="1">
      <c r="A12" s="16"/>
      <c r="B12" s="18" t="s">
        <v>245</v>
      </c>
      <c r="C12" s="29">
        <f>'[5]2011 Fitim Humbje Shpenzime '!$E$20</f>
        <v>137676</v>
      </c>
      <c r="D12" s="29">
        <f>'[4]Fitim Humbje Shpenzime '!$E$20</f>
        <v>320700</v>
      </c>
      <c r="E12" s="29">
        <f>'[2]Fitim Humbje Shpenzime '!$E$20</f>
        <v>215282</v>
      </c>
      <c r="F12" s="29">
        <v>256752</v>
      </c>
      <c r="G12" s="29">
        <v>260649</v>
      </c>
    </row>
    <row r="13" spans="1:7" ht="27" customHeight="1">
      <c r="A13" s="16">
        <v>5</v>
      </c>
      <c r="B13" s="18" t="s">
        <v>61</v>
      </c>
      <c r="C13" s="29">
        <f>'[5]2011 Fitim Humbje Shpenzime '!$E$26</f>
        <v>0</v>
      </c>
      <c r="D13" s="29">
        <f>'[4]Fitim Humbje Shpenzime '!$E$26</f>
        <v>0</v>
      </c>
      <c r="E13" s="65">
        <f>'[2]Fitim Humbje Shpenzime '!$E$26</f>
        <v>218431</v>
      </c>
      <c r="F13" s="65">
        <v>290191</v>
      </c>
      <c r="G13" s="65">
        <v>385610</v>
      </c>
    </row>
    <row r="14" spans="1:7" ht="27" customHeight="1">
      <c r="A14" s="16">
        <v>6</v>
      </c>
      <c r="B14" s="101" t="s">
        <v>248</v>
      </c>
      <c r="C14" s="180">
        <f>'[5]2011 Fitim Humbje Shpenzime '!$E$21</f>
        <v>195520</v>
      </c>
      <c r="D14" s="180">
        <f>'[4]Fitim Humbje Shpenzime '!$E$21</f>
        <v>220520</v>
      </c>
      <c r="E14" s="65">
        <f>'[2]Fitim Humbje Shpenzime '!$E$21</f>
        <v>204738.37</v>
      </c>
      <c r="F14" s="65">
        <v>230559</v>
      </c>
      <c r="G14" s="65">
        <v>183700</v>
      </c>
    </row>
    <row r="15" spans="1:7" ht="27" customHeight="1">
      <c r="A15" s="16">
        <v>7</v>
      </c>
      <c r="B15" s="18" t="s">
        <v>62</v>
      </c>
      <c r="C15" s="180">
        <f>'[5]2011 Fitim Humbje Shpenzime '!$E$16+'[5]2011 Fitim Humbje Shpenzime '!$E$25</f>
        <v>1016909.54</v>
      </c>
      <c r="D15" s="180">
        <f>'[4]Fitim Humbje Shpenzime '!$E$16+'[4]Fitim Humbje Shpenzime '!$E$25</f>
        <v>907259.0399999999</v>
      </c>
      <c r="E15" s="65">
        <f>10000+336000+508112+100+6670.52+53000</f>
        <v>913882.52</v>
      </c>
      <c r="F15" s="65">
        <f>1018468+20846</f>
        <v>1039314</v>
      </c>
      <c r="G15" s="65">
        <f>365100+38932</f>
        <v>404032</v>
      </c>
    </row>
    <row r="16" spans="1:7" ht="27" customHeight="1">
      <c r="A16" s="16">
        <v>8</v>
      </c>
      <c r="B16" s="19" t="s">
        <v>246</v>
      </c>
      <c r="C16" s="27">
        <f>C9+C10+C13+C14+C15</f>
        <v>2594385.54</v>
      </c>
      <c r="D16" s="27">
        <f>D9+D10+D13+D14+D15</f>
        <v>3942079.04</v>
      </c>
      <c r="E16" s="27">
        <f>E9+E10+E13+E14+E15</f>
        <v>2880283.89</v>
      </c>
      <c r="F16" s="27">
        <f>F9+F10+F13+F14+F15</f>
        <v>3000016</v>
      </c>
      <c r="G16" s="27">
        <f>G9+G10+G13+G14+G15</f>
        <v>2360394</v>
      </c>
    </row>
    <row r="17" spans="1:8" ht="27" customHeight="1">
      <c r="A17" s="16">
        <v>9</v>
      </c>
      <c r="B17" s="19" t="s">
        <v>247</v>
      </c>
      <c r="C17" s="27">
        <f>C7+C8-C16</f>
        <v>-2219685.54</v>
      </c>
      <c r="D17" s="27">
        <f>D7+D8-D16</f>
        <v>-3858997.04</v>
      </c>
      <c r="E17" s="27">
        <f>E7+E8-E16</f>
        <v>-1602234.6400000001</v>
      </c>
      <c r="F17" s="27">
        <f>F7+F8-F16</f>
        <v>-1436275</v>
      </c>
      <c r="G17" s="27">
        <f>G7+G8-G16</f>
        <v>-1331794</v>
      </c>
      <c r="H17" s="44"/>
    </row>
    <row r="18" spans="1:7" ht="27" customHeight="1">
      <c r="A18" s="16">
        <v>10</v>
      </c>
      <c r="B18" s="18" t="s">
        <v>63</v>
      </c>
      <c r="C18" s="18"/>
      <c r="D18" s="18"/>
      <c r="E18" s="18"/>
      <c r="F18" s="65">
        <v>0</v>
      </c>
      <c r="G18" s="65">
        <v>0</v>
      </c>
    </row>
    <row r="19" spans="1:7" ht="27" customHeight="1">
      <c r="A19" s="16">
        <v>11</v>
      </c>
      <c r="B19" s="18" t="s">
        <v>249</v>
      </c>
      <c r="C19" s="18"/>
      <c r="D19" s="18"/>
      <c r="E19" s="18"/>
      <c r="F19" s="65">
        <v>0</v>
      </c>
      <c r="G19" s="65">
        <v>0</v>
      </c>
    </row>
    <row r="20" spans="1:7" ht="27" customHeight="1">
      <c r="A20" s="16">
        <v>12</v>
      </c>
      <c r="B20" s="18" t="s">
        <v>64</v>
      </c>
      <c r="C20" s="65">
        <f>SUM(C21:C25)</f>
        <v>41404.07</v>
      </c>
      <c r="D20" s="65">
        <f>SUM(D21:D25)</f>
        <v>-3146.09</v>
      </c>
      <c r="E20" s="65">
        <f>SUM(E21:E25)</f>
        <v>80869.5</v>
      </c>
      <c r="F20" s="65">
        <f>SUM(F21:F25)</f>
        <v>6672</v>
      </c>
      <c r="G20" s="65">
        <f>SUM(G21:G24)</f>
        <v>0</v>
      </c>
    </row>
    <row r="21" spans="1:7" ht="27" customHeight="1">
      <c r="A21" s="18"/>
      <c r="B21" s="18" t="s">
        <v>71</v>
      </c>
      <c r="C21" s="18"/>
      <c r="D21" s="18"/>
      <c r="E21" s="18"/>
      <c r="F21" s="29"/>
      <c r="G21" s="29"/>
    </row>
    <row r="22" spans="1:7" ht="27" customHeight="1">
      <c r="A22" s="18"/>
      <c r="B22" s="18" t="s">
        <v>72</v>
      </c>
      <c r="C22" s="18"/>
      <c r="D22" s="18"/>
      <c r="E22" s="18"/>
      <c r="F22" s="29"/>
      <c r="G22" s="29"/>
    </row>
    <row r="23" spans="1:7" ht="27" customHeight="1">
      <c r="A23" s="18"/>
      <c r="B23" s="18" t="s">
        <v>73</v>
      </c>
      <c r="C23" s="29">
        <f>'[5]2011 Fitim Humbje Te ardhurat'!$E$33-'[5]2011 Fitim Humbje Shpenzime '!$E$36</f>
        <v>3772.0699999999997</v>
      </c>
      <c r="D23" s="29">
        <f>548.31-3694.4</f>
        <v>-3146.09</v>
      </c>
      <c r="E23" s="18"/>
      <c r="F23" s="29">
        <f>6672</f>
        <v>6672</v>
      </c>
      <c r="G23" s="29">
        <v>0</v>
      </c>
    </row>
    <row r="24" spans="1:7" ht="27" customHeight="1">
      <c r="A24" s="18"/>
      <c r="B24" s="18" t="s">
        <v>268</v>
      </c>
      <c r="C24" s="29">
        <v>37632</v>
      </c>
      <c r="D24" s="18"/>
      <c r="E24" s="29">
        <v>80869.5</v>
      </c>
      <c r="F24" s="29"/>
      <c r="G24" s="29"/>
    </row>
    <row r="25" spans="1:7" ht="27" customHeight="1">
      <c r="A25" s="18"/>
      <c r="B25" s="18" t="s">
        <v>200</v>
      </c>
      <c r="C25" s="18"/>
      <c r="D25" s="18"/>
      <c r="E25" s="18"/>
      <c r="F25" s="29"/>
      <c r="G25" s="29"/>
    </row>
    <row r="26" spans="1:7" ht="27" customHeight="1">
      <c r="A26" s="1">
        <v>13</v>
      </c>
      <c r="B26" s="20" t="s">
        <v>65</v>
      </c>
      <c r="C26" s="27">
        <f>SUM(C18:C20)</f>
        <v>41404.07</v>
      </c>
      <c r="D26" s="27">
        <f>SUM(D18:D20)</f>
        <v>-3146.09</v>
      </c>
      <c r="E26" s="27">
        <f>SUM(E18:E20)</f>
        <v>80869.5</v>
      </c>
      <c r="F26" s="27">
        <f>SUM(F18:F20)</f>
        <v>6672</v>
      </c>
      <c r="G26" s="27">
        <f>SUM(G18:G20)</f>
        <v>0</v>
      </c>
    </row>
    <row r="27" spans="1:7" ht="27" customHeight="1">
      <c r="A27" s="1">
        <v>14</v>
      </c>
      <c r="B27" s="19" t="s">
        <v>66</v>
      </c>
      <c r="C27" s="27">
        <f>SUM(C17+C26)</f>
        <v>-2178281.47</v>
      </c>
      <c r="D27" s="27">
        <f>SUM(D17+D26)</f>
        <v>-3862143.13</v>
      </c>
      <c r="E27" s="27">
        <f>SUM(E17+E26)</f>
        <v>-1521365.1400000001</v>
      </c>
      <c r="F27" s="27">
        <f>SUM(F17+F26)</f>
        <v>-1429603</v>
      </c>
      <c r="G27" s="27">
        <f>SUM(G17+G26)</f>
        <v>-1331794</v>
      </c>
    </row>
    <row r="28" spans="1:7" ht="27" customHeight="1">
      <c r="A28" s="1">
        <v>15</v>
      </c>
      <c r="B28" s="18" t="s">
        <v>67</v>
      </c>
      <c r="C28" s="18"/>
      <c r="D28" s="18"/>
      <c r="E28" s="18"/>
      <c r="F28" s="29"/>
      <c r="G28" s="29"/>
    </row>
    <row r="29" spans="1:7" ht="23.25" customHeight="1">
      <c r="A29" s="1">
        <v>16</v>
      </c>
      <c r="B29" s="19" t="s">
        <v>68</v>
      </c>
      <c r="C29" s="27">
        <f>SUM(C27-C28)</f>
        <v>-2178281.47</v>
      </c>
      <c r="D29" s="27">
        <f>SUM(D27-D28)</f>
        <v>-3862143.13</v>
      </c>
      <c r="E29" s="27">
        <f>SUM(E27-E28)</f>
        <v>-1521365.1400000001</v>
      </c>
      <c r="F29" s="27">
        <f>SUM(F27-F28)</f>
        <v>-1429603</v>
      </c>
      <c r="G29" s="27">
        <f>SUM(G27-G28)</f>
        <v>-1331794</v>
      </c>
    </row>
    <row r="30" spans="1:8" ht="19.5" customHeight="1">
      <c r="A30" s="109"/>
      <c r="B30" s="110" t="s">
        <v>69</v>
      </c>
      <c r="C30" s="110"/>
      <c r="D30" s="110"/>
      <c r="E30" s="110"/>
      <c r="F30" s="111"/>
      <c r="G30" s="111"/>
      <c r="H30" s="44"/>
    </row>
  </sheetData>
  <sheetProtection/>
  <mergeCells count="2">
    <mergeCell ref="A1:G1"/>
    <mergeCell ref="A2:G2"/>
  </mergeCells>
  <printOptions/>
  <pageMargins left="0.5" right="0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7109375" style="0" customWidth="1"/>
    <col min="2" max="2" width="49.421875" style="0" customWidth="1"/>
    <col min="3" max="3" width="17.7109375" style="0" customWidth="1"/>
    <col min="4" max="4" width="16.00390625" style="0" customWidth="1"/>
    <col min="5" max="5" width="10.57421875" style="0" hidden="1" customWidth="1"/>
    <col min="6" max="6" width="10.8515625" style="81" hidden="1" customWidth="1"/>
    <col min="7" max="7" width="0.13671875" style="81" hidden="1" customWidth="1"/>
    <col min="8" max="8" width="10.140625" style="36" bestFit="1" customWidth="1"/>
    <col min="9" max="11" width="9.00390625" style="36" customWidth="1"/>
  </cols>
  <sheetData>
    <row r="1" spans="1:7" ht="18.75">
      <c r="A1" s="221" t="s">
        <v>278</v>
      </c>
      <c r="B1" s="221"/>
      <c r="C1" s="221"/>
      <c r="D1" s="221"/>
      <c r="E1" s="221"/>
      <c r="F1" s="221"/>
      <c r="G1" s="221"/>
    </row>
    <row r="2" spans="1:7" ht="18.75">
      <c r="A2" s="223" t="s">
        <v>250</v>
      </c>
      <c r="B2" s="223"/>
      <c r="C2" s="223"/>
      <c r="D2" s="223"/>
      <c r="E2" s="223"/>
      <c r="F2" s="223"/>
      <c r="G2" s="223"/>
    </row>
    <row r="3" spans="1:7" ht="15">
      <c r="A3" s="21"/>
      <c r="B3" s="21"/>
      <c r="C3" s="144">
        <v>2011</v>
      </c>
      <c r="D3" s="174">
        <v>2010</v>
      </c>
      <c r="E3" s="142">
        <v>2009</v>
      </c>
      <c r="F3" s="144">
        <v>2008</v>
      </c>
      <c r="G3" s="78"/>
    </row>
    <row r="4" spans="1:11" s="112" customFormat="1" ht="30" customHeight="1">
      <c r="A4" s="107" t="s">
        <v>0</v>
      </c>
      <c r="B4" s="107" t="s">
        <v>91</v>
      </c>
      <c r="C4" s="160" t="s">
        <v>2</v>
      </c>
      <c r="D4" s="160" t="s">
        <v>56</v>
      </c>
      <c r="E4" s="160" t="s">
        <v>56</v>
      </c>
      <c r="F4" s="160" t="s">
        <v>56</v>
      </c>
      <c r="G4" s="160">
        <v>2007</v>
      </c>
      <c r="H4" s="161"/>
      <c r="I4" s="161"/>
      <c r="J4" s="161"/>
      <c r="K4" s="161"/>
    </row>
    <row r="5" spans="1:11" s="12" customFormat="1" ht="22.5" customHeight="1">
      <c r="A5" s="1" t="s">
        <v>3</v>
      </c>
      <c r="B5" s="20" t="s">
        <v>102</v>
      </c>
      <c r="C5" s="173">
        <f>SUM(C6:C18)</f>
        <v>2521635.2600000016</v>
      </c>
      <c r="D5" s="173">
        <f>SUM(D6:D18)</f>
        <v>3939214</v>
      </c>
      <c r="E5" s="173">
        <f>SUM(E6:E18)</f>
        <v>-1698074.3399999999</v>
      </c>
      <c r="F5" s="79">
        <f>SUM(F6:F18)</f>
        <v>-802908</v>
      </c>
      <c r="G5" s="79">
        <f>SUM(G6:G18)</f>
        <v>946185</v>
      </c>
      <c r="H5" s="162"/>
      <c r="I5" s="162"/>
      <c r="J5" s="162"/>
      <c r="K5" s="162"/>
    </row>
    <row r="6" spans="1:11" s="12" customFormat="1" ht="22.5" customHeight="1">
      <c r="A6" s="16"/>
      <c r="B6" s="18" t="s">
        <v>92</v>
      </c>
      <c r="C6" s="18"/>
      <c r="D6" s="18"/>
      <c r="E6" s="80"/>
      <c r="F6" s="80"/>
      <c r="G6" s="80"/>
      <c r="H6" s="162"/>
      <c r="I6" s="162"/>
      <c r="J6" s="162"/>
      <c r="K6" s="162"/>
    </row>
    <row r="7" spans="1:11" s="12" customFormat="1" ht="22.5" customHeight="1">
      <c r="A7" s="16"/>
      <c r="B7" s="18" t="s">
        <v>93</v>
      </c>
      <c r="C7" s="18"/>
      <c r="D7" s="18"/>
      <c r="E7" s="80"/>
      <c r="F7" s="80"/>
      <c r="G7" s="80"/>
      <c r="H7" s="162"/>
      <c r="I7" s="162"/>
      <c r="J7" s="162"/>
      <c r="K7" s="162"/>
    </row>
    <row r="8" spans="1:11" s="12" customFormat="1" ht="22.5" customHeight="1">
      <c r="A8" s="16"/>
      <c r="B8" s="18" t="s">
        <v>94</v>
      </c>
      <c r="C8" s="18"/>
      <c r="D8" s="18"/>
      <c r="E8" s="80"/>
      <c r="F8" s="80"/>
      <c r="G8" s="80"/>
      <c r="H8" s="162"/>
      <c r="I8" s="162"/>
      <c r="J8" s="162"/>
      <c r="K8" s="162"/>
    </row>
    <row r="9" spans="1:11" s="12" customFormat="1" ht="22.5" customHeight="1">
      <c r="A9" s="16"/>
      <c r="B9" s="18" t="s">
        <v>95</v>
      </c>
      <c r="C9" s="18"/>
      <c r="D9" s="18"/>
      <c r="E9" s="80"/>
      <c r="F9" s="80"/>
      <c r="G9" s="80"/>
      <c r="H9" s="162"/>
      <c r="I9" s="162"/>
      <c r="J9" s="162"/>
      <c r="K9" s="162"/>
    </row>
    <row r="10" spans="1:7" ht="22.5" customHeight="1">
      <c r="A10" s="1"/>
      <c r="B10" s="18" t="s">
        <v>96</v>
      </c>
      <c r="C10" s="18"/>
      <c r="D10" s="18"/>
      <c r="E10" s="80"/>
      <c r="F10" s="80"/>
      <c r="G10" s="80"/>
    </row>
    <row r="11" spans="1:7" ht="22.5" customHeight="1">
      <c r="A11" s="1"/>
      <c r="B11" s="18" t="s">
        <v>97</v>
      </c>
      <c r="C11" s="18"/>
      <c r="D11" s="18"/>
      <c r="E11" s="80"/>
      <c r="F11" s="80"/>
      <c r="G11" s="80"/>
    </row>
    <row r="12" spans="1:7" ht="31.5" customHeight="1">
      <c r="A12" s="1"/>
      <c r="B12" s="23" t="s">
        <v>228</v>
      </c>
      <c r="C12" s="80">
        <f>'Pasq.Ndih.Cash flow2011'!G22+'Pasq.Ndih.Cash flow2011'!G23</f>
        <v>0</v>
      </c>
      <c r="D12" s="80">
        <f>'CF 2010'!G22+'CF 2010'!G23</f>
        <v>96035</v>
      </c>
      <c r="E12" s="80">
        <f>'JO CF 2009'!G22+'JO CF 2009'!G23</f>
        <v>-27349</v>
      </c>
      <c r="F12" s="80">
        <f>'JO CF 2008 '!G22+'JO CF 2008 '!G23</f>
        <v>53914</v>
      </c>
      <c r="G12" s="80">
        <f>'CF 2007'!G23+'CF 2007'!G24</f>
        <v>-476999</v>
      </c>
    </row>
    <row r="13" spans="1:7" ht="22.5" customHeight="1">
      <c r="A13" s="1"/>
      <c r="B13" s="22" t="s">
        <v>98</v>
      </c>
      <c r="C13" s="80">
        <f>'Pasq.Ndih.Cash flow2011'!G21</f>
        <v>0</v>
      </c>
      <c r="D13" s="80">
        <f>'CF 2010'!G21</f>
        <v>0</v>
      </c>
      <c r="E13" s="80">
        <f>'JO CF 2009'!G21</f>
        <v>-11099.5</v>
      </c>
      <c r="F13" s="80">
        <f>'JO CF 2008 '!G21</f>
        <v>0</v>
      </c>
      <c r="G13" s="80">
        <f>'CF 2007'!G22</f>
        <v>-17600</v>
      </c>
    </row>
    <row r="14" spans="1:7" ht="22.5" customHeight="1">
      <c r="A14" s="1"/>
      <c r="B14" s="22" t="s">
        <v>99</v>
      </c>
      <c r="C14" s="172">
        <f>'Pasq.Ndih.Cash flow2011'!G25+'Pasq.Ndih.Cash flow2011'!G26</f>
        <v>2521635.2600000016</v>
      </c>
      <c r="D14" s="172">
        <f>'CF 2010'!G25+'CF 2010'!G26</f>
        <v>3843179</v>
      </c>
      <c r="E14" s="172">
        <f>'JO CF 2009'!G25+'JO CF 2009'!G26</f>
        <v>-1659625.8399999999</v>
      </c>
      <c r="F14" s="80">
        <f>'JO CF 2008 '!G25+'JO CF 2008 '!G26</f>
        <v>-856822</v>
      </c>
      <c r="G14" s="80">
        <f>'CF 2007'!G26+'CF 2007'!G27</f>
        <v>1440784</v>
      </c>
    </row>
    <row r="15" spans="1:7" ht="22.5" customHeight="1">
      <c r="A15" s="18"/>
      <c r="B15" s="22" t="s">
        <v>100</v>
      </c>
      <c r="C15" s="22"/>
      <c r="D15" s="22"/>
      <c r="E15" s="80"/>
      <c r="F15" s="80"/>
      <c r="G15" s="80"/>
    </row>
    <row r="16" spans="1:7" ht="22.5" customHeight="1">
      <c r="A16" s="18"/>
      <c r="B16" s="22" t="s">
        <v>75</v>
      </c>
      <c r="C16" s="22"/>
      <c r="D16" s="22"/>
      <c r="E16" s="80"/>
      <c r="F16" s="80"/>
      <c r="G16" s="80"/>
    </row>
    <row r="17" spans="1:7" ht="22.5" customHeight="1">
      <c r="A17" s="18"/>
      <c r="B17" s="22" t="s">
        <v>76</v>
      </c>
      <c r="C17" s="22"/>
      <c r="D17" s="22"/>
      <c r="E17" s="80"/>
      <c r="F17" s="80"/>
      <c r="G17" s="80"/>
    </row>
    <row r="18" spans="1:7" ht="22.5" customHeight="1">
      <c r="A18" s="18"/>
      <c r="B18" s="22" t="s">
        <v>101</v>
      </c>
      <c r="C18" s="22"/>
      <c r="D18" s="22"/>
      <c r="E18" s="80"/>
      <c r="F18" s="80"/>
      <c r="G18" s="80"/>
    </row>
    <row r="19" spans="1:7" ht="22.5" customHeight="1">
      <c r="A19" s="18" t="s">
        <v>120</v>
      </c>
      <c r="B19" s="20" t="s">
        <v>74</v>
      </c>
      <c r="C19" s="79">
        <f>SUM(C20:C25)</f>
        <v>0.09999999997671694</v>
      </c>
      <c r="D19" s="79">
        <f>SUM(D20:D25)</f>
        <v>0.4600000000791624</v>
      </c>
      <c r="E19" s="79">
        <f>SUM(E20:E25)</f>
        <v>218430.59999999998</v>
      </c>
      <c r="F19" s="79">
        <f>SUM(F20:F25)</f>
        <v>290190</v>
      </c>
      <c r="G19" s="79">
        <f>SUM(G20:G25)</f>
        <v>385611</v>
      </c>
    </row>
    <row r="20" spans="1:7" ht="22.5" customHeight="1">
      <c r="A20" s="18"/>
      <c r="B20" s="22" t="s">
        <v>77</v>
      </c>
      <c r="C20" s="22"/>
      <c r="D20" s="22"/>
      <c r="E20" s="80"/>
      <c r="F20" s="80"/>
      <c r="G20" s="80"/>
    </row>
    <row r="21" spans="1:8" ht="22.5" customHeight="1">
      <c r="A21" s="18"/>
      <c r="B21" s="22" t="s">
        <v>78</v>
      </c>
      <c r="C21" s="80">
        <f>'Pasq.Ndih.Cash flow2011'!G19</f>
        <v>0.09999999997671694</v>
      </c>
      <c r="D21" s="80">
        <f>'CF 2010'!G19</f>
        <v>0.4600000000791624</v>
      </c>
      <c r="E21" s="80">
        <f>'JO CF 2009'!G19</f>
        <v>218430.59999999998</v>
      </c>
      <c r="F21" s="80">
        <f>'JO CF 2008 '!G19</f>
        <v>290190</v>
      </c>
      <c r="G21" s="80">
        <f>'CF 2007'!G20</f>
        <v>385611</v>
      </c>
      <c r="H21" s="111"/>
    </row>
    <row r="22" spans="1:7" ht="22.5" customHeight="1">
      <c r="A22" s="18"/>
      <c r="B22" s="22" t="s">
        <v>79</v>
      </c>
      <c r="C22" s="22"/>
      <c r="D22" s="22"/>
      <c r="E22" s="80"/>
      <c r="F22" s="80"/>
      <c r="G22" s="80"/>
    </row>
    <row r="23" spans="1:7" ht="22.5" customHeight="1">
      <c r="A23" s="18"/>
      <c r="B23" s="18" t="s">
        <v>80</v>
      </c>
      <c r="C23" s="18"/>
      <c r="D23" s="18"/>
      <c r="E23" s="80"/>
      <c r="F23" s="80"/>
      <c r="G23" s="80"/>
    </row>
    <row r="24" spans="1:7" ht="22.5" customHeight="1">
      <c r="A24" s="18"/>
      <c r="B24" s="22" t="s">
        <v>81</v>
      </c>
      <c r="C24" s="22"/>
      <c r="D24" s="22"/>
      <c r="E24" s="80"/>
      <c r="F24" s="80"/>
      <c r="G24" s="80"/>
    </row>
    <row r="25" spans="1:7" ht="22.5" customHeight="1">
      <c r="A25" s="18"/>
      <c r="B25" s="22" t="s">
        <v>82</v>
      </c>
      <c r="C25" s="22"/>
      <c r="D25" s="22"/>
      <c r="E25" s="80"/>
      <c r="F25" s="80"/>
      <c r="G25" s="80"/>
    </row>
    <row r="26" spans="1:7" ht="22.5" customHeight="1">
      <c r="A26" s="18" t="s">
        <v>42</v>
      </c>
      <c r="B26" s="20" t="s">
        <v>103</v>
      </c>
      <c r="C26" s="79">
        <f>SUM(C27:C31)</f>
        <v>-2178281.469999999</v>
      </c>
      <c r="D26" s="79">
        <f>SUM(D27:D31)</f>
        <v>-3862143.129999999</v>
      </c>
      <c r="E26" s="79">
        <f>SUM(E27:E31)</f>
        <v>978634.8599999994</v>
      </c>
      <c r="F26" s="79">
        <f>SUM(F27:F31)</f>
        <v>1070397</v>
      </c>
      <c r="G26" s="79">
        <f>SUM(G27:G31)</f>
        <v>-1331794</v>
      </c>
    </row>
    <row r="27" spans="1:7" ht="18.75" customHeight="1">
      <c r="A27" s="18"/>
      <c r="B27" s="22" t="s">
        <v>83</v>
      </c>
      <c r="C27" s="80">
        <f>'Pasq.Ndih.Cash flow2011'!F24</f>
        <v>-2178281.469999999</v>
      </c>
      <c r="D27" s="80">
        <f>'CF 2010'!F24</f>
        <v>-3862143.129999999</v>
      </c>
      <c r="E27" s="80">
        <f>'JO CF 2009'!F24</f>
        <v>978634.8599999994</v>
      </c>
      <c r="F27" s="80">
        <f>'JO CF 2008 '!G24</f>
        <v>1070397</v>
      </c>
      <c r="G27" s="80">
        <f>'CF 2007'!G25</f>
        <v>-1331794</v>
      </c>
    </row>
    <row r="28" spans="1:7" ht="17.25" customHeight="1">
      <c r="A28" s="18"/>
      <c r="B28" s="22" t="s">
        <v>84</v>
      </c>
      <c r="C28" s="22"/>
      <c r="D28" s="22"/>
      <c r="E28" s="80"/>
      <c r="F28" s="80"/>
      <c r="G28" s="80"/>
    </row>
    <row r="29" spans="1:7" ht="19.5" customHeight="1">
      <c r="A29" s="18"/>
      <c r="B29" s="22" t="s">
        <v>85</v>
      </c>
      <c r="C29" s="22"/>
      <c r="D29" s="22"/>
      <c r="E29" s="80"/>
      <c r="F29" s="80"/>
      <c r="G29" s="80"/>
    </row>
    <row r="30" spans="1:7" ht="15.75" customHeight="1">
      <c r="A30" s="18"/>
      <c r="B30" s="22" t="s">
        <v>86</v>
      </c>
      <c r="C30" s="22"/>
      <c r="D30" s="22"/>
      <c r="E30" s="80"/>
      <c r="F30" s="80"/>
      <c r="G30" s="80"/>
    </row>
    <row r="31" spans="1:7" ht="20.25" customHeight="1">
      <c r="A31" s="18"/>
      <c r="B31" s="22" t="s">
        <v>87</v>
      </c>
      <c r="C31" s="22"/>
      <c r="D31" s="22"/>
      <c r="E31" s="80"/>
      <c r="F31" s="80"/>
      <c r="G31" s="80"/>
    </row>
    <row r="32" spans="1:7" ht="22.5" customHeight="1">
      <c r="A32" s="18" t="s">
        <v>193</v>
      </c>
      <c r="B32" s="20" t="s">
        <v>88</v>
      </c>
      <c r="C32" s="79">
        <f>C26+C19+C5</f>
        <v>343353.8900000029</v>
      </c>
      <c r="D32" s="79">
        <f>D26+D19+D5-0.6</f>
        <v>77070.730000001</v>
      </c>
      <c r="E32" s="79">
        <f>E26+E19+E5-1</f>
        <v>-501009.88000000035</v>
      </c>
      <c r="F32" s="79">
        <f>F26+F19+F5</f>
        <v>557679</v>
      </c>
      <c r="G32" s="79">
        <f>G26+G19+G5-2</f>
        <v>0</v>
      </c>
    </row>
    <row r="33" spans="1:7" ht="22.5" customHeight="1">
      <c r="A33" s="1" t="s">
        <v>194</v>
      </c>
      <c r="B33" s="20" t="s">
        <v>89</v>
      </c>
      <c r="C33" s="79">
        <f>'Pasq.Ndih.Cash flow2011'!I13</f>
        <v>133741.98</v>
      </c>
      <c r="D33" s="79">
        <f>'CF 2010'!I13</f>
        <v>56671.11</v>
      </c>
      <c r="E33" s="79">
        <f>'JO CF 2009'!I13</f>
        <v>557680</v>
      </c>
      <c r="F33" s="79">
        <f>'JO CF 2008 '!I13</f>
        <v>0</v>
      </c>
      <c r="G33" s="79">
        <f>'CF 2007'!I14</f>
        <v>0</v>
      </c>
    </row>
    <row r="34" spans="1:7" ht="22.5" customHeight="1">
      <c r="A34" s="1"/>
      <c r="B34" s="20" t="s">
        <v>90</v>
      </c>
      <c r="C34" s="79">
        <f>SUM(C32:C33)</f>
        <v>477095.8700000029</v>
      </c>
      <c r="D34" s="79">
        <f>SUM(D32:D33)</f>
        <v>133741.84000000102</v>
      </c>
      <c r="E34" s="79">
        <f>SUM(E32:E33)</f>
        <v>56670.119999999646</v>
      </c>
      <c r="F34" s="79">
        <f>SUM(F32:F33)</f>
        <v>557679</v>
      </c>
      <c r="G34" s="79">
        <f>SUM(G32:G33)</f>
        <v>0</v>
      </c>
    </row>
  </sheetData>
  <sheetProtection/>
  <mergeCells count="2">
    <mergeCell ref="A1:G1"/>
    <mergeCell ref="A2:G2"/>
  </mergeCells>
  <printOptions/>
  <pageMargins left="0.54" right="0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L30"/>
  <sheetViews>
    <sheetView zoomScalePageLayoutView="0" workbookViewId="0" topLeftCell="A2">
      <selection activeCell="D15" sqref="D15"/>
    </sheetView>
  </sheetViews>
  <sheetFormatPr defaultColWidth="9.140625" defaultRowHeight="15"/>
  <cols>
    <col min="1" max="1" width="2.28125" style="66" customWidth="1"/>
    <col min="2" max="2" width="19.7109375" style="66" customWidth="1"/>
    <col min="3" max="3" width="17.8515625" style="66" customWidth="1"/>
    <col min="4" max="4" width="22.57421875" style="66" customWidth="1"/>
    <col min="5" max="5" width="12.00390625" style="66" customWidth="1"/>
    <col min="6" max="6" width="11.8515625" style="66" customWidth="1"/>
    <col min="7" max="7" width="11.140625" style="66" customWidth="1"/>
    <col min="8" max="8" width="11.57421875" style="66" bestFit="1" customWidth="1"/>
    <col min="9" max="9" width="11.28125" style="66" customWidth="1"/>
    <col min="10" max="10" width="11.7109375" style="66" customWidth="1"/>
    <col min="11" max="11" width="10.8515625" style="66" bestFit="1" customWidth="1"/>
    <col min="12" max="16384" width="9.140625" style="66" customWidth="1"/>
  </cols>
  <sheetData>
    <row r="2" ht="18.75">
      <c r="B2" s="113" t="s">
        <v>250</v>
      </c>
    </row>
    <row r="3" ht="15">
      <c r="I3" s="67" t="s">
        <v>204</v>
      </c>
    </row>
    <row r="5" spans="3:8" ht="15.75">
      <c r="C5" s="228" t="s">
        <v>205</v>
      </c>
      <c r="D5" s="228"/>
      <c r="E5" s="228"/>
      <c r="F5" s="228"/>
      <c r="G5" s="228"/>
      <c r="H5" s="68"/>
    </row>
    <row r="6" spans="3:8" ht="15.75">
      <c r="C6" s="228" t="s">
        <v>279</v>
      </c>
      <c r="D6" s="228"/>
      <c r="E6" s="228"/>
      <c r="F6" s="228"/>
      <c r="G6" s="228"/>
      <c r="H6" s="68"/>
    </row>
    <row r="9" spans="1:10" ht="13.5" customHeight="1">
      <c r="A9" s="224" t="s">
        <v>187</v>
      </c>
      <c r="B9" s="224" t="s">
        <v>104</v>
      </c>
      <c r="C9" s="117"/>
      <c r="D9" s="117"/>
      <c r="E9" s="117"/>
      <c r="F9" s="117"/>
      <c r="G9" s="117"/>
      <c r="H9" s="118" t="s">
        <v>206</v>
      </c>
      <c r="I9" s="118" t="s">
        <v>206</v>
      </c>
      <c r="J9" s="117" t="s">
        <v>207</v>
      </c>
    </row>
    <row r="10" spans="1:10" ht="13.5" customHeight="1">
      <c r="A10" s="225"/>
      <c r="B10" s="225"/>
      <c r="C10" s="119"/>
      <c r="D10" s="119"/>
      <c r="E10" s="119"/>
      <c r="F10" s="119"/>
      <c r="G10" s="119"/>
      <c r="H10" s="120" t="s">
        <v>280</v>
      </c>
      <c r="I10" s="120" t="s">
        <v>281</v>
      </c>
      <c r="J10" s="119" t="s">
        <v>208</v>
      </c>
    </row>
    <row r="11" spans="1:10" ht="19.5" customHeight="1">
      <c r="A11" s="69">
        <v>1</v>
      </c>
      <c r="B11" s="70" t="s">
        <v>186</v>
      </c>
      <c r="C11" s="70"/>
      <c r="D11" s="71"/>
      <c r="E11" s="71"/>
      <c r="F11" s="71"/>
      <c r="G11" s="71"/>
      <c r="H11" s="72">
        <f>'Aktivet 2011'!D8</f>
        <v>477096.27</v>
      </c>
      <c r="I11" s="72">
        <f>'Aktivet 2011'!E8</f>
        <v>133741.98</v>
      </c>
      <c r="J11" s="72">
        <f>H11-I11-1</f>
        <v>343353.29000000004</v>
      </c>
    </row>
    <row r="12" spans="1:10" ht="19.5" customHeight="1">
      <c r="A12" s="69">
        <v>2</v>
      </c>
      <c r="B12" s="70" t="s">
        <v>188</v>
      </c>
      <c r="C12" s="70"/>
      <c r="D12" s="71"/>
      <c r="E12" s="71"/>
      <c r="F12" s="71"/>
      <c r="G12" s="71"/>
      <c r="H12" s="72">
        <f>'Aktivet 2011'!D9</f>
        <v>0</v>
      </c>
      <c r="I12" s="72">
        <f>'Aktivet 2011'!E9</f>
        <v>0</v>
      </c>
      <c r="J12" s="72">
        <f>H12-I12</f>
        <v>0</v>
      </c>
    </row>
    <row r="13" spans="1:10" s="74" customFormat="1" ht="27" customHeight="1">
      <c r="A13" s="73"/>
      <c r="B13" s="114" t="s">
        <v>209</v>
      </c>
      <c r="C13" s="114"/>
      <c r="D13" s="115"/>
      <c r="E13" s="115"/>
      <c r="F13" s="115"/>
      <c r="G13" s="115"/>
      <c r="H13" s="116">
        <f>SUM(H11:H12)</f>
        <v>477096.27</v>
      </c>
      <c r="I13" s="116">
        <f>SUM(I11:I12)</f>
        <v>133741.98</v>
      </c>
      <c r="J13" s="116">
        <f>SUM(J11:J12)</f>
        <v>343353.29000000004</v>
      </c>
    </row>
    <row r="14" spans="4:10" ht="12">
      <c r="D14" s="75"/>
      <c r="E14" s="75"/>
      <c r="F14" s="75"/>
      <c r="G14" s="75"/>
      <c r="H14" s="75"/>
      <c r="I14" s="75"/>
      <c r="J14" s="75"/>
    </row>
    <row r="15" spans="4:10" ht="12">
      <c r="D15" s="75"/>
      <c r="E15" s="75"/>
      <c r="F15" s="75"/>
      <c r="G15" s="75"/>
      <c r="H15" s="75"/>
      <c r="I15" s="75"/>
      <c r="J15" s="75"/>
    </row>
    <row r="16" spans="4:10" ht="12">
      <c r="D16" s="75"/>
      <c r="E16" s="75"/>
      <c r="F16" s="75"/>
      <c r="G16" s="75"/>
      <c r="H16" s="75"/>
      <c r="I16" s="75"/>
      <c r="J16" s="75"/>
    </row>
    <row r="17" spans="1:10" s="74" customFormat="1" ht="13.5" customHeight="1">
      <c r="A17" s="224" t="s">
        <v>187</v>
      </c>
      <c r="B17" s="224" t="s">
        <v>104</v>
      </c>
      <c r="C17" s="224" t="s">
        <v>210</v>
      </c>
      <c r="D17" s="121" t="s">
        <v>206</v>
      </c>
      <c r="E17" s="121" t="s">
        <v>206</v>
      </c>
      <c r="F17" s="224" t="s">
        <v>211</v>
      </c>
      <c r="G17" s="226" t="s">
        <v>211</v>
      </c>
      <c r="H17" s="226" t="s">
        <v>212</v>
      </c>
      <c r="I17" s="226" t="s">
        <v>213</v>
      </c>
      <c r="J17" s="121" t="s">
        <v>207</v>
      </c>
    </row>
    <row r="18" spans="1:10" s="74" customFormat="1" ht="13.5" customHeight="1">
      <c r="A18" s="225"/>
      <c r="B18" s="225"/>
      <c r="C18" s="225"/>
      <c r="D18" s="122" t="s">
        <v>282</v>
      </c>
      <c r="E18" s="122" t="s">
        <v>283</v>
      </c>
      <c r="F18" s="225"/>
      <c r="G18" s="227"/>
      <c r="H18" s="227"/>
      <c r="I18" s="227"/>
      <c r="J18" s="123" t="s">
        <v>208</v>
      </c>
    </row>
    <row r="19" spans="1:11" ht="21.75" customHeight="1">
      <c r="A19" s="69">
        <v>1</v>
      </c>
      <c r="B19" s="70" t="s">
        <v>214</v>
      </c>
      <c r="C19" s="76" t="s">
        <v>215</v>
      </c>
      <c r="D19" s="145">
        <f>'Aktivet 2011'!D31</f>
        <v>667889.84</v>
      </c>
      <c r="E19" s="72">
        <f>+'Aktivet 2011'!E31</f>
        <v>667889.94</v>
      </c>
      <c r="F19" s="72">
        <f>D19-E19</f>
        <v>-0.09999999997671694</v>
      </c>
      <c r="G19" s="72">
        <f>E19-D19</f>
        <v>0.09999999997671694</v>
      </c>
      <c r="H19" s="72"/>
      <c r="I19" s="72"/>
      <c r="J19" s="72">
        <f aca="true" t="shared" si="0" ref="J19:J26">H19-I19</f>
        <v>0</v>
      </c>
      <c r="K19" s="77"/>
    </row>
    <row r="20" spans="1:11" ht="21.75" customHeight="1">
      <c r="A20" s="69">
        <v>2</v>
      </c>
      <c r="B20" s="70" t="s">
        <v>216</v>
      </c>
      <c r="C20" s="76" t="s">
        <v>217</v>
      </c>
      <c r="D20" s="145">
        <v>0</v>
      </c>
      <c r="E20" s="72">
        <v>0</v>
      </c>
      <c r="F20" s="72">
        <f>D20-E20</f>
        <v>0</v>
      </c>
      <c r="G20" s="72">
        <f>E20-D20</f>
        <v>0</v>
      </c>
      <c r="H20" s="72"/>
      <c r="I20" s="72"/>
      <c r="J20" s="72">
        <f t="shared" si="0"/>
        <v>0</v>
      </c>
      <c r="K20" s="77"/>
    </row>
    <row r="21" spans="1:11" ht="21.75" customHeight="1">
      <c r="A21" s="69">
        <v>3</v>
      </c>
      <c r="B21" s="70" t="s">
        <v>218</v>
      </c>
      <c r="C21" s="76" t="s">
        <v>215</v>
      </c>
      <c r="D21" s="145">
        <f>'Aktivet 2011'!D19</f>
        <v>452421.5</v>
      </c>
      <c r="E21" s="72">
        <f>+'Aktivet 2011'!E19</f>
        <v>452421.5</v>
      </c>
      <c r="F21" s="72">
        <f aca="true" t="shared" si="1" ref="F21:F26">D21-E21</f>
        <v>0</v>
      </c>
      <c r="G21" s="72">
        <f>E21-D21</f>
        <v>0</v>
      </c>
      <c r="H21" s="72"/>
      <c r="I21" s="72"/>
      <c r="J21" s="72">
        <f t="shared" si="0"/>
        <v>0</v>
      </c>
      <c r="K21" s="77"/>
    </row>
    <row r="22" spans="1:11" ht="21.75" customHeight="1">
      <c r="A22" s="69">
        <v>4</v>
      </c>
      <c r="B22" s="70" t="s">
        <v>219</v>
      </c>
      <c r="C22" s="76" t="s">
        <v>215</v>
      </c>
      <c r="D22" s="145">
        <f>'Aktivet 2011'!D11</f>
        <v>1399999</v>
      </c>
      <c r="E22" s="72">
        <f>+'Aktivet 2011'!E11</f>
        <v>1399999</v>
      </c>
      <c r="F22" s="72">
        <f t="shared" si="1"/>
        <v>0</v>
      </c>
      <c r="G22" s="72">
        <f>E22-D22</f>
        <v>0</v>
      </c>
      <c r="H22" s="72"/>
      <c r="I22" s="72"/>
      <c r="J22" s="72">
        <f t="shared" si="0"/>
        <v>0</v>
      </c>
      <c r="K22" s="77"/>
    </row>
    <row r="23" spans="1:11" ht="21.75" customHeight="1">
      <c r="A23" s="69">
        <v>5</v>
      </c>
      <c r="B23" s="70" t="s">
        <v>220</v>
      </c>
      <c r="C23" s="76" t="s">
        <v>215</v>
      </c>
      <c r="D23" s="72"/>
      <c r="E23" s="72">
        <v>0</v>
      </c>
      <c r="F23" s="72">
        <f t="shared" si="1"/>
        <v>0</v>
      </c>
      <c r="G23" s="72">
        <f>E23-D23</f>
        <v>0</v>
      </c>
      <c r="H23" s="72"/>
      <c r="I23" s="72"/>
      <c r="J23" s="72">
        <f>H23-I23</f>
        <v>0</v>
      </c>
      <c r="K23" s="77"/>
    </row>
    <row r="24" spans="1:11" ht="21.75" customHeight="1">
      <c r="A24" s="69">
        <v>6</v>
      </c>
      <c r="B24" s="70" t="s">
        <v>221</v>
      </c>
      <c r="C24" s="76" t="s">
        <v>217</v>
      </c>
      <c r="D24" s="145">
        <f>+'Pasivet 2011'!D27</f>
        <v>-20036486.74</v>
      </c>
      <c r="E24" s="72">
        <f>+'Pasivet 2011'!E27</f>
        <v>-17858205.27</v>
      </c>
      <c r="F24" s="72">
        <f>D24-E24</f>
        <v>-2178281.469999999</v>
      </c>
      <c r="G24" s="72">
        <f>-(E24-D24)</f>
        <v>-2178281.469999999</v>
      </c>
      <c r="H24" s="72"/>
      <c r="I24" s="72"/>
      <c r="J24" s="72">
        <f t="shared" si="0"/>
        <v>0</v>
      </c>
      <c r="K24" s="77"/>
    </row>
    <row r="25" spans="1:12" ht="21.75" customHeight="1">
      <c r="A25" s="69">
        <v>7</v>
      </c>
      <c r="B25" s="70" t="s">
        <v>222</v>
      </c>
      <c r="C25" s="76" t="s">
        <v>217</v>
      </c>
      <c r="D25" s="145">
        <f>+'Pasivet 2011'!D11+'Pasivet 2011'!D19+'Pasivet 2011'!D18</f>
        <v>23033893.42</v>
      </c>
      <c r="E25" s="72">
        <f>+'Pasivet 2011'!E11+'Pasivet 2011'!E19+'Pasivet 2011'!E18</f>
        <v>20512258.16</v>
      </c>
      <c r="F25" s="72">
        <f t="shared" si="1"/>
        <v>2521635.2600000016</v>
      </c>
      <c r="G25" s="72">
        <f>-(E25-D25)</f>
        <v>2521635.2600000016</v>
      </c>
      <c r="H25" s="72"/>
      <c r="I25" s="72"/>
      <c r="J25" s="72">
        <f t="shared" si="0"/>
        <v>0</v>
      </c>
      <c r="K25" s="77"/>
      <c r="L25" s="77"/>
    </row>
    <row r="26" spans="1:11" ht="21.75" customHeight="1">
      <c r="A26" s="69">
        <v>8</v>
      </c>
      <c r="B26" s="70" t="s">
        <v>223</v>
      </c>
      <c r="C26" s="76" t="s">
        <v>217</v>
      </c>
      <c r="D26" s="72">
        <f>+'Pasivet 2011'!E8</f>
        <v>0</v>
      </c>
      <c r="E26" s="72">
        <f>+'Pasivet 2011'!H8</f>
        <v>0</v>
      </c>
      <c r="F26" s="72">
        <f t="shared" si="1"/>
        <v>0</v>
      </c>
      <c r="G26" s="72">
        <f>-(E26-D26)</f>
        <v>0</v>
      </c>
      <c r="H26" s="72"/>
      <c r="I26" s="72"/>
      <c r="J26" s="72">
        <f t="shared" si="0"/>
        <v>0</v>
      </c>
      <c r="K26" s="77"/>
    </row>
    <row r="27" spans="1:10" s="74" customFormat="1" ht="27" customHeight="1">
      <c r="A27" s="124"/>
      <c r="B27" s="114" t="s">
        <v>224</v>
      </c>
      <c r="C27" s="125"/>
      <c r="D27" s="116">
        <f aca="true" t="shared" si="2" ref="D27:J27">SUM(D19:D26)</f>
        <v>5517717.020000003</v>
      </c>
      <c r="E27" s="116">
        <f t="shared" si="2"/>
        <v>5174363.33</v>
      </c>
      <c r="F27" s="116">
        <f>SUM(F19:F26)</f>
        <v>343353.69000000274</v>
      </c>
      <c r="G27" s="116">
        <f>SUM(G19:G26)-1</f>
        <v>343352.8900000029</v>
      </c>
      <c r="H27" s="116">
        <f t="shared" si="2"/>
        <v>0</v>
      </c>
      <c r="I27" s="116">
        <f t="shared" si="2"/>
        <v>0</v>
      </c>
      <c r="J27" s="116">
        <f t="shared" si="2"/>
        <v>0</v>
      </c>
    </row>
    <row r="28" ht="12">
      <c r="G28" s="77"/>
    </row>
    <row r="29" ht="12">
      <c r="I29" s="77"/>
    </row>
    <row r="30" spans="7:8" ht="12">
      <c r="G30" s="77"/>
      <c r="H30" s="77"/>
    </row>
  </sheetData>
  <sheetProtection/>
  <mergeCells count="11">
    <mergeCell ref="G17:G18"/>
    <mergeCell ref="H17:H18"/>
    <mergeCell ref="I17:I18"/>
    <mergeCell ref="C5:G5"/>
    <mergeCell ref="C6:G6"/>
    <mergeCell ref="A9:A10"/>
    <mergeCell ref="B9:B10"/>
    <mergeCell ref="A17:A18"/>
    <mergeCell ref="B17:B18"/>
    <mergeCell ref="C17:C18"/>
    <mergeCell ref="F17:F18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L30"/>
  <sheetViews>
    <sheetView tabSelected="1" zoomScalePageLayoutView="0" workbookViewId="0" topLeftCell="A5">
      <selection activeCell="N13" sqref="N13"/>
    </sheetView>
  </sheetViews>
  <sheetFormatPr defaultColWidth="9.140625" defaultRowHeight="15"/>
  <cols>
    <col min="1" max="1" width="2.28125" style="66" customWidth="1"/>
    <col min="2" max="2" width="19.7109375" style="66" customWidth="1"/>
    <col min="3" max="3" width="17.8515625" style="66" customWidth="1"/>
    <col min="4" max="4" width="18.7109375" style="66" customWidth="1"/>
    <col min="5" max="5" width="13.421875" style="66" customWidth="1"/>
    <col min="6" max="6" width="11.8515625" style="66" customWidth="1"/>
    <col min="7" max="7" width="11.140625" style="66" customWidth="1"/>
    <col min="8" max="8" width="11.57421875" style="66" bestFit="1" customWidth="1"/>
    <col min="9" max="9" width="11.28125" style="66" customWidth="1"/>
    <col min="10" max="10" width="11.7109375" style="66" customWidth="1"/>
    <col min="11" max="11" width="10.8515625" style="66" bestFit="1" customWidth="1"/>
    <col min="12" max="16384" width="9.140625" style="66" customWidth="1"/>
  </cols>
  <sheetData>
    <row r="2" ht="18.75">
      <c r="B2" s="113" t="s">
        <v>250</v>
      </c>
    </row>
    <row r="3" ht="15">
      <c r="I3" s="67" t="s">
        <v>204</v>
      </c>
    </row>
    <row r="5" spans="3:8" ht="15.75">
      <c r="C5" s="228" t="s">
        <v>205</v>
      </c>
      <c r="D5" s="228"/>
      <c r="E5" s="228"/>
      <c r="F5" s="228"/>
      <c r="G5" s="228"/>
      <c r="H5" s="68"/>
    </row>
    <row r="6" spans="3:8" ht="15.75">
      <c r="C6" s="228" t="s">
        <v>313</v>
      </c>
      <c r="D6" s="228"/>
      <c r="E6" s="228"/>
      <c r="F6" s="228"/>
      <c r="G6" s="228"/>
      <c r="H6" s="68"/>
    </row>
    <row r="9" spans="1:10" ht="13.5" customHeight="1">
      <c r="A9" s="224" t="s">
        <v>187</v>
      </c>
      <c r="B9" s="224" t="s">
        <v>104</v>
      </c>
      <c r="C9" s="117"/>
      <c r="D9" s="117"/>
      <c r="E9" s="117"/>
      <c r="F9" s="117"/>
      <c r="G9" s="117"/>
      <c r="H9" s="118" t="s">
        <v>206</v>
      </c>
      <c r="I9" s="118" t="s">
        <v>206</v>
      </c>
      <c r="J9" s="117" t="s">
        <v>207</v>
      </c>
    </row>
    <row r="10" spans="1:10" ht="13.5" customHeight="1">
      <c r="A10" s="225"/>
      <c r="B10" s="225"/>
      <c r="C10" s="119"/>
      <c r="D10" s="119"/>
      <c r="E10" s="119"/>
      <c r="F10" s="119"/>
      <c r="G10" s="119"/>
      <c r="H10" s="120" t="s">
        <v>269</v>
      </c>
      <c r="I10" s="120" t="s">
        <v>270</v>
      </c>
      <c r="J10" s="119" t="s">
        <v>208</v>
      </c>
    </row>
    <row r="11" spans="1:10" ht="19.5" customHeight="1">
      <c r="A11" s="69">
        <v>1</v>
      </c>
      <c r="B11" s="70" t="s">
        <v>186</v>
      </c>
      <c r="C11" s="70"/>
      <c r="D11" s="71"/>
      <c r="E11" s="71"/>
      <c r="F11" s="71"/>
      <c r="G11" s="71"/>
      <c r="H11" s="72">
        <f>'Aktivet 2011'!E8</f>
        <v>133741.98</v>
      </c>
      <c r="I11" s="72">
        <f>'Aktivet 2011'!F8</f>
        <v>54171.11</v>
      </c>
      <c r="J11" s="72">
        <f>H11-I11-1</f>
        <v>79569.87000000001</v>
      </c>
    </row>
    <row r="12" spans="1:10" ht="19.5" customHeight="1">
      <c r="A12" s="69">
        <v>2</v>
      </c>
      <c r="B12" s="70" t="s">
        <v>188</v>
      </c>
      <c r="C12" s="70"/>
      <c r="D12" s="71"/>
      <c r="E12" s="71"/>
      <c r="F12" s="71"/>
      <c r="G12" s="71"/>
      <c r="H12" s="72">
        <f>'Aktivet 2011'!E9</f>
        <v>0</v>
      </c>
      <c r="I12" s="72">
        <f>'Aktivet 2011'!F9</f>
        <v>2500</v>
      </c>
      <c r="J12" s="72">
        <f>H12-I12</f>
        <v>-2500</v>
      </c>
    </row>
    <row r="13" spans="1:10" s="74" customFormat="1" ht="27" customHeight="1">
      <c r="A13" s="73"/>
      <c r="B13" s="114" t="s">
        <v>209</v>
      </c>
      <c r="C13" s="114"/>
      <c r="D13" s="115"/>
      <c r="E13" s="115"/>
      <c r="F13" s="115"/>
      <c r="G13" s="115"/>
      <c r="H13" s="116">
        <f>SUM(H11:H12)</f>
        <v>133741.98</v>
      </c>
      <c r="I13" s="116">
        <f>SUM(I11:I12)</f>
        <v>56671.11</v>
      </c>
      <c r="J13" s="116">
        <f>SUM(J11:J12)</f>
        <v>77069.87000000001</v>
      </c>
    </row>
    <row r="14" spans="4:10" ht="12">
      <c r="D14" s="75"/>
      <c r="E14" s="75"/>
      <c r="F14" s="75"/>
      <c r="G14" s="75"/>
      <c r="H14" s="75"/>
      <c r="I14" s="75"/>
      <c r="J14" s="75"/>
    </row>
    <row r="15" spans="4:10" ht="12">
      <c r="D15" s="75"/>
      <c r="E15" s="75"/>
      <c r="F15" s="75"/>
      <c r="G15" s="75"/>
      <c r="H15" s="75"/>
      <c r="I15" s="75"/>
      <c r="J15" s="75"/>
    </row>
    <row r="16" spans="4:10" ht="12">
      <c r="D16" s="75"/>
      <c r="E16" s="75"/>
      <c r="F16" s="75"/>
      <c r="G16" s="75"/>
      <c r="H16" s="75"/>
      <c r="I16" s="75"/>
      <c r="J16" s="75"/>
    </row>
    <row r="17" spans="1:10" s="74" customFormat="1" ht="13.5" customHeight="1">
      <c r="A17" s="224" t="s">
        <v>187</v>
      </c>
      <c r="B17" s="224" t="s">
        <v>104</v>
      </c>
      <c r="C17" s="224" t="s">
        <v>210</v>
      </c>
      <c r="D17" s="121" t="s">
        <v>206</v>
      </c>
      <c r="E17" s="121" t="s">
        <v>206</v>
      </c>
      <c r="F17" s="224" t="s">
        <v>211</v>
      </c>
      <c r="G17" s="226" t="s">
        <v>211</v>
      </c>
      <c r="H17" s="226" t="s">
        <v>212</v>
      </c>
      <c r="I17" s="226" t="s">
        <v>213</v>
      </c>
      <c r="J17" s="121" t="s">
        <v>207</v>
      </c>
    </row>
    <row r="18" spans="1:10" s="74" customFormat="1" ht="13.5" customHeight="1">
      <c r="A18" s="225"/>
      <c r="B18" s="225"/>
      <c r="C18" s="225"/>
      <c r="D18" s="122" t="s">
        <v>271</v>
      </c>
      <c r="E18" s="122" t="s">
        <v>272</v>
      </c>
      <c r="F18" s="225"/>
      <c r="G18" s="227"/>
      <c r="H18" s="227"/>
      <c r="I18" s="227"/>
      <c r="J18" s="123" t="s">
        <v>208</v>
      </c>
    </row>
    <row r="19" spans="1:11" ht="21.75" customHeight="1">
      <c r="A19" s="69">
        <v>1</v>
      </c>
      <c r="B19" s="70" t="s">
        <v>214</v>
      </c>
      <c r="C19" s="76" t="s">
        <v>215</v>
      </c>
      <c r="D19" s="145">
        <f>'Aktivet 2011'!E31</f>
        <v>667889.94</v>
      </c>
      <c r="E19" s="72">
        <f>+'Aktivet 2011'!F31</f>
        <v>667890.4</v>
      </c>
      <c r="F19" s="72">
        <f>D19-E19</f>
        <v>-0.4600000000791624</v>
      </c>
      <c r="G19" s="72">
        <f>E19-D19</f>
        <v>0.4600000000791624</v>
      </c>
      <c r="H19" s="72"/>
      <c r="I19" s="72"/>
      <c r="J19" s="72">
        <f aca="true" t="shared" si="0" ref="J19:J26">H19-I19</f>
        <v>0</v>
      </c>
      <c r="K19" s="77"/>
    </row>
    <row r="20" spans="1:11" ht="21.75" customHeight="1">
      <c r="A20" s="69">
        <v>2</v>
      </c>
      <c r="B20" s="70" t="s">
        <v>216</v>
      </c>
      <c r="C20" s="76" t="s">
        <v>217</v>
      </c>
      <c r="D20" s="145">
        <v>0</v>
      </c>
      <c r="E20" s="72">
        <v>0</v>
      </c>
      <c r="F20" s="72">
        <f>D20-E20</f>
        <v>0</v>
      </c>
      <c r="G20" s="72">
        <f>E20-D20</f>
        <v>0</v>
      </c>
      <c r="H20" s="72"/>
      <c r="I20" s="72"/>
      <c r="J20" s="72">
        <f t="shared" si="0"/>
        <v>0</v>
      </c>
      <c r="K20" s="77"/>
    </row>
    <row r="21" spans="1:11" ht="21.75" customHeight="1">
      <c r="A21" s="69">
        <v>3</v>
      </c>
      <c r="B21" s="70" t="s">
        <v>218</v>
      </c>
      <c r="C21" s="76" t="s">
        <v>215</v>
      </c>
      <c r="D21" s="145">
        <f>'Aktivet 2011'!E19</f>
        <v>452421.5</v>
      </c>
      <c r="E21" s="72">
        <f>+'Aktivet 2011'!F19</f>
        <v>452421.5</v>
      </c>
      <c r="F21" s="72">
        <f aca="true" t="shared" si="1" ref="F21:F26">D21-E21</f>
        <v>0</v>
      </c>
      <c r="G21" s="72">
        <f>E21-D21</f>
        <v>0</v>
      </c>
      <c r="H21" s="72"/>
      <c r="I21" s="72"/>
      <c r="J21" s="72">
        <f t="shared" si="0"/>
        <v>0</v>
      </c>
      <c r="K21" s="77"/>
    </row>
    <row r="22" spans="1:11" ht="21.75" customHeight="1">
      <c r="A22" s="69">
        <v>4</v>
      </c>
      <c r="B22" s="70" t="s">
        <v>219</v>
      </c>
      <c r="C22" s="76" t="s">
        <v>215</v>
      </c>
      <c r="D22" s="145">
        <f>'Aktivet 2011'!E11</f>
        <v>1399999</v>
      </c>
      <c r="E22" s="72">
        <f>+'Aktivet 2011'!F11</f>
        <v>1496034</v>
      </c>
      <c r="F22" s="72">
        <f t="shared" si="1"/>
        <v>-96035</v>
      </c>
      <c r="G22" s="72">
        <f>E22-D22</f>
        <v>96035</v>
      </c>
      <c r="H22" s="72"/>
      <c r="I22" s="72"/>
      <c r="J22" s="72">
        <f t="shared" si="0"/>
        <v>0</v>
      </c>
      <c r="K22" s="77"/>
    </row>
    <row r="23" spans="1:11" ht="21.75" customHeight="1">
      <c r="A23" s="69">
        <v>5</v>
      </c>
      <c r="B23" s="70" t="s">
        <v>220</v>
      </c>
      <c r="C23" s="76" t="s">
        <v>215</v>
      </c>
      <c r="D23" s="72"/>
      <c r="E23" s="72">
        <v>0</v>
      </c>
      <c r="F23" s="72">
        <f t="shared" si="1"/>
        <v>0</v>
      </c>
      <c r="G23" s="72">
        <f>E23-D23</f>
        <v>0</v>
      </c>
      <c r="H23" s="72"/>
      <c r="I23" s="72"/>
      <c r="J23" s="72">
        <f>H23-I23</f>
        <v>0</v>
      </c>
      <c r="K23" s="77"/>
    </row>
    <row r="24" spans="1:11" ht="21.75" customHeight="1">
      <c r="A24" s="69">
        <v>6</v>
      </c>
      <c r="B24" s="70" t="s">
        <v>221</v>
      </c>
      <c r="C24" s="76" t="s">
        <v>217</v>
      </c>
      <c r="D24" s="145">
        <f>+'Pasivet 2011'!E27</f>
        <v>-17858205.27</v>
      </c>
      <c r="E24" s="72">
        <f>+'Pasivet 2011'!F27</f>
        <v>-13996062.14</v>
      </c>
      <c r="F24" s="72">
        <f>D24-E24</f>
        <v>-3862143.129999999</v>
      </c>
      <c r="G24" s="72">
        <f>-(E24-D24)</f>
        <v>-3862143.129999999</v>
      </c>
      <c r="H24" s="72"/>
      <c r="I24" s="72"/>
      <c r="J24" s="72">
        <f t="shared" si="0"/>
        <v>0</v>
      </c>
      <c r="K24" s="77"/>
    </row>
    <row r="25" spans="1:12" ht="21.75" customHeight="1">
      <c r="A25" s="69">
        <v>7</v>
      </c>
      <c r="B25" s="70" t="s">
        <v>222</v>
      </c>
      <c r="C25" s="76" t="s">
        <v>217</v>
      </c>
      <c r="D25" s="145">
        <f>+'Pasivet 2011'!E11+'Pasivet 2011'!E19+'Pasivet 2011'!E18</f>
        <v>20512258.16</v>
      </c>
      <c r="E25" s="72">
        <f>+'Pasivet 2011'!F11+'Pasivet 2011'!F19+'Pasivet 2011'!F18</f>
        <v>16669079.16</v>
      </c>
      <c r="F25" s="72">
        <f t="shared" si="1"/>
        <v>3843179</v>
      </c>
      <c r="G25" s="72">
        <f>-(E25-D25)</f>
        <v>3843179</v>
      </c>
      <c r="H25" s="72"/>
      <c r="I25" s="72"/>
      <c r="J25" s="72">
        <f t="shared" si="0"/>
        <v>0</v>
      </c>
      <c r="K25" s="77"/>
      <c r="L25" s="77"/>
    </row>
    <row r="26" spans="1:11" ht="21.75" customHeight="1">
      <c r="A26" s="69">
        <v>8</v>
      </c>
      <c r="B26" s="70" t="s">
        <v>223</v>
      </c>
      <c r="C26" s="76" t="s">
        <v>217</v>
      </c>
      <c r="D26" s="72">
        <f>+'Pasivet 2011'!E8</f>
        <v>0</v>
      </c>
      <c r="E26" s="72">
        <f>+'Pasivet 2011'!H8</f>
        <v>0</v>
      </c>
      <c r="F26" s="72">
        <f t="shared" si="1"/>
        <v>0</v>
      </c>
      <c r="G26" s="72">
        <f>-(E26-D26)</f>
        <v>0</v>
      </c>
      <c r="H26" s="72"/>
      <c r="I26" s="72"/>
      <c r="J26" s="72">
        <f t="shared" si="0"/>
        <v>0</v>
      </c>
      <c r="K26" s="77"/>
    </row>
    <row r="27" spans="1:10" s="74" customFormat="1" ht="27" customHeight="1">
      <c r="A27" s="124"/>
      <c r="B27" s="114" t="s">
        <v>224</v>
      </c>
      <c r="C27" s="125"/>
      <c r="D27" s="116">
        <f aca="true" t="shared" si="2" ref="D27:J27">SUM(D19:D26)</f>
        <v>5174363.33</v>
      </c>
      <c r="E27" s="116">
        <f t="shared" si="2"/>
        <v>5289362.92</v>
      </c>
      <c r="F27" s="116">
        <f>SUM(F19:F26)</f>
        <v>-114999.58999999892</v>
      </c>
      <c r="G27" s="116">
        <f>SUM(G19:G26)-1</f>
        <v>77070.330000001</v>
      </c>
      <c r="H27" s="116">
        <f t="shared" si="2"/>
        <v>0</v>
      </c>
      <c r="I27" s="116">
        <f t="shared" si="2"/>
        <v>0</v>
      </c>
      <c r="J27" s="116">
        <f t="shared" si="2"/>
        <v>0</v>
      </c>
    </row>
    <row r="28" ht="12">
      <c r="G28" s="77"/>
    </row>
    <row r="29" ht="12">
      <c r="I29" s="77"/>
    </row>
    <row r="30" spans="7:8" ht="12">
      <c r="G30" s="77"/>
      <c r="H30" s="77"/>
    </row>
  </sheetData>
  <sheetProtection/>
  <mergeCells count="11">
    <mergeCell ref="F17:F18"/>
    <mergeCell ref="G17:G18"/>
    <mergeCell ref="H17:H18"/>
    <mergeCell ref="I17:I18"/>
    <mergeCell ref="C5:G5"/>
    <mergeCell ref="C6:G6"/>
    <mergeCell ref="A9:A10"/>
    <mergeCell ref="B9:B10"/>
    <mergeCell ref="A17:A18"/>
    <mergeCell ref="B17:B18"/>
    <mergeCell ref="C17:C18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A7799D"/>
  </sheetPr>
  <dimension ref="A2:L30"/>
  <sheetViews>
    <sheetView zoomScalePageLayoutView="0" workbookViewId="0" topLeftCell="A7">
      <selection activeCell="E35" sqref="E34:E35"/>
    </sheetView>
  </sheetViews>
  <sheetFormatPr defaultColWidth="9.140625" defaultRowHeight="15"/>
  <cols>
    <col min="1" max="1" width="2.28125" style="66" customWidth="1"/>
    <col min="2" max="2" width="19.7109375" style="66" customWidth="1"/>
    <col min="3" max="3" width="17.8515625" style="66" customWidth="1"/>
    <col min="4" max="4" width="12.28125" style="66" bestFit="1" customWidth="1"/>
    <col min="5" max="5" width="12.00390625" style="66" customWidth="1"/>
    <col min="6" max="6" width="11.8515625" style="66" customWidth="1"/>
    <col min="7" max="7" width="11.140625" style="66" customWidth="1"/>
    <col min="8" max="8" width="11.421875" style="66" bestFit="1" customWidth="1"/>
    <col min="9" max="9" width="11.28125" style="66" customWidth="1"/>
    <col min="10" max="10" width="11.7109375" style="66" customWidth="1"/>
    <col min="11" max="11" width="10.8515625" style="66" bestFit="1" customWidth="1"/>
    <col min="12" max="16384" width="9.140625" style="66" customWidth="1"/>
  </cols>
  <sheetData>
    <row r="2" ht="18.75">
      <c r="B2" s="113" t="s">
        <v>250</v>
      </c>
    </row>
    <row r="3" ht="15">
      <c r="I3" s="67" t="s">
        <v>204</v>
      </c>
    </row>
    <row r="5" spans="3:8" ht="15.75">
      <c r="C5" s="228" t="s">
        <v>205</v>
      </c>
      <c r="D5" s="228"/>
      <c r="E5" s="228"/>
      <c r="F5" s="228"/>
      <c r="G5" s="228"/>
      <c r="H5" s="68"/>
    </row>
    <row r="6" spans="3:8" ht="15.75">
      <c r="C6" s="228" t="s">
        <v>258</v>
      </c>
      <c r="D6" s="228"/>
      <c r="E6" s="228"/>
      <c r="F6" s="228"/>
      <c r="G6" s="228"/>
      <c r="H6" s="68"/>
    </row>
    <row r="9" spans="1:10" ht="13.5" customHeight="1">
      <c r="A9" s="224" t="s">
        <v>187</v>
      </c>
      <c r="B9" s="224" t="s">
        <v>104</v>
      </c>
      <c r="C9" s="117"/>
      <c r="D9" s="117"/>
      <c r="E9" s="117"/>
      <c r="F9" s="117"/>
      <c r="G9" s="117"/>
      <c r="H9" s="118" t="s">
        <v>206</v>
      </c>
      <c r="I9" s="118" t="s">
        <v>206</v>
      </c>
      <c r="J9" s="117" t="s">
        <v>207</v>
      </c>
    </row>
    <row r="10" spans="1:10" ht="13.5" customHeight="1">
      <c r="A10" s="225"/>
      <c r="B10" s="225"/>
      <c r="C10" s="119"/>
      <c r="D10" s="119"/>
      <c r="E10" s="119"/>
      <c r="F10" s="119"/>
      <c r="G10" s="119"/>
      <c r="H10" s="120" t="s">
        <v>256</v>
      </c>
      <c r="I10" s="120" t="s">
        <v>257</v>
      </c>
      <c r="J10" s="119" t="s">
        <v>208</v>
      </c>
    </row>
    <row r="11" spans="1:10" ht="19.5" customHeight="1">
      <c r="A11" s="69">
        <v>1</v>
      </c>
      <c r="B11" s="70" t="s">
        <v>186</v>
      </c>
      <c r="C11" s="70"/>
      <c r="D11" s="71"/>
      <c r="E11" s="71"/>
      <c r="F11" s="71"/>
      <c r="G11" s="71"/>
      <c r="H11" s="72">
        <v>54171</v>
      </c>
      <c r="I11" s="72">
        <v>557680</v>
      </c>
      <c r="J11" s="72">
        <f>H11-I11</f>
        <v>-503509</v>
      </c>
    </row>
    <row r="12" spans="1:10" ht="19.5" customHeight="1">
      <c r="A12" s="69">
        <v>2</v>
      </c>
      <c r="B12" s="70" t="s">
        <v>188</v>
      </c>
      <c r="C12" s="70"/>
      <c r="D12" s="71"/>
      <c r="E12" s="71"/>
      <c r="F12" s="71"/>
      <c r="G12" s="71"/>
      <c r="H12" s="72">
        <v>2500</v>
      </c>
      <c r="I12" s="72">
        <f>'Aktivet 2011'!H9</f>
        <v>0</v>
      </c>
      <c r="J12" s="72">
        <f>H12-I12</f>
        <v>2500</v>
      </c>
    </row>
    <row r="13" spans="1:10" s="74" customFormat="1" ht="27" customHeight="1">
      <c r="A13" s="73"/>
      <c r="B13" s="114" t="s">
        <v>209</v>
      </c>
      <c r="C13" s="114"/>
      <c r="D13" s="115"/>
      <c r="E13" s="115"/>
      <c r="F13" s="115"/>
      <c r="G13" s="115"/>
      <c r="H13" s="116">
        <f>SUM(H11:H12)</f>
        <v>56671</v>
      </c>
      <c r="I13" s="116">
        <f>SUM(I11:I12)</f>
        <v>557680</v>
      </c>
      <c r="J13" s="116">
        <f>SUM(J11:J12)</f>
        <v>-501009</v>
      </c>
    </row>
    <row r="14" spans="4:10" ht="12">
      <c r="D14" s="75"/>
      <c r="E14" s="75"/>
      <c r="F14" s="75"/>
      <c r="G14" s="75"/>
      <c r="H14" s="75"/>
      <c r="I14" s="75"/>
      <c r="J14" s="75"/>
    </row>
    <row r="15" spans="4:10" ht="12">
      <c r="D15" s="75"/>
      <c r="E15" s="75"/>
      <c r="F15" s="75"/>
      <c r="G15" s="75"/>
      <c r="H15" s="75"/>
      <c r="I15" s="75"/>
      <c r="J15" s="75"/>
    </row>
    <row r="16" spans="4:10" ht="12">
      <c r="D16" s="75"/>
      <c r="E16" s="75"/>
      <c r="F16" s="75"/>
      <c r="G16" s="75"/>
      <c r="H16" s="75"/>
      <c r="I16" s="75"/>
      <c r="J16" s="75"/>
    </row>
    <row r="17" spans="1:10" s="74" customFormat="1" ht="13.5" customHeight="1">
      <c r="A17" s="224" t="s">
        <v>187</v>
      </c>
      <c r="B17" s="224" t="s">
        <v>104</v>
      </c>
      <c r="C17" s="224" t="s">
        <v>210</v>
      </c>
      <c r="D17" s="121" t="s">
        <v>206</v>
      </c>
      <c r="E17" s="121" t="s">
        <v>206</v>
      </c>
      <c r="F17" s="224" t="s">
        <v>211</v>
      </c>
      <c r="G17" s="226" t="s">
        <v>211</v>
      </c>
      <c r="H17" s="226" t="s">
        <v>212</v>
      </c>
      <c r="I17" s="226" t="s">
        <v>213</v>
      </c>
      <c r="J17" s="121" t="s">
        <v>207</v>
      </c>
    </row>
    <row r="18" spans="1:10" s="74" customFormat="1" ht="13.5" customHeight="1">
      <c r="A18" s="225"/>
      <c r="B18" s="225"/>
      <c r="C18" s="225"/>
      <c r="D18" s="122" t="s">
        <v>259</v>
      </c>
      <c r="E18" s="122" t="s">
        <v>260</v>
      </c>
      <c r="F18" s="225"/>
      <c r="G18" s="227"/>
      <c r="H18" s="227"/>
      <c r="I18" s="227"/>
      <c r="J18" s="123" t="s">
        <v>208</v>
      </c>
    </row>
    <row r="19" spans="1:11" ht="21.75" customHeight="1">
      <c r="A19" s="69">
        <v>1</v>
      </c>
      <c r="B19" s="70" t="s">
        <v>214</v>
      </c>
      <c r="C19" s="76" t="s">
        <v>215</v>
      </c>
      <c r="D19" s="145">
        <f>'Aktivet 2011'!F31</f>
        <v>667890.4</v>
      </c>
      <c r="E19" s="72">
        <f>+'Aktivet 2011'!G31</f>
        <v>886321</v>
      </c>
      <c r="F19" s="72">
        <f>D19-E19</f>
        <v>-218430.59999999998</v>
      </c>
      <c r="G19" s="72">
        <f>E19-D19</f>
        <v>218430.59999999998</v>
      </c>
      <c r="H19" s="72"/>
      <c r="I19" s="72"/>
      <c r="J19" s="72">
        <f aca="true" t="shared" si="0" ref="J19:J26">H19-I19</f>
        <v>0</v>
      </c>
      <c r="K19" s="77"/>
    </row>
    <row r="20" spans="1:11" ht="21.75" customHeight="1">
      <c r="A20" s="69">
        <v>2</v>
      </c>
      <c r="B20" s="70" t="s">
        <v>216</v>
      </c>
      <c r="C20" s="76" t="s">
        <v>217</v>
      </c>
      <c r="D20" s="145">
        <v>0</v>
      </c>
      <c r="E20" s="72">
        <v>0</v>
      </c>
      <c r="F20" s="72">
        <f>D20-E20</f>
        <v>0</v>
      </c>
      <c r="G20" s="72">
        <f>E20-D20</f>
        <v>0</v>
      </c>
      <c r="H20" s="72"/>
      <c r="I20" s="72"/>
      <c r="J20" s="72">
        <f t="shared" si="0"/>
        <v>0</v>
      </c>
      <c r="K20" s="77"/>
    </row>
    <row r="21" spans="1:11" ht="21.75" customHeight="1">
      <c r="A21" s="69">
        <v>3</v>
      </c>
      <c r="B21" s="70" t="s">
        <v>218</v>
      </c>
      <c r="C21" s="76" t="s">
        <v>215</v>
      </c>
      <c r="D21" s="145">
        <f>'Aktivet 2011'!F19</f>
        <v>452421.5</v>
      </c>
      <c r="E21" s="72">
        <f>+'Aktivet 2011'!G19</f>
        <v>441322</v>
      </c>
      <c r="F21" s="72">
        <f aca="true" t="shared" si="1" ref="F21:F26">D21-E21</f>
        <v>11099.5</v>
      </c>
      <c r="G21" s="72">
        <f>E21-D21</f>
        <v>-11099.5</v>
      </c>
      <c r="H21" s="72"/>
      <c r="I21" s="72"/>
      <c r="J21" s="72">
        <f t="shared" si="0"/>
        <v>0</v>
      </c>
      <c r="K21" s="77"/>
    </row>
    <row r="22" spans="1:11" ht="21.75" customHeight="1">
      <c r="A22" s="69">
        <v>4</v>
      </c>
      <c r="B22" s="70" t="s">
        <v>219</v>
      </c>
      <c r="C22" s="76" t="s">
        <v>215</v>
      </c>
      <c r="D22" s="145">
        <f>'Aktivet 2011'!F11</f>
        <v>1496034</v>
      </c>
      <c r="E22" s="72">
        <f>+'Aktivet 2011'!G11</f>
        <v>1468685</v>
      </c>
      <c r="F22" s="72">
        <f t="shared" si="1"/>
        <v>27349</v>
      </c>
      <c r="G22" s="72">
        <f>E22-D22</f>
        <v>-27349</v>
      </c>
      <c r="H22" s="72"/>
      <c r="I22" s="72"/>
      <c r="J22" s="72">
        <f t="shared" si="0"/>
        <v>0</v>
      </c>
      <c r="K22" s="77"/>
    </row>
    <row r="23" spans="1:11" ht="21.75" customHeight="1">
      <c r="A23" s="69">
        <v>5</v>
      </c>
      <c r="B23" s="70" t="s">
        <v>220</v>
      </c>
      <c r="C23" s="76" t="s">
        <v>215</v>
      </c>
      <c r="D23" s="72"/>
      <c r="E23" s="72">
        <v>0</v>
      </c>
      <c r="F23" s="72">
        <f t="shared" si="1"/>
        <v>0</v>
      </c>
      <c r="G23" s="72">
        <f>E23-D23</f>
        <v>0</v>
      </c>
      <c r="H23" s="72"/>
      <c r="I23" s="72"/>
      <c r="J23" s="72">
        <f>H23-I23</f>
        <v>0</v>
      </c>
      <c r="K23" s="77"/>
    </row>
    <row r="24" spans="1:11" ht="21.75" customHeight="1">
      <c r="A24" s="69">
        <v>6</v>
      </c>
      <c r="B24" s="70" t="s">
        <v>221</v>
      </c>
      <c r="C24" s="76" t="s">
        <v>217</v>
      </c>
      <c r="D24" s="145">
        <f>+'Pasivet 2011'!F27</f>
        <v>-13996062.14</v>
      </c>
      <c r="E24" s="72">
        <f>+'Pasivet 2011'!G27</f>
        <v>-14974697</v>
      </c>
      <c r="F24" s="72">
        <f>D24-E24</f>
        <v>978634.8599999994</v>
      </c>
      <c r="G24" s="72">
        <f>-(E24-D24)</f>
        <v>978634.8599999994</v>
      </c>
      <c r="H24" s="72"/>
      <c r="I24" s="72"/>
      <c r="J24" s="72">
        <f t="shared" si="0"/>
        <v>0</v>
      </c>
      <c r="K24" s="77"/>
    </row>
    <row r="25" spans="1:12" ht="21.75" customHeight="1">
      <c r="A25" s="69">
        <v>7</v>
      </c>
      <c r="B25" s="70" t="s">
        <v>222</v>
      </c>
      <c r="C25" s="76" t="s">
        <v>217</v>
      </c>
      <c r="D25" s="145">
        <f>+'Pasivet 2011'!F11+'Pasivet 2011'!F19+'Pasivet 2011'!F18</f>
        <v>16669079.16</v>
      </c>
      <c r="E25" s="72">
        <f>+'Pasivet 2011'!G11+'Pasivet 2011'!G19+'Pasivet 2011'!G18</f>
        <v>18328705</v>
      </c>
      <c r="F25" s="72">
        <f t="shared" si="1"/>
        <v>-1659625.8399999999</v>
      </c>
      <c r="G25" s="72">
        <f>-(E25-D25)</f>
        <v>-1659625.8399999999</v>
      </c>
      <c r="H25" s="72"/>
      <c r="I25" s="72"/>
      <c r="J25" s="72">
        <f t="shared" si="0"/>
        <v>0</v>
      </c>
      <c r="K25" s="77"/>
      <c r="L25" s="77"/>
    </row>
    <row r="26" spans="1:11" ht="21.75" customHeight="1">
      <c r="A26" s="69">
        <v>8</v>
      </c>
      <c r="B26" s="70" t="s">
        <v>223</v>
      </c>
      <c r="C26" s="76" t="s">
        <v>217</v>
      </c>
      <c r="D26" s="72">
        <f>+'Pasivet 2011'!G8</f>
        <v>0</v>
      </c>
      <c r="E26" s="72">
        <f>+'Pasivet 2011'!H8</f>
        <v>0</v>
      </c>
      <c r="F26" s="72">
        <f t="shared" si="1"/>
        <v>0</v>
      </c>
      <c r="G26" s="72">
        <f>-(E26-D26)</f>
        <v>0</v>
      </c>
      <c r="H26" s="72"/>
      <c r="I26" s="72"/>
      <c r="J26" s="72">
        <f t="shared" si="0"/>
        <v>0</v>
      </c>
      <c r="K26" s="77"/>
    </row>
    <row r="27" spans="1:10" s="74" customFormat="1" ht="27" customHeight="1">
      <c r="A27" s="124"/>
      <c r="B27" s="114" t="s">
        <v>224</v>
      </c>
      <c r="C27" s="125"/>
      <c r="D27" s="116">
        <f aca="true" t="shared" si="2" ref="D27:J27">SUM(D19:D26)</f>
        <v>5289362.92</v>
      </c>
      <c r="E27" s="116">
        <f t="shared" si="2"/>
        <v>6150336</v>
      </c>
      <c r="F27" s="116">
        <f>SUM(F19:F26)</f>
        <v>-860973.0800000004</v>
      </c>
      <c r="G27" s="116">
        <f>SUM(G19:G26)-1</f>
        <v>-501009.88000000035</v>
      </c>
      <c r="H27" s="116">
        <f t="shared" si="2"/>
        <v>0</v>
      </c>
      <c r="I27" s="116">
        <f t="shared" si="2"/>
        <v>0</v>
      </c>
      <c r="J27" s="116">
        <f t="shared" si="2"/>
        <v>0</v>
      </c>
    </row>
    <row r="28" ht="12">
      <c r="G28" s="77"/>
    </row>
    <row r="29" ht="12">
      <c r="I29" s="77"/>
    </row>
    <row r="30" spans="7:8" ht="12">
      <c r="G30" s="77"/>
      <c r="H30" s="77"/>
    </row>
  </sheetData>
  <sheetProtection/>
  <mergeCells count="11">
    <mergeCell ref="B17:B18"/>
    <mergeCell ref="C17:C18"/>
    <mergeCell ref="C5:G5"/>
    <mergeCell ref="C6:G6"/>
    <mergeCell ref="A17:A18"/>
    <mergeCell ref="F17:F18"/>
    <mergeCell ref="I17:I18"/>
    <mergeCell ref="H17:H18"/>
    <mergeCell ref="G17:G18"/>
    <mergeCell ref="A9:A10"/>
    <mergeCell ref="B9:B10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CC"/>
  </sheetPr>
  <dimension ref="A1:J28"/>
  <sheetViews>
    <sheetView zoomScalePageLayoutView="0" workbookViewId="0" topLeftCell="A1">
      <selection activeCell="E32" sqref="E32"/>
    </sheetView>
  </sheetViews>
  <sheetFormatPr defaultColWidth="9.140625" defaultRowHeight="15"/>
  <cols>
    <col min="2" max="2" width="18.28125" style="0" customWidth="1"/>
    <col min="3" max="3" width="15.7109375" style="0" customWidth="1"/>
    <col min="4" max="4" width="10.28125" style="0" customWidth="1"/>
    <col min="5" max="5" width="11.7109375" style="0" customWidth="1"/>
    <col min="6" max="6" width="11.57421875" style="0" customWidth="1"/>
    <col min="9" max="9" width="7.421875" style="0" customWidth="1"/>
    <col min="10" max="10" width="8.7109375" style="0" customWidth="1"/>
  </cols>
  <sheetData>
    <row r="1" spans="1:10" ht="1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8.75">
      <c r="A2" s="66"/>
      <c r="B2" s="113" t="s">
        <v>250</v>
      </c>
      <c r="C2" s="66"/>
      <c r="D2" s="66"/>
      <c r="E2" s="66"/>
      <c r="F2" s="66"/>
      <c r="G2" s="66"/>
      <c r="H2" s="66"/>
      <c r="I2" s="66"/>
      <c r="J2" s="66"/>
    </row>
    <row r="3" spans="1:10" ht="15.75">
      <c r="A3" s="66"/>
      <c r="B3" s="66"/>
      <c r="C3" s="66"/>
      <c r="D3" s="66"/>
      <c r="E3" s="66"/>
      <c r="F3" s="66"/>
      <c r="G3" s="66"/>
      <c r="H3" s="66"/>
      <c r="I3" s="67" t="s">
        <v>204</v>
      </c>
      <c r="J3" s="66"/>
    </row>
    <row r="4" spans="1:10" ht="1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5.75">
      <c r="A5" s="66"/>
      <c r="B5" s="66"/>
      <c r="C5" s="228" t="s">
        <v>205</v>
      </c>
      <c r="D5" s="228"/>
      <c r="E5" s="228"/>
      <c r="F5" s="228"/>
      <c r="G5" s="228"/>
      <c r="H5" s="68"/>
      <c r="I5" s="66"/>
      <c r="J5" s="66"/>
    </row>
    <row r="6" spans="1:10" ht="15.75">
      <c r="A6" s="66"/>
      <c r="B6" s="66"/>
      <c r="C6" s="228" t="s">
        <v>261</v>
      </c>
      <c r="D6" s="228"/>
      <c r="E6" s="228"/>
      <c r="F6" s="228"/>
      <c r="G6" s="228"/>
      <c r="H6" s="68"/>
      <c r="I6" s="66"/>
      <c r="J6" s="66"/>
    </row>
    <row r="7" spans="1:10" ht="1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224" t="s">
        <v>187</v>
      </c>
      <c r="B9" s="224" t="s">
        <v>104</v>
      </c>
      <c r="C9" s="117"/>
      <c r="D9" s="117"/>
      <c r="E9" s="117"/>
      <c r="F9" s="117"/>
      <c r="G9" s="117"/>
      <c r="H9" s="118" t="s">
        <v>206</v>
      </c>
      <c r="I9" s="118" t="s">
        <v>206</v>
      </c>
      <c r="J9" s="117" t="s">
        <v>207</v>
      </c>
    </row>
    <row r="10" spans="1:10" ht="15">
      <c r="A10" s="225"/>
      <c r="B10" s="225"/>
      <c r="C10" s="119"/>
      <c r="D10" s="119"/>
      <c r="E10" s="119"/>
      <c r="F10" s="119"/>
      <c r="G10" s="119"/>
      <c r="H10" s="120" t="s">
        <v>225</v>
      </c>
      <c r="I10" s="120" t="s">
        <v>226</v>
      </c>
      <c r="J10" s="119" t="s">
        <v>208</v>
      </c>
    </row>
    <row r="11" spans="1:10" ht="15">
      <c r="A11" s="69">
        <v>1</v>
      </c>
      <c r="B11" s="70" t="s">
        <v>186</v>
      </c>
      <c r="C11" s="70"/>
      <c r="D11" s="71"/>
      <c r="E11" s="71"/>
      <c r="F11" s="71"/>
      <c r="G11" s="71"/>
      <c r="H11" s="72">
        <f>'[3]Aktivet 2008'!D8</f>
        <v>557680</v>
      </c>
      <c r="I11" s="72">
        <f>'[3]Aktivet 2008'!E8</f>
        <v>0</v>
      </c>
      <c r="J11" s="72">
        <f>H11-I11</f>
        <v>557680</v>
      </c>
    </row>
    <row r="12" spans="1:10" ht="15">
      <c r="A12" s="69">
        <v>2</v>
      </c>
      <c r="B12" s="70" t="s">
        <v>188</v>
      </c>
      <c r="C12" s="70"/>
      <c r="D12" s="71"/>
      <c r="E12" s="71"/>
      <c r="F12" s="71"/>
      <c r="G12" s="71"/>
      <c r="H12" s="72">
        <f>'[3]Aktivet 2008'!D9</f>
        <v>0</v>
      </c>
      <c r="I12" s="72">
        <f>'[3]Aktivet 2008'!E9</f>
        <v>0</v>
      </c>
      <c r="J12" s="72">
        <f>H12-I12</f>
        <v>0</v>
      </c>
    </row>
    <row r="13" spans="1:10" ht="15">
      <c r="A13" s="73"/>
      <c r="B13" s="114" t="s">
        <v>209</v>
      </c>
      <c r="C13" s="114"/>
      <c r="D13" s="115"/>
      <c r="E13" s="115"/>
      <c r="F13" s="115"/>
      <c r="G13" s="115"/>
      <c r="H13" s="116">
        <f>SUM(H11:H12)</f>
        <v>557680</v>
      </c>
      <c r="I13" s="116">
        <f>SUM(I11:I12)</f>
        <v>0</v>
      </c>
      <c r="J13" s="116">
        <f>SUM(J11:J12)</f>
        <v>557680</v>
      </c>
    </row>
    <row r="14" spans="1:10" ht="15">
      <c r="A14" s="66"/>
      <c r="B14" s="66"/>
      <c r="C14" s="66"/>
      <c r="D14" s="75"/>
      <c r="E14" s="75"/>
      <c r="F14" s="75"/>
      <c r="G14" s="75"/>
      <c r="H14" s="75"/>
      <c r="I14" s="75"/>
      <c r="J14" s="75"/>
    </row>
    <row r="15" spans="1:10" ht="15">
      <c r="A15" s="66"/>
      <c r="B15" s="66"/>
      <c r="C15" s="66"/>
      <c r="D15" s="75"/>
      <c r="E15" s="75"/>
      <c r="F15" s="75"/>
      <c r="G15" s="75"/>
      <c r="H15" s="75"/>
      <c r="I15" s="75"/>
      <c r="J15" s="75"/>
    </row>
    <row r="16" spans="1:10" ht="15">
      <c r="A16" s="66"/>
      <c r="B16" s="66"/>
      <c r="C16" s="66"/>
      <c r="D16" s="75"/>
      <c r="E16" s="75"/>
      <c r="F16" s="75"/>
      <c r="G16" s="75"/>
      <c r="H16" s="75"/>
      <c r="I16" s="75"/>
      <c r="J16" s="75"/>
    </row>
    <row r="17" spans="1:10" ht="15">
      <c r="A17" s="224" t="s">
        <v>187</v>
      </c>
      <c r="B17" s="224" t="s">
        <v>104</v>
      </c>
      <c r="C17" s="224" t="s">
        <v>210</v>
      </c>
      <c r="D17" s="121" t="s">
        <v>206</v>
      </c>
      <c r="E17" s="121" t="s">
        <v>206</v>
      </c>
      <c r="F17" s="224" t="s">
        <v>211</v>
      </c>
      <c r="G17" s="226" t="s">
        <v>211</v>
      </c>
      <c r="H17" s="226" t="s">
        <v>212</v>
      </c>
      <c r="I17" s="226" t="s">
        <v>213</v>
      </c>
      <c r="J17" s="121" t="s">
        <v>207</v>
      </c>
    </row>
    <row r="18" spans="1:10" ht="15">
      <c r="A18" s="225"/>
      <c r="B18" s="225"/>
      <c r="C18" s="225"/>
      <c r="D18" s="122" t="s">
        <v>139</v>
      </c>
      <c r="E18" s="122" t="s">
        <v>227</v>
      </c>
      <c r="F18" s="225"/>
      <c r="G18" s="227"/>
      <c r="H18" s="227"/>
      <c r="I18" s="227"/>
      <c r="J18" s="123" t="s">
        <v>208</v>
      </c>
    </row>
    <row r="19" spans="1:10" ht="15">
      <c r="A19" s="69">
        <v>1</v>
      </c>
      <c r="B19" s="70" t="s">
        <v>214</v>
      </c>
      <c r="C19" s="76" t="s">
        <v>215</v>
      </c>
      <c r="D19" s="72">
        <f>+'[3]Aktivet 2008'!D31</f>
        <v>886321</v>
      </c>
      <c r="E19" s="72">
        <f>+'[3]Aktivet 2008'!E31</f>
        <v>1176511</v>
      </c>
      <c r="F19" s="72">
        <f>D19-E19</f>
        <v>-290190</v>
      </c>
      <c r="G19" s="72">
        <f>E19-D19</f>
        <v>290190</v>
      </c>
      <c r="H19" s="72"/>
      <c r="I19" s="72"/>
      <c r="J19" s="72">
        <f aca="true" t="shared" si="0" ref="J19:J26">H19-I19</f>
        <v>0</v>
      </c>
    </row>
    <row r="20" spans="1:10" ht="15">
      <c r="A20" s="69">
        <v>2</v>
      </c>
      <c r="B20" s="70" t="s">
        <v>216</v>
      </c>
      <c r="C20" s="76" t="s">
        <v>217</v>
      </c>
      <c r="D20" s="72">
        <v>0</v>
      </c>
      <c r="E20" s="72">
        <v>0</v>
      </c>
      <c r="F20" s="72">
        <f>D20-E20</f>
        <v>0</v>
      </c>
      <c r="G20" s="72">
        <f>E20-D20</f>
        <v>0</v>
      </c>
      <c r="H20" s="72"/>
      <c r="I20" s="72"/>
      <c r="J20" s="72">
        <f t="shared" si="0"/>
        <v>0</v>
      </c>
    </row>
    <row r="21" spans="1:10" ht="15">
      <c r="A21" s="69">
        <v>3</v>
      </c>
      <c r="B21" s="70" t="s">
        <v>218</v>
      </c>
      <c r="C21" s="76" t="s">
        <v>215</v>
      </c>
      <c r="D21" s="72">
        <f>+'[3]Aktivet 2008'!D19</f>
        <v>441322</v>
      </c>
      <c r="E21" s="72">
        <f>+'[3]Aktivet 2008'!E19</f>
        <v>441322</v>
      </c>
      <c r="F21" s="72">
        <f aca="true" t="shared" si="1" ref="F21:F26">D21-E21</f>
        <v>0</v>
      </c>
      <c r="G21" s="72">
        <f>E21-D21</f>
        <v>0</v>
      </c>
      <c r="H21" s="72"/>
      <c r="I21" s="72"/>
      <c r="J21" s="72">
        <f t="shared" si="0"/>
        <v>0</v>
      </c>
    </row>
    <row r="22" spans="1:10" ht="15">
      <c r="A22" s="69">
        <v>4</v>
      </c>
      <c r="B22" s="70" t="s">
        <v>219</v>
      </c>
      <c r="C22" s="76" t="s">
        <v>215</v>
      </c>
      <c r="D22" s="72">
        <f>+'[3]Aktivet 2008'!D11</f>
        <v>1468685</v>
      </c>
      <c r="E22" s="72">
        <f>+'[3]Aktivet 2008'!E11</f>
        <v>1522599</v>
      </c>
      <c r="F22" s="72">
        <f t="shared" si="1"/>
        <v>-53914</v>
      </c>
      <c r="G22" s="72">
        <f>E22-D22</f>
        <v>53914</v>
      </c>
      <c r="H22" s="72"/>
      <c r="I22" s="72"/>
      <c r="J22" s="72">
        <f t="shared" si="0"/>
        <v>0</v>
      </c>
    </row>
    <row r="23" spans="1:10" ht="15">
      <c r="A23" s="69">
        <v>5</v>
      </c>
      <c r="B23" s="70" t="s">
        <v>220</v>
      </c>
      <c r="C23" s="76" t="s">
        <v>215</v>
      </c>
      <c r="D23" s="72"/>
      <c r="E23" s="72">
        <v>0</v>
      </c>
      <c r="F23" s="72">
        <f t="shared" si="1"/>
        <v>0</v>
      </c>
      <c r="G23" s="72">
        <f>E23-D23</f>
        <v>0</v>
      </c>
      <c r="H23" s="72"/>
      <c r="I23" s="72"/>
      <c r="J23" s="72">
        <f>H23-I23</f>
        <v>0</v>
      </c>
    </row>
    <row r="24" spans="1:10" ht="15">
      <c r="A24" s="69">
        <v>6</v>
      </c>
      <c r="B24" s="70" t="s">
        <v>221</v>
      </c>
      <c r="C24" s="76" t="s">
        <v>217</v>
      </c>
      <c r="D24" s="72">
        <f>+'[3]Pasivet 2008'!D27</f>
        <v>-14974697</v>
      </c>
      <c r="E24" s="72">
        <f>+'[3]Pasivet 2008'!E27</f>
        <v>-16045094</v>
      </c>
      <c r="F24" s="72">
        <f>D24-E24</f>
        <v>1070397</v>
      </c>
      <c r="G24" s="72">
        <f>-(E24-D24)</f>
        <v>1070397</v>
      </c>
      <c r="H24" s="72"/>
      <c r="I24" s="72"/>
      <c r="J24" s="72">
        <f t="shared" si="0"/>
        <v>0</v>
      </c>
    </row>
    <row r="25" spans="1:10" ht="15">
      <c r="A25" s="69">
        <v>7</v>
      </c>
      <c r="B25" s="70" t="s">
        <v>222</v>
      </c>
      <c r="C25" s="76" t="s">
        <v>217</v>
      </c>
      <c r="D25" s="72">
        <f>+'[3]Pasivet 2008'!D11+'[3]Pasivet 2008'!D19+'[3]Pasivet 2008'!D18</f>
        <v>18328705</v>
      </c>
      <c r="E25" s="72">
        <f>+'[3]Pasivet 2008'!E11+'[3]Pasivet 2008'!E19</f>
        <v>19185527</v>
      </c>
      <c r="F25" s="72">
        <f t="shared" si="1"/>
        <v>-856822</v>
      </c>
      <c r="G25" s="72">
        <f>-(E25-D25)</f>
        <v>-856822</v>
      </c>
      <c r="H25" s="72"/>
      <c r="I25" s="72"/>
      <c r="J25" s="72">
        <f t="shared" si="0"/>
        <v>0</v>
      </c>
    </row>
    <row r="26" spans="1:10" ht="15">
      <c r="A26" s="69">
        <v>8</v>
      </c>
      <c r="B26" s="70" t="s">
        <v>223</v>
      </c>
      <c r="C26" s="76" t="s">
        <v>217</v>
      </c>
      <c r="D26" s="72">
        <f>+'[3]Pasivet 2008'!D8</f>
        <v>0</v>
      </c>
      <c r="E26" s="72">
        <f>+'[3]Pasivet 2008'!E8</f>
        <v>0</v>
      </c>
      <c r="F26" s="72">
        <f t="shared" si="1"/>
        <v>0</v>
      </c>
      <c r="G26" s="72">
        <f>-(E26-D26)</f>
        <v>0</v>
      </c>
      <c r="H26" s="72"/>
      <c r="I26" s="72"/>
      <c r="J26" s="72">
        <f t="shared" si="0"/>
        <v>0</v>
      </c>
    </row>
    <row r="27" spans="1:10" ht="15">
      <c r="A27" s="124"/>
      <c r="B27" s="114" t="s">
        <v>224</v>
      </c>
      <c r="C27" s="125"/>
      <c r="D27" s="116">
        <f>SUM(D19:D26)</f>
        <v>6150336</v>
      </c>
      <c r="E27" s="116">
        <f aca="true" t="shared" si="2" ref="E27:J27">SUM(E19:E26)</f>
        <v>6280865</v>
      </c>
      <c r="F27" s="116">
        <f t="shared" si="2"/>
        <v>-130529</v>
      </c>
      <c r="G27" s="116">
        <f>SUM(G19:G26)+1</f>
        <v>557680</v>
      </c>
      <c r="H27" s="116">
        <f t="shared" si="2"/>
        <v>0</v>
      </c>
      <c r="I27" s="116">
        <f t="shared" si="2"/>
        <v>0</v>
      </c>
      <c r="J27" s="116">
        <f t="shared" si="2"/>
        <v>0</v>
      </c>
    </row>
    <row r="28" spans="1:10" ht="15">
      <c r="A28" s="66"/>
      <c r="B28" s="66"/>
      <c r="C28" s="66"/>
      <c r="D28" s="66"/>
      <c r="E28" s="66"/>
      <c r="F28" s="66"/>
      <c r="G28" s="77"/>
      <c r="H28" s="66"/>
      <c r="I28" s="66"/>
      <c r="J28" s="66"/>
    </row>
  </sheetData>
  <sheetProtection/>
  <mergeCells count="11">
    <mergeCell ref="C5:G5"/>
    <mergeCell ref="C6:G6"/>
    <mergeCell ref="A9:A10"/>
    <mergeCell ref="B9:B10"/>
    <mergeCell ref="G17:G18"/>
    <mergeCell ref="H17:H18"/>
    <mergeCell ref="I17:I18"/>
    <mergeCell ref="A17:A18"/>
    <mergeCell ref="B17:B18"/>
    <mergeCell ref="C17:C18"/>
    <mergeCell ref="F17:F1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 </cp:lastModifiedBy>
  <cp:lastPrinted>2012-06-22T08:23:48Z</cp:lastPrinted>
  <dcterms:created xsi:type="dcterms:W3CDTF">2009-02-15T21:00:31Z</dcterms:created>
  <dcterms:modified xsi:type="dcterms:W3CDTF">2012-06-22T08:28:35Z</dcterms:modified>
  <cp:category/>
  <cp:version/>
  <cp:contentType/>
  <cp:contentStatus/>
</cp:coreProperties>
</file>