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823" firstSheet="8" activeTab="10"/>
  </bookViews>
  <sheets>
    <sheet name="Kopertina" sheetId="1" r:id="rId1"/>
    <sheet name="Aktivet" sheetId="2" r:id="rId2"/>
    <sheet name="Pasivet" sheetId="3" r:id="rId3"/>
    <sheet name="Ardh.Shpenz.1" sheetId="4" r:id="rId4"/>
    <sheet name="Fluksi M.direkte" sheetId="5" r:id="rId5"/>
    <sheet name="Kapitali pa Konsol." sheetId="6" r:id="rId6"/>
    <sheet name="Informacion i pergjithshem " sheetId="7" r:id="rId7"/>
    <sheet name="Shpjegim zerave te bilancit " sheetId="8" r:id="rId8"/>
    <sheet name="Shenime te tjera shpjeguese" sheetId="9" r:id="rId9"/>
    <sheet name="IVENTARET E DYQANIT" sheetId="10" r:id="rId10"/>
    <sheet name="IVENTARET E FABRIKES" sheetId="11" r:id="rId11"/>
    <sheet name="IVENTAR LENDE TE PARA" sheetId="12" r:id="rId12"/>
    <sheet name="IVENTAR MATERIALE NDERTIMI" sheetId="13" r:id="rId13"/>
    <sheet name="IVENTAR AAM" sheetId="14" r:id="rId14"/>
    <sheet name="IVENTAR AUTOMJETE" sheetId="15" r:id="rId15"/>
    <sheet name="Dek.anal.Tatim te ardh" sheetId="16" r:id="rId16"/>
    <sheet name="Pasqyre AAM" sheetId="17" r:id="rId17"/>
    <sheet name="Anekse Statistikore" sheetId="18" r:id="rId18"/>
    <sheet name="Pasqyre te ardhurash" sheetId="19" r:id="rId19"/>
  </sheets>
  <definedNames/>
  <calcPr fullCalcOnLoad="1"/>
</workbook>
</file>

<file path=xl/comments2.xml><?xml version="1.0" encoding="utf-8"?>
<comments xmlns="http://schemas.openxmlformats.org/spreadsheetml/2006/main">
  <authors>
    <author>user </author>
  </authors>
  <commentList>
    <comment ref="E17" authorId="0">
      <text>
        <r>
          <rPr>
            <b/>
            <sz val="8"/>
            <rFont val="Tahoma"/>
            <family val="2"/>
          </rPr>
          <t>user :</t>
        </r>
        <r>
          <rPr>
            <sz val="8"/>
            <rFont val="Tahoma"/>
            <family val="2"/>
          </rPr>
          <t xml:space="preserve">
215921 tat fitimi
971 tvsh</t>
        </r>
      </text>
    </comment>
    <comment ref="E16" authorId="0">
      <text>
        <r>
          <rPr>
            <b/>
            <sz val="8"/>
            <rFont val="Tahoma"/>
            <family val="2"/>
          </rPr>
          <t>user :</t>
        </r>
        <r>
          <rPr>
            <sz val="8"/>
            <rFont val="Tahoma"/>
            <family val="2"/>
          </rPr>
          <t xml:space="preserve">
kliente
54630
</t>
        </r>
      </text>
    </comment>
  </commentList>
</comments>
</file>

<file path=xl/comments3.xml><?xml version="1.0" encoding="utf-8"?>
<comments xmlns="http://schemas.openxmlformats.org/spreadsheetml/2006/main">
  <authors>
    <author>user </author>
  </authors>
  <commentList>
    <comment ref="E17" authorId="0">
      <text>
        <r>
          <rPr>
            <b/>
            <sz val="8"/>
            <rFont val="Tahoma"/>
            <family val="2"/>
          </rPr>
          <t>user :</t>
        </r>
        <r>
          <rPr>
            <sz val="8"/>
            <rFont val="Tahoma"/>
            <family val="2"/>
          </rPr>
          <t xml:space="preserve">
8916 tvsh2400tap,19902sigurime98300 tatim fitimi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F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tat fit 2008                            321677
tvsh                                   13407760
tap                                        167046
akciza                                    107400
paradhen tat ne burim          331728
taksa doganore                     290139
taksa lokale                             40600
Total                                 14666350                     </t>
        </r>
      </text>
    </comment>
  </commentList>
</comments>
</file>

<file path=xl/sharedStrings.xml><?xml version="1.0" encoding="utf-8"?>
<sst xmlns="http://schemas.openxmlformats.org/spreadsheetml/2006/main" count="2491" uniqueCount="1212">
  <si>
    <t>Deri   me</t>
  </si>
  <si>
    <t>me  date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</si>
  <si>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</si>
  <si>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</si>
  <si>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</si>
  <si>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</si>
  <si>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</si>
  <si>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</si>
  <si>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</si>
  <si>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</si>
  <si>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</si>
  <si>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</si>
  <si>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 xml:space="preserve">  Periudha    Nga</t>
  </si>
  <si>
    <t xml:space="preserve">  Data  e  mbylljes</t>
  </si>
  <si>
    <t xml:space="preserve">  Miratuar  nga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</si>
  <si>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</si>
  <si>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</si>
  <si>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</si>
  <si>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</si>
  <si>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</si>
  <si>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</si>
  <si>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</si>
  <si>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</si>
  <si>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</si>
  <si>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</si>
  <si>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</si>
  <si>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</si>
  <si>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</si>
  <si>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</si>
  <si>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</si>
  <si>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</si>
  <si>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</si>
  <si>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</si>
  <si>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</si>
  <si>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Inventari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</si>
  <si>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</si>
  <si>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</si>
  <si>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</si>
  <si>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</si>
  <si>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</si>
  <si>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</si>
  <si>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</si>
  <si>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</si>
  <si>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</si>
  <si>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</si>
  <si>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</si>
  <si>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</si>
  <si>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</si>
  <si>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</si>
  <si>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</si>
  <si>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</si>
  <si>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</si>
  <si>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</si>
  <si>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</si>
  <si>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</si>
  <si>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</si>
  <si>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Makineri dhe pausje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</si>
  <si>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</si>
  <si>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</si>
  <si>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</si>
  <si>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</si>
  <si>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</si>
  <si>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</si>
  <si>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</si>
  <si>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</si>
  <si>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</si>
  <si>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</si>
  <si>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</si>
  <si>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</si>
  <si>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</si>
  <si>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</si>
  <si>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</si>
  <si>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Te pagushme ndaj furnitoreve</t>
  </si>
  <si>
    <t>Detyrime tatimore</t>
  </si>
  <si>
    <t>Hua te tjera</t>
  </si>
  <si>
    <t>Parapagime e arketuara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</si>
  <si>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</si>
  <si>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</si>
  <si>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</si>
  <si>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</si>
  <si>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</si>
  <si>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</si>
  <si>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</si>
  <si>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</si>
  <si>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</si>
  <si>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</si>
  <si>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</si>
  <si>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</si>
  <si>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</si>
  <si>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</si>
  <si>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</si>
  <si>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</si>
  <si>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</si>
  <si>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</si>
  <si>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</si>
  <si>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</si>
  <si>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</si>
  <si>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</si>
  <si>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Te ardhura te tjera nga veprimtaria e shfrytezimit</t>
  </si>
  <si>
    <t>Ndrysh.ne invent.prod.gateshme e punes ne proces</t>
  </si>
  <si>
    <t>(pakesimet shpenz.e rritjet pakesim shpenzimesh)</t>
  </si>
  <si>
    <t>Puna e kryer nga njesite ekon.raportuese per qellimet</t>
  </si>
  <si>
    <t>e veta dhe e kapitalizuar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</si>
  <si>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</si>
  <si>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</si>
  <si>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</si>
  <si>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</si>
  <si>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</si>
  <si>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</si>
  <si>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</si>
  <si>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</si>
  <si>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</si>
  <si>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</si>
  <si>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</si>
  <si>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ardhurat dhe shpenzimet nga interesi</t>
  </si>
  <si>
    <t>Fitimet (Humbjet) nga kursi kembimit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</si>
  <si>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</si>
  <si>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</si>
  <si>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</si>
  <si>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</si>
  <si>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</si>
  <si>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</si>
  <si>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</si>
  <si>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</si>
  <si>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</si>
  <si>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</si>
  <si>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</si>
  <si>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</si>
  <si>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</si>
  <si>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</si>
  <si>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Aksione te Thesari te Riblera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</si>
  <si>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</si>
  <si>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</si>
  <si>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</si>
  <si>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</si>
  <si>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</si>
  <si>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</si>
  <si>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</si>
  <si>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Per Drejtimin  e Njesise  Ekonomike</t>
  </si>
  <si>
    <t xml:space="preserve">(  Ne zbatim te Standartit Kombetar te Kontabilitetit Nr.2 dhe </t>
  </si>
  <si>
    <t>Interesi i paguar</t>
  </si>
  <si>
    <t>Tatimfitimi i paguar</t>
  </si>
  <si>
    <t>Fluksi i parave nga veprimtaritë investuese</t>
  </si>
  <si>
    <t>Interesi i arkëtuar</t>
  </si>
  <si>
    <t>Dividendët e arkëtuar</t>
  </si>
  <si>
    <t>Të ardhura nga emetimi i kapitalit aksionar</t>
  </si>
  <si>
    <t>Rritja/rënia neto e mjeteve monetare</t>
  </si>
  <si>
    <t>Mjetet monetare në fillim të periudhës kontabël</t>
  </si>
  <si>
    <t>Mjetet monetare në fund të periudhës kontabël</t>
  </si>
  <si>
    <t>Fluksi i parave nga veprimtaritë e shfrytëzimit</t>
  </si>
  <si>
    <t>Paratë e arkëtuara nga klientët</t>
  </si>
  <si>
    <t>Paratë e paguara ndaj furnitorëve dhe punonjësve</t>
  </si>
  <si>
    <t>Paratë e ardhura nga veprimtaritë</t>
  </si>
  <si>
    <t>Paraja neto nga veprimtaritë e shfrytëzimit</t>
  </si>
  <si>
    <t>Blerja e kompanisë së kontrolluar X minus paratë e Arkëtuara</t>
  </si>
  <si>
    <t>Të ardhurat nga shitja e pajisjeve</t>
  </si>
  <si>
    <t>Paraja neto e përdorur në veprimtaritë investuese</t>
  </si>
  <si>
    <t>Fluksi i parave nga aktivitetet financiare</t>
  </si>
  <si>
    <t>Dividendë të paguar</t>
  </si>
  <si>
    <t>Paraja neto e përdorur në veprimtaritë financiare</t>
  </si>
  <si>
    <t xml:space="preserve">  Ligjit Nr. 9228 Date 29.04.2004 , i ndryshuar " Per Kontabilitetin dhe Pasqyrat Financiare"  )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</si>
  <si>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</si>
  <si>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</si>
  <si>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</si>
  <si>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</si>
  <si>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</si>
  <si>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</si>
  <si>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</si>
  <si>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</si>
  <si>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</si>
  <si>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</si>
  <si>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</si>
  <si>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</si>
  <si>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</si>
  <si>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</si>
  <si>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</si>
  <si>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</si>
  <si>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</si>
  <si>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</si>
  <si>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</si>
  <si>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</si>
  <si>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</si>
  <si>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</si>
  <si>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</si>
  <si>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</si>
  <si>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</si>
  <si>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</si>
  <si>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</si>
  <si>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</si>
  <si>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</si>
  <si>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</si>
  <si>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</si>
  <si>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</si>
  <si>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</si>
  <si>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</si>
  <si>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</si>
  <si>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</si>
  <si>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</si>
  <si>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</si>
  <si>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</si>
  <si>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</si>
  <si>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</si>
  <si>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</si>
  <si>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</si>
  <si>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</si>
  <si>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</si>
  <si>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</si>
  <si>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</si>
  <si>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Per llogaritjen e amortizimit te AAJM (SKK 5: 59) njesia ekonomike raportuese ka </t>
  </si>
  <si>
    <t>Ref.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</si>
  <si>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</si>
  <si>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</si>
  <si>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</si>
  <si>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</si>
  <si>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</si>
  <si>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</si>
  <si>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</si>
  <si>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</si>
  <si>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</si>
  <si>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</si>
  <si>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</si>
  <si>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</si>
  <si>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</si>
  <si>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</si>
  <si>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</si>
  <si>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</si>
  <si>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</si>
  <si>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</si>
  <si>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</si>
  <si>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</si>
  <si>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</si>
  <si>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</si>
  <si>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 xml:space="preserve">     a)  Nga keto</t>
  </si>
  <si>
    <t>Debitore,Kreditore te tjere</t>
  </si>
  <si>
    <t>Te drejta e detyrime ndaj ortakeve</t>
  </si>
  <si>
    <t xml:space="preserve">Nuk ka </t>
  </si>
  <si>
    <t>Produkte te gatshme</t>
  </si>
  <si>
    <t>Aktive biologjike afatshkurtra</t>
  </si>
  <si>
    <t>Aktive afatshkurtra te mbajtura per rishitje</t>
  </si>
  <si>
    <t>Shpenzime te periudhave te ardhshme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</si>
  <si>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</si>
  <si>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</si>
  <si>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</si>
  <si>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</si>
  <si>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</si>
  <si>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</si>
  <si>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</si>
  <si>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</si>
  <si>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</si>
  <si>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</si>
  <si>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Overdraftet bankare</t>
  </si>
  <si>
    <t>Huamarrje afat shkuatra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</si>
  <si>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</si>
  <si>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</si>
  <si>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</si>
  <si>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</si>
  <si>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</si>
  <si>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</si>
  <si>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</si>
  <si>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</si>
  <si>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Provizionet afatshkurtra</t>
  </si>
  <si>
    <t>PASIVET  AFATGJATA</t>
  </si>
  <si>
    <t xml:space="preserve">KAPITALI </t>
  </si>
  <si>
    <t>Njesite ose aksionet e thesarit (Negative)</t>
  </si>
  <si>
    <t>●</t>
  </si>
  <si>
    <t>Fitimi i ushtrimit</t>
  </si>
  <si>
    <t>Fitimi para tatimit</t>
  </si>
  <si>
    <t>Tatimi mbi fitimin</t>
  </si>
  <si>
    <t>IV</t>
  </si>
  <si>
    <t>Pasqyra e te Ardhurave dhe Shpenzimeve</t>
  </si>
  <si>
    <t>C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</si>
  <si>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</si>
  <si>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</si>
  <si>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</si>
  <si>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S H E N I M E T          SHP J E G U E S E</t>
  </si>
  <si>
    <t>Te ardhurat dhe shpenzimet financiare nga pjesmarjet</t>
  </si>
  <si>
    <t>Pasqyra financire individuale</t>
  </si>
  <si>
    <t>Administrator</t>
  </si>
  <si>
    <t>Shpenzime te panjohura</t>
  </si>
  <si>
    <t>Ne  Leke</t>
  </si>
  <si>
    <t>Ne     Leke</t>
  </si>
  <si>
    <t>Ne   Leke</t>
  </si>
  <si>
    <t>Sipas natyres ne lek</t>
  </si>
  <si>
    <t>Sipas metodes direkte   ne  Leke</t>
  </si>
  <si>
    <t>Shitjet mall</t>
  </si>
  <si>
    <t>lek</t>
  </si>
  <si>
    <t>V</t>
  </si>
  <si>
    <t>Pasqyra e fluksit te parase</t>
  </si>
  <si>
    <t xml:space="preserve">parate e arketuara nga klientet </t>
  </si>
  <si>
    <t>parate e paguara punonjesve</t>
  </si>
  <si>
    <t>sigurime shoqerore</t>
  </si>
  <si>
    <t>TAP</t>
  </si>
  <si>
    <t>xv</t>
  </si>
  <si>
    <t>VI</t>
  </si>
  <si>
    <t>Pasqyra e ndryshimeve ne kapital</t>
  </si>
  <si>
    <t>Nuk ka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</si>
  <si>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</si>
  <si>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</si>
  <si>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</si>
  <si>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</si>
  <si>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</si>
  <si>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</si>
  <si>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</si>
  <si>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</si>
  <si>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</si>
  <si>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Humbja e vitit eshte</t>
  </si>
  <si>
    <t>Lek</t>
  </si>
  <si>
    <t>Kapital i emetuar</t>
  </si>
  <si>
    <t>S H E N I M E T          SH P J E G U E S E</t>
  </si>
  <si>
    <t>Korce</t>
  </si>
  <si>
    <t>Pozicioni me 31 dhjetor 2008</t>
  </si>
  <si>
    <t>Pozicioni me 31 dhjetor 2009</t>
  </si>
  <si>
    <t>Fitim I vitit</t>
  </si>
  <si>
    <t>SH.P.K.</t>
  </si>
  <si>
    <t>Lendet e para e materiale ndihmese</t>
  </si>
  <si>
    <t xml:space="preserve">     Kuadri kontabel i aplikuar : Standartet Kombetare te Kontabilitetit ne Shqiperi.(SKK 2; 49)</t>
  </si>
  <si>
    <t>Tvsh</t>
  </si>
  <si>
    <t>Shpenzime personeli paga sigurime</t>
  </si>
  <si>
    <t>euro</t>
  </si>
  <si>
    <t>Tatim mbi fitimin</t>
  </si>
  <si>
    <t>Fitimet e humbje</t>
  </si>
  <si>
    <t xml:space="preserve">Shoqeria DAJANA  SH.P.K.                                         </t>
  </si>
  <si>
    <t>Inventar I imet</t>
  </si>
  <si>
    <t>Shtesa</t>
  </si>
  <si>
    <t>amortizim</t>
  </si>
  <si>
    <t>Amortizimi  eshte llogaritur</t>
  </si>
  <si>
    <t>HROMODHOMI ALBANIA SHPK</t>
  </si>
  <si>
    <t>Tatime dhe detyrime te tjera shtetit</t>
  </si>
  <si>
    <t>Te ardhura nga huamarje afatgjata</t>
  </si>
  <si>
    <t>ardhura nga huamarjet afatgjata</t>
  </si>
  <si>
    <t>Pagesat e detyrimeve të qirasë financiare dhe huave</t>
  </si>
  <si>
    <t>406013692CLPRCLALLAQ</t>
  </si>
  <si>
    <t>406013692CLPRCLALLKV</t>
  </si>
  <si>
    <t>BKT LEK</t>
  </si>
  <si>
    <t>BKT LEK llog kredie</t>
  </si>
  <si>
    <t>BKT EURO</t>
  </si>
  <si>
    <t>BKT EURO llog kredie</t>
  </si>
  <si>
    <t>406013692CLPRCFEURRV</t>
  </si>
  <si>
    <t>406013692CLPRCFEURIM</t>
  </si>
  <si>
    <t>RAIFAIZEN LEK</t>
  </si>
  <si>
    <t>CREDINS</t>
  </si>
  <si>
    <t>PROKREDIT</t>
  </si>
  <si>
    <t>50-139183-00-01</t>
  </si>
  <si>
    <t>00000056550</t>
  </si>
  <si>
    <t>0500000934</t>
  </si>
  <si>
    <t>Adrian Kastrati</t>
  </si>
  <si>
    <t>ABN SHPK</t>
  </si>
  <si>
    <t>Aldi Varoshi</t>
  </si>
  <si>
    <t>Aza Konstruksion</t>
  </si>
  <si>
    <t>Ben Land</t>
  </si>
  <si>
    <t>Bregu SHPK</t>
  </si>
  <si>
    <t>Eneal</t>
  </si>
  <si>
    <t>GPG CO</t>
  </si>
  <si>
    <t>Krenar Turku</t>
  </si>
  <si>
    <t>LA-OR</t>
  </si>
  <si>
    <t>NDERTUESI</t>
  </si>
  <si>
    <t>Reklama GA</t>
  </si>
  <si>
    <t>Color Body</t>
  </si>
  <si>
    <t>Treg Bojrash</t>
  </si>
  <si>
    <t>Vehide Ulqinaku</t>
  </si>
  <si>
    <t>Qeramike Albania</t>
  </si>
  <si>
    <t>Jedmi shpk</t>
  </si>
  <si>
    <t>KULLA</t>
  </si>
  <si>
    <t>Te ndryshem</t>
  </si>
  <si>
    <t>Parapagim doganave</t>
  </si>
  <si>
    <t>Tvsh kreditore</t>
  </si>
  <si>
    <t>Parapagim tatim ne burim</t>
  </si>
  <si>
    <t>Mjete transporti</t>
  </si>
  <si>
    <t>Paisje informative</t>
  </si>
  <si>
    <t>Program kontabiliteti</t>
  </si>
  <si>
    <t>Shoqeria       HROMODHOMI ALBANIA   SH.P.K</t>
  </si>
  <si>
    <t>Shoqeria  HROMODHOMI ALBANIA  Sh.P.K.</t>
  </si>
  <si>
    <t xml:space="preserve">Shoqeria HROMODHOMI ALBANIA            SH.P.K.                     </t>
  </si>
  <si>
    <t xml:space="preserve">HROMODHOMI </t>
  </si>
  <si>
    <t>THRACE PLASTIC</t>
  </si>
  <si>
    <t>ADI PETROL</t>
  </si>
  <si>
    <t>ALULINE</t>
  </si>
  <si>
    <t>J.ATHANASIADIS</t>
  </si>
  <si>
    <t>ELTON SA</t>
  </si>
  <si>
    <t>SMIRDEX</t>
  </si>
  <si>
    <t>NEOKOMIKI</t>
  </si>
  <si>
    <t>MERCEDES BENC</t>
  </si>
  <si>
    <t>ALBANIA</t>
  </si>
  <si>
    <t>K13920002W</t>
  </si>
  <si>
    <t>13.01.2001</t>
  </si>
  <si>
    <t>PRODHIM TREGETIM BOJRASH</t>
  </si>
  <si>
    <t>Aristotel MINDILI</t>
  </si>
  <si>
    <t>Autostada Korce-Bilisht KM 3-te</t>
  </si>
  <si>
    <t xml:space="preserve">Shoqeria HROMODHOMI ALBANIA Sh.P.k.                      </t>
  </si>
  <si>
    <t xml:space="preserve">                - Kompjutera e sisteme informacioni me     25  % te vleftes se mbetur</t>
  </si>
  <si>
    <t xml:space="preserve">                - Te gjitha AAM te tjera me    20 % te vleftes se mbetur</t>
  </si>
  <si>
    <t>percaktuar si metode te amortizimit metoden lineare ndersa normen e amortizimit me  25 % ne vit.</t>
  </si>
  <si>
    <t>HARTUESE</t>
  </si>
  <si>
    <t>ANJEZA LAPANXA</t>
  </si>
  <si>
    <t>ADMINISTRATORI</t>
  </si>
  <si>
    <t xml:space="preserve">    ARISTOTEL MINDILI</t>
  </si>
  <si>
    <t>FINANCIERE EKONOMISTE</t>
  </si>
  <si>
    <t>Shënime të tjera shpjeguese</t>
  </si>
  <si>
    <t>Pasqyra   e   te   Ardhurave   dhe   Shpenzimeve     2010</t>
  </si>
  <si>
    <t>Shitjet neto(nga shitja e mallrave,lende te para dhe prodhimit te vet)</t>
  </si>
  <si>
    <t>Te ardh nga shitja e sherbimeve(transport, qera)</t>
  </si>
  <si>
    <t xml:space="preserve">Te ardh nga prodhimi I aktiveve </t>
  </si>
  <si>
    <t>Te ardh nga prodhimi I aktiveve (ndertesa ne proces)</t>
  </si>
  <si>
    <t>B  I  L  A  N  C  I     2010</t>
  </si>
  <si>
    <t>Gjendje te tjera inventari(3125,327)</t>
  </si>
  <si>
    <t>Materiale ndertimi per prodhime aktivesh</t>
  </si>
  <si>
    <t>Aktive afatgjata ne proces</t>
  </si>
  <si>
    <t>Materiale ndertimi te harxhuara per prodhim aktivesh</t>
  </si>
  <si>
    <t>Llogari / Kerkesa te tjera te arketueshme TVSH</t>
  </si>
  <si>
    <t>Tatim fitimi</t>
  </si>
  <si>
    <t>Te tjera (449,418)</t>
  </si>
  <si>
    <t>Pershkrimi</t>
  </si>
  <si>
    <t>NJESIA</t>
  </si>
  <si>
    <t>SASI</t>
  </si>
  <si>
    <t>CMIM</t>
  </si>
  <si>
    <t>VLERE</t>
  </si>
  <si>
    <t>DILUENT 1L</t>
  </si>
  <si>
    <t>COPE</t>
  </si>
  <si>
    <t>TRETES 1L</t>
  </si>
  <si>
    <t>TRETES 5L</t>
  </si>
  <si>
    <t>DILUENT 0.3L</t>
  </si>
  <si>
    <t>TRETES 0.3L</t>
  </si>
  <si>
    <t>ASTAR PLASTIK 1KG</t>
  </si>
  <si>
    <t>ASTAR PLASTIK 5KG</t>
  </si>
  <si>
    <t>ASTAR PLASTIK 15KG</t>
  </si>
  <si>
    <t>KOVER 5KG</t>
  </si>
  <si>
    <t>KOVER 15KG</t>
  </si>
  <si>
    <t>PIGMENT 250GR</t>
  </si>
  <si>
    <t>PIGMENT 1KG</t>
  </si>
  <si>
    <t>CIMENTOKROMA 5KG</t>
  </si>
  <si>
    <t>CIMENTOKROMA 15KG</t>
  </si>
  <si>
    <t>NATURA 5KG</t>
  </si>
  <si>
    <t>NATYRA 15KG</t>
  </si>
  <si>
    <t>HIDROKROMA 1KG</t>
  </si>
  <si>
    <t>HIDROKROMA 5KG</t>
  </si>
  <si>
    <t>HIDROKROMA 15KG</t>
  </si>
  <si>
    <t>HIDROKROMA 25KG</t>
  </si>
  <si>
    <t>PIGMENT 500GR</t>
  </si>
  <si>
    <t>KOVER 1KG</t>
  </si>
  <si>
    <t>ANTIRUXHO 0.75L</t>
  </si>
  <si>
    <t>ANTIRUXHO 5 KG</t>
  </si>
  <si>
    <t>ANTIRUXHO 4KG</t>
  </si>
  <si>
    <t>BOJE VAJI 1KG</t>
  </si>
  <si>
    <t>ASTAR ME TRETES 5L</t>
  </si>
  <si>
    <t>BOJE DRURI 1L</t>
  </si>
  <si>
    <t>ASTAR ME TRETES 1L</t>
  </si>
  <si>
    <t>ASTAR ME TRETES 15L</t>
  </si>
  <si>
    <t>LLAK DRURI 1L</t>
  </si>
  <si>
    <t>LLAK GURI 0.75L</t>
  </si>
  <si>
    <t>STUKO DRURI 200GR</t>
  </si>
  <si>
    <t>HIDROPLAST 5KG</t>
  </si>
  <si>
    <t xml:space="preserve">                       Aristotel MINDILI</t>
  </si>
  <si>
    <t>SPATURELA 15KG</t>
  </si>
  <si>
    <t>LETER NGJITESE 19*50 (80C)</t>
  </si>
  <si>
    <t>LETER NGJITESE 25*50 (80C)</t>
  </si>
  <si>
    <t>LETER NGJITESE 50*50 (80C)</t>
  </si>
  <si>
    <t>LETER NGJITESE 38*50 (80C)</t>
  </si>
  <si>
    <t>FILTRA LETRE</t>
  </si>
  <si>
    <t>AMBALLAZH PLASTIK 385ML</t>
  </si>
  <si>
    <t>AMBALLAZH PLASTIK 400ML</t>
  </si>
  <si>
    <t>AMBALLAZH PLASTIK 700ML</t>
  </si>
  <si>
    <t>AMBALLAZH PLASTIK 1350ML</t>
  </si>
  <si>
    <t>LET ZMERIL DISK P80</t>
  </si>
  <si>
    <t>LET ZMERIL DISK PXXX</t>
  </si>
  <si>
    <t>SILIKON TRANSPARENT 280ML</t>
  </si>
  <si>
    <t>SILIKON I ZI 280 ML</t>
  </si>
  <si>
    <t>LET ZMERIL 140 P100</t>
  </si>
  <si>
    <t>LET ZMERIL 140 P120-400</t>
  </si>
  <si>
    <t>STUKO BODYSOFT 250GR</t>
  </si>
  <si>
    <t>STUKO LP PLUS-SOFT 1KG</t>
  </si>
  <si>
    <t>STUKO LP PLUS-SOFT 2KG</t>
  </si>
  <si>
    <t>STUKO LP PLUS-SOFT 3KG</t>
  </si>
  <si>
    <t>STUKO UNILITE 1L</t>
  </si>
  <si>
    <t>STUKO UNILITE 1.65L</t>
  </si>
  <si>
    <t>STUKO UNISOFT 1.5KG</t>
  </si>
  <si>
    <t>STUKO UNISOFT 3KG</t>
  </si>
  <si>
    <t>STUKO BODYSOFT 1KG</t>
  </si>
  <si>
    <t>STUKO BODYSOFT 380GR</t>
  </si>
  <si>
    <t>STUKO F213 UNIPLUS 2KG</t>
  </si>
  <si>
    <t>STUKO F216 SOFTPLUS 1KG</t>
  </si>
  <si>
    <t>STUKO F216 SOFTPLUS 2KG</t>
  </si>
  <si>
    <t>STUKO FINE 1KG</t>
  </si>
  <si>
    <t>STUKO BUMPERSOFT 250GR</t>
  </si>
  <si>
    <t>STUKO BUMPERSOFT 1KG</t>
  </si>
  <si>
    <t>STUKO UNI-FINE 3KG</t>
  </si>
  <si>
    <t>STUKO FIBER 1.5KG</t>
  </si>
  <si>
    <t>STUKO FIBER 250GR</t>
  </si>
  <si>
    <t>STUKO FIBER 750GR</t>
  </si>
  <si>
    <t>STUKO ALU 1KG</t>
  </si>
  <si>
    <t>LET ZMERIL 270 P150-2000</t>
  </si>
  <si>
    <t>ANTIRUXHO 305 1L</t>
  </si>
  <si>
    <t>ANTIRUXHO 305 4L</t>
  </si>
  <si>
    <t>ANTIRUXHO 307 1L</t>
  </si>
  <si>
    <t>ANTIRUXHO 307 4L</t>
  </si>
  <si>
    <t>LET ZMERIL 330 116mm P80</t>
  </si>
  <si>
    <t>LET ZMERIL 330 116mm P100-220</t>
  </si>
  <si>
    <t>LET ZMERIL 330 203mm P100-220</t>
  </si>
  <si>
    <t>ANTIRUXHO 334 1L</t>
  </si>
  <si>
    <t>ANTIRUXHO 334 4L</t>
  </si>
  <si>
    <t>ANTIRUXHO PLASTOFIX 1L</t>
  </si>
  <si>
    <t>BOJE RALLY E BARDHE 0.9L</t>
  </si>
  <si>
    <t>BOJE RALLY ME NGJYRE 0.9L</t>
  </si>
  <si>
    <t>ANTIRUXHO BUMPER 1L</t>
  </si>
  <si>
    <t>BOJE 2K E BARDHE 9910 1L</t>
  </si>
  <si>
    <t>BOJE 2K E BARDHE 9910 4L</t>
  </si>
  <si>
    <t>BOJE 2K ME NGJYRE 9XXX 1L</t>
  </si>
  <si>
    <t>BOJE 2K MIX E KUQE 1L</t>
  </si>
  <si>
    <t>BOJE 2K MIX BLU 1L</t>
  </si>
  <si>
    <t>BOJE IND L100,L129,L286 1L</t>
  </si>
  <si>
    <t>BOJE MIX BASECOAT 3.75L</t>
  </si>
  <si>
    <t>BOJE MIX BASECOAT 1L</t>
  </si>
  <si>
    <t>THARES 491 1L</t>
  </si>
  <si>
    <t>THARES 491 5L</t>
  </si>
  <si>
    <t>THARES 492 1L</t>
  </si>
  <si>
    <t>THARES 494 5L</t>
  </si>
  <si>
    <t>THARES 494 1L</t>
  </si>
  <si>
    <t>THARES 496 1L</t>
  </si>
  <si>
    <t>THARES 496 5L</t>
  </si>
  <si>
    <t>THARES 496 SR 1L</t>
  </si>
  <si>
    <t>BOJE SPRAY UNIVERSAL</t>
  </si>
  <si>
    <t>BOJE SPRAY IRIDA RAL</t>
  </si>
  <si>
    <t>BOJE SPRAY SPECIAL</t>
  </si>
  <si>
    <t>BOJE SPRAY PLASTOFIX</t>
  </si>
  <si>
    <t>LET ZMERIL 510 P60</t>
  </si>
  <si>
    <t>LET ZMERIL 510 P80</t>
  </si>
  <si>
    <t>LET ZMERIL 510 P100-400</t>
  </si>
  <si>
    <t>BOJE SPRAY 950</t>
  </si>
  <si>
    <t>BOJE SPRAY PRIMER GREY</t>
  </si>
  <si>
    <t>LET ZMERIL 510 116mm P40</t>
  </si>
  <si>
    <t>LET ZMERIL 510 116mm P60</t>
  </si>
  <si>
    <t>LET ZMERIL 510 116mm P80</t>
  </si>
  <si>
    <t>LET ZMERIL 510 116mm P100-500</t>
  </si>
  <si>
    <t>LET ZMERIL 510 DISK P40</t>
  </si>
  <si>
    <t>LET ZMERIL 510 DISK P60</t>
  </si>
  <si>
    <t>LET ZMERIL 510 DISK P80</t>
  </si>
  <si>
    <t>LET ZMERIL 510 DISK P100-400</t>
  </si>
  <si>
    <t>BOJE SPRAY TEMPERATURE</t>
  </si>
  <si>
    <t>BOJE SPRAY BUMPER PAINT</t>
  </si>
  <si>
    <t>BOJE SPRAY HEQES BOJE</t>
  </si>
  <si>
    <t>HEQES BOJE 700 0.5L</t>
  </si>
  <si>
    <t>HEQES BOJE 700 1L</t>
  </si>
  <si>
    <t>THARES 720 1L</t>
  </si>
  <si>
    <t>THARES 720 2.5L</t>
  </si>
  <si>
    <t>THARES 720 5L</t>
  </si>
  <si>
    <t>THARES 720 200ML</t>
  </si>
  <si>
    <t>THARES 722 500ML</t>
  </si>
  <si>
    <t>THARES 722 1L</t>
  </si>
  <si>
    <t>THARES 722 2.5L</t>
  </si>
  <si>
    <t>THARES 722 5L</t>
  </si>
  <si>
    <t>THARES 723 1L</t>
  </si>
  <si>
    <t>THARES 723 2.5L</t>
  </si>
  <si>
    <t>THARES 723 333ML</t>
  </si>
  <si>
    <t>THARES 724 1L</t>
  </si>
  <si>
    <t>THARES 724 333ML</t>
  </si>
  <si>
    <t>THARES 725 250ML</t>
  </si>
  <si>
    <t>THARES 725 200ML</t>
  </si>
  <si>
    <t>THARES 726 1L</t>
  </si>
  <si>
    <t>THARES 726 200ML</t>
  </si>
  <si>
    <t>THARES 730 1L</t>
  </si>
  <si>
    <t>THARES 734 500ML</t>
  </si>
  <si>
    <t>THARES 735 500ML</t>
  </si>
  <si>
    <t>DILUENT 740 1L</t>
  </si>
  <si>
    <t>DILUENT 740 5L</t>
  </si>
  <si>
    <t>DILUENT 767 1L</t>
  </si>
  <si>
    <t>DILUENT 767 5L</t>
  </si>
  <si>
    <t>DILUENT 767 20L</t>
  </si>
  <si>
    <t>ANTISILIKON 770 1L</t>
  </si>
  <si>
    <t>HEQES NDRICIMI 1L</t>
  </si>
  <si>
    <t>SFUNGJER ZMERIL</t>
  </si>
  <si>
    <t>ANTIOKSIDUES 930 1KG</t>
  </si>
  <si>
    <t>ANTIOKSIDUES 930 5KG</t>
  </si>
  <si>
    <t>ANTIOKSIDUES 950 1L</t>
  </si>
  <si>
    <t>ANTIRUXHO 980 1L</t>
  </si>
  <si>
    <t>ANTIRUXHO 992 1KG</t>
  </si>
  <si>
    <t>ANTIOKSIDUES 999 300ML</t>
  </si>
  <si>
    <t>ANTIOKSIDUES 999 1KG</t>
  </si>
  <si>
    <t>ALLCI</t>
  </si>
  <si>
    <t>RULA LYERJE ME BISHT</t>
  </si>
  <si>
    <t>SILIKON AKRELIK 208ML</t>
  </si>
  <si>
    <t>Kg</t>
  </si>
  <si>
    <t>cope</t>
  </si>
  <si>
    <t>AMBALLAZH PLASTIK 2250ML</t>
  </si>
  <si>
    <t>ANTIOKSIDUES 910 1L</t>
  </si>
  <si>
    <t>ANTIOKSIDUES 930 1L</t>
  </si>
  <si>
    <t>ANTIOKSIDUES 950 4L</t>
  </si>
  <si>
    <t>M</t>
  </si>
  <si>
    <t>ASTAR 305 4L</t>
  </si>
  <si>
    <t>BLUZA</t>
  </si>
  <si>
    <t>BOJE 2K MIX 150 KREM 3.75L</t>
  </si>
  <si>
    <t>BOJE 2K MIX BLU 3.75L</t>
  </si>
  <si>
    <t>BOJE 2K MIX JESHILE 1L</t>
  </si>
  <si>
    <t>BOJE 2K MIX KAFE 1L</t>
  </si>
  <si>
    <t>BOJE 2K MIX LILA 1L</t>
  </si>
  <si>
    <t>BOJE 2K MIX PORTOKALLI 3.75L</t>
  </si>
  <si>
    <t>BOJE 2K MIX VISHNJE 1L</t>
  </si>
  <si>
    <t>BOJE DELUX SICCATIVE 5L</t>
  </si>
  <si>
    <t>BOJE INDUSTRIALE  910 SR 3.75L</t>
  </si>
  <si>
    <t>BOJE INDUSTRIALE 6801-2 3.75L</t>
  </si>
  <si>
    <t>BOJE INDUSTRIALE 6811-15,17 3.75L</t>
  </si>
  <si>
    <t>BOJE INDUSTRIALE 6816,18,19 3.75L</t>
  </si>
  <si>
    <t>BOJE INDUSTRIALE DB 189-744 1L</t>
  </si>
  <si>
    <t>BOJE INDUSTRIALE DB 199 1L</t>
  </si>
  <si>
    <t>BOJE P 943-W 1L</t>
  </si>
  <si>
    <t>BOJE PER AUTO</t>
  </si>
  <si>
    <t>BOJE PER AUTOMJETE</t>
  </si>
  <si>
    <t>BOJE RALY ME NGJYRE SH 0.9L</t>
  </si>
  <si>
    <t>BOJE SPRAY IRIDA GOLD EFFECT 3000</t>
  </si>
  <si>
    <t>BOJE SPRAY IRIDA NIKEL EFEKT 4500</t>
  </si>
  <si>
    <t>DEKOR</t>
  </si>
  <si>
    <t>DISK ZMERIL 915 115mm</t>
  </si>
  <si>
    <t>DISK ZMERIL 930 180mm</t>
  </si>
  <si>
    <t>DISK ZMERIL 932 115mm</t>
  </si>
  <si>
    <t>DISK ZMERIL 932 180mm</t>
  </si>
  <si>
    <t>DISK ZMERIL 935 115mm</t>
  </si>
  <si>
    <t>DISK ZMERIL 935 180mm</t>
  </si>
  <si>
    <t>FINO</t>
  </si>
  <si>
    <t>FUCI PLASTIKE</t>
  </si>
  <si>
    <t>KOLLE PLLAKASH</t>
  </si>
  <si>
    <t>KOMINOSHE</t>
  </si>
  <si>
    <t>LET NGJITESE E VERDHE 990 19mm*50</t>
  </si>
  <si>
    <t>LET NGJITESE E VERDHE 990 25mm*50</t>
  </si>
  <si>
    <t>LET NGJITESE E VERDHE 990 30mm*50</t>
  </si>
  <si>
    <t>LET NGJITESE E VERDHE 990 38mm*50</t>
  </si>
  <si>
    <t>LET NGJITESE E VERDHE 990 50mm*50</t>
  </si>
  <si>
    <t>LET ZMERIL 140 P80</t>
  </si>
  <si>
    <t>LET ZMERIL 270 P120</t>
  </si>
  <si>
    <t>LET ZMERIL 330 116mm P24</t>
  </si>
  <si>
    <t>LET ZMERIL 330 116mm P36</t>
  </si>
  <si>
    <t>LET ZMERIL 330 116mm P40</t>
  </si>
  <si>
    <t>LET ZMERIL 330 116mm P50</t>
  </si>
  <si>
    <t>LET ZMERIL 330 116mm P60</t>
  </si>
  <si>
    <t>LET ZMERIL 330 203 mm P60</t>
  </si>
  <si>
    <t>LET ZMERIL 330 203mm P36</t>
  </si>
  <si>
    <t>LET ZMERIL 330 203mm P40</t>
  </si>
  <si>
    <t>LET ZMERIL 330 203mm P80</t>
  </si>
  <si>
    <t>LET ZMERIL 355 300mm P60</t>
  </si>
  <si>
    <t>LET ZMERIL 630 203mm P100-220</t>
  </si>
  <si>
    <t>LET ZMERIL 630 203mm P40</t>
  </si>
  <si>
    <t>LET ZMERIL 630 203mm P60</t>
  </si>
  <si>
    <t>LET ZMERIL 630 203mm P80</t>
  </si>
  <si>
    <t>LET ZMERIL 630 P100-150</t>
  </si>
  <si>
    <t>LET ZMERIL 630 P40</t>
  </si>
  <si>
    <t>LET ZMERIL 630 P60</t>
  </si>
  <si>
    <t>LET ZMERIL 630 P80</t>
  </si>
  <si>
    <t>LET ZMERIL 640 116mm P100-320</t>
  </si>
  <si>
    <t>LET ZMERIL 640 P60</t>
  </si>
  <si>
    <t>LET ZMERIL FLETE P80</t>
  </si>
  <si>
    <t>LET ZMERIL FLETE PXXX</t>
  </si>
  <si>
    <t>MATERIALE REKLAMIMI</t>
  </si>
  <si>
    <t>MOBITEL 100 3.75</t>
  </si>
  <si>
    <t>MOBITEL 104 3.75L</t>
  </si>
  <si>
    <t>MOBITEL 106 3.75L</t>
  </si>
  <si>
    <t>MOBITEL 301 1L</t>
  </si>
  <si>
    <t>MOBITEL 311 1L</t>
  </si>
  <si>
    <t>MOBITEL 312 1L</t>
  </si>
  <si>
    <t>MOBITEL 315 1L</t>
  </si>
  <si>
    <t>MOBITEL 325 1L</t>
  </si>
  <si>
    <t>MOBITEL 328</t>
  </si>
  <si>
    <t>MOBITEL 332 1L</t>
  </si>
  <si>
    <t>MOBITEL 341 1L</t>
  </si>
  <si>
    <t>MOBITEL 342 1L</t>
  </si>
  <si>
    <t>MOBITEL 343 1L</t>
  </si>
  <si>
    <t>MOBITEL 344 1L</t>
  </si>
  <si>
    <t>MOBITEL 345 1L</t>
  </si>
  <si>
    <t>MOBITEL 346 1L</t>
  </si>
  <si>
    <t>MOBITEL 351 1L</t>
  </si>
  <si>
    <t>MOBITEL 352 1L</t>
  </si>
  <si>
    <t>MOBITEL 361 1L</t>
  </si>
  <si>
    <t>MOBITEL 361 3.5L</t>
  </si>
  <si>
    <t>MOBITEL 362 1L</t>
  </si>
  <si>
    <t>MOBITEL 364 1L</t>
  </si>
  <si>
    <t>MOBITEL 400 1L</t>
  </si>
  <si>
    <t>MOBITEL 401 1L</t>
  </si>
  <si>
    <t>MOBITEL 401 3.75L</t>
  </si>
  <si>
    <t>MOBITEL 402 1L</t>
  </si>
  <si>
    <t>MOBITEL 403 1L</t>
  </si>
  <si>
    <t>MOBITEL 405 1L</t>
  </si>
  <si>
    <t>MOBITEL 406 1L</t>
  </si>
  <si>
    <t>MOBITEL PERLA 420 1L</t>
  </si>
  <si>
    <t>PESHORE ELEKTRONIKE</t>
  </si>
  <si>
    <t>PICETA PASTRIMI SET</t>
  </si>
  <si>
    <t>PISTOLETA BOJE</t>
  </si>
  <si>
    <t>ROZETA</t>
  </si>
  <si>
    <t>SHIRIT VETENGJITES 48/66</t>
  </si>
  <si>
    <t>STOKO NR 100</t>
  </si>
  <si>
    <t>STUKO LP PLUS SOFT 5KG</t>
  </si>
  <si>
    <t>TAMPON BASO</t>
  </si>
  <si>
    <t>THARES 726 250ML</t>
  </si>
  <si>
    <t>THARES 803 1L</t>
  </si>
  <si>
    <t>TRETES 740 5L</t>
  </si>
  <si>
    <t>TRETES 767 1L</t>
  </si>
  <si>
    <t>TRETES 767 5L</t>
  </si>
  <si>
    <t>VERNIK 340 500ML</t>
  </si>
  <si>
    <t>VERNIK 492 1L</t>
  </si>
  <si>
    <t>VERNIK 492 SR 1L</t>
  </si>
  <si>
    <t>GRANULAT 0-200</t>
  </si>
  <si>
    <t>GRANULAT 300-800</t>
  </si>
  <si>
    <t>GRANULAT 800-1000</t>
  </si>
  <si>
    <t>GRANULAT 1500-2000</t>
  </si>
  <si>
    <t>GRANULAT 2000-3000</t>
  </si>
  <si>
    <t>SODASIL P95</t>
  </si>
  <si>
    <t>PLUHUR MERMERI 0-1.8MM</t>
  </si>
  <si>
    <t>PLUHUR MERMERI 1.8-2.5MM</t>
  </si>
  <si>
    <t>KARBONAT IOKAL 5C-TN</t>
  </si>
  <si>
    <t>KARBONAT IOKAL 15C-TN</t>
  </si>
  <si>
    <t>KARBONAT IOKAL 40-TN</t>
  </si>
  <si>
    <t>KARBONAT IOKAL 10-TN</t>
  </si>
  <si>
    <t>KARBONAT IOKAL 20C-TN</t>
  </si>
  <si>
    <t>KARBONAT IOKALIT 5C-TN</t>
  </si>
  <si>
    <t>KARBONAT IOKALIT 15C-TN</t>
  </si>
  <si>
    <t>KARBONAT IOKAL 63-TN</t>
  </si>
  <si>
    <t>Karbonat omyacarb 5-TN</t>
  </si>
  <si>
    <t>Karbonat omyacarb 3T-TN</t>
  </si>
  <si>
    <t>Lende e pare per prodh boje (CRAYMUL 2100)</t>
  </si>
  <si>
    <t>POLIFOSFAT</t>
  </si>
  <si>
    <t>PLUHUR MERMERI 0.150-0.700MM</t>
  </si>
  <si>
    <t>GLIKOL ETILENI (antingrires)</t>
  </si>
  <si>
    <t>PREPARAT ANTINGRIRES</t>
  </si>
  <si>
    <t>AKRILIKO STIRENI</t>
  </si>
  <si>
    <t>BOJE E ZEZE PLUHUR</t>
  </si>
  <si>
    <t>KARBONAT ARGJILE</t>
  </si>
  <si>
    <t>KARBONAT KALCIUMI</t>
  </si>
  <si>
    <t>KARBONAT METILI</t>
  </si>
  <si>
    <t>DILUENT</t>
  </si>
  <si>
    <t>FOSFAT NATRIUMI</t>
  </si>
  <si>
    <t>LETINOL</t>
  </si>
  <si>
    <t>OKSID TITANI</t>
  </si>
  <si>
    <t>POLIVINIL</t>
  </si>
  <si>
    <t>POLIMER AKRELIK</t>
  </si>
  <si>
    <t>PIRITIKO ARGJILI</t>
  </si>
  <si>
    <t>PIGMENT</t>
  </si>
  <si>
    <t>PERMIRESUES VISKOZITETI</t>
  </si>
  <si>
    <t>RESHIRE ESTERE</t>
  </si>
  <si>
    <t>RETINE ALKIDE</t>
  </si>
  <si>
    <t>REGULLUES VISKOZITETI</t>
  </si>
  <si>
    <t>SODIUM ALUMINAT</t>
  </si>
  <si>
    <t>SKON VISHNJE</t>
  </si>
  <si>
    <t>TRETES</t>
  </si>
  <si>
    <t>THARES</t>
  </si>
  <si>
    <t>PIGMENT BLU BGS</t>
  </si>
  <si>
    <t>PIGMENT BLU BN</t>
  </si>
  <si>
    <t>PIGMENT JESHIL 7</t>
  </si>
  <si>
    <t>PIGMENT I KUQ 112</t>
  </si>
  <si>
    <t>PIGMENT I KUQ 122</t>
  </si>
  <si>
    <t>PIGMENT LILA 23</t>
  </si>
  <si>
    <t>PIGMENT I VERDHE 74</t>
  </si>
  <si>
    <t>BIDON PLASTIK 1L</t>
  </si>
  <si>
    <t>BIDON PLASTIK 4L</t>
  </si>
  <si>
    <t>DOREZA PLASTIKE (per shishe 5L)</t>
  </si>
  <si>
    <t>ETIKETA</t>
  </si>
  <si>
    <t>FUCI 1000L</t>
  </si>
  <si>
    <t>KUTI 0.25L</t>
  </si>
  <si>
    <t>KUTI METALIKE 0.75L</t>
  </si>
  <si>
    <t>KUTI METALIKE 5L</t>
  </si>
  <si>
    <t>KUTI METALIKE 1KG</t>
  </si>
  <si>
    <t>KUTI METALIKE 2.5L</t>
  </si>
  <si>
    <t>KUTI METALIKE 15L</t>
  </si>
  <si>
    <t>KUTI METALIKE 9L</t>
  </si>
  <si>
    <t>KUTI METALIKE 20L</t>
  </si>
  <si>
    <t>KUTI METALIKE 25KG</t>
  </si>
  <si>
    <t>KUTI METALIKE 0.18L</t>
  </si>
  <si>
    <t>KUTI METALIKE 0.375L</t>
  </si>
  <si>
    <t>KUTI PLASTIKE 10L</t>
  </si>
  <si>
    <t>KUTI PLASTIKE 175ML</t>
  </si>
  <si>
    <t>KUTI PLASTIKE 375ML</t>
  </si>
  <si>
    <t>KUTI PLASTIKE 80ML</t>
  </si>
  <si>
    <t>KUTI PLASTIKE 3L</t>
  </si>
  <si>
    <t>KOVA PLASTIKE 5KG</t>
  </si>
  <si>
    <t>KUTI PLASTIKE 0.75L</t>
  </si>
  <si>
    <t>KUTI KARTONI PER 0.3L</t>
  </si>
  <si>
    <t>KUTI KARTONI</t>
  </si>
  <si>
    <t>SHISHE PLASTIKE 0.33L</t>
  </si>
  <si>
    <t>SHISHE PLASTIKE 1L</t>
  </si>
  <si>
    <t>SHISHE PLASTIKE 5L</t>
  </si>
  <si>
    <t>TAPA SHISHEJE</t>
  </si>
  <si>
    <t>TAPA SHISHEJE 5L</t>
  </si>
  <si>
    <t>KARBONAT IOKAL 100-TN</t>
  </si>
  <si>
    <t>K.KALCIUMI GRANULA</t>
  </si>
  <si>
    <t>ECODIS P90</t>
  </si>
  <si>
    <t>KARBONAT IOKAL ULTRA FINE</t>
  </si>
  <si>
    <t>KARBONAT IOTALK 25</t>
  </si>
  <si>
    <t>KARBONAT IOKALIT ULTRAFINE</t>
  </si>
  <si>
    <t>KUTI METAL. VACOPLAST 250gr</t>
  </si>
  <si>
    <t>KUTI METAL.VACO PLASTIK 169*215 (3.75L)</t>
  </si>
  <si>
    <t>KUTI METAL. VACOTEX 110*130</t>
  </si>
  <si>
    <t>KUTI METAL.CHASSICOAT 99*85</t>
  </si>
  <si>
    <t>KUTI METAL. VACOPLAST 0.5KG</t>
  </si>
  <si>
    <t>KUTI METAL. VELATURA 750ml</t>
  </si>
  <si>
    <t>KUTI METAL. XYLOVAC 750ML</t>
  </si>
  <si>
    <t>KUTI METAL. VALATURA 0.5KG</t>
  </si>
  <si>
    <t>KUTI METAL. DILUENT 4L</t>
  </si>
  <si>
    <t>KUTI METAL. XYLOVAC 4KG</t>
  </si>
  <si>
    <t>KUTI METAL. BOJE PER MJETE LUNDRUESE 750ML</t>
  </si>
  <si>
    <t>KUTI METAL. ASTAR METALIK 750ml</t>
  </si>
  <si>
    <t>KUTI METAL.VELATURA 2.5L</t>
  </si>
  <si>
    <t>KUTI METAL. BOJE PER MJETE LUNDRUESE 2.5L</t>
  </si>
  <si>
    <t>KUTI METAL. LLAK GURI 2.5L</t>
  </si>
  <si>
    <t>KUTI METAL. VACOLUX 750</t>
  </si>
  <si>
    <t>KUTI METAL. VACOLUX 2.5L</t>
  </si>
  <si>
    <t>KUTI METAL. VACOLUX 0.25KG</t>
  </si>
  <si>
    <t>KUTI METAL. VACOSTOP 110*130</t>
  </si>
  <si>
    <t>BOJE VAJI ME NGJYRE</t>
  </si>
  <si>
    <t>FOSFAT ZINGU</t>
  </si>
  <si>
    <t>KUTI KARTONI PER 1L</t>
  </si>
  <si>
    <t>KUTI KARTONI MODELI 7</t>
  </si>
  <si>
    <t>KUTI KARTONI MOD 9</t>
  </si>
  <si>
    <t>KAPAK PLASTIK 4.2L</t>
  </si>
  <si>
    <t>KUTI PLASTIKE ME KAPAKE 11L</t>
  </si>
  <si>
    <t>KAPAK PLASTIK 12.5L</t>
  </si>
  <si>
    <t>KUTI PLASTIKE ME KAPAKE 18L</t>
  </si>
  <si>
    <t>KUTI PLASTIKE ME KAPAKE 250ML</t>
  </si>
  <si>
    <t>KUTI PLASTIKE ME KAPAKE 3.8L</t>
  </si>
  <si>
    <t>KUTI PLASTIKE ME KAPAKE 750ML</t>
  </si>
  <si>
    <t>KUTI PLASTIKE ME KAPAK 1L</t>
  </si>
  <si>
    <t>KUTI PLASTIKE 180ML</t>
  </si>
  <si>
    <t>AMONJAK LENG</t>
  </si>
  <si>
    <t>KG</t>
  </si>
  <si>
    <t>ANTIRUXHO 1KG</t>
  </si>
  <si>
    <t>ANTIRUXHO 500GR</t>
  </si>
  <si>
    <t>ASTAR ME TRETES 18L</t>
  </si>
  <si>
    <t>BOJE DRURI 2.5L</t>
  </si>
  <si>
    <t>BOJE VAJI 250GR</t>
  </si>
  <si>
    <t>BOJE VAJI 4KG</t>
  </si>
  <si>
    <t>BOJE VAJI 500GR</t>
  </si>
  <si>
    <t>CIMENTOKROMA 1KG</t>
  </si>
  <si>
    <t>HIDROKROMA II 15KG</t>
  </si>
  <si>
    <t>HIDROPLAST 15KG</t>
  </si>
  <si>
    <t>LLAK DRURI 200GR</t>
  </si>
  <si>
    <t>PERFORCUES BETONI 1L</t>
  </si>
  <si>
    <t>PERFORCUES BETONI 4L</t>
  </si>
  <si>
    <t>SILIKON 15KG</t>
  </si>
  <si>
    <t>SILIKON 1KG</t>
  </si>
  <si>
    <t>SILIKON 5KG</t>
  </si>
  <si>
    <t>STUKO FLEX  800 GR</t>
  </si>
  <si>
    <t>STUKO FLEX 18 KG</t>
  </si>
  <si>
    <t>STUKO FLEX 400 GR</t>
  </si>
  <si>
    <t>STUKO FLEX 6KG</t>
  </si>
  <si>
    <t>SUVA AKRIL 17KG</t>
  </si>
  <si>
    <t>THARES BETONI</t>
  </si>
  <si>
    <t>TRETES 4L</t>
  </si>
  <si>
    <t>Blerja e aktiveve afatgjata materiale (QERA DYQANI)</t>
  </si>
  <si>
    <t>Te ardhura te siguruara nga demshperblimet</t>
  </si>
  <si>
    <t>Pasqyra   e   Fluksit   te  Parase   2010</t>
  </si>
  <si>
    <t>01.01.2010</t>
  </si>
  <si>
    <t>31.12.2010</t>
  </si>
  <si>
    <t>Pasqyra  e  Ndryshimeve  ne  Kapital  2010</t>
  </si>
  <si>
    <t xml:space="preserve">                - Per ndertesat     5 % ne vit te vleres se mbetur.</t>
  </si>
  <si>
    <t>Pozicioni me 31 dhjetor 2010</t>
  </si>
  <si>
    <t>Desi</t>
  </si>
  <si>
    <t>Xhengo</t>
  </si>
  <si>
    <t>Faben</t>
  </si>
  <si>
    <t>Ardi Petrol</t>
  </si>
  <si>
    <t>Tropikal</t>
  </si>
  <si>
    <t>Korca Ndertim Prodhim A</t>
  </si>
  <si>
    <t>Kriket 1</t>
  </si>
  <si>
    <t xml:space="preserve">Franko Konstruksin </t>
  </si>
  <si>
    <t>Jubica</t>
  </si>
  <si>
    <t>Agron Kajo</t>
  </si>
  <si>
    <t>Nelida Kastrati</t>
  </si>
  <si>
    <t>Materiale ndertimi per prodhim aktivesh</t>
  </si>
  <si>
    <t>Financime te tjera (llogari e pronarit)</t>
  </si>
  <si>
    <t>Debitore dhe Kreditore te tjere(qeradhenes)</t>
  </si>
  <si>
    <t>Shpenzime te pa zbriteshme(interesa bankare mbi 11%)</t>
  </si>
  <si>
    <t>Te ardhura nga transporti,qeraja</t>
  </si>
  <si>
    <t>Shitjet produkt I gatshem</t>
  </si>
  <si>
    <t>Shitjet lende e pare</t>
  </si>
  <si>
    <t>Materiale te para,mallra dhe sherbime te konsumuara</t>
  </si>
  <si>
    <t>a</t>
  </si>
  <si>
    <t>Lende te para</t>
  </si>
  <si>
    <t>b</t>
  </si>
  <si>
    <t>Mallra</t>
  </si>
  <si>
    <t>c</t>
  </si>
  <si>
    <t>Konsum energji elektrike</t>
  </si>
  <si>
    <t>d</t>
  </si>
  <si>
    <t>Te tjera (kancelari,shpenzime per pritje)</t>
  </si>
  <si>
    <t>dhe gjoba per vonesa kestesh)</t>
  </si>
  <si>
    <t>Shpenzimet e panjohura (interesa bankare mbi normen 11% )</t>
  </si>
  <si>
    <t>Sherbime nga te trete (qera,mirembajtje e riparime,siguracione)</t>
  </si>
  <si>
    <t>Dieta,telekomunikacion,transport,sherbime bankare</t>
  </si>
  <si>
    <t>e</t>
  </si>
  <si>
    <t>Taksa vendore,doganore,akciza</t>
  </si>
  <si>
    <t>f</t>
  </si>
  <si>
    <t>Te tjera korente(agjent doganor)</t>
  </si>
  <si>
    <t>Interesa per huamarjet bankare</t>
  </si>
  <si>
    <t>Humbje nga kursi I kembimit</t>
  </si>
  <si>
    <t>Te ardhura te tjera financiare (demshperblim kasko)</t>
  </si>
  <si>
    <t>parate e paguara furnitoreve</t>
  </si>
  <si>
    <t>Hua,bono dhe detyrime nga qeraja financiare(hua bankare)</t>
  </si>
  <si>
    <t>ELVIS</t>
  </si>
  <si>
    <t>BALLI</t>
  </si>
  <si>
    <t>MERJA</t>
  </si>
  <si>
    <t>2A&amp;2E SH.A</t>
  </si>
  <si>
    <t>VACOCHEM S.A</t>
  </si>
  <si>
    <t>TRICARDOS S.A</t>
  </si>
  <si>
    <t>HELENIC PETROLEUM</t>
  </si>
  <si>
    <t>Subjekti</t>
  </si>
  <si>
    <t>HROMODHOMI ALBANIA</t>
  </si>
  <si>
    <t>NIPT-i</t>
  </si>
  <si>
    <t>Aktiviteti</t>
  </si>
  <si>
    <t>Prodhim-tregeti bojra</t>
  </si>
  <si>
    <t>Adresa Vep</t>
  </si>
  <si>
    <t>Autostrada Korce-Bilisht</t>
  </si>
  <si>
    <t>Telefoni</t>
  </si>
  <si>
    <t>ARISTOTEL MINDILI</t>
  </si>
  <si>
    <t>Kosto</t>
  </si>
  <si>
    <t>Sasia</t>
  </si>
  <si>
    <t>IVENTARI I MAGAZINES SE LENDEVE TE PARA</t>
  </si>
  <si>
    <t>IVENTARI I MAGAZINES SE PRODUKTIT TE GATSHEM</t>
  </si>
  <si>
    <t>FABRIKE</t>
  </si>
  <si>
    <t>IVENTARI I MAGAZINES SE MALLRAVE</t>
  </si>
  <si>
    <t>Artikulli</t>
  </si>
  <si>
    <t>DYQANI</t>
  </si>
  <si>
    <t>AAM ne proces</t>
  </si>
  <si>
    <t>Cimento</t>
  </si>
  <si>
    <t>DRRASE</t>
  </si>
  <si>
    <t>M3</t>
  </si>
  <si>
    <t>Flete xingato</t>
  </si>
  <si>
    <t>GOZHDE</t>
  </si>
  <si>
    <t>Granil</t>
  </si>
  <si>
    <t>Hekur</t>
  </si>
  <si>
    <t>Hekur ndertimi</t>
  </si>
  <si>
    <t>Kulme</t>
  </si>
  <si>
    <t>Llamarine</t>
  </si>
  <si>
    <t>Panele fibre</t>
  </si>
  <si>
    <t>Panele melamine</t>
  </si>
  <si>
    <t>Pllaka</t>
  </si>
  <si>
    <t>M2</t>
  </si>
  <si>
    <t>Pllaka Gipsi</t>
  </si>
  <si>
    <t>Profile</t>
  </si>
  <si>
    <t>Rrjete teli</t>
  </si>
  <si>
    <t>Shufra hekuri fi 6</t>
  </si>
  <si>
    <t>Shufra hekuri ndertimi</t>
  </si>
  <si>
    <t>Tel bari</t>
  </si>
  <si>
    <t>Tjegulla</t>
  </si>
  <si>
    <t>Tubo fi 19</t>
  </si>
  <si>
    <t>Tubo fi 42</t>
  </si>
  <si>
    <t>Tubo fi 48</t>
  </si>
  <si>
    <t>Tulla</t>
  </si>
  <si>
    <t>Tulla 9*14*32</t>
  </si>
  <si>
    <t>Xham i thjeshte</t>
  </si>
  <si>
    <t>Zgara hekuri</t>
  </si>
  <si>
    <t>IVENTARI I MAGAZINES SE MATERIALEVE TE NDERTIMIT</t>
  </si>
  <si>
    <t>periudhes rraportuese dhe qe korigjohen nuk ka.</t>
  </si>
  <si>
    <t>Aktivet Afatgjata Materiale   2010</t>
  </si>
  <si>
    <t>Grupet e aktiveve</t>
  </si>
  <si>
    <t>Gjendje</t>
  </si>
  <si>
    <t>Pake</t>
  </si>
  <si>
    <t>Amortiz.i</t>
  </si>
  <si>
    <t>Amortiz.Tatim.</t>
  </si>
  <si>
    <t>01.01.10</t>
  </si>
  <si>
    <t>sime</t>
  </si>
  <si>
    <t>31.12.10</t>
  </si>
  <si>
    <t>vitit 2010</t>
  </si>
  <si>
    <t>Toke</t>
  </si>
  <si>
    <t>Makineri, mjete transporti</t>
  </si>
  <si>
    <t>Paisje Zyre dhe informatike</t>
  </si>
  <si>
    <t>20-25%</t>
  </si>
  <si>
    <t xml:space="preserve">S h u m a </t>
  </si>
  <si>
    <t>Taimpaguesi  HROMODHOMI ALBANIA</t>
  </si>
  <si>
    <t>NIPT K13920002W</t>
  </si>
  <si>
    <t>Tel.++35582254944</t>
  </si>
  <si>
    <t>LISTA E AUTOMJETEVE NE PERDORIM</t>
  </si>
  <si>
    <t>Nr.</t>
  </si>
  <si>
    <t>Lloji automjetit</t>
  </si>
  <si>
    <t>Kapaciteti</t>
  </si>
  <si>
    <t>Targa</t>
  </si>
  <si>
    <t>BENZ</t>
  </si>
  <si>
    <t>5 TON</t>
  </si>
  <si>
    <t>KO 18-67B</t>
  </si>
  <si>
    <t>10 TON</t>
  </si>
  <si>
    <t>KO 94-74A</t>
  </si>
  <si>
    <t>PEUGEOT</t>
  </si>
  <si>
    <t>0.53TON</t>
  </si>
  <si>
    <t>KO 39-13B</t>
  </si>
  <si>
    <t>2.7 TON</t>
  </si>
  <si>
    <t>KO 55-95B</t>
  </si>
  <si>
    <t>2.4TON</t>
  </si>
  <si>
    <t xml:space="preserve">   KO 62-27B</t>
  </si>
  <si>
    <t>MAN</t>
  </si>
  <si>
    <t>16TON</t>
  </si>
  <si>
    <t xml:space="preserve">   KO 83-73B</t>
  </si>
  <si>
    <t xml:space="preserve">VETURE </t>
  </si>
  <si>
    <t xml:space="preserve">   KO 84-88B</t>
  </si>
  <si>
    <t>FORD</t>
  </si>
  <si>
    <t>1.5TON</t>
  </si>
  <si>
    <t>KO 97-55B</t>
  </si>
  <si>
    <t>Shuma</t>
  </si>
  <si>
    <t xml:space="preserve">DEKLARATA ANALITIKE PER </t>
  </si>
  <si>
    <t>Numri i Vendosjes se Dokumentit (NVD)</t>
  </si>
  <si>
    <t>TATIMIN MBI TE ARDHURAT</t>
  </si>
  <si>
    <t xml:space="preserve"> </t>
  </si>
  <si>
    <r>
      <t xml:space="preserve">       </t>
    </r>
    <r>
      <rPr>
        <sz val="8"/>
        <rFont val="Arial"/>
        <family val="2"/>
      </rPr>
      <t>( Vetem per perdorim zyrtar )</t>
    </r>
  </si>
  <si>
    <t>NIPT</t>
  </si>
  <si>
    <t>Periudha tatimore</t>
  </si>
  <si>
    <t>Emri tregtar</t>
  </si>
  <si>
    <t>Adresa</t>
  </si>
  <si>
    <t>Autostrada Korce-Bilisht km 3-te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</si>
  <si>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</si>
  <si>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</si>
  <si>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</si>
  <si>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</si>
  <si>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</si>
  <si>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</si>
  <si>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</si>
  <si>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>c) zmadhim I kapitalit themeltar te shoqerise ose kontributit te secilit person ne ortakeri</t>
  </si>
  <si>
    <t>ç) vlera e sherbimeve ne natyre</t>
  </si>
  <si>
    <t>d) kontributet vullnetare te pensioneve</t>
  </si>
  <si>
    <t>dh) dividentet e deklaruar dhe ndarja e fitimit</t>
  </si>
  <si>
    <t>e) interesat e paguara mbi interesin maksimal te kredise se caktuar nga  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</si>
  <si>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</si>
  <si>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</si>
  <si>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</si>
  <si>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</si>
  <si>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</si>
  <si>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</si>
  <si>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</si>
  <si>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</si>
  <si>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</si>
  <si>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 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</si>
  <si>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</si>
  <si>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</si>
  <si>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</si>
  <si>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r>
      <t>n) amortizim nga rivlersimi I akteve te qendrueshme</t>
    </r>
    <r>
      <rPr>
        <sz val="8"/>
        <rFont val="Arial"/>
        <family val="2"/>
      </rPr>
      <t xml:space="preserve"> </t>
    </r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</si>
  <si>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</si>
  <si>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</si>
  <si>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</si>
  <si>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</si>
  <si>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</si>
  <si>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</si>
  <si>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</si>
  <si>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</si>
  <si>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</si>
  <si>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</si>
  <si>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</si>
  <si>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</si>
  <si>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</si>
  <si>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</si>
  <si>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</si>
  <si>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</si>
  <si>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</si>
  <si>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</si>
  <si>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</si>
  <si>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</si>
  <si>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</si>
  <si>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</si>
  <si>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</si>
  <si>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</t>
    </r>
    <r>
      <rPr>
        <b/>
        <sz val="8"/>
        <rFont val="Arial"/>
        <family val="2"/>
      </rPr>
      <t>-</t>
    </r>
    <r>
      <rPr>
        <sz val="8"/>
        <rFont val="Arial"/>
        <family val="2"/>
      </rPr>
      <t>Deklaroj nen pergjegjesine time qe informacioni I mesiperm eshte I plote dhe I sakte</t>
    </r>
  </si>
  <si>
    <t>Per Drejtimin e Shoqerise</t>
  </si>
  <si>
    <t>SHOQERIA HROMODHOMI ALBANIA</t>
  </si>
  <si>
    <t>Aktivet Afatgjata Materiale  me vlere fillestare   2010</t>
  </si>
  <si>
    <t>Pakesime</t>
  </si>
  <si>
    <t>Ndertime</t>
  </si>
  <si>
    <t>Makineri,paisje,vegla,transport</t>
  </si>
  <si>
    <t>kompjuterike</t>
  </si>
  <si>
    <t>Te tjera</t>
  </si>
  <si>
    <t xml:space="preserve">             TOTALI</t>
  </si>
  <si>
    <t>Amortizimi A.A.Materiale   2010</t>
  </si>
  <si>
    <t>Vlera Kontabel Neto e A.A.Materiale  2010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</si>
  <si>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</si>
  <si>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</si>
  <si>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</si>
  <si>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</si>
  <si>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</si>
  <si>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</si>
  <si>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</si>
  <si>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</si>
  <si>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</si>
  <si>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</si>
  <si>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</si>
  <si>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</si>
  <si>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</si>
  <si>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</si>
  <si>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</si>
  <si>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</si>
  <si>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</si>
  <si>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</si>
  <si>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</si>
  <si>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</si>
  <si>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</si>
  <si>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</si>
  <si>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</si>
  <si>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</si>
  <si>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</si>
  <si>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</si>
  <si>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</si>
  <si>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</si>
  <si>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</si>
  <si>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</si>
  <si>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</si>
  <si>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</si>
  <si>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</si>
  <si>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Aristotel ,Mindili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</si>
  <si>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</si>
  <si>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</si>
  <si>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</si>
  <si>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</si>
  <si>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</si>
  <si>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</si>
  <si>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</si>
  <si>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</si>
  <si>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</si>
  <si>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</si>
  <si>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</si>
  <si>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</si>
  <si>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</si>
  <si>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</si>
  <si>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</si>
  <si>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</si>
  <si>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</si>
  <si>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</si>
  <si>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</si>
  <si>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</si>
  <si>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</si>
  <si>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</si>
  <si>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</si>
  <si>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</si>
  <si>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</si>
  <si>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</si>
  <si>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</si>
  <si>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</si>
  <si>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</si>
  <si>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</si>
  <si>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</si>
  <si>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</si>
  <si>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</si>
  <si>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</si>
  <si>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</si>
  <si>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</si>
  <si>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</si>
  <si>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</si>
  <si>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</si>
  <si>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</si>
  <si>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</si>
  <si>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</si>
  <si>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</si>
  <si>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</si>
  <si>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</si>
  <si>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</si>
  <si>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</si>
  <si>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</si>
  <si>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</si>
  <si>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</si>
  <si>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</si>
  <si>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</si>
  <si>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</si>
  <si>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</si>
  <si>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</si>
  <si>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</si>
  <si>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</si>
  <si>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</si>
  <si>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</si>
  <si>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</si>
  <si>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</si>
  <si>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</si>
  <si>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SHOQERIA_HROMODHOMI ALBANIA_______________</t>
  </si>
  <si>
    <t>NIPTI_K13920002W__________________</t>
  </si>
  <si>
    <t>Pasqyre Nr.3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</si>
  <si>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</si>
  <si>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</si>
  <si>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</si>
  <si>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</si>
  <si>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</si>
  <si>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</si>
  <si>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</si>
  <si>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</si>
  <si>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</si>
  <si>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</si>
  <si>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</si>
  <si>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</si>
  <si>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</si>
  <si>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</si>
  <si>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</si>
  <si>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</si>
  <si>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</si>
  <si>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</si>
  <si>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</si>
  <si>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</si>
  <si>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</si>
  <si>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</si>
  <si>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</si>
  <si>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</si>
  <si>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</si>
  <si>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</si>
  <si>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</si>
  <si>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</si>
  <si>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</si>
  <si>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</si>
  <si>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</si>
  <si>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</si>
  <si>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</si>
  <si>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</si>
  <si>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</si>
  <si>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</si>
  <si>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</si>
  <si>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</si>
  <si>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</si>
  <si>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</si>
  <si>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</si>
  <si>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</si>
  <si>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</si>
  <si>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</si>
  <si>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</si>
  <si>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</si>
  <si>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</si>
  <si>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</si>
  <si>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</si>
  <si>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</si>
  <si>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</si>
  <si>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</si>
  <si>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</si>
  <si>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Aristotel Mindili</t>
  </si>
  <si>
    <r>
      <t xml:space="preserve">Shenim: </t>
    </r>
    <r>
      <rPr>
        <sz val="10"/>
        <rFont val="Arial"/>
        <family val="2"/>
      </rPr>
      <t>Kjo pasqyre plotesohet edhe on-line.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</si>
</sst>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.0%"/>
    <numFmt numFmtId="181" formatCode="0.000%"/>
    <numFmt numFmtId="182" formatCode="#,##0_);\-#,##0"/>
    <numFmt numFmtId="183" formatCode="#,##0.00_);\-#,##0.00"/>
    <numFmt numFmtId="184" formatCode="0.0"/>
    <numFmt numFmtId="185" formatCode="#,##0.0_);\-#,##0.0"/>
    <numFmt numFmtId="186" formatCode="#,##0.00000000"/>
    <numFmt numFmtId="187" formatCode="#,##0.000000000"/>
    <numFmt numFmtId="188" formatCode="_(* #,##0_);_(* \(#,##0\);_(* &quot;-&quot;??_);_(@_)"/>
  </numFmts>
  <fonts count="86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.05"/>
      <color indexed="8"/>
      <name val="Arial"/>
      <family val="2"/>
    </font>
    <font>
      <b/>
      <sz val="8.05"/>
      <color indexed="8"/>
      <name val="Arial"/>
      <family val="2"/>
    </font>
    <font>
      <b/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u val="single"/>
      <sz val="10"/>
      <color indexed="8"/>
      <name val="MS Sans Serif"/>
      <family val="2"/>
    </font>
    <font>
      <sz val="10"/>
      <color indexed="8"/>
      <name val="MS Sans Serif"/>
      <family val="2"/>
    </font>
    <font>
      <sz val="9.85"/>
      <color indexed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.5"/>
      <color indexed="8"/>
      <name val="MS Sans Serif"/>
      <family val="2"/>
    </font>
    <font>
      <b/>
      <sz val="11"/>
      <color indexed="8"/>
      <name val="Calibri"/>
      <family val="2"/>
    </font>
    <font>
      <u val="single"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MS Sans Serif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5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0" fillId="0" borderId="0" xfId="0" applyNumberFormat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3" fontId="11" fillId="0" borderId="29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 horizontal="center"/>
    </xf>
    <xf numFmtId="0" fontId="14" fillId="0" borderId="36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3" fontId="0" fillId="0" borderId="16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/>
    </xf>
    <xf numFmtId="0" fontId="84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20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0" fillId="0" borderId="19" xfId="0" applyFont="1" applyBorder="1" applyAlignment="1">
      <alignment horizontal="left" vertical="center"/>
    </xf>
    <xf numFmtId="3" fontId="0" fillId="0" borderId="19" xfId="0" applyNumberForma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/>
      <protection/>
    </xf>
    <xf numFmtId="0" fontId="21" fillId="0" borderId="19" xfId="0" applyFont="1" applyBorder="1" applyAlignment="1">
      <alignment horizontal="left" vertical="center"/>
    </xf>
    <xf numFmtId="0" fontId="21" fillId="0" borderId="19" xfId="0" applyNumberFormat="1" applyFont="1" applyFill="1" applyBorder="1" applyAlignment="1" applyProtection="1">
      <alignment/>
      <protection/>
    </xf>
    <xf numFmtId="0" fontId="21" fillId="0" borderId="19" xfId="0" applyFont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22" fillId="0" borderId="19" xfId="0" applyNumberFormat="1" applyFont="1" applyFill="1" applyBorder="1" applyAlignment="1" applyProtection="1">
      <alignment/>
      <protection/>
    </xf>
    <xf numFmtId="182" fontId="22" fillId="0" borderId="19" xfId="0" applyNumberFormat="1" applyFont="1" applyBorder="1" applyAlignment="1">
      <alignment horizontal="right" vertical="center"/>
    </xf>
    <xf numFmtId="0" fontId="21" fillId="0" borderId="19" xfId="0" applyFont="1" applyBorder="1" applyAlignment="1">
      <alignment vertical="center"/>
    </xf>
    <xf numFmtId="183" fontId="21" fillId="0" borderId="19" xfId="0" applyNumberFormat="1" applyFont="1" applyBorder="1" applyAlignment="1">
      <alignment horizontal="right" vertical="center"/>
    </xf>
    <xf numFmtId="182" fontId="21" fillId="0" borderId="19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183" fontId="23" fillId="0" borderId="0" xfId="0" applyNumberFormat="1" applyFont="1" applyAlignment="1">
      <alignment horizontal="right" vertical="center"/>
    </xf>
    <xf numFmtId="183" fontId="24" fillId="0" borderId="0" xfId="0" applyNumberFormat="1" applyFont="1" applyAlignment="1">
      <alignment horizontal="right" vertical="center"/>
    </xf>
    <xf numFmtId="0" fontId="25" fillId="0" borderId="0" xfId="0" applyNumberFormat="1" applyFont="1" applyFill="1" applyBorder="1" applyAlignment="1" applyProtection="1">
      <alignment/>
      <protection/>
    </xf>
    <xf numFmtId="183" fontId="21" fillId="0" borderId="0" xfId="0" applyNumberFormat="1" applyFont="1" applyAlignment="1">
      <alignment horizontal="right"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19" xfId="0" applyFont="1" applyBorder="1" applyAlignment="1">
      <alignment vertical="center"/>
    </xf>
    <xf numFmtId="183" fontId="23" fillId="0" borderId="19" xfId="0" applyNumberFormat="1" applyFont="1" applyBorder="1" applyAlignment="1">
      <alignment horizontal="right" vertical="center"/>
    </xf>
    <xf numFmtId="1" fontId="22" fillId="0" borderId="19" xfId="0" applyNumberFormat="1" applyFont="1" applyBorder="1" applyAlignment="1">
      <alignment horizontal="right" vertical="center"/>
    </xf>
    <xf numFmtId="0" fontId="0" fillId="0" borderId="19" xfId="0" applyNumberFormat="1" applyFill="1" applyBorder="1" applyAlignment="1" applyProtection="1">
      <alignment/>
      <protection/>
    </xf>
    <xf numFmtId="0" fontId="21" fillId="0" borderId="19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/>
      <protection/>
    </xf>
    <xf numFmtId="1" fontId="5" fillId="0" borderId="19" xfId="0" applyNumberFormat="1" applyFont="1" applyFill="1" applyBorder="1" applyAlignment="1" applyProtection="1">
      <alignment/>
      <protection/>
    </xf>
    <xf numFmtId="0" fontId="23" fillId="0" borderId="19" xfId="0" applyFont="1" applyBorder="1" applyAlignment="1">
      <alignment vertical="center"/>
    </xf>
    <xf numFmtId="183" fontId="23" fillId="0" borderId="19" xfId="0" applyNumberFormat="1" applyFont="1" applyBorder="1" applyAlignment="1">
      <alignment horizontal="right" vertical="center"/>
    </xf>
    <xf numFmtId="183" fontId="21" fillId="0" borderId="19" xfId="0" applyNumberFormat="1" applyFont="1" applyBorder="1" applyAlignment="1">
      <alignment horizontal="right" vertical="center"/>
    </xf>
    <xf numFmtId="9" fontId="0" fillId="0" borderId="0" xfId="62" applyFont="1" applyBorder="1" applyAlignment="1">
      <alignment vertical="center"/>
    </xf>
    <xf numFmtId="0" fontId="23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Font="1" applyBorder="1" applyAlignment="1">
      <alignment horizontal="left" vertical="top"/>
    </xf>
    <xf numFmtId="0" fontId="0" fillId="0" borderId="19" xfId="0" applyFill="1" applyBorder="1" applyAlignment="1">
      <alignment vertical="center"/>
    </xf>
    <xf numFmtId="0" fontId="0" fillId="0" borderId="0" xfId="0" applyBorder="1" applyAlignment="1">
      <alignment horizontal="left"/>
    </xf>
    <xf numFmtId="0" fontId="23" fillId="0" borderId="0" xfId="0" applyNumberFormat="1" applyFont="1" applyFill="1" applyBorder="1" applyAlignment="1" applyProtection="1">
      <alignment vertical="center"/>
      <protection/>
    </xf>
    <xf numFmtId="183" fontId="23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183" fontId="5" fillId="0" borderId="0" xfId="0" applyNumberFormat="1" applyFont="1" applyFill="1" applyBorder="1" applyAlignment="1" applyProtection="1">
      <alignment/>
      <protection/>
    </xf>
    <xf numFmtId="183" fontId="23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19" xfId="0" applyNumberFormat="1" applyFont="1" applyFill="1" applyBorder="1" applyAlignment="1" applyProtection="1">
      <alignment vertical="center"/>
      <protection/>
    </xf>
    <xf numFmtId="183" fontId="23" fillId="0" borderId="13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11" fillId="0" borderId="21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84" fillId="0" borderId="13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84" fillId="0" borderId="0" xfId="0" applyFont="1" applyBorder="1" applyAlignment="1">
      <alignment/>
    </xf>
    <xf numFmtId="0" fontId="84" fillId="0" borderId="14" xfId="0" applyFont="1" applyBorder="1" applyAlignment="1">
      <alignment/>
    </xf>
    <xf numFmtId="0" fontId="84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84" fillId="0" borderId="0" xfId="0" applyFont="1" applyBorder="1" applyAlignment="1">
      <alignment horizontal="center" vertical="center"/>
    </xf>
    <xf numFmtId="3" fontId="84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85" fillId="0" borderId="0" xfId="0" applyFont="1" applyBorder="1" applyAlignment="1">
      <alignment/>
    </xf>
    <xf numFmtId="0" fontId="84" fillId="0" borderId="0" xfId="0" applyFont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10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0" fillId="0" borderId="19" xfId="0" applyFont="1" applyBorder="1" applyAlignment="1">
      <alignment horizontal="right"/>
    </xf>
    <xf numFmtId="182" fontId="21" fillId="0" borderId="19" xfId="0" applyNumberFormat="1" applyFont="1" applyFill="1" applyBorder="1" applyAlignment="1" applyProtection="1">
      <alignment/>
      <protection/>
    </xf>
    <xf numFmtId="3" fontId="5" fillId="0" borderId="12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3" fontId="11" fillId="0" borderId="38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3" fontId="11" fillId="0" borderId="1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0" fontId="16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8" xfId="0" applyNumberFormat="1" applyFont="1" applyBorder="1" applyAlignment="1">
      <alignment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21" fillId="0" borderId="0" xfId="0" applyFont="1" applyAlignment="1">
      <alignment vertical="center"/>
    </xf>
    <xf numFmtId="0" fontId="21" fillId="0" borderId="19" xfId="0" applyNumberFormat="1" applyFont="1" applyFill="1" applyBorder="1" applyAlignment="1" applyProtection="1">
      <alignment horizontal="center"/>
      <protection/>
    </xf>
    <xf numFmtId="0" fontId="21" fillId="0" borderId="19" xfId="0" applyFont="1" applyBorder="1" applyAlignment="1">
      <alignment horizontal="center" vertical="center"/>
    </xf>
    <xf numFmtId="0" fontId="33" fillId="0" borderId="19" xfId="0" applyNumberFormat="1" applyFont="1" applyFill="1" applyBorder="1" applyAlignment="1" applyProtection="1">
      <alignment/>
      <protection/>
    </xf>
    <xf numFmtId="182" fontId="23" fillId="0" borderId="19" xfId="0" applyNumberFormat="1" applyFont="1" applyBorder="1" applyAlignment="1">
      <alignment horizontal="right" vertical="center"/>
    </xf>
    <xf numFmtId="185" fontId="23" fillId="0" borderId="19" xfId="0" applyNumberFormat="1" applyFont="1" applyBorder="1" applyAlignment="1">
      <alignment horizontal="right" vertical="center"/>
    </xf>
    <xf numFmtId="186" fontId="0" fillId="0" borderId="0" xfId="0" applyNumberFormat="1" applyFill="1" applyBorder="1" applyAlignment="1" applyProtection="1">
      <alignment/>
      <protection/>
    </xf>
    <xf numFmtId="187" fontId="0" fillId="0" borderId="0" xfId="0" applyNumberFormat="1" applyFill="1" applyBorder="1" applyAlignment="1" applyProtection="1">
      <alignment/>
      <protection/>
    </xf>
    <xf numFmtId="180" fontId="0" fillId="0" borderId="0" xfId="62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0" xfId="0" applyNumberFormat="1" applyFont="1" applyFill="1" applyBorder="1" applyAlignment="1" applyProtection="1">
      <alignment/>
      <protection/>
    </xf>
    <xf numFmtId="0" fontId="36" fillId="0" borderId="25" xfId="0" applyNumberFormat="1" applyFont="1" applyFill="1" applyBorder="1" applyAlignment="1" applyProtection="1">
      <alignment horizontal="centerContinuous"/>
      <protection/>
    </xf>
    <xf numFmtId="0" fontId="36" fillId="0" borderId="21" xfId="0" applyNumberFormat="1" applyFont="1" applyFill="1" applyBorder="1" applyAlignment="1" applyProtection="1">
      <alignment horizontal="centerContinuous"/>
      <protection/>
    </xf>
    <xf numFmtId="0" fontId="36" fillId="0" borderId="25" xfId="0" applyNumberFormat="1" applyFont="1" applyFill="1" applyBorder="1" applyAlignment="1" applyProtection="1">
      <alignment horizontal="center"/>
      <protection/>
    </xf>
    <xf numFmtId="0" fontId="36" fillId="0" borderId="18" xfId="0" applyNumberFormat="1" applyFont="1" applyFill="1" applyBorder="1" applyAlignment="1" applyProtection="1">
      <alignment horizontal="centerContinuous"/>
      <protection/>
    </xf>
    <xf numFmtId="0" fontId="36" fillId="0" borderId="10" xfId="0" applyNumberFormat="1" applyFont="1" applyFill="1" applyBorder="1" applyAlignment="1" applyProtection="1">
      <alignment horizontal="center"/>
      <protection/>
    </xf>
    <xf numFmtId="0" fontId="36" fillId="0" borderId="25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centerContinuous"/>
      <protection/>
    </xf>
    <xf numFmtId="0" fontId="36" fillId="0" borderId="20" xfId="0" applyNumberFormat="1" applyFont="1" applyFill="1" applyBorder="1" applyAlignment="1" applyProtection="1">
      <alignment horizontal="center"/>
      <protection/>
    </xf>
    <xf numFmtId="0" fontId="36" fillId="0" borderId="15" xfId="0" applyNumberFormat="1" applyFont="1" applyFill="1" applyBorder="1" applyAlignment="1" applyProtection="1">
      <alignment horizontal="center"/>
      <protection/>
    </xf>
    <xf numFmtId="0" fontId="34" fillId="0" borderId="20" xfId="0" applyNumberFormat="1" applyFont="1" applyFill="1" applyBorder="1" applyAlignment="1" applyProtection="1">
      <alignment/>
      <protection/>
    </xf>
    <xf numFmtId="0" fontId="37" fillId="0" borderId="19" xfId="0" applyNumberFormat="1" applyFont="1" applyFill="1" applyBorder="1" applyAlignment="1" applyProtection="1">
      <alignment horizontal="center"/>
      <protection/>
    </xf>
    <xf numFmtId="0" fontId="37" fillId="0" borderId="19" xfId="0" applyNumberFormat="1" applyFont="1" applyFill="1" applyBorder="1" applyAlignment="1" applyProtection="1">
      <alignment horizontal="left"/>
      <protection/>
    </xf>
    <xf numFmtId="0" fontId="22" fillId="0" borderId="20" xfId="0" applyNumberFormat="1" applyFont="1" applyFill="1" applyBorder="1" applyAlignment="1" applyProtection="1">
      <alignment horizontal="right"/>
      <protection/>
    </xf>
    <xf numFmtId="0" fontId="37" fillId="0" borderId="19" xfId="0" applyNumberFormat="1" applyFont="1" applyFill="1" applyBorder="1" applyAlignment="1" applyProtection="1">
      <alignment horizontal="right"/>
      <protection/>
    </xf>
    <xf numFmtId="0" fontId="37" fillId="0" borderId="20" xfId="0" applyNumberFormat="1" applyFont="1" applyFill="1" applyBorder="1" applyAlignment="1" applyProtection="1">
      <alignment horizontal="center"/>
      <protection/>
    </xf>
    <xf numFmtId="0" fontId="37" fillId="0" borderId="20" xfId="0" applyNumberFormat="1" applyFont="1" applyFill="1" applyBorder="1" applyAlignment="1" applyProtection="1">
      <alignment horizontal="right"/>
      <protection/>
    </xf>
    <xf numFmtId="9" fontId="37" fillId="0" borderId="20" xfId="0" applyNumberFormat="1" applyFont="1" applyFill="1" applyBorder="1" applyAlignment="1" applyProtection="1">
      <alignment horizontal="center"/>
      <protection/>
    </xf>
    <xf numFmtId="0" fontId="37" fillId="0" borderId="19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 horizontal="right"/>
      <protection/>
    </xf>
    <xf numFmtId="0" fontId="38" fillId="0" borderId="0" xfId="0" applyNumberFormat="1" applyFont="1" applyFill="1" applyBorder="1" applyAlignment="1" applyProtection="1">
      <alignment horizontal="right"/>
      <protection/>
    </xf>
    <xf numFmtId="9" fontId="37" fillId="0" borderId="19" xfId="0" applyNumberFormat="1" applyFont="1" applyFill="1" applyBorder="1" applyAlignment="1" applyProtection="1">
      <alignment horizontal="center"/>
      <protection/>
    </xf>
    <xf numFmtId="0" fontId="11" fillId="0" borderId="19" xfId="0" applyFont="1" applyBorder="1" applyAlignment="1">
      <alignment horizontal="right"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39" fillId="0" borderId="19" xfId="0" applyNumberFormat="1" applyFont="1" applyFill="1" applyBorder="1" applyAlignment="1" applyProtection="1">
      <alignment horizontal="right"/>
      <protection/>
    </xf>
    <xf numFmtId="0" fontId="26" fillId="0" borderId="0" xfId="0" applyFont="1" applyBorder="1" applyAlignment="1">
      <alignment/>
    </xf>
    <xf numFmtId="0" fontId="40" fillId="0" borderId="19" xfId="0" applyNumberFormat="1" applyFont="1" applyFill="1" applyBorder="1" applyAlignment="1" applyProtection="1">
      <alignment horizontal="center"/>
      <protection/>
    </xf>
    <xf numFmtId="0" fontId="41" fillId="0" borderId="19" xfId="0" applyNumberFormat="1" applyFont="1" applyFill="1" applyBorder="1" applyAlignment="1" applyProtection="1">
      <alignment/>
      <protection/>
    </xf>
    <xf numFmtId="0" fontId="40" fillId="0" borderId="19" xfId="0" applyNumberFormat="1" applyFont="1" applyFill="1" applyBorder="1" applyAlignment="1" applyProtection="1">
      <alignment horizontal="centerContinuous"/>
      <protection/>
    </xf>
    <xf numFmtId="0" fontId="32" fillId="0" borderId="10" xfId="0" applyFont="1" applyBorder="1" applyAlignment="1">
      <alignment/>
    </xf>
    <xf numFmtId="0" fontId="29" fillId="0" borderId="18" xfId="0" applyFont="1" applyBorder="1" applyAlignment="1">
      <alignment/>
    </xf>
    <xf numFmtId="0" fontId="0" fillId="0" borderId="12" xfId="0" applyBorder="1" applyAlignment="1">
      <alignment horizontal="center"/>
    </xf>
    <xf numFmtId="0" fontId="32" fillId="0" borderId="13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2" fillId="0" borderId="0" xfId="0" applyFont="1" applyAlignment="1">
      <alignment vertical="center"/>
    </xf>
    <xf numFmtId="0" fontId="11" fillId="0" borderId="21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/>
    </xf>
    <xf numFmtId="3" fontId="11" fillId="0" borderId="18" xfId="0" applyNumberFormat="1" applyFont="1" applyBorder="1" applyAlignment="1">
      <alignment/>
    </xf>
    <xf numFmtId="3" fontId="11" fillId="0" borderId="21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/>
    </xf>
    <xf numFmtId="0" fontId="11" fillId="33" borderId="21" xfId="0" applyFont="1" applyFill="1" applyBorder="1" applyAlignment="1">
      <alignment horizontal="center"/>
    </xf>
    <xf numFmtId="3" fontId="11" fillId="33" borderId="18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1" fillId="33" borderId="13" xfId="0" applyFont="1" applyFill="1" applyBorder="1" applyAlignment="1">
      <alignment horizontal="center"/>
    </xf>
    <xf numFmtId="3" fontId="11" fillId="33" borderId="0" xfId="0" applyNumberFormat="1" applyFont="1" applyFill="1" applyBorder="1" applyAlignment="1">
      <alignment/>
    </xf>
    <xf numFmtId="3" fontId="11" fillId="0" borderId="22" xfId="0" applyNumberFormat="1" applyFont="1" applyBorder="1" applyAlignment="1">
      <alignment horizontal="right"/>
    </xf>
    <xf numFmtId="0" fontId="11" fillId="33" borderId="15" xfId="0" applyFont="1" applyFill="1" applyBorder="1" applyAlignment="1">
      <alignment horizontal="center"/>
    </xf>
    <xf numFmtId="3" fontId="11" fillId="33" borderId="16" xfId="0" applyNumberFormat="1" applyFont="1" applyFill="1" applyBorder="1" applyAlignment="1">
      <alignment/>
    </xf>
    <xf numFmtId="3" fontId="11" fillId="0" borderId="13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3" fontId="11" fillId="33" borderId="0" xfId="0" applyNumberFormat="1" applyFont="1" applyFill="1" applyAlignment="1">
      <alignment/>
    </xf>
    <xf numFmtId="3" fontId="11" fillId="0" borderId="14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center"/>
    </xf>
    <xf numFmtId="0" fontId="42" fillId="0" borderId="0" xfId="0" applyFont="1" applyAlignment="1">
      <alignment vertical="center"/>
    </xf>
    <xf numFmtId="0" fontId="11" fillId="0" borderId="15" xfId="0" applyFont="1" applyBorder="1" applyAlignment="1">
      <alignment horizontal="center"/>
    </xf>
    <xf numFmtId="3" fontId="11" fillId="0" borderId="16" xfId="0" applyNumberFormat="1" applyFont="1" applyBorder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188" fontId="0" fillId="0" borderId="19" xfId="44" applyNumberFormat="1" applyFont="1" applyBorder="1" applyAlignment="1">
      <alignment/>
    </xf>
    <xf numFmtId="3" fontId="0" fillId="0" borderId="19" xfId="44" applyNumberForma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9" xfId="44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188" fontId="0" fillId="0" borderId="25" xfId="44" applyNumberFormat="1" applyBorder="1" applyAlignment="1">
      <alignment/>
    </xf>
    <xf numFmtId="3" fontId="0" fillId="0" borderId="25" xfId="44" applyNumberFormat="1" applyBorder="1" applyAlignment="1">
      <alignment/>
    </xf>
    <xf numFmtId="0" fontId="0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188" fontId="6" fillId="0" borderId="42" xfId="44" applyNumberFormat="1" applyFont="1" applyBorder="1" applyAlignment="1">
      <alignment vertical="center"/>
    </xf>
    <xf numFmtId="3" fontId="6" fillId="0" borderId="42" xfId="44" applyNumberFormat="1" applyFont="1" applyBorder="1" applyAlignment="1">
      <alignment vertical="center"/>
    </xf>
    <xf numFmtId="3" fontId="6" fillId="0" borderId="43" xfId="44" applyNumberFormat="1" applyFont="1" applyBorder="1" applyAlignment="1">
      <alignment vertical="center"/>
    </xf>
    <xf numFmtId="1" fontId="0" fillId="0" borderId="19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5" fillId="0" borderId="25" xfId="58" applyFont="1" applyBorder="1" applyAlignment="1">
      <alignment horizontal="center"/>
      <protection/>
    </xf>
    <xf numFmtId="2" fontId="47" fillId="0" borderId="14" xfId="58" applyNumberFormat="1" applyFont="1" applyBorder="1" applyAlignment="1">
      <alignment horizontal="center" wrapText="1"/>
      <protection/>
    </xf>
    <xf numFmtId="0" fontId="44" fillId="0" borderId="44" xfId="58" applyFont="1" applyBorder="1" applyAlignment="1">
      <alignment horizontal="center" vertical="center" wrapText="1"/>
      <protection/>
    </xf>
    <xf numFmtId="0" fontId="5" fillId="0" borderId="45" xfId="58" applyFont="1" applyBorder="1" applyAlignment="1">
      <alignment horizontal="center"/>
      <protection/>
    </xf>
    <xf numFmtId="0" fontId="5" fillId="0" borderId="46" xfId="58" applyFont="1" applyBorder="1" applyAlignment="1">
      <alignment horizontal="left" wrapText="1"/>
      <protection/>
    </xf>
    <xf numFmtId="0" fontId="5" fillId="0" borderId="46" xfId="58" applyFont="1" applyBorder="1" applyAlignment="1">
      <alignment horizontal="center"/>
      <protection/>
    </xf>
    <xf numFmtId="0" fontId="5" fillId="0" borderId="47" xfId="58" applyFont="1" applyBorder="1" applyAlignment="1">
      <alignment horizontal="left"/>
      <protection/>
    </xf>
    <xf numFmtId="0" fontId="0" fillId="0" borderId="48" xfId="58" applyFont="1" applyBorder="1" applyAlignment="1">
      <alignment horizontal="center"/>
      <protection/>
    </xf>
    <xf numFmtId="0" fontId="0" fillId="0" borderId="22" xfId="58" applyFont="1" applyBorder="1" applyAlignment="1">
      <alignment horizontal="left" wrapText="1"/>
      <protection/>
    </xf>
    <xf numFmtId="0" fontId="5" fillId="0" borderId="19" xfId="58" applyFont="1" applyBorder="1" applyAlignment="1">
      <alignment horizontal="center"/>
      <protection/>
    </xf>
    <xf numFmtId="0" fontId="5" fillId="0" borderId="49" xfId="58" applyFont="1" applyBorder="1" applyAlignment="1">
      <alignment horizontal="left"/>
      <protection/>
    </xf>
    <xf numFmtId="0" fontId="0" fillId="0" borderId="50" xfId="58" applyFont="1" applyBorder="1" applyAlignment="1">
      <alignment horizontal="center"/>
      <protection/>
    </xf>
    <xf numFmtId="0" fontId="6" fillId="0" borderId="22" xfId="58" applyFont="1" applyBorder="1" applyAlignment="1">
      <alignment horizontal="left" wrapText="1"/>
      <protection/>
    </xf>
    <xf numFmtId="0" fontId="5" fillId="0" borderId="51" xfId="58" applyFont="1" applyBorder="1" applyAlignment="1">
      <alignment horizontal="center"/>
      <protection/>
    </xf>
    <xf numFmtId="0" fontId="5" fillId="0" borderId="22" xfId="58" applyFont="1" applyBorder="1" applyAlignment="1">
      <alignment horizontal="left" wrapText="1"/>
      <protection/>
    </xf>
    <xf numFmtId="0" fontId="0" fillId="0" borderId="20" xfId="58" applyFont="1" applyBorder="1" applyAlignment="1">
      <alignment horizontal="left" wrapText="1"/>
      <protection/>
    </xf>
    <xf numFmtId="0" fontId="0" fillId="0" borderId="52" xfId="58" applyFont="1" applyBorder="1" applyAlignment="1">
      <alignment horizontal="center"/>
      <protection/>
    </xf>
    <xf numFmtId="0" fontId="0" fillId="0" borderId="17" xfId="58" applyFont="1" applyBorder="1" applyAlignment="1">
      <alignment horizontal="left" wrapText="1"/>
      <protection/>
    </xf>
    <xf numFmtId="0" fontId="0" fillId="0" borderId="19" xfId="58" applyFont="1" applyBorder="1" applyAlignment="1">
      <alignment horizontal="center"/>
      <protection/>
    </xf>
    <xf numFmtId="0" fontId="5" fillId="0" borderId="51" xfId="58" applyFont="1" applyBorder="1" applyAlignment="1">
      <alignment horizontal="center" vertical="center"/>
      <protection/>
    </xf>
    <xf numFmtId="0" fontId="5" fillId="0" borderId="50" xfId="58" applyFont="1" applyBorder="1" applyAlignment="1">
      <alignment horizontal="center" vertical="center"/>
      <protection/>
    </xf>
    <xf numFmtId="0" fontId="0" fillId="0" borderId="22" xfId="58" applyFont="1" applyBorder="1" applyAlignment="1">
      <alignment horizontal="center" wrapText="1"/>
      <protection/>
    </xf>
    <xf numFmtId="0" fontId="5" fillId="0" borderId="48" xfId="58" applyFont="1" applyBorder="1" applyAlignment="1">
      <alignment horizontal="center"/>
      <protection/>
    </xf>
    <xf numFmtId="0" fontId="20" fillId="0" borderId="19" xfId="58" applyFont="1" applyBorder="1" applyAlignment="1">
      <alignment horizontal="left" wrapText="1"/>
      <protection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5" fillId="0" borderId="50" xfId="58" applyFont="1" applyBorder="1" applyAlignment="1">
      <alignment horizontal="center"/>
      <protection/>
    </xf>
    <xf numFmtId="0" fontId="5" fillId="0" borderId="19" xfId="58" applyFont="1" applyBorder="1" applyAlignment="1">
      <alignment horizontal="left" wrapText="1"/>
      <protection/>
    </xf>
    <xf numFmtId="0" fontId="5" fillId="0" borderId="52" xfId="58" applyFont="1" applyBorder="1" applyAlignment="1">
      <alignment horizontal="center"/>
      <protection/>
    </xf>
    <xf numFmtId="0" fontId="5" fillId="0" borderId="20" xfId="58" applyFont="1" applyBorder="1" applyAlignment="1">
      <alignment horizontal="left" wrapText="1"/>
      <protection/>
    </xf>
    <xf numFmtId="0" fontId="5" fillId="0" borderId="53" xfId="58" applyFont="1" applyBorder="1" applyAlignment="1">
      <alignment horizontal="center"/>
      <protection/>
    </xf>
    <xf numFmtId="0" fontId="5" fillId="0" borderId="54" xfId="58" applyFont="1" applyBorder="1" applyAlignment="1">
      <alignment horizontal="left" wrapText="1"/>
      <protection/>
    </xf>
    <xf numFmtId="0" fontId="5" fillId="0" borderId="54" xfId="58" applyFont="1" applyBorder="1" applyAlignment="1">
      <alignment horizontal="center"/>
      <protection/>
    </xf>
    <xf numFmtId="0" fontId="5" fillId="0" borderId="55" xfId="58" applyFont="1" applyBorder="1" applyAlignment="1">
      <alignment horizontal="left"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left" wrapText="1"/>
      <protection/>
    </xf>
    <xf numFmtId="0" fontId="5" fillId="0" borderId="0" xfId="58" applyFont="1" applyBorder="1" applyAlignment="1">
      <alignment horizontal="left"/>
      <protection/>
    </xf>
    <xf numFmtId="0" fontId="5" fillId="0" borderId="0" xfId="0" applyFont="1" applyAlignment="1">
      <alignment/>
    </xf>
    <xf numFmtId="0" fontId="10" fillId="0" borderId="25" xfId="58" applyFont="1" applyBorder="1">
      <alignment/>
      <protection/>
    </xf>
    <xf numFmtId="2" fontId="47" fillId="0" borderId="25" xfId="58" applyNumberFormat="1" applyFont="1" applyBorder="1" applyAlignment="1">
      <alignment horizontal="center" wrapText="1"/>
      <protection/>
    </xf>
    <xf numFmtId="0" fontId="44" fillId="0" borderId="25" xfId="58" applyFont="1" applyBorder="1" applyAlignment="1">
      <alignment horizontal="center" vertical="center" wrapText="1"/>
      <protection/>
    </xf>
    <xf numFmtId="0" fontId="44" fillId="0" borderId="56" xfId="58" applyFont="1" applyBorder="1" applyAlignment="1">
      <alignment horizontal="center"/>
      <protection/>
    </xf>
    <xf numFmtId="0" fontId="44" fillId="0" borderId="46" xfId="58" applyFont="1" applyBorder="1" applyAlignment="1">
      <alignment horizontal="left" wrapText="1"/>
      <protection/>
    </xf>
    <xf numFmtId="0" fontId="44" fillId="0" borderId="46" xfId="58" applyFont="1" applyBorder="1" applyAlignment="1">
      <alignment horizontal="center"/>
      <protection/>
    </xf>
    <xf numFmtId="0" fontId="44" fillId="0" borderId="47" xfId="58" applyFont="1" applyBorder="1" applyAlignment="1">
      <alignment horizontal="left"/>
      <protection/>
    </xf>
    <xf numFmtId="0" fontId="10" fillId="0" borderId="51" xfId="58" applyFont="1" applyBorder="1" applyAlignment="1">
      <alignment horizontal="left"/>
      <protection/>
    </xf>
    <xf numFmtId="0" fontId="10" fillId="0" borderId="19" xfId="59" applyFont="1" applyFill="1" applyBorder="1" applyAlignment="1">
      <alignment horizontal="left" wrapText="1"/>
      <protection/>
    </xf>
    <xf numFmtId="0" fontId="44" fillId="0" borderId="19" xfId="58" applyFont="1" applyBorder="1" applyAlignment="1">
      <alignment horizontal="center"/>
      <protection/>
    </xf>
    <xf numFmtId="0" fontId="44" fillId="0" borderId="49" xfId="58" applyFont="1" applyBorder="1" applyAlignment="1">
      <alignment horizontal="left"/>
      <protection/>
    </xf>
    <xf numFmtId="0" fontId="10" fillId="0" borderId="19" xfId="58" applyFont="1" applyBorder="1" applyAlignment="1">
      <alignment horizontal="left" wrapText="1"/>
      <protection/>
    </xf>
    <xf numFmtId="0" fontId="44" fillId="0" borderId="51" xfId="58" applyFont="1" applyBorder="1" applyAlignment="1">
      <alignment horizontal="center"/>
      <protection/>
    </xf>
    <xf numFmtId="0" fontId="44" fillId="0" borderId="19" xfId="58" applyFont="1" applyBorder="1" applyAlignment="1">
      <alignment horizontal="left" wrapText="1"/>
      <protection/>
    </xf>
    <xf numFmtId="0" fontId="10" fillId="0" borderId="51" xfId="58" applyFont="1" applyBorder="1" applyAlignment="1">
      <alignment horizontal="center"/>
      <protection/>
    </xf>
    <xf numFmtId="0" fontId="10" fillId="0" borderId="19" xfId="58" applyFont="1" applyBorder="1" applyAlignment="1">
      <alignment horizontal="left"/>
      <protection/>
    </xf>
    <xf numFmtId="0" fontId="44" fillId="0" borderId="19" xfId="58" applyFont="1" applyBorder="1" applyAlignment="1">
      <alignment horizontal="center" wrapText="1"/>
      <protection/>
    </xf>
    <xf numFmtId="0" fontId="44" fillId="0" borderId="49" xfId="58" applyFont="1" applyBorder="1" applyAlignment="1">
      <alignment horizontal="left" wrapText="1"/>
      <protection/>
    </xf>
    <xf numFmtId="0" fontId="10" fillId="0" borderId="51" xfId="58" applyFont="1" applyFill="1" applyBorder="1" applyAlignment="1">
      <alignment horizontal="center"/>
      <protection/>
    </xf>
    <xf numFmtId="0" fontId="44" fillId="0" borderId="19" xfId="58" applyFont="1" applyBorder="1" applyAlignment="1">
      <alignment horizontal="left"/>
      <protection/>
    </xf>
    <xf numFmtId="0" fontId="10" fillId="0" borderId="57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20" xfId="58" applyFont="1" applyBorder="1" applyAlignment="1">
      <alignment horizontal="center" vertical="center" wrapText="1"/>
      <protection/>
    </xf>
    <xf numFmtId="0" fontId="44" fillId="0" borderId="58" xfId="58" applyFont="1" applyBorder="1" applyAlignment="1">
      <alignment horizontal="center" vertical="center" wrapText="1"/>
      <protection/>
    </xf>
    <xf numFmtId="0" fontId="44" fillId="0" borderId="51" xfId="58" applyFont="1" applyBorder="1">
      <alignment/>
      <protection/>
    </xf>
    <xf numFmtId="0" fontId="10" fillId="0" borderId="51" xfId="0" applyFont="1" applyBorder="1" applyAlignment="1">
      <alignment/>
    </xf>
    <xf numFmtId="0" fontId="10" fillId="0" borderId="51" xfId="58" applyFont="1" applyBorder="1">
      <alignment/>
      <protection/>
    </xf>
    <xf numFmtId="0" fontId="10" fillId="0" borderId="53" xfId="58" applyFont="1" applyBorder="1">
      <alignment/>
      <protection/>
    </xf>
    <xf numFmtId="0" fontId="44" fillId="0" borderId="54" xfId="58" applyFont="1" applyBorder="1" applyAlignment="1">
      <alignment horizontal="left"/>
      <protection/>
    </xf>
    <xf numFmtId="0" fontId="10" fillId="0" borderId="54" xfId="58" applyFont="1" applyBorder="1" applyAlignment="1">
      <alignment horizontal="left"/>
      <protection/>
    </xf>
    <xf numFmtId="0" fontId="44" fillId="0" borderId="54" xfId="58" applyFont="1" applyBorder="1" applyAlignment="1">
      <alignment horizontal="center"/>
      <protection/>
    </xf>
    <xf numFmtId="0" fontId="44" fillId="0" borderId="55" xfId="58" applyFont="1" applyBorder="1" applyAlignment="1">
      <alignment horizontal="left"/>
      <protection/>
    </xf>
    <xf numFmtId="0" fontId="44" fillId="0" borderId="0" xfId="58" applyFont="1" applyBorder="1" applyAlignment="1">
      <alignment horizontal="left"/>
      <protection/>
    </xf>
    <xf numFmtId="0" fontId="44" fillId="0" borderId="0" xfId="58" applyFont="1" applyBorder="1" applyAlignment="1">
      <alignment horizontal="center"/>
      <protection/>
    </xf>
    <xf numFmtId="0" fontId="45" fillId="0" borderId="0" xfId="58" applyFont="1" applyBorder="1" applyAlignment="1">
      <alignment horizontal="left"/>
      <protection/>
    </xf>
    <xf numFmtId="0" fontId="0" fillId="0" borderId="0" xfId="58" applyFont="1">
      <alignment/>
      <protection/>
    </xf>
    <xf numFmtId="0" fontId="0" fillId="0" borderId="44" xfId="0" applyFont="1" applyFill="1" applyBorder="1" applyAlignment="1">
      <alignment/>
    </xf>
    <xf numFmtId="0" fontId="0" fillId="0" borderId="19" xfId="0" applyFill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21" fillId="0" borderId="19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4" fillId="0" borderId="19" xfId="58" applyFont="1" applyBorder="1" applyAlignment="1">
      <alignment horizontal="left"/>
      <protection/>
    </xf>
    <xf numFmtId="0" fontId="10" fillId="0" borderId="19" xfId="58" applyFont="1" applyBorder="1" applyAlignment="1">
      <alignment horizontal="left"/>
      <protection/>
    </xf>
    <xf numFmtId="0" fontId="48" fillId="0" borderId="19" xfId="58" applyFont="1" applyBorder="1" applyAlignment="1">
      <alignment horizontal="left"/>
      <protection/>
    </xf>
    <xf numFmtId="0" fontId="48" fillId="0" borderId="54" xfId="58" applyFont="1" applyBorder="1" applyAlignment="1">
      <alignment horizontal="left"/>
      <protection/>
    </xf>
    <xf numFmtId="0" fontId="10" fillId="0" borderId="19" xfId="59" applyFont="1" applyFill="1" applyBorder="1" applyAlignment="1">
      <alignment horizontal="left" wrapText="1"/>
      <protection/>
    </xf>
    <xf numFmtId="0" fontId="44" fillId="0" borderId="19" xfId="58" applyFont="1" applyBorder="1" applyAlignment="1">
      <alignment horizontal="left" wrapText="1"/>
      <protection/>
    </xf>
    <xf numFmtId="0" fontId="48" fillId="0" borderId="19" xfId="59" applyFont="1" applyFill="1" applyBorder="1" applyAlignment="1">
      <alignment horizontal="left" wrapText="1"/>
      <protection/>
    </xf>
    <xf numFmtId="0" fontId="44" fillId="0" borderId="19" xfId="59" applyFont="1" applyFill="1" applyBorder="1" applyAlignment="1">
      <alignment horizontal="left" wrapText="1"/>
      <protection/>
    </xf>
    <xf numFmtId="0" fontId="10" fillId="0" borderId="19" xfId="58" applyFont="1" applyBorder="1" applyAlignment="1">
      <alignment horizontal="left" wrapText="1"/>
      <protection/>
    </xf>
    <xf numFmtId="0" fontId="5" fillId="0" borderId="54" xfId="58" applyFont="1" applyBorder="1" applyAlignment="1">
      <alignment horizontal="left" wrapText="1"/>
      <protection/>
    </xf>
    <xf numFmtId="2" fontId="5" fillId="0" borderId="21" xfId="58" applyNumberFormat="1" applyFont="1" applyBorder="1" applyAlignment="1">
      <alignment horizontal="center" wrapText="1"/>
      <protection/>
    </xf>
    <xf numFmtId="2" fontId="5" fillId="0" borderId="18" xfId="58" applyNumberFormat="1" applyFont="1" applyBorder="1" applyAlignment="1">
      <alignment horizontal="center" wrapText="1"/>
      <protection/>
    </xf>
    <xf numFmtId="2" fontId="5" fillId="0" borderId="22" xfId="58" applyNumberFormat="1" applyFont="1" applyBorder="1" applyAlignment="1">
      <alignment horizontal="center" wrapText="1"/>
      <protection/>
    </xf>
    <xf numFmtId="0" fontId="47" fillId="0" borderId="10" xfId="58" applyFont="1" applyBorder="1" applyAlignment="1">
      <alignment horizontal="center" wrapText="1"/>
      <protection/>
    </xf>
    <xf numFmtId="0" fontId="47" fillId="0" borderId="11" xfId="58" applyFont="1" applyBorder="1" applyAlignment="1">
      <alignment horizontal="center" wrapText="1"/>
      <protection/>
    </xf>
    <xf numFmtId="0" fontId="47" fillId="0" borderId="12" xfId="58" applyFont="1" applyBorder="1" applyAlignment="1">
      <alignment horizontal="center" wrapText="1"/>
      <protection/>
    </xf>
    <xf numFmtId="0" fontId="44" fillId="0" borderId="60" xfId="58" applyFont="1" applyBorder="1" applyAlignment="1">
      <alignment horizontal="left" wrapText="1"/>
      <protection/>
    </xf>
    <xf numFmtId="0" fontId="44" fillId="0" borderId="46" xfId="58" applyFont="1" applyBorder="1" applyAlignment="1">
      <alignment horizontal="left" wrapText="1"/>
      <protection/>
    </xf>
    <xf numFmtId="0" fontId="0" fillId="0" borderId="18" xfId="58" applyFont="1" applyBorder="1" applyAlignment="1">
      <alignment horizontal="center" wrapText="1"/>
      <protection/>
    </xf>
    <xf numFmtId="0" fontId="0" fillId="0" borderId="22" xfId="58" applyFont="1" applyBorder="1" applyAlignment="1">
      <alignment horizontal="center" wrapText="1"/>
      <protection/>
    </xf>
    <xf numFmtId="0" fontId="5" fillId="0" borderId="18" xfId="58" applyFont="1" applyBorder="1" applyAlignment="1">
      <alignment horizontal="left" wrapText="1"/>
      <protection/>
    </xf>
    <xf numFmtId="0" fontId="5" fillId="0" borderId="22" xfId="58" applyFont="1" applyBorder="1" applyAlignment="1">
      <alignment horizontal="left" wrapText="1"/>
      <protection/>
    </xf>
    <xf numFmtId="0" fontId="6" fillId="0" borderId="22" xfId="58" applyFont="1" applyBorder="1" applyAlignment="1">
      <alignment horizontal="left" wrapText="1"/>
      <protection/>
    </xf>
    <xf numFmtId="0" fontId="6" fillId="0" borderId="19" xfId="58" applyFont="1" applyBorder="1" applyAlignment="1">
      <alignment horizontal="left" wrapText="1"/>
      <protection/>
    </xf>
    <xf numFmtId="0" fontId="5" fillId="0" borderId="19" xfId="58" applyFont="1" applyBorder="1" applyAlignment="1">
      <alignment horizontal="left" wrapText="1"/>
      <protection/>
    </xf>
    <xf numFmtId="0" fontId="0" fillId="0" borderId="18" xfId="58" applyFont="1" applyBorder="1" applyAlignment="1">
      <alignment horizontal="left" wrapText="1"/>
      <protection/>
    </xf>
    <xf numFmtId="0" fontId="0" fillId="0" borderId="22" xfId="58" applyFont="1" applyBorder="1" applyAlignment="1">
      <alignment horizontal="left" wrapText="1"/>
      <protection/>
    </xf>
    <xf numFmtId="2" fontId="47" fillId="0" borderId="0" xfId="58" applyNumberFormat="1" applyFont="1" applyBorder="1" applyAlignment="1">
      <alignment horizontal="center" wrapText="1"/>
      <protection/>
    </xf>
    <xf numFmtId="2" fontId="47" fillId="0" borderId="14" xfId="58" applyNumberFormat="1" applyFont="1" applyBorder="1" applyAlignment="1">
      <alignment horizontal="center" wrapText="1"/>
      <protection/>
    </xf>
    <xf numFmtId="0" fontId="5" fillId="0" borderId="60" xfId="58" applyFont="1" applyBorder="1" applyAlignment="1">
      <alignment horizontal="left" wrapText="1"/>
      <protection/>
    </xf>
    <xf numFmtId="0" fontId="5" fillId="0" borderId="46" xfId="58" applyFont="1" applyBorder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31">
      <selection activeCell="N46" sqref="N46"/>
    </sheetView>
  </sheetViews>
  <sheetFormatPr defaultColWidth="9.140625" defaultRowHeight="12.75"/>
  <cols>
    <col min="1" max="1" width="0.13671875" style="0" customWidth="1"/>
    <col min="4" max="4" width="9.28125" style="0" customWidth="1"/>
    <col min="5" max="5" width="11.421875" style="0" customWidth="1"/>
    <col min="10" max="10" width="3.140625" style="0" customWidth="1"/>
    <col min="12" max="12" width="1.8515625" style="0" customWidth="1"/>
  </cols>
  <sheetData>
    <row r="1" ht="4.5" customHeight="1"/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9</v>
      </c>
      <c r="D3" s="5"/>
      <c r="E3" s="5"/>
      <c r="F3" s="8"/>
      <c r="G3" s="25" t="s">
        <v>373</v>
      </c>
      <c r="H3" s="16" t="s">
        <v>382</v>
      </c>
      <c r="J3" s="8"/>
      <c r="K3" s="6"/>
    </row>
    <row r="4" spans="2:11" ht="18" customHeight="1">
      <c r="B4" s="4"/>
      <c r="C4" s="12" t="s">
        <v>16</v>
      </c>
      <c r="D4" s="5"/>
      <c r="E4" s="5"/>
      <c r="F4" s="8"/>
      <c r="G4" s="25" t="s">
        <v>313</v>
      </c>
      <c r="H4" s="23"/>
      <c r="I4" s="8"/>
      <c r="J4" s="11"/>
      <c r="K4" s="6"/>
    </row>
    <row r="5" spans="2:11" ht="18" customHeight="1">
      <c r="B5" s="4"/>
      <c r="C5" s="12" t="s">
        <v>10</v>
      </c>
      <c r="D5" s="5"/>
      <c r="E5" s="5"/>
      <c r="F5" s="156" t="s">
        <v>387</v>
      </c>
      <c r="G5" s="156"/>
      <c r="H5" s="14"/>
      <c r="I5" s="11"/>
      <c r="J5" s="11"/>
      <c r="K5" s="6"/>
    </row>
    <row r="6" spans="2:11" ht="18" customHeight="1">
      <c r="B6" s="4"/>
      <c r="C6" s="12" t="s">
        <v>11</v>
      </c>
      <c r="D6" s="5"/>
      <c r="E6" s="5"/>
      <c r="G6" s="164"/>
      <c r="H6" s="156" t="s">
        <v>383</v>
      </c>
      <c r="I6" s="11"/>
      <c r="J6" s="11"/>
      <c r="K6" s="6"/>
    </row>
    <row r="7" spans="2:11" ht="18" customHeight="1">
      <c r="B7" s="4"/>
      <c r="C7" s="5"/>
      <c r="D7" s="5"/>
      <c r="E7" s="5"/>
      <c r="F7" s="5"/>
      <c r="G7" s="5"/>
      <c r="H7" s="11" t="s">
        <v>309</v>
      </c>
      <c r="I7" s="17"/>
      <c r="J7" s="11"/>
      <c r="K7" s="6"/>
    </row>
    <row r="8" spans="2:11" ht="12.75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ht="12.75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>
      <c r="B10" s="4"/>
      <c r="C10" s="13" t="s">
        <v>3</v>
      </c>
      <c r="D10" s="5"/>
      <c r="E10" s="5"/>
      <c r="F10" s="8"/>
      <c r="G10" s="26" t="s">
        <v>384</v>
      </c>
      <c r="H10" s="8"/>
      <c r="I10" s="8"/>
      <c r="J10" s="8"/>
      <c r="K10" s="6"/>
    </row>
    <row r="11" spans="2:11" ht="15">
      <c r="B11" s="4"/>
      <c r="C11" s="13" t="s">
        <v>4</v>
      </c>
      <c r="D11" s="5"/>
      <c r="E11" s="5"/>
      <c r="F11" s="11"/>
      <c r="G11" s="17"/>
      <c r="H11" s="11"/>
      <c r="I11" s="11"/>
      <c r="J11" s="11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8" customHeight="1">
      <c r="B15" s="4"/>
      <c r="C15" s="13" t="s">
        <v>70</v>
      </c>
      <c r="D15" s="5"/>
      <c r="E15" s="5"/>
      <c r="F15" s="155" t="s">
        <v>385</v>
      </c>
      <c r="G15" s="24"/>
      <c r="H15" s="8"/>
      <c r="I15" s="8"/>
      <c r="J15" s="8"/>
      <c r="K15" s="6"/>
    </row>
    <row r="16" spans="2:11" ht="18" customHeight="1">
      <c r="B16" s="4"/>
      <c r="C16" s="5"/>
      <c r="D16" s="5"/>
      <c r="E16" s="5"/>
      <c r="F16" s="156"/>
      <c r="G16" s="27"/>
      <c r="H16" s="11"/>
      <c r="I16" s="11"/>
      <c r="J16" s="11"/>
      <c r="K16" s="6"/>
    </row>
    <row r="17" spans="2:11" ht="18" customHeight="1">
      <c r="B17" s="4"/>
      <c r="C17" s="5"/>
      <c r="D17" s="5"/>
      <c r="E17" s="5"/>
      <c r="F17" s="11"/>
      <c r="G17" s="11"/>
      <c r="H17" s="11"/>
      <c r="I17" s="11"/>
      <c r="J17" s="11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3.75">
      <c r="B29" s="494" t="s">
        <v>15</v>
      </c>
      <c r="C29" s="495"/>
      <c r="D29" s="495"/>
      <c r="E29" s="495"/>
      <c r="F29" s="495"/>
      <c r="G29" s="495"/>
      <c r="H29" s="495"/>
      <c r="I29" s="495"/>
      <c r="J29" s="495"/>
      <c r="K29" s="496"/>
    </row>
    <row r="30" spans="2:11" ht="12.75">
      <c r="B30" s="4"/>
      <c r="C30" s="497" t="s">
        <v>139</v>
      </c>
      <c r="D30" s="497"/>
      <c r="E30" s="497"/>
      <c r="F30" s="497"/>
      <c r="G30" s="497"/>
      <c r="H30" s="497"/>
      <c r="I30" s="497"/>
      <c r="J30" s="497"/>
      <c r="K30" s="6"/>
    </row>
    <row r="31" spans="2:11" ht="12.75">
      <c r="B31" s="4"/>
      <c r="C31" s="497" t="s">
        <v>160</v>
      </c>
      <c r="D31" s="497"/>
      <c r="E31" s="497"/>
      <c r="F31" s="497"/>
      <c r="G31" s="497"/>
      <c r="H31" s="497"/>
      <c r="I31" s="497"/>
      <c r="J31" s="497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 t="s">
        <v>276</v>
      </c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 t="s">
        <v>277</v>
      </c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83" t="s">
        <v>386</v>
      </c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13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5.75" customHeight="1">
      <c r="B42" s="4"/>
      <c r="C42" s="5"/>
      <c r="D42" s="54"/>
      <c r="E42" s="54"/>
      <c r="F42" s="54"/>
      <c r="G42" s="54"/>
      <c r="H42" s="54"/>
      <c r="I42" s="54"/>
      <c r="J42" s="5"/>
      <c r="K42" s="6"/>
    </row>
    <row r="43" spans="2:11" ht="18" customHeight="1">
      <c r="B43" s="4"/>
      <c r="C43" s="8"/>
      <c r="D43" s="8"/>
      <c r="E43" s="8"/>
      <c r="F43" s="8"/>
      <c r="G43" s="16"/>
      <c r="H43" s="8"/>
      <c r="I43" s="8"/>
      <c r="J43" s="8"/>
      <c r="K43" s="6"/>
    </row>
    <row r="44" spans="2:11" ht="18" customHeight="1">
      <c r="B44" s="4"/>
      <c r="C44" s="4"/>
      <c r="D44" s="5"/>
      <c r="E44" s="5"/>
      <c r="F44" s="5"/>
      <c r="G44" s="5"/>
      <c r="H44" s="5"/>
      <c r="I44" s="5"/>
      <c r="J44" s="6"/>
      <c r="K44" s="6"/>
    </row>
    <row r="45" spans="2:11" ht="18" customHeight="1">
      <c r="B45" s="4"/>
      <c r="C45" s="4" t="s">
        <v>12</v>
      </c>
      <c r="E45" s="498" t="s">
        <v>843</v>
      </c>
      <c r="F45" s="498"/>
      <c r="G45" s="10" t="s">
        <v>0</v>
      </c>
      <c r="H45" s="15" t="s">
        <v>844</v>
      </c>
      <c r="I45" s="8"/>
      <c r="J45" s="6"/>
      <c r="K45" s="6"/>
    </row>
    <row r="46" spans="2:11" ht="18" customHeight="1">
      <c r="B46" s="4"/>
      <c r="C46" s="4" t="s">
        <v>13</v>
      </c>
      <c r="D46" s="5"/>
      <c r="E46" s="8"/>
      <c r="F46" s="16"/>
      <c r="G46" s="8"/>
      <c r="H46" s="8"/>
      <c r="I46" s="8"/>
      <c r="J46" s="6"/>
      <c r="K46" s="6"/>
    </row>
    <row r="47" spans="2:11" ht="18" customHeight="1">
      <c r="B47" s="4"/>
      <c r="C47" s="4" t="s">
        <v>14</v>
      </c>
      <c r="D47" s="5"/>
      <c r="E47" s="11"/>
      <c r="F47" s="17"/>
      <c r="G47" s="11"/>
      <c r="H47" s="17"/>
      <c r="I47" s="11"/>
      <c r="J47" s="6"/>
      <c r="K47" s="6"/>
    </row>
    <row r="48" spans="2:11" ht="18" customHeight="1">
      <c r="B48" s="4"/>
      <c r="C48" s="4"/>
      <c r="D48" s="5"/>
      <c r="E48" s="5"/>
      <c r="F48" s="10" t="s">
        <v>1</v>
      </c>
      <c r="G48" s="14"/>
      <c r="H48" s="11"/>
      <c r="I48" s="11"/>
      <c r="J48" s="6"/>
      <c r="K48" s="6"/>
    </row>
    <row r="49" spans="2:11" ht="18" customHeight="1">
      <c r="B49" s="4"/>
      <c r="C49" s="4" t="s">
        <v>2</v>
      </c>
      <c r="D49" s="5"/>
      <c r="E49" s="8"/>
      <c r="F49" s="8"/>
      <c r="G49" s="8"/>
      <c r="H49" s="8"/>
      <c r="I49" s="8"/>
      <c r="J49" s="6"/>
      <c r="K49" s="6"/>
    </row>
    <row r="50" spans="2:11" ht="18" customHeight="1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2" customHeight="1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5.75" customHeight="1">
      <c r="B52" s="4"/>
      <c r="C52" s="5"/>
      <c r="D52" s="5"/>
      <c r="E52" s="5"/>
      <c r="F52" s="5"/>
      <c r="G52" s="5"/>
      <c r="H52" s="5"/>
      <c r="I52" s="5"/>
      <c r="J52" s="5"/>
      <c r="K52" s="6"/>
    </row>
    <row r="53" spans="2:11" ht="9" customHeight="1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ht="5.25" customHeight="1"/>
  </sheetData>
  <sheetProtection/>
  <mergeCells count="4">
    <mergeCell ref="B29:K29"/>
    <mergeCell ref="C30:J30"/>
    <mergeCell ref="C31:J31"/>
    <mergeCell ref="E45:F45"/>
  </mergeCells>
  <printOptions horizontalCentered="1" verticalCentered="1"/>
  <pageMargins left="0" right="0" top="0" bottom="0" header="0.17" footer="0.1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06"/>
  <sheetViews>
    <sheetView zoomScalePageLayoutView="0" workbookViewId="0" topLeftCell="A1">
      <selection activeCell="H201" sqref="H201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2.140625" style="0" customWidth="1"/>
    <col min="6" max="6" width="9.421875" style="0" bestFit="1" customWidth="1"/>
  </cols>
  <sheetData>
    <row r="2" spans="3:7" ht="12.75">
      <c r="C2" s="196"/>
      <c r="D2" s="196"/>
      <c r="E2" s="196"/>
      <c r="F2" s="196"/>
      <c r="G2" s="196"/>
    </row>
    <row r="3" spans="2:6" ht="12.75">
      <c r="B3" s="196"/>
      <c r="C3" s="196"/>
      <c r="D3" s="196"/>
      <c r="E3" s="196"/>
      <c r="F3" s="196"/>
    </row>
    <row r="4" spans="2:5" ht="12.75">
      <c r="B4" s="264" t="s">
        <v>907</v>
      </c>
      <c r="C4" s="264"/>
      <c r="D4" s="264"/>
      <c r="E4" s="196"/>
    </row>
    <row r="5" spans="2:6" ht="15.75">
      <c r="B5" s="263"/>
      <c r="C5" s="264" t="s">
        <v>911</v>
      </c>
      <c r="D5" s="265"/>
      <c r="E5" s="265"/>
      <c r="F5" s="265"/>
    </row>
    <row r="6" spans="2:6" ht="12.75">
      <c r="B6" s="266"/>
      <c r="C6" s="196"/>
      <c r="D6" s="196"/>
      <c r="E6" s="196"/>
      <c r="F6" s="264" t="s">
        <v>844</v>
      </c>
    </row>
    <row r="7" spans="2:6" ht="12.75">
      <c r="B7" s="266" t="s">
        <v>895</v>
      </c>
      <c r="C7" s="264" t="s">
        <v>896</v>
      </c>
      <c r="D7" s="196"/>
      <c r="E7" s="196"/>
      <c r="F7" s="265"/>
    </row>
    <row r="8" spans="2:6" ht="12.75">
      <c r="B8" s="266" t="s">
        <v>897</v>
      </c>
      <c r="C8" s="264" t="s">
        <v>383</v>
      </c>
      <c r="D8" s="196"/>
      <c r="E8" s="196"/>
      <c r="F8" s="265"/>
    </row>
    <row r="9" spans="2:6" ht="12.75">
      <c r="B9" s="266" t="s">
        <v>898</v>
      </c>
      <c r="C9" s="264" t="s">
        <v>899</v>
      </c>
      <c r="D9" s="196"/>
      <c r="E9" s="196"/>
      <c r="F9" s="265"/>
    </row>
    <row r="10" spans="2:6" ht="12.75">
      <c r="B10" s="267" t="s">
        <v>900</v>
      </c>
      <c r="C10" s="264" t="s">
        <v>901</v>
      </c>
      <c r="D10" s="196"/>
      <c r="E10" s="196"/>
      <c r="F10" s="196"/>
    </row>
    <row r="11" spans="2:6" ht="12.75">
      <c r="B11" s="267" t="s">
        <v>902</v>
      </c>
      <c r="C11" s="268">
        <f>+35582254944</f>
        <v>35582254944</v>
      </c>
      <c r="D11" s="196"/>
      <c r="E11" s="196"/>
      <c r="F11" s="196"/>
    </row>
    <row r="12" spans="2:6" ht="12.75">
      <c r="B12" s="267"/>
      <c r="C12" s="268"/>
      <c r="D12" s="196"/>
      <c r="E12" s="196"/>
      <c r="F12" s="196"/>
    </row>
    <row r="13" spans="1:7" ht="12.75">
      <c r="A13" s="123">
        <v>1</v>
      </c>
      <c r="B13" s="197" t="s">
        <v>910</v>
      </c>
      <c r="C13" s="198" t="s">
        <v>412</v>
      </c>
      <c r="D13" s="199" t="s">
        <v>905</v>
      </c>
      <c r="E13" s="199" t="s">
        <v>904</v>
      </c>
      <c r="F13" s="199" t="s">
        <v>244</v>
      </c>
      <c r="G13" s="196"/>
    </row>
    <row r="14" spans="1:7" ht="12.75">
      <c r="A14" s="123">
        <v>2</v>
      </c>
      <c r="B14" s="200" t="s">
        <v>440</v>
      </c>
      <c r="C14" s="201" t="s">
        <v>417</v>
      </c>
      <c r="D14" s="202">
        <v>26</v>
      </c>
      <c r="E14" s="202">
        <v>700</v>
      </c>
      <c r="F14" s="202">
        <f aca="true" t="shared" si="0" ref="F14:F45">D14*E14</f>
        <v>18200</v>
      </c>
      <c r="G14" s="196"/>
    </row>
    <row r="15" spans="1:7" ht="12.75">
      <c r="A15" s="123">
        <v>3</v>
      </c>
      <c r="B15" s="200" t="s">
        <v>446</v>
      </c>
      <c r="C15" s="201" t="s">
        <v>417</v>
      </c>
      <c r="D15" s="202">
        <v>1</v>
      </c>
      <c r="E15" s="202">
        <v>1990</v>
      </c>
      <c r="F15" s="202">
        <f t="shared" si="0"/>
        <v>1990</v>
      </c>
      <c r="G15" s="196"/>
    </row>
    <row r="16" spans="1:7" ht="12.75">
      <c r="A16" s="123">
        <v>4</v>
      </c>
      <c r="B16" s="200" t="s">
        <v>445</v>
      </c>
      <c r="C16" s="201" t="s">
        <v>417</v>
      </c>
      <c r="D16" s="202">
        <v>22</v>
      </c>
      <c r="E16" s="202">
        <v>150</v>
      </c>
      <c r="F16" s="202">
        <f t="shared" si="0"/>
        <v>3300</v>
      </c>
      <c r="G16" s="196"/>
    </row>
    <row r="17" spans="1:7" ht="12.75">
      <c r="A17" s="123">
        <v>5</v>
      </c>
      <c r="B17" s="200" t="s">
        <v>443</v>
      </c>
      <c r="C17" s="201" t="s">
        <v>417</v>
      </c>
      <c r="D17" s="202">
        <v>5</v>
      </c>
      <c r="E17" s="202">
        <v>680</v>
      </c>
      <c r="F17" s="202">
        <f t="shared" si="0"/>
        <v>3400</v>
      </c>
      <c r="G17" s="196"/>
    </row>
    <row r="18" spans="1:7" ht="12.75">
      <c r="A18" s="123">
        <v>6</v>
      </c>
      <c r="B18" s="200" t="s">
        <v>424</v>
      </c>
      <c r="C18" s="201" t="s">
        <v>417</v>
      </c>
      <c r="D18" s="202">
        <v>21</v>
      </c>
      <c r="E18" s="202">
        <v>750</v>
      </c>
      <c r="F18" s="202">
        <f t="shared" si="0"/>
        <v>15750</v>
      </c>
      <c r="G18" s="196"/>
    </row>
    <row r="19" spans="1:7" ht="12.75">
      <c r="A19" s="123">
        <v>7</v>
      </c>
      <c r="B19" s="200" t="s">
        <v>422</v>
      </c>
      <c r="C19" s="201" t="s">
        <v>417</v>
      </c>
      <c r="D19" s="202">
        <v>56</v>
      </c>
      <c r="E19" s="202">
        <v>64</v>
      </c>
      <c r="F19" s="202">
        <f t="shared" si="0"/>
        <v>3584</v>
      </c>
      <c r="G19" s="196"/>
    </row>
    <row r="20" spans="1:7" ht="12.75">
      <c r="A20" s="123">
        <v>8</v>
      </c>
      <c r="B20" s="200" t="s">
        <v>423</v>
      </c>
      <c r="C20" s="201" t="s">
        <v>417</v>
      </c>
      <c r="D20" s="202">
        <v>10</v>
      </c>
      <c r="E20" s="202">
        <v>260</v>
      </c>
      <c r="F20" s="202">
        <f t="shared" si="0"/>
        <v>2600</v>
      </c>
      <c r="G20" s="196"/>
    </row>
    <row r="21" spans="1:7" ht="12.75">
      <c r="A21" s="123">
        <v>9</v>
      </c>
      <c r="B21" s="200" t="s">
        <v>444</v>
      </c>
      <c r="C21" s="201" t="s">
        <v>417</v>
      </c>
      <c r="D21" s="202">
        <v>109</v>
      </c>
      <c r="E21" s="202">
        <v>207</v>
      </c>
      <c r="F21" s="202">
        <f t="shared" si="0"/>
        <v>22563</v>
      </c>
      <c r="G21" s="196"/>
    </row>
    <row r="22" spans="1:7" ht="12.75">
      <c r="A22" s="123">
        <v>10</v>
      </c>
      <c r="B22" s="200" t="s">
        <v>442</v>
      </c>
      <c r="C22" s="201" t="s">
        <v>417</v>
      </c>
      <c r="D22" s="202">
        <v>208</v>
      </c>
      <c r="E22" s="202">
        <v>147</v>
      </c>
      <c r="F22" s="202">
        <f t="shared" si="0"/>
        <v>30576</v>
      </c>
      <c r="G22" s="196"/>
    </row>
    <row r="23" spans="1:7" ht="12.75">
      <c r="A23" s="123">
        <v>11</v>
      </c>
      <c r="B23" s="200" t="s">
        <v>430</v>
      </c>
      <c r="C23" s="201" t="s">
        <v>417</v>
      </c>
      <c r="D23" s="202">
        <v>18</v>
      </c>
      <c r="E23" s="202">
        <v>700</v>
      </c>
      <c r="F23" s="202">
        <f t="shared" si="0"/>
        <v>12600</v>
      </c>
      <c r="G23" s="196"/>
    </row>
    <row r="24" spans="1:7" ht="12.75">
      <c r="A24" s="123">
        <v>12</v>
      </c>
      <c r="B24" s="200" t="s">
        <v>429</v>
      </c>
      <c r="C24" s="201" t="s">
        <v>417</v>
      </c>
      <c r="D24" s="202">
        <v>16</v>
      </c>
      <c r="E24" s="202">
        <v>260</v>
      </c>
      <c r="F24" s="202">
        <f t="shared" si="0"/>
        <v>4160</v>
      </c>
      <c r="G24" s="196"/>
    </row>
    <row r="25" spans="1:7" ht="12.75">
      <c r="A25" s="123">
        <v>13</v>
      </c>
      <c r="B25" s="200" t="s">
        <v>420</v>
      </c>
      <c r="C25" s="201" t="s">
        <v>417</v>
      </c>
      <c r="D25" s="202">
        <v>14</v>
      </c>
      <c r="E25" s="202">
        <v>36</v>
      </c>
      <c r="F25" s="202">
        <f t="shared" si="0"/>
        <v>504</v>
      </c>
      <c r="G25" s="196"/>
    </row>
    <row r="26" spans="1:7" ht="12.75">
      <c r="A26" s="123">
        <v>14</v>
      </c>
      <c r="B26" s="200" t="s">
        <v>416</v>
      </c>
      <c r="C26" s="201" t="s">
        <v>417</v>
      </c>
      <c r="D26" s="202">
        <v>6</v>
      </c>
      <c r="E26" s="202">
        <v>100</v>
      </c>
      <c r="F26" s="202">
        <f t="shared" si="0"/>
        <v>600</v>
      </c>
      <c r="G26" s="196"/>
    </row>
    <row r="27" spans="1:7" ht="12.75">
      <c r="A27" s="123">
        <v>15</v>
      </c>
      <c r="B27" s="200" t="s">
        <v>435</v>
      </c>
      <c r="C27" s="201" t="s">
        <v>417</v>
      </c>
      <c r="D27" s="202">
        <v>12</v>
      </c>
      <c r="E27" s="202">
        <v>350</v>
      </c>
      <c r="F27" s="202">
        <f t="shared" si="0"/>
        <v>4200</v>
      </c>
      <c r="G27" s="196"/>
    </row>
    <row r="28" spans="1:7" ht="12.75">
      <c r="A28" s="123">
        <v>16</v>
      </c>
      <c r="B28" s="200" t="s">
        <v>433</v>
      </c>
      <c r="C28" s="201" t="s">
        <v>417</v>
      </c>
      <c r="D28" s="202">
        <v>31</v>
      </c>
      <c r="E28" s="202">
        <v>42</v>
      </c>
      <c r="F28" s="202">
        <f t="shared" si="0"/>
        <v>1302</v>
      </c>
      <c r="G28" s="196"/>
    </row>
    <row r="29" spans="1:7" ht="12.75">
      <c r="A29" s="123">
        <v>17</v>
      </c>
      <c r="B29" s="200" t="s">
        <v>436</v>
      </c>
      <c r="C29" s="201" t="s">
        <v>417</v>
      </c>
      <c r="D29" s="202">
        <v>10</v>
      </c>
      <c r="E29" s="202">
        <v>560</v>
      </c>
      <c r="F29" s="202">
        <f t="shared" si="0"/>
        <v>5600</v>
      </c>
      <c r="G29" s="196"/>
    </row>
    <row r="30" spans="1:7" ht="12.75">
      <c r="A30" s="123">
        <v>18</v>
      </c>
      <c r="B30" s="200" t="s">
        <v>434</v>
      </c>
      <c r="C30" s="201" t="s">
        <v>417</v>
      </c>
      <c r="D30" s="202">
        <v>11</v>
      </c>
      <c r="E30" s="202">
        <v>156</v>
      </c>
      <c r="F30" s="202">
        <f t="shared" si="0"/>
        <v>1716</v>
      </c>
      <c r="G30" s="196"/>
    </row>
    <row r="31" spans="1:7" ht="12.75">
      <c r="A31" s="123">
        <v>19</v>
      </c>
      <c r="B31" s="200" t="s">
        <v>450</v>
      </c>
      <c r="C31" s="201" t="s">
        <v>417</v>
      </c>
      <c r="D31" s="202">
        <v>3</v>
      </c>
      <c r="E31" s="202">
        <v>170</v>
      </c>
      <c r="F31" s="202">
        <f t="shared" si="0"/>
        <v>510</v>
      </c>
      <c r="G31" s="196"/>
    </row>
    <row r="32" spans="1:7" ht="12.75">
      <c r="A32" s="123">
        <v>20</v>
      </c>
      <c r="B32" s="200" t="s">
        <v>426</v>
      </c>
      <c r="C32" s="201" t="s">
        <v>417</v>
      </c>
      <c r="D32" s="202">
        <v>1</v>
      </c>
      <c r="E32" s="202">
        <v>610</v>
      </c>
      <c r="F32" s="202">
        <f t="shared" si="0"/>
        <v>610</v>
      </c>
      <c r="G32" s="196"/>
    </row>
    <row r="33" spans="1:7" ht="12.75">
      <c r="A33" s="123">
        <v>21</v>
      </c>
      <c r="B33" s="200" t="s">
        <v>438</v>
      </c>
      <c r="C33" s="201" t="s">
        <v>417</v>
      </c>
      <c r="D33" s="202">
        <v>12</v>
      </c>
      <c r="E33" s="202">
        <v>40</v>
      </c>
      <c r="F33" s="202">
        <f t="shared" si="0"/>
        <v>480</v>
      </c>
      <c r="G33" s="196"/>
    </row>
    <row r="34" spans="1:7" ht="12.75">
      <c r="A34" s="123">
        <v>22</v>
      </c>
      <c r="B34" s="200" t="s">
        <v>425</v>
      </c>
      <c r="C34" s="201" t="s">
        <v>417</v>
      </c>
      <c r="D34" s="202">
        <v>10</v>
      </c>
      <c r="E34" s="202">
        <v>223</v>
      </c>
      <c r="F34" s="202">
        <f t="shared" si="0"/>
        <v>2230</v>
      </c>
      <c r="G34" s="196"/>
    </row>
    <row r="35" spans="1:7" ht="12.75">
      <c r="A35" s="123">
        <v>23</v>
      </c>
      <c r="B35" s="200" t="s">
        <v>447</v>
      </c>
      <c r="C35" s="201" t="s">
        <v>417</v>
      </c>
      <c r="D35" s="202">
        <v>59</v>
      </c>
      <c r="E35" s="202">
        <v>195</v>
      </c>
      <c r="F35" s="202">
        <f t="shared" si="0"/>
        <v>11505</v>
      </c>
      <c r="G35" s="196"/>
    </row>
    <row r="36" spans="1:7" ht="12.75">
      <c r="A36" s="123">
        <v>24</v>
      </c>
      <c r="B36" s="200" t="s">
        <v>448</v>
      </c>
      <c r="C36" s="201" t="s">
        <v>417</v>
      </c>
      <c r="D36" s="202">
        <v>24</v>
      </c>
      <c r="E36" s="202">
        <v>197</v>
      </c>
      <c r="F36" s="202">
        <f t="shared" si="0"/>
        <v>4728</v>
      </c>
      <c r="G36" s="196"/>
    </row>
    <row r="37" spans="1:7" ht="12.75">
      <c r="A37" s="123">
        <v>25</v>
      </c>
      <c r="B37" s="200" t="s">
        <v>431</v>
      </c>
      <c r="C37" s="201" t="s">
        <v>417</v>
      </c>
      <c r="D37" s="202">
        <v>15</v>
      </c>
      <c r="E37" s="202">
        <v>250</v>
      </c>
      <c r="F37" s="202">
        <f t="shared" si="0"/>
        <v>3750</v>
      </c>
      <c r="G37" s="196"/>
    </row>
    <row r="38" spans="1:7" ht="12.75">
      <c r="A38" s="123">
        <v>26</v>
      </c>
      <c r="B38" s="200" t="s">
        <v>432</v>
      </c>
      <c r="C38" s="201" t="s">
        <v>417</v>
      </c>
      <c r="D38" s="202">
        <v>16</v>
      </c>
      <c r="E38" s="202">
        <v>820</v>
      </c>
      <c r="F38" s="202">
        <f t="shared" si="0"/>
        <v>13120</v>
      </c>
      <c r="G38" s="196"/>
    </row>
    <row r="39" spans="1:7" ht="12.75">
      <c r="A39" s="123">
        <v>27</v>
      </c>
      <c r="B39" s="200" t="s">
        <v>428</v>
      </c>
      <c r="C39" s="201" t="s">
        <v>417</v>
      </c>
      <c r="D39" s="202">
        <v>55</v>
      </c>
      <c r="E39" s="202">
        <v>168</v>
      </c>
      <c r="F39" s="202">
        <f t="shared" si="0"/>
        <v>9240</v>
      </c>
      <c r="G39" s="196"/>
    </row>
    <row r="40" spans="1:7" ht="12.75">
      <c r="A40" s="123">
        <v>28</v>
      </c>
      <c r="B40" s="200" t="s">
        <v>427</v>
      </c>
      <c r="C40" s="201" t="s">
        <v>417</v>
      </c>
      <c r="D40" s="202">
        <v>104</v>
      </c>
      <c r="E40" s="202">
        <v>48</v>
      </c>
      <c r="F40" s="202">
        <f t="shared" si="0"/>
        <v>4992</v>
      </c>
      <c r="G40" s="196"/>
    </row>
    <row r="41" spans="1:7" ht="12.75">
      <c r="A41" s="123">
        <v>29</v>
      </c>
      <c r="B41" s="200" t="s">
        <v>437</v>
      </c>
      <c r="C41" s="201" t="s">
        <v>417</v>
      </c>
      <c r="D41" s="202">
        <v>156</v>
      </c>
      <c r="E41" s="202">
        <v>88</v>
      </c>
      <c r="F41" s="202">
        <f t="shared" si="0"/>
        <v>13728</v>
      </c>
      <c r="G41" s="196"/>
    </row>
    <row r="42" spans="1:7" ht="12.75">
      <c r="A42" s="123">
        <v>30</v>
      </c>
      <c r="B42" s="200" t="s">
        <v>449</v>
      </c>
      <c r="C42" s="201" t="s">
        <v>417</v>
      </c>
      <c r="D42" s="202">
        <v>50</v>
      </c>
      <c r="E42" s="202">
        <v>37.5</v>
      </c>
      <c r="F42" s="202">
        <f t="shared" si="0"/>
        <v>1875</v>
      </c>
      <c r="G42" s="196"/>
    </row>
    <row r="43" spans="1:7" ht="12.75">
      <c r="A43" s="123">
        <v>31</v>
      </c>
      <c r="B43" s="200" t="s">
        <v>421</v>
      </c>
      <c r="C43" s="201" t="s">
        <v>417</v>
      </c>
      <c r="D43" s="202">
        <v>175</v>
      </c>
      <c r="E43" s="202">
        <v>44</v>
      </c>
      <c r="F43" s="202">
        <f t="shared" si="0"/>
        <v>7700</v>
      </c>
      <c r="G43" s="196"/>
    </row>
    <row r="44" spans="1:7" ht="12.75">
      <c r="A44" s="123">
        <v>32</v>
      </c>
      <c r="B44" s="200" t="s">
        <v>418</v>
      </c>
      <c r="C44" s="201" t="s">
        <v>417</v>
      </c>
      <c r="D44" s="202">
        <v>36</v>
      </c>
      <c r="E44" s="202">
        <v>103</v>
      </c>
      <c r="F44" s="202">
        <f t="shared" si="0"/>
        <v>3708</v>
      </c>
      <c r="G44" s="196"/>
    </row>
    <row r="45" spans="1:7" ht="12.75">
      <c r="A45" s="123">
        <v>33</v>
      </c>
      <c r="B45" s="200" t="s">
        <v>419</v>
      </c>
      <c r="C45" s="201" t="s">
        <v>417</v>
      </c>
      <c r="D45" s="202">
        <v>8</v>
      </c>
      <c r="E45" s="202">
        <v>471</v>
      </c>
      <c r="F45" s="202">
        <f t="shared" si="0"/>
        <v>3768</v>
      </c>
      <c r="G45" s="196"/>
    </row>
    <row r="46" spans="2:7" ht="12.75">
      <c r="B46" s="203" t="s">
        <v>125</v>
      </c>
      <c r="C46" s="198"/>
      <c r="D46" s="204"/>
      <c r="E46" s="204"/>
      <c r="F46" s="205">
        <f>SUM(F11:F45)</f>
        <v>214589</v>
      </c>
      <c r="G46" s="196"/>
    </row>
    <row r="47" spans="2:7" ht="12.75">
      <c r="B47" s="206"/>
      <c r="C47" s="196"/>
      <c r="D47" s="207"/>
      <c r="E47" s="207"/>
      <c r="F47" s="207"/>
      <c r="G47" s="196"/>
    </row>
    <row r="48" spans="2:7" ht="12.75">
      <c r="B48" s="206"/>
      <c r="C48" s="196"/>
      <c r="D48" s="207"/>
      <c r="E48" s="207"/>
      <c r="F48" s="207"/>
      <c r="G48" s="196"/>
    </row>
    <row r="49" spans="2:7" ht="12.75">
      <c r="B49" s="206"/>
      <c r="C49" s="196"/>
      <c r="D49" s="207"/>
      <c r="E49" s="207"/>
      <c r="F49" s="207"/>
      <c r="G49" s="196"/>
    </row>
    <row r="50" spans="2:7" ht="12.75">
      <c r="B50" s="206"/>
      <c r="C50" s="196"/>
      <c r="D50" s="207"/>
      <c r="E50" s="207"/>
      <c r="F50" s="207"/>
      <c r="G50" s="196"/>
    </row>
    <row r="51" spans="2:7" ht="12.75">
      <c r="B51" s="206"/>
      <c r="C51" s="196"/>
      <c r="D51" s="207"/>
      <c r="E51" s="207"/>
      <c r="F51" s="207"/>
      <c r="G51" s="196"/>
    </row>
    <row r="52" spans="2:7" ht="12.75">
      <c r="B52" s="206"/>
      <c r="C52" s="196"/>
      <c r="D52" s="208"/>
      <c r="E52" s="208" t="s">
        <v>394</v>
      </c>
      <c r="F52" s="207"/>
      <c r="G52" s="196"/>
    </row>
    <row r="53" spans="2:7" ht="12.75">
      <c r="B53" s="206"/>
      <c r="C53" s="196"/>
      <c r="D53" s="209"/>
      <c r="E53" s="208"/>
      <c r="F53" s="207"/>
      <c r="G53" s="196"/>
    </row>
    <row r="54" spans="2:7" ht="12.75">
      <c r="B54" s="206"/>
      <c r="C54" s="196"/>
      <c r="D54" s="208"/>
      <c r="E54" s="210" t="s">
        <v>451</v>
      </c>
      <c r="F54" s="207"/>
      <c r="G54" s="196"/>
    </row>
    <row r="55" spans="2:7" ht="12.75">
      <c r="B55" s="206"/>
      <c r="C55" s="196"/>
      <c r="D55" s="208"/>
      <c r="E55" s="210"/>
      <c r="F55" s="207"/>
      <c r="G55" s="196"/>
    </row>
    <row r="56" spans="2:7" ht="12.75">
      <c r="B56" s="206"/>
      <c r="C56" s="196"/>
      <c r="D56" s="208"/>
      <c r="E56" s="210"/>
      <c r="F56" s="207"/>
      <c r="G56" s="196"/>
    </row>
    <row r="57" spans="2:7" ht="12.75">
      <c r="B57" s="206"/>
      <c r="C57" s="196"/>
      <c r="D57" s="208"/>
      <c r="E57" s="210"/>
      <c r="F57" s="207"/>
      <c r="G57" s="196"/>
    </row>
    <row r="58" spans="2:7" ht="12.75">
      <c r="B58" s="206"/>
      <c r="C58" s="196"/>
      <c r="D58" s="208"/>
      <c r="E58" s="210"/>
      <c r="F58" s="207"/>
      <c r="G58" s="196"/>
    </row>
    <row r="59" spans="2:7" ht="12.75">
      <c r="B59" s="206"/>
      <c r="C59" s="196"/>
      <c r="D59" s="208"/>
      <c r="E59" s="210"/>
      <c r="F59" s="207"/>
      <c r="G59" s="196"/>
    </row>
    <row r="60" spans="2:7" ht="12.75">
      <c r="B60" s="206"/>
      <c r="C60" s="196"/>
      <c r="D60" s="208"/>
      <c r="E60" s="210"/>
      <c r="F60" s="207"/>
      <c r="G60" s="196"/>
    </row>
    <row r="61" spans="2:7" ht="12.75">
      <c r="B61" s="206"/>
      <c r="C61" s="196"/>
      <c r="D61" s="208"/>
      <c r="E61" s="210"/>
      <c r="F61" s="207"/>
      <c r="G61" s="196"/>
    </row>
    <row r="62" spans="2:7" ht="12.75">
      <c r="B62" s="196"/>
      <c r="C62" s="264" t="s">
        <v>909</v>
      </c>
      <c r="D62" s="264"/>
      <c r="E62" s="196"/>
      <c r="G62" s="196"/>
    </row>
    <row r="63" spans="2:7" ht="15.75">
      <c r="B63" s="263"/>
      <c r="C63" s="264" t="s">
        <v>911</v>
      </c>
      <c r="D63" s="265"/>
      <c r="E63" s="265"/>
      <c r="F63" s="265"/>
      <c r="G63" s="196"/>
    </row>
    <row r="64" spans="2:7" ht="12.75">
      <c r="B64" s="266"/>
      <c r="C64" s="196"/>
      <c r="D64" s="196"/>
      <c r="E64" s="196"/>
      <c r="F64" s="264" t="s">
        <v>844</v>
      </c>
      <c r="G64" s="196"/>
    </row>
    <row r="65" spans="2:7" ht="12.75">
      <c r="B65" s="266" t="s">
        <v>895</v>
      </c>
      <c r="C65" s="264" t="s">
        <v>896</v>
      </c>
      <c r="D65" s="196"/>
      <c r="E65" s="196"/>
      <c r="F65" s="265"/>
      <c r="G65" s="196"/>
    </row>
    <row r="66" spans="2:7" ht="12.75">
      <c r="B66" s="266" t="s">
        <v>897</v>
      </c>
      <c r="C66" s="264" t="s">
        <v>383</v>
      </c>
      <c r="D66" s="196"/>
      <c r="E66" s="196"/>
      <c r="F66" s="265"/>
      <c r="G66" s="196"/>
    </row>
    <row r="67" spans="2:7" ht="12.75">
      <c r="B67" s="266" t="s">
        <v>898</v>
      </c>
      <c r="C67" s="264" t="s">
        <v>899</v>
      </c>
      <c r="D67" s="196"/>
      <c r="E67" s="196"/>
      <c r="F67" s="265"/>
      <c r="G67" s="196"/>
    </row>
    <row r="68" spans="2:7" ht="12.75">
      <c r="B68" s="267" t="s">
        <v>900</v>
      </c>
      <c r="C68" s="264" t="s">
        <v>901</v>
      </c>
      <c r="D68" s="196"/>
      <c r="E68" s="196"/>
      <c r="F68" s="196"/>
      <c r="G68" s="196"/>
    </row>
    <row r="69" spans="2:7" ht="12.75">
      <c r="B69" s="267" t="s">
        <v>902</v>
      </c>
      <c r="C69" s="268">
        <f>+35582254944</f>
        <v>35582254944</v>
      </c>
      <c r="D69" s="196"/>
      <c r="E69" s="196"/>
      <c r="F69" s="196"/>
      <c r="G69" s="196"/>
    </row>
    <row r="70" spans="2:7" ht="12.75">
      <c r="B70" s="206"/>
      <c r="C70" s="196"/>
      <c r="D70" s="207"/>
      <c r="E70" s="207"/>
      <c r="F70" s="207"/>
      <c r="G70" s="196"/>
    </row>
    <row r="71" spans="2:7" ht="12.75">
      <c r="B71" s="206"/>
      <c r="C71" s="196"/>
      <c r="D71" s="207"/>
      <c r="E71" s="207"/>
      <c r="F71" s="207"/>
      <c r="G71" s="196"/>
    </row>
    <row r="72" spans="1:7" ht="12.75">
      <c r="A72" s="123" t="s">
        <v>5</v>
      </c>
      <c r="B72" s="197" t="s">
        <v>411</v>
      </c>
      <c r="C72" s="198" t="s">
        <v>412</v>
      </c>
      <c r="D72" s="199" t="s">
        <v>413</v>
      </c>
      <c r="E72" s="199" t="s">
        <v>414</v>
      </c>
      <c r="F72" s="199" t="s">
        <v>415</v>
      </c>
      <c r="G72" s="196"/>
    </row>
    <row r="73" spans="1:6" ht="12.75">
      <c r="A73" s="123">
        <v>1</v>
      </c>
      <c r="B73" s="200" t="s">
        <v>452</v>
      </c>
      <c r="C73" s="201" t="s">
        <v>417</v>
      </c>
      <c r="D73" s="202">
        <v>53</v>
      </c>
      <c r="E73" s="202">
        <v>490.2083793103449</v>
      </c>
      <c r="F73" s="202">
        <v>25981.04410344828</v>
      </c>
    </row>
    <row r="74" spans="1:6" ht="12.75">
      <c r="A74" s="123">
        <v>2</v>
      </c>
      <c r="B74" s="200" t="s">
        <v>453</v>
      </c>
      <c r="C74" s="201" t="s">
        <v>417</v>
      </c>
      <c r="D74" s="202">
        <v>1</v>
      </c>
      <c r="E74" s="202">
        <v>49.5381322846096</v>
      </c>
      <c r="F74" s="202">
        <v>49.5381322846096</v>
      </c>
    </row>
    <row r="75" spans="1:6" ht="12.75">
      <c r="A75" s="123">
        <v>3</v>
      </c>
      <c r="B75" s="200" t="s">
        <v>454</v>
      </c>
      <c r="C75" s="201" t="s">
        <v>417</v>
      </c>
      <c r="D75" s="202">
        <v>55</v>
      </c>
      <c r="E75" s="202">
        <v>64.30623575574451</v>
      </c>
      <c r="F75" s="202">
        <v>3536.842966565948</v>
      </c>
    </row>
    <row r="76" spans="1:6" ht="12.75">
      <c r="A76" s="123">
        <v>4</v>
      </c>
      <c r="B76" s="200" t="s">
        <v>455</v>
      </c>
      <c r="C76" s="201" t="s">
        <v>417</v>
      </c>
      <c r="D76" s="202">
        <v>34</v>
      </c>
      <c r="E76" s="202">
        <v>130.0603828113358</v>
      </c>
      <c r="F76" s="202">
        <v>4422.053015585418</v>
      </c>
    </row>
    <row r="77" spans="1:6" ht="12.75">
      <c r="A77" s="123">
        <v>5</v>
      </c>
      <c r="B77" s="200" t="s">
        <v>456</v>
      </c>
      <c r="C77" s="201" t="s">
        <v>417</v>
      </c>
      <c r="D77" s="202">
        <v>30</v>
      </c>
      <c r="E77" s="202">
        <v>99.76861897120058</v>
      </c>
      <c r="F77" s="202">
        <v>2993.058569136018</v>
      </c>
    </row>
    <row r="78" spans="1:6" ht="12.75">
      <c r="A78" s="123">
        <v>6</v>
      </c>
      <c r="B78" s="200" t="s">
        <v>457</v>
      </c>
      <c r="C78" s="201" t="s">
        <v>417</v>
      </c>
      <c r="D78" s="202">
        <v>1070</v>
      </c>
      <c r="E78" s="202">
        <v>7.072457037070178</v>
      </c>
      <c r="F78" s="202">
        <v>7567.529029665091</v>
      </c>
    </row>
    <row r="79" spans="1:6" ht="12.75">
      <c r="A79" s="123">
        <v>7</v>
      </c>
      <c r="B79" s="200" t="s">
        <v>458</v>
      </c>
      <c r="C79" s="201" t="s">
        <v>417</v>
      </c>
      <c r="D79" s="202">
        <v>150</v>
      </c>
      <c r="E79" s="202">
        <v>21.069999999999997</v>
      </c>
      <c r="F79" s="202">
        <v>3160.4999999999995</v>
      </c>
    </row>
    <row r="80" spans="1:6" ht="12.75">
      <c r="A80" s="123">
        <v>8</v>
      </c>
      <c r="B80" s="200" t="s">
        <v>459</v>
      </c>
      <c r="C80" s="201" t="s">
        <v>417</v>
      </c>
      <c r="D80" s="202">
        <v>52</v>
      </c>
      <c r="E80" s="202">
        <v>26.99999771128294</v>
      </c>
      <c r="F80" s="202">
        <v>1403.9998809867125</v>
      </c>
    </row>
    <row r="81" spans="1:6" ht="12.75">
      <c r="A81" s="123">
        <v>9</v>
      </c>
      <c r="B81" s="200" t="s">
        <v>460</v>
      </c>
      <c r="C81" s="201" t="s">
        <v>417</v>
      </c>
      <c r="D81" s="202">
        <v>60</v>
      </c>
      <c r="E81" s="202">
        <v>31.599799461990028</v>
      </c>
      <c r="F81" s="202">
        <v>1895.9879677194012</v>
      </c>
    </row>
    <row r="82" spans="1:6" ht="12.75">
      <c r="A82" s="123">
        <v>10</v>
      </c>
      <c r="B82" s="200" t="s">
        <v>461</v>
      </c>
      <c r="C82" s="201" t="s">
        <v>417</v>
      </c>
      <c r="D82" s="202">
        <v>8</v>
      </c>
      <c r="E82" s="202">
        <v>31.730000000000018</v>
      </c>
      <c r="F82" s="202">
        <v>253.84000000000015</v>
      </c>
    </row>
    <row r="83" spans="1:6" ht="12.75">
      <c r="A83" s="123">
        <v>11</v>
      </c>
      <c r="B83" s="200" t="s">
        <v>462</v>
      </c>
      <c r="C83" s="201" t="s">
        <v>417</v>
      </c>
      <c r="D83" s="202">
        <v>100</v>
      </c>
      <c r="E83" s="202">
        <v>15.939999999999998</v>
      </c>
      <c r="F83" s="202">
        <v>1593.9999999999998</v>
      </c>
    </row>
    <row r="84" spans="1:6" ht="12.75">
      <c r="A84" s="123">
        <v>12</v>
      </c>
      <c r="B84" s="200" t="s">
        <v>463</v>
      </c>
      <c r="C84" s="201" t="s">
        <v>417</v>
      </c>
      <c r="D84" s="202">
        <v>100</v>
      </c>
      <c r="E84" s="202">
        <v>14.7</v>
      </c>
      <c r="F84" s="202">
        <v>1470</v>
      </c>
    </row>
    <row r="85" spans="1:6" ht="12.75">
      <c r="A85" s="123">
        <v>13</v>
      </c>
      <c r="B85" s="200" t="s">
        <v>464</v>
      </c>
      <c r="C85" s="201" t="s">
        <v>417</v>
      </c>
      <c r="D85" s="202">
        <v>6</v>
      </c>
      <c r="E85" s="202">
        <v>130.9440476484521</v>
      </c>
      <c r="F85" s="202">
        <v>785.6642858907127</v>
      </c>
    </row>
    <row r="86" spans="1:6" ht="12.75">
      <c r="A86" s="123">
        <v>14</v>
      </c>
      <c r="B86" s="200" t="s">
        <v>465</v>
      </c>
      <c r="C86" s="201" t="s">
        <v>417</v>
      </c>
      <c r="D86" s="202">
        <v>17</v>
      </c>
      <c r="E86" s="202">
        <v>131.44883576476383</v>
      </c>
      <c r="F86" s="202">
        <v>2234.630208000985</v>
      </c>
    </row>
    <row r="87" spans="1:6" ht="12.75">
      <c r="A87" s="123">
        <v>15</v>
      </c>
      <c r="B87" s="200" t="s">
        <v>466</v>
      </c>
      <c r="C87" s="201" t="s">
        <v>417</v>
      </c>
      <c r="D87" s="202">
        <v>1000</v>
      </c>
      <c r="E87" s="202">
        <v>9.799999999999999</v>
      </c>
      <c r="F87" s="202">
        <v>9799.999999999998</v>
      </c>
    </row>
    <row r="88" spans="1:6" ht="12.75">
      <c r="A88" s="123">
        <v>16</v>
      </c>
      <c r="B88" s="200" t="s">
        <v>467</v>
      </c>
      <c r="C88" s="201" t="s">
        <v>417</v>
      </c>
      <c r="D88" s="202">
        <v>3624</v>
      </c>
      <c r="E88" s="202">
        <v>10.621119529425066</v>
      </c>
      <c r="F88" s="202">
        <v>38490.93717463644</v>
      </c>
    </row>
    <row r="89" spans="1:6" ht="12.75">
      <c r="A89" s="123">
        <v>17</v>
      </c>
      <c r="B89" s="200" t="s">
        <v>468</v>
      </c>
      <c r="C89" s="201" t="s">
        <v>417</v>
      </c>
      <c r="D89" s="202">
        <v>218</v>
      </c>
      <c r="E89" s="202">
        <v>65.90665991240051</v>
      </c>
      <c r="F89" s="202">
        <v>14367.651860903314</v>
      </c>
    </row>
    <row r="90" spans="1:6" ht="12.75">
      <c r="A90" s="123">
        <v>18</v>
      </c>
      <c r="B90" s="200" t="s">
        <v>469</v>
      </c>
      <c r="C90" s="201" t="s">
        <v>417</v>
      </c>
      <c r="D90" s="202">
        <v>108</v>
      </c>
      <c r="E90" s="202">
        <v>155.91052420254536</v>
      </c>
      <c r="F90" s="202">
        <v>16838.336613874897</v>
      </c>
    </row>
    <row r="91" spans="1:6" ht="12.75">
      <c r="A91" s="123">
        <v>19</v>
      </c>
      <c r="B91" s="200" t="s">
        <v>470</v>
      </c>
      <c r="C91" s="201" t="s">
        <v>417</v>
      </c>
      <c r="D91" s="202">
        <v>16</v>
      </c>
      <c r="E91" s="202">
        <v>274.1900009762813</v>
      </c>
      <c r="F91" s="202">
        <v>4387.0400156205005</v>
      </c>
    </row>
    <row r="92" spans="1:6" ht="12.75">
      <c r="A92" s="123">
        <v>20</v>
      </c>
      <c r="B92" s="200" t="s">
        <v>471</v>
      </c>
      <c r="C92" s="201" t="s">
        <v>417</v>
      </c>
      <c r="D92" s="202">
        <v>26</v>
      </c>
      <c r="E92" s="202">
        <v>386.7658763741914</v>
      </c>
      <c r="F92" s="202">
        <v>10055.912785728977</v>
      </c>
    </row>
    <row r="93" spans="1:6" ht="12.75">
      <c r="A93" s="123">
        <v>21</v>
      </c>
      <c r="B93" s="200" t="s">
        <v>472</v>
      </c>
      <c r="C93" s="201" t="s">
        <v>417</v>
      </c>
      <c r="D93" s="202">
        <v>15</v>
      </c>
      <c r="E93" s="202">
        <v>135.10638297872347</v>
      </c>
      <c r="F93" s="202">
        <v>2026.595744680852</v>
      </c>
    </row>
    <row r="94" spans="1:6" ht="12.75">
      <c r="A94" s="123">
        <v>22</v>
      </c>
      <c r="B94" s="200" t="s">
        <v>473</v>
      </c>
      <c r="C94" s="201" t="s">
        <v>417</v>
      </c>
      <c r="D94" s="202">
        <v>10</v>
      </c>
      <c r="E94" s="202">
        <v>632</v>
      </c>
      <c r="F94" s="202">
        <v>6320</v>
      </c>
    </row>
    <row r="95" spans="1:6" ht="12.75">
      <c r="A95" s="123">
        <v>23</v>
      </c>
      <c r="B95" s="200" t="s">
        <v>474</v>
      </c>
      <c r="C95" s="201" t="s">
        <v>417</v>
      </c>
      <c r="D95" s="202">
        <v>20</v>
      </c>
      <c r="E95" s="202">
        <v>225</v>
      </c>
      <c r="F95" s="202">
        <v>4500</v>
      </c>
    </row>
    <row r="96" spans="1:6" ht="12.75">
      <c r="A96" s="123">
        <v>24</v>
      </c>
      <c r="B96" s="200" t="s">
        <v>475</v>
      </c>
      <c r="C96" s="201" t="s">
        <v>417</v>
      </c>
      <c r="D96" s="202">
        <v>37</v>
      </c>
      <c r="E96" s="202">
        <v>594.972972972973</v>
      </c>
      <c r="F96" s="202">
        <v>22014</v>
      </c>
    </row>
    <row r="97" spans="1:6" ht="12.75">
      <c r="A97" s="123">
        <v>25</v>
      </c>
      <c r="B97" s="200" t="s">
        <v>476</v>
      </c>
      <c r="C97" s="201" t="s">
        <v>417</v>
      </c>
      <c r="D97" s="202">
        <v>51</v>
      </c>
      <c r="E97" s="202">
        <v>156.57142857142858</v>
      </c>
      <c r="F97" s="202">
        <v>7985.142857142857</v>
      </c>
    </row>
    <row r="98" spans="1:6" ht="12.75">
      <c r="A98" s="123">
        <v>26</v>
      </c>
      <c r="B98" s="200" t="s">
        <v>477</v>
      </c>
      <c r="C98" s="201" t="s">
        <v>417</v>
      </c>
      <c r="D98" s="202">
        <v>34</v>
      </c>
      <c r="E98" s="202">
        <v>75.84799321686404</v>
      </c>
      <c r="F98" s="202">
        <v>2578.8317693733775</v>
      </c>
    </row>
    <row r="99" spans="1:6" ht="12.75">
      <c r="A99" s="123">
        <v>27</v>
      </c>
      <c r="B99" s="200" t="s">
        <v>478</v>
      </c>
      <c r="C99" s="201" t="s">
        <v>417</v>
      </c>
      <c r="D99" s="202">
        <v>6</v>
      </c>
      <c r="E99" s="202">
        <v>306</v>
      </c>
      <c r="F99" s="202">
        <v>1836</v>
      </c>
    </row>
    <row r="100" spans="1:6" ht="12.75">
      <c r="A100" s="123">
        <v>28</v>
      </c>
      <c r="B100" s="200" t="s">
        <v>479</v>
      </c>
      <c r="C100" s="201" t="s">
        <v>417</v>
      </c>
      <c r="D100" s="202">
        <v>14</v>
      </c>
      <c r="E100" s="202">
        <v>150.81370731707304</v>
      </c>
      <c r="F100" s="202">
        <v>2111.3919024390225</v>
      </c>
    </row>
    <row r="101" spans="1:6" ht="12.75">
      <c r="A101" s="123">
        <v>29</v>
      </c>
      <c r="B101" s="200" t="s">
        <v>480</v>
      </c>
      <c r="C101" s="201" t="s">
        <v>417</v>
      </c>
      <c r="D101" s="202">
        <v>10</v>
      </c>
      <c r="E101" s="202">
        <v>247</v>
      </c>
      <c r="F101" s="202">
        <v>2470</v>
      </c>
    </row>
    <row r="102" spans="1:6" ht="12.75">
      <c r="A102" s="123">
        <v>30</v>
      </c>
      <c r="B102" s="200" t="s">
        <v>481</v>
      </c>
      <c r="C102" s="201" t="s">
        <v>417</v>
      </c>
      <c r="D102" s="202">
        <v>71</v>
      </c>
      <c r="E102" s="202">
        <v>170.62080386406762</v>
      </c>
      <c r="F102" s="202">
        <v>12114.077074348801</v>
      </c>
    </row>
    <row r="103" spans="1:6" ht="12.75">
      <c r="A103" s="123">
        <v>31</v>
      </c>
      <c r="B103" s="200" t="s">
        <v>482</v>
      </c>
      <c r="C103" s="201" t="s">
        <v>417</v>
      </c>
      <c r="D103" s="202">
        <v>27</v>
      </c>
      <c r="E103" s="202">
        <v>85</v>
      </c>
      <c r="F103" s="202">
        <v>2295</v>
      </c>
    </row>
    <row r="104" spans="1:6" ht="12.75">
      <c r="A104" s="123">
        <v>32</v>
      </c>
      <c r="B104" s="200" t="s">
        <v>483</v>
      </c>
      <c r="C104" s="201" t="s">
        <v>417</v>
      </c>
      <c r="D104" s="202">
        <v>32</v>
      </c>
      <c r="E104" s="202">
        <v>187.08363908408253</v>
      </c>
      <c r="F104" s="202">
        <v>5986.676450690642</v>
      </c>
    </row>
    <row r="105" spans="1:6" ht="12.75">
      <c r="A105" s="123">
        <v>33</v>
      </c>
      <c r="B105" s="200" t="s">
        <v>484</v>
      </c>
      <c r="C105" s="201" t="s">
        <v>417</v>
      </c>
      <c r="D105" s="202">
        <v>12</v>
      </c>
      <c r="E105" s="202">
        <v>609</v>
      </c>
      <c r="F105" s="202">
        <v>7308</v>
      </c>
    </row>
    <row r="106" spans="1:6" ht="12.75">
      <c r="A106" s="123">
        <v>34</v>
      </c>
      <c r="B106" s="200" t="s">
        <v>485</v>
      </c>
      <c r="C106" s="201" t="s">
        <v>417</v>
      </c>
      <c r="D106" s="202">
        <v>38</v>
      </c>
      <c r="E106" s="202">
        <v>253.9887879228646</v>
      </c>
      <c r="F106" s="202">
        <v>9651.573941068855</v>
      </c>
    </row>
    <row r="107" spans="1:6" ht="12.75">
      <c r="A107" s="123">
        <v>35</v>
      </c>
      <c r="B107" s="200" t="s">
        <v>486</v>
      </c>
      <c r="C107" s="201" t="s">
        <v>417</v>
      </c>
      <c r="D107" s="202">
        <v>56</v>
      </c>
      <c r="E107" s="202">
        <v>98.6845545364632</v>
      </c>
      <c r="F107" s="202">
        <v>5526.335054041939</v>
      </c>
    </row>
    <row r="108" spans="1:6" ht="12.75">
      <c r="A108" s="123">
        <v>36</v>
      </c>
      <c r="B108" s="200" t="s">
        <v>487</v>
      </c>
      <c r="C108" s="201" t="s">
        <v>417</v>
      </c>
      <c r="D108" s="202">
        <v>86</v>
      </c>
      <c r="E108" s="202">
        <v>155.53213624483817</v>
      </c>
      <c r="F108" s="202">
        <v>13375.763717056085</v>
      </c>
    </row>
    <row r="109" spans="1:6" ht="12.75">
      <c r="A109" s="123">
        <v>37</v>
      </c>
      <c r="B109" s="200" t="s">
        <v>488</v>
      </c>
      <c r="C109" s="201" t="s">
        <v>417</v>
      </c>
      <c r="D109" s="202">
        <v>27</v>
      </c>
      <c r="E109" s="202">
        <v>185.5</v>
      </c>
      <c r="F109" s="202">
        <v>5008.5</v>
      </c>
    </row>
    <row r="110" spans="1:6" ht="12.75">
      <c r="A110" s="123">
        <v>38</v>
      </c>
      <c r="B110" s="200" t="s">
        <v>489</v>
      </c>
      <c r="C110" s="201" t="s">
        <v>417</v>
      </c>
      <c r="D110" s="202">
        <v>804</v>
      </c>
      <c r="E110" s="202">
        <v>11.99656232996798</v>
      </c>
      <c r="F110" s="202">
        <v>9645.236113294255</v>
      </c>
    </row>
    <row r="111" spans="1:6" ht="12.75">
      <c r="A111" s="123">
        <v>39</v>
      </c>
      <c r="B111" s="200" t="s">
        <v>490</v>
      </c>
      <c r="C111" s="201" t="s">
        <v>417</v>
      </c>
      <c r="D111" s="202">
        <v>19</v>
      </c>
      <c r="E111" s="202">
        <v>269.4956549737976</v>
      </c>
      <c r="F111" s="202">
        <v>5120.417444502155</v>
      </c>
    </row>
    <row r="112" spans="1:6" ht="12.75">
      <c r="A112" s="123">
        <v>40</v>
      </c>
      <c r="B112" s="200" t="s">
        <v>491</v>
      </c>
      <c r="C112" s="201" t="s">
        <v>417</v>
      </c>
      <c r="D112" s="202">
        <v>5</v>
      </c>
      <c r="E112" s="202">
        <v>1104.9326215580022</v>
      </c>
      <c r="F112" s="202">
        <v>5524.663107790012</v>
      </c>
    </row>
    <row r="113" spans="1:6" ht="12.75">
      <c r="A113" s="123">
        <v>41</v>
      </c>
      <c r="B113" s="200" t="s">
        <v>492</v>
      </c>
      <c r="C113" s="201" t="s">
        <v>417</v>
      </c>
      <c r="D113" s="202">
        <v>20</v>
      </c>
      <c r="E113" s="202">
        <v>329.5714285714286</v>
      </c>
      <c r="F113" s="202">
        <v>6591.428571428574</v>
      </c>
    </row>
    <row r="114" spans="1:6" ht="12.75">
      <c r="A114" s="123">
        <v>42</v>
      </c>
      <c r="B114" s="200" t="s">
        <v>493</v>
      </c>
      <c r="C114" s="201" t="s">
        <v>417</v>
      </c>
      <c r="D114" s="202">
        <v>8</v>
      </c>
      <c r="E114" s="202">
        <v>1200</v>
      </c>
      <c r="F114" s="202">
        <v>9600</v>
      </c>
    </row>
    <row r="115" spans="1:6" ht="12.75">
      <c r="A115" s="123">
        <v>43</v>
      </c>
      <c r="B115" s="200" t="s">
        <v>494</v>
      </c>
      <c r="C115" s="201" t="s">
        <v>417</v>
      </c>
      <c r="D115" s="202">
        <v>265</v>
      </c>
      <c r="E115" s="202">
        <v>35.82880091911848</v>
      </c>
      <c r="F115" s="202">
        <v>9494.632243566397</v>
      </c>
    </row>
    <row r="116" spans="1:6" ht="12.75">
      <c r="A116" s="123">
        <v>44</v>
      </c>
      <c r="B116" s="200" t="s">
        <v>495</v>
      </c>
      <c r="C116" s="201" t="s">
        <v>417</v>
      </c>
      <c r="D116" s="202">
        <v>126</v>
      </c>
      <c r="E116" s="202">
        <v>32.41350483004803</v>
      </c>
      <c r="F116" s="202">
        <v>4084.101608586052</v>
      </c>
    </row>
    <row r="117" spans="1:6" ht="12.75">
      <c r="A117" s="123">
        <v>45</v>
      </c>
      <c r="B117" s="200" t="s">
        <v>496</v>
      </c>
      <c r="C117" s="201" t="s">
        <v>417</v>
      </c>
      <c r="D117" s="202">
        <v>200</v>
      </c>
      <c r="E117" s="202">
        <v>50.504036194854386</v>
      </c>
      <c r="F117" s="202">
        <v>10100.807238970878</v>
      </c>
    </row>
    <row r="118" spans="1:6" ht="12.75">
      <c r="A118" s="123">
        <v>46</v>
      </c>
      <c r="B118" s="200" t="s">
        <v>497</v>
      </c>
      <c r="C118" s="201" t="s">
        <v>417</v>
      </c>
      <c r="D118" s="202">
        <v>42</v>
      </c>
      <c r="E118" s="202">
        <v>298.3478270772591</v>
      </c>
      <c r="F118" s="202">
        <v>12530.60873724488</v>
      </c>
    </row>
    <row r="119" spans="1:6" ht="12.75">
      <c r="A119" s="123">
        <v>47</v>
      </c>
      <c r="B119" s="200" t="s">
        <v>498</v>
      </c>
      <c r="C119" s="201" t="s">
        <v>417</v>
      </c>
      <c r="D119" s="202">
        <v>5</v>
      </c>
      <c r="E119" s="202">
        <v>1109.9330143540667</v>
      </c>
      <c r="F119" s="202">
        <v>5549.665071770332</v>
      </c>
    </row>
    <row r="120" spans="1:6" ht="12.75">
      <c r="A120" s="123">
        <v>48</v>
      </c>
      <c r="B120" s="200" t="s">
        <v>499</v>
      </c>
      <c r="C120" s="201" t="s">
        <v>417</v>
      </c>
      <c r="D120" s="202">
        <v>7</v>
      </c>
      <c r="E120" s="202">
        <v>545</v>
      </c>
      <c r="F120" s="202">
        <v>3815</v>
      </c>
    </row>
    <row r="121" spans="1:6" ht="12.75">
      <c r="A121" s="123">
        <v>49</v>
      </c>
      <c r="B121" s="200" t="s">
        <v>500</v>
      </c>
      <c r="C121" s="201" t="s">
        <v>417</v>
      </c>
      <c r="D121" s="202">
        <v>54</v>
      </c>
      <c r="E121" s="202">
        <v>241.42857142857153</v>
      </c>
      <c r="F121" s="202">
        <v>13037.142857142862</v>
      </c>
    </row>
    <row r="122" spans="1:6" ht="12.75">
      <c r="A122" s="123">
        <v>50</v>
      </c>
      <c r="B122" s="200" t="s">
        <v>501</v>
      </c>
      <c r="C122" s="201" t="s">
        <v>417</v>
      </c>
      <c r="D122" s="202">
        <v>278</v>
      </c>
      <c r="E122" s="202">
        <v>261.1018443322987</v>
      </c>
      <c r="F122" s="202">
        <v>72586.31272437905</v>
      </c>
    </row>
    <row r="123" spans="1:6" ht="12.75">
      <c r="A123" s="123">
        <v>51</v>
      </c>
      <c r="B123" s="200" t="s">
        <v>502</v>
      </c>
      <c r="C123" s="201" t="s">
        <v>417</v>
      </c>
      <c r="D123" s="202">
        <v>90</v>
      </c>
      <c r="E123" s="202">
        <v>436</v>
      </c>
      <c r="F123" s="202">
        <v>39240</v>
      </c>
    </row>
    <row r="124" spans="1:6" ht="12.75">
      <c r="A124" s="123">
        <v>52</v>
      </c>
      <c r="B124" s="200" t="s">
        <v>503</v>
      </c>
      <c r="C124" s="201" t="s">
        <v>417</v>
      </c>
      <c r="D124" s="202">
        <v>29</v>
      </c>
      <c r="E124" s="202">
        <v>461.13317466470573</v>
      </c>
      <c r="F124" s="202">
        <v>13372.862065276466</v>
      </c>
    </row>
    <row r="125" spans="1:6" ht="12.75">
      <c r="A125" s="123">
        <v>53</v>
      </c>
      <c r="B125" s="200" t="s">
        <v>504</v>
      </c>
      <c r="C125" s="201" t="s">
        <v>417</v>
      </c>
      <c r="D125" s="202">
        <v>63</v>
      </c>
      <c r="E125" s="202">
        <v>1589.6265000000003</v>
      </c>
      <c r="F125" s="202">
        <v>100146.46949999999</v>
      </c>
    </row>
    <row r="126" spans="1:6" ht="12.75">
      <c r="A126" s="123">
        <v>54</v>
      </c>
      <c r="B126" s="200" t="s">
        <v>505</v>
      </c>
      <c r="C126" s="201" t="s">
        <v>417</v>
      </c>
      <c r="D126" s="202">
        <v>18</v>
      </c>
      <c r="E126" s="202">
        <v>520.3280614157215</v>
      </c>
      <c r="F126" s="202">
        <v>9365.905105482989</v>
      </c>
    </row>
    <row r="127" spans="1:6" ht="12.75">
      <c r="A127" s="123">
        <v>55</v>
      </c>
      <c r="B127" s="200" t="s">
        <v>506</v>
      </c>
      <c r="C127" s="201" t="s">
        <v>417</v>
      </c>
      <c r="D127" s="202">
        <v>10</v>
      </c>
      <c r="E127" s="202">
        <v>536.3355781536172</v>
      </c>
      <c r="F127" s="202">
        <v>5363.355781536174</v>
      </c>
    </row>
    <row r="128" spans="1:6" ht="12.75">
      <c r="A128" s="123">
        <v>56</v>
      </c>
      <c r="B128" s="200" t="s">
        <v>507</v>
      </c>
      <c r="C128" s="201" t="s">
        <v>417</v>
      </c>
      <c r="D128" s="202">
        <v>7</v>
      </c>
      <c r="E128" s="202">
        <v>445.31480952380946</v>
      </c>
      <c r="F128" s="202">
        <v>3117.203666666666</v>
      </c>
    </row>
    <row r="129" spans="1:6" ht="12.75">
      <c r="A129" s="123">
        <v>57</v>
      </c>
      <c r="B129" s="200" t="s">
        <v>508</v>
      </c>
      <c r="C129" s="201" t="s">
        <v>417</v>
      </c>
      <c r="D129" s="202">
        <v>24</v>
      </c>
      <c r="E129" s="202">
        <v>815</v>
      </c>
      <c r="F129" s="202">
        <v>19560</v>
      </c>
    </row>
    <row r="130" spans="1:6" ht="12.75">
      <c r="A130" s="123">
        <v>58</v>
      </c>
      <c r="B130" s="200" t="s">
        <v>509</v>
      </c>
      <c r="C130" s="201" t="s">
        <v>417</v>
      </c>
      <c r="D130" s="202">
        <v>30</v>
      </c>
      <c r="E130" s="202">
        <v>2419.5611178451177</v>
      </c>
      <c r="F130" s="202">
        <v>72586.83353535354</v>
      </c>
    </row>
    <row r="131" spans="1:6" ht="12.75">
      <c r="A131" s="123">
        <v>59</v>
      </c>
      <c r="B131" s="200" t="s">
        <v>510</v>
      </c>
      <c r="C131" s="201" t="s">
        <v>417</v>
      </c>
      <c r="D131" s="202">
        <v>10</v>
      </c>
      <c r="E131" s="202">
        <v>834.9799999999999</v>
      </c>
      <c r="F131" s="202">
        <v>8349.8</v>
      </c>
    </row>
    <row r="132" spans="1:6" ht="12.75">
      <c r="A132" s="123">
        <v>60</v>
      </c>
      <c r="B132" s="200" t="s">
        <v>511</v>
      </c>
      <c r="C132" s="201" t="s">
        <v>417</v>
      </c>
      <c r="D132" s="202">
        <v>9</v>
      </c>
      <c r="E132" s="202">
        <v>398.58903475313707</v>
      </c>
      <c r="F132" s="202">
        <v>3587.301312778234</v>
      </c>
    </row>
    <row r="133" spans="1:6" ht="12.75">
      <c r="A133" s="123">
        <v>61</v>
      </c>
      <c r="B133" s="200" t="s">
        <v>512</v>
      </c>
      <c r="C133" s="201" t="s">
        <v>417</v>
      </c>
      <c r="D133" s="202">
        <v>10</v>
      </c>
      <c r="E133" s="202">
        <v>2105.866666666666</v>
      </c>
      <c r="F133" s="202">
        <v>21058.666666666664</v>
      </c>
    </row>
    <row r="134" spans="1:6" ht="12.75">
      <c r="A134" s="123">
        <v>62</v>
      </c>
      <c r="B134" s="200" t="s">
        <v>513</v>
      </c>
      <c r="C134" s="201" t="s">
        <v>417</v>
      </c>
      <c r="D134" s="202">
        <v>30</v>
      </c>
      <c r="E134" s="202">
        <v>340</v>
      </c>
      <c r="F134" s="202">
        <v>10200</v>
      </c>
    </row>
    <row r="135" spans="1:6" ht="12.75">
      <c r="A135" s="123">
        <v>63</v>
      </c>
      <c r="B135" s="200" t="s">
        <v>514</v>
      </c>
      <c r="C135" s="201" t="s">
        <v>417</v>
      </c>
      <c r="D135" s="202">
        <v>8</v>
      </c>
      <c r="E135" s="202">
        <v>2270</v>
      </c>
      <c r="F135" s="202">
        <v>18160</v>
      </c>
    </row>
    <row r="136" spans="1:6" ht="12.75">
      <c r="A136" s="123">
        <v>64</v>
      </c>
      <c r="B136" s="200" t="s">
        <v>515</v>
      </c>
      <c r="C136" s="201" t="s">
        <v>417</v>
      </c>
      <c r="D136" s="202">
        <v>31</v>
      </c>
      <c r="E136" s="202">
        <v>435</v>
      </c>
      <c r="F136" s="202">
        <v>13485</v>
      </c>
    </row>
    <row r="137" spans="1:6" ht="12.75">
      <c r="A137" s="123">
        <v>65</v>
      </c>
      <c r="B137" s="200" t="s">
        <v>516</v>
      </c>
      <c r="C137" s="201" t="s">
        <v>417</v>
      </c>
      <c r="D137" s="202">
        <v>66</v>
      </c>
      <c r="E137" s="202">
        <v>323.4910457845577</v>
      </c>
      <c r="F137" s="202">
        <v>21350.409021780808</v>
      </c>
    </row>
    <row r="138" spans="1:6" ht="12.75">
      <c r="A138" s="123">
        <v>66</v>
      </c>
      <c r="B138" s="200" t="s">
        <v>517</v>
      </c>
      <c r="C138" s="201" t="s">
        <v>417</v>
      </c>
      <c r="D138" s="202">
        <v>40</v>
      </c>
      <c r="E138" s="202">
        <v>1677</v>
      </c>
      <c r="F138" s="202">
        <v>67080</v>
      </c>
    </row>
    <row r="139" spans="1:6" ht="12.75">
      <c r="A139" s="123">
        <v>67</v>
      </c>
      <c r="B139" s="200" t="s">
        <v>518</v>
      </c>
      <c r="C139" s="201" t="s">
        <v>417</v>
      </c>
      <c r="D139" s="202">
        <v>23</v>
      </c>
      <c r="E139" s="202">
        <v>360</v>
      </c>
      <c r="F139" s="202">
        <v>8280</v>
      </c>
    </row>
    <row r="140" spans="1:6" ht="12.75">
      <c r="A140" s="123">
        <v>68</v>
      </c>
      <c r="B140" s="200" t="s">
        <v>519</v>
      </c>
      <c r="C140" s="201" t="s">
        <v>417</v>
      </c>
      <c r="D140" s="202">
        <v>40</v>
      </c>
      <c r="E140" s="202">
        <v>93.80898517535103</v>
      </c>
      <c r="F140" s="202">
        <v>3752.3594070140416</v>
      </c>
    </row>
    <row r="141" spans="1:6" ht="12.75">
      <c r="A141" s="123">
        <v>69</v>
      </c>
      <c r="B141" s="200" t="s">
        <v>520</v>
      </c>
      <c r="C141" s="201" t="s">
        <v>417</v>
      </c>
      <c r="D141" s="202">
        <v>45</v>
      </c>
      <c r="E141" s="202">
        <v>68.714257705496</v>
      </c>
      <c r="F141" s="202">
        <v>3092.1415967473204</v>
      </c>
    </row>
    <row r="142" spans="1:6" ht="12.75">
      <c r="A142" s="123">
        <v>70</v>
      </c>
      <c r="B142" s="200" t="s">
        <v>521</v>
      </c>
      <c r="C142" s="201" t="s">
        <v>417</v>
      </c>
      <c r="D142" s="202">
        <v>16</v>
      </c>
      <c r="E142" s="202">
        <v>119.45756091370536</v>
      </c>
      <c r="F142" s="202">
        <v>1911.3209746192856</v>
      </c>
    </row>
    <row r="143" spans="1:6" ht="12.75">
      <c r="A143" s="123">
        <v>71</v>
      </c>
      <c r="B143" s="200" t="s">
        <v>522</v>
      </c>
      <c r="C143" s="201" t="s">
        <v>417</v>
      </c>
      <c r="D143" s="202">
        <v>4</v>
      </c>
      <c r="E143" s="202">
        <v>185</v>
      </c>
      <c r="F143" s="202">
        <v>740</v>
      </c>
    </row>
    <row r="144" spans="1:6" ht="12.75">
      <c r="A144" s="123">
        <v>72</v>
      </c>
      <c r="B144" s="200" t="s">
        <v>523</v>
      </c>
      <c r="C144" s="201" t="s">
        <v>417</v>
      </c>
      <c r="D144" s="202">
        <v>100</v>
      </c>
      <c r="E144" s="202">
        <v>13.763</v>
      </c>
      <c r="F144" s="202">
        <v>1376.3</v>
      </c>
    </row>
    <row r="145" spans="1:6" ht="12.75">
      <c r="A145" s="123">
        <v>73</v>
      </c>
      <c r="B145" s="200" t="s">
        <v>524</v>
      </c>
      <c r="C145" s="201" t="s">
        <v>417</v>
      </c>
      <c r="D145" s="202">
        <v>100</v>
      </c>
      <c r="E145" s="202">
        <v>12.42478205128205</v>
      </c>
      <c r="F145" s="202">
        <v>1242.478205128205</v>
      </c>
    </row>
    <row r="146" spans="1:6" ht="12.75">
      <c r="A146" s="123">
        <v>74</v>
      </c>
      <c r="B146" s="200" t="s">
        <v>525</v>
      </c>
      <c r="C146" s="201" t="s">
        <v>417</v>
      </c>
      <c r="D146" s="202">
        <v>5820</v>
      </c>
      <c r="E146" s="202">
        <v>12.105170134422083</v>
      </c>
      <c r="F146" s="202">
        <v>70452.09018233651</v>
      </c>
    </row>
    <row r="147" spans="1:6" ht="12.75">
      <c r="A147" s="123">
        <v>75</v>
      </c>
      <c r="B147" s="200" t="s">
        <v>526</v>
      </c>
      <c r="C147" s="201" t="s">
        <v>417</v>
      </c>
      <c r="D147" s="202">
        <v>26</v>
      </c>
      <c r="E147" s="202">
        <v>96.79154220061864</v>
      </c>
      <c r="F147" s="202">
        <v>2516.580097216085</v>
      </c>
    </row>
    <row r="148" spans="1:6" ht="12.75">
      <c r="A148" s="123">
        <v>76</v>
      </c>
      <c r="B148" s="200" t="s">
        <v>527</v>
      </c>
      <c r="C148" s="201" t="s">
        <v>417</v>
      </c>
      <c r="D148" s="202">
        <v>7</v>
      </c>
      <c r="E148" s="202">
        <v>105</v>
      </c>
      <c r="F148" s="202">
        <v>735</v>
      </c>
    </row>
    <row r="149" spans="1:6" ht="12.75">
      <c r="A149" s="123">
        <v>77</v>
      </c>
      <c r="B149" s="200" t="s">
        <v>528</v>
      </c>
      <c r="C149" s="201" t="s">
        <v>417</v>
      </c>
      <c r="D149" s="202">
        <v>40</v>
      </c>
      <c r="E149" s="202">
        <v>32.789469078947384</v>
      </c>
      <c r="F149" s="202">
        <v>1311.5787631578953</v>
      </c>
    </row>
    <row r="150" spans="1:6" ht="12.75">
      <c r="A150" s="123">
        <v>78</v>
      </c>
      <c r="B150" s="200" t="s">
        <v>529</v>
      </c>
      <c r="C150" s="201" t="s">
        <v>417</v>
      </c>
      <c r="D150" s="202">
        <v>100</v>
      </c>
      <c r="E150" s="202">
        <v>27.768723989937545</v>
      </c>
      <c r="F150" s="202">
        <v>2776.8723989937544</v>
      </c>
    </row>
    <row r="151" spans="1:6" ht="12.75">
      <c r="A151" s="123">
        <v>79</v>
      </c>
      <c r="B151" s="200" t="s">
        <v>530</v>
      </c>
      <c r="C151" s="201" t="s">
        <v>417</v>
      </c>
      <c r="D151" s="202">
        <v>140</v>
      </c>
      <c r="E151" s="202">
        <v>25.986980595658764</v>
      </c>
      <c r="F151" s="202">
        <v>3638.1772833922273</v>
      </c>
    </row>
    <row r="152" spans="1:6" ht="12.75">
      <c r="A152" s="123">
        <v>80</v>
      </c>
      <c r="B152" s="200" t="s">
        <v>531</v>
      </c>
      <c r="C152" s="201" t="s">
        <v>417</v>
      </c>
      <c r="D152" s="202">
        <v>140</v>
      </c>
      <c r="E152" s="202">
        <v>23.135409013850513</v>
      </c>
      <c r="F152" s="202">
        <v>3238.957261939072</v>
      </c>
    </row>
    <row r="153" spans="1:6" ht="12.75">
      <c r="A153" s="123">
        <v>81</v>
      </c>
      <c r="B153" s="200" t="s">
        <v>532</v>
      </c>
      <c r="C153" s="201" t="s">
        <v>417</v>
      </c>
      <c r="D153" s="202">
        <v>100</v>
      </c>
      <c r="E153" s="202">
        <v>11.254360000000002</v>
      </c>
      <c r="F153" s="202">
        <v>1125.4360000000001</v>
      </c>
    </row>
    <row r="154" spans="1:6" ht="12.75">
      <c r="A154" s="123">
        <v>82</v>
      </c>
      <c r="B154" s="200" t="s">
        <v>533</v>
      </c>
      <c r="C154" s="201" t="s">
        <v>417</v>
      </c>
      <c r="D154" s="202">
        <v>150</v>
      </c>
      <c r="E154" s="202">
        <v>9.9</v>
      </c>
      <c r="F154" s="202">
        <v>1485</v>
      </c>
    </row>
    <row r="155" spans="1:6" ht="12.75">
      <c r="A155" s="123">
        <v>83</v>
      </c>
      <c r="B155" s="200" t="s">
        <v>534</v>
      </c>
      <c r="C155" s="201" t="s">
        <v>417</v>
      </c>
      <c r="D155" s="202">
        <v>180</v>
      </c>
      <c r="E155" s="202">
        <v>9.23</v>
      </c>
      <c r="F155" s="202">
        <v>1661.4</v>
      </c>
    </row>
    <row r="156" spans="1:6" ht="12.75">
      <c r="A156" s="123">
        <v>84</v>
      </c>
      <c r="B156" s="200" t="s">
        <v>535</v>
      </c>
      <c r="C156" s="201" t="s">
        <v>417</v>
      </c>
      <c r="D156" s="202">
        <v>2918</v>
      </c>
      <c r="E156" s="202">
        <v>9.449612576556198</v>
      </c>
      <c r="F156" s="202">
        <v>27573.969498390983</v>
      </c>
    </row>
    <row r="157" spans="1:6" ht="12.75">
      <c r="A157" s="123">
        <v>85</v>
      </c>
      <c r="B157" s="200" t="s">
        <v>536</v>
      </c>
      <c r="C157" s="201" t="s">
        <v>417</v>
      </c>
      <c r="D157" s="202">
        <v>66</v>
      </c>
      <c r="E157" s="202">
        <v>143.38745268932325</v>
      </c>
      <c r="F157" s="202">
        <v>9463.571877495335</v>
      </c>
    </row>
    <row r="158" spans="1:6" ht="12.75">
      <c r="A158" s="123">
        <v>86</v>
      </c>
      <c r="B158" s="200" t="s">
        <v>537</v>
      </c>
      <c r="C158" s="201" t="s">
        <v>417</v>
      </c>
      <c r="D158" s="202">
        <v>97</v>
      </c>
      <c r="E158" s="202">
        <v>141.81522556397778</v>
      </c>
      <c r="F158" s="202">
        <v>13756.076879705843</v>
      </c>
    </row>
    <row r="159" spans="1:6" ht="12.75">
      <c r="A159" s="123">
        <v>87</v>
      </c>
      <c r="B159" s="200" t="s">
        <v>538</v>
      </c>
      <c r="C159" s="201" t="s">
        <v>417</v>
      </c>
      <c r="D159" s="202">
        <v>16</v>
      </c>
      <c r="E159" s="202">
        <v>135</v>
      </c>
      <c r="F159" s="202">
        <v>2160</v>
      </c>
    </row>
    <row r="160" spans="1:6" ht="12.75">
      <c r="A160" s="123">
        <v>88</v>
      </c>
      <c r="B160" s="200" t="s">
        <v>539</v>
      </c>
      <c r="C160" s="201" t="s">
        <v>417</v>
      </c>
      <c r="D160" s="202">
        <v>12</v>
      </c>
      <c r="E160" s="202">
        <v>100</v>
      </c>
      <c r="F160" s="202">
        <v>1200</v>
      </c>
    </row>
    <row r="161" spans="1:6" ht="12.75">
      <c r="A161" s="123">
        <v>89</v>
      </c>
      <c r="B161" s="200" t="s">
        <v>540</v>
      </c>
      <c r="C161" s="201" t="s">
        <v>417</v>
      </c>
      <c r="D161" s="202">
        <v>20</v>
      </c>
      <c r="E161" s="202">
        <v>172.14285714285717</v>
      </c>
      <c r="F161" s="202">
        <v>3442.857142857143</v>
      </c>
    </row>
    <row r="162" spans="1:6" ht="12.75">
      <c r="A162" s="123">
        <v>90</v>
      </c>
      <c r="B162" s="200" t="s">
        <v>541</v>
      </c>
      <c r="C162" s="201" t="s">
        <v>417</v>
      </c>
      <c r="D162" s="202">
        <v>62</v>
      </c>
      <c r="E162" s="202">
        <v>407.14986020208414</v>
      </c>
      <c r="F162" s="202">
        <v>25243.291332529214</v>
      </c>
    </row>
    <row r="163" spans="1:6" ht="12.75">
      <c r="A163" s="123">
        <v>91</v>
      </c>
      <c r="B163" s="200" t="s">
        <v>542</v>
      </c>
      <c r="C163" s="201" t="s">
        <v>417</v>
      </c>
      <c r="D163" s="202">
        <v>16</v>
      </c>
      <c r="E163" s="202">
        <v>1000</v>
      </c>
      <c r="F163" s="202">
        <v>16000</v>
      </c>
    </row>
    <row r="164" spans="1:6" ht="12.75">
      <c r="A164" s="123">
        <v>92</v>
      </c>
      <c r="B164" s="200" t="s">
        <v>543</v>
      </c>
      <c r="C164" s="201" t="s">
        <v>417</v>
      </c>
      <c r="D164" s="202">
        <v>51</v>
      </c>
      <c r="E164" s="202">
        <v>1856.3576470588234</v>
      </c>
      <c r="F164" s="202">
        <v>94674.24</v>
      </c>
    </row>
    <row r="165" spans="1:6" ht="12.75">
      <c r="A165" s="123">
        <v>93</v>
      </c>
      <c r="B165" s="200" t="s">
        <v>544</v>
      </c>
      <c r="C165" s="201" t="s">
        <v>417</v>
      </c>
      <c r="D165" s="202">
        <v>12</v>
      </c>
      <c r="E165" s="202">
        <v>112.81</v>
      </c>
      <c r="F165" s="202">
        <v>1353.72</v>
      </c>
    </row>
    <row r="166" spans="1:6" ht="12.75">
      <c r="A166" s="123">
        <v>94</v>
      </c>
      <c r="B166" s="200" t="s">
        <v>545</v>
      </c>
      <c r="C166" s="201" t="s">
        <v>417</v>
      </c>
      <c r="D166" s="202">
        <v>14</v>
      </c>
      <c r="E166" s="202">
        <v>206.81</v>
      </c>
      <c r="F166" s="202">
        <v>2895.34</v>
      </c>
    </row>
    <row r="167" spans="1:6" ht="12.75">
      <c r="A167" s="123">
        <v>95</v>
      </c>
      <c r="B167" s="200" t="s">
        <v>546</v>
      </c>
      <c r="C167" s="201" t="s">
        <v>417</v>
      </c>
      <c r="D167" s="202">
        <v>12</v>
      </c>
      <c r="E167" s="202">
        <v>405.16950474932315</v>
      </c>
      <c r="F167" s="202">
        <v>4862.034056991878</v>
      </c>
    </row>
    <row r="168" spans="1:6" ht="12.75">
      <c r="A168" s="123">
        <v>96</v>
      </c>
      <c r="B168" s="200" t="s">
        <v>547</v>
      </c>
      <c r="C168" s="201" t="s">
        <v>417</v>
      </c>
      <c r="D168" s="202">
        <v>25</v>
      </c>
      <c r="E168" s="202">
        <v>1045.5151515151515</v>
      </c>
      <c r="F168" s="202">
        <v>26137.878787878788</v>
      </c>
    </row>
    <row r="169" spans="1:6" ht="12.75">
      <c r="A169" s="123">
        <v>97</v>
      </c>
      <c r="B169" s="200" t="s">
        <v>548</v>
      </c>
      <c r="C169" s="201" t="s">
        <v>417</v>
      </c>
      <c r="D169" s="202">
        <v>15</v>
      </c>
      <c r="E169" s="202">
        <v>1869.3912000000003</v>
      </c>
      <c r="F169" s="202">
        <v>28040.868</v>
      </c>
    </row>
    <row r="170" spans="1:6" ht="12.75">
      <c r="A170" s="123">
        <v>98</v>
      </c>
      <c r="B170" s="200" t="s">
        <v>549</v>
      </c>
      <c r="C170" s="201" t="s">
        <v>417</v>
      </c>
      <c r="D170" s="202">
        <v>15</v>
      </c>
      <c r="E170" s="202">
        <v>543</v>
      </c>
      <c r="F170" s="202">
        <v>8145</v>
      </c>
    </row>
    <row r="171" spans="1:6" ht="12.75">
      <c r="A171" s="123">
        <v>99</v>
      </c>
      <c r="B171" s="200" t="s">
        <v>550</v>
      </c>
      <c r="C171" s="201" t="s">
        <v>417</v>
      </c>
      <c r="D171" s="202">
        <v>4</v>
      </c>
      <c r="E171" s="202">
        <v>1406</v>
      </c>
      <c r="F171" s="202">
        <v>5624</v>
      </c>
    </row>
    <row r="172" spans="1:6" ht="12.75">
      <c r="A172" s="123">
        <v>100</v>
      </c>
      <c r="B172" s="200" t="s">
        <v>551</v>
      </c>
      <c r="C172" s="201" t="s">
        <v>417</v>
      </c>
      <c r="D172" s="202">
        <v>10</v>
      </c>
      <c r="E172" s="202">
        <v>230</v>
      </c>
      <c r="F172" s="202">
        <v>2300</v>
      </c>
    </row>
    <row r="173" spans="1:6" ht="12.75">
      <c r="A173" s="123">
        <v>101</v>
      </c>
      <c r="B173" s="200" t="s">
        <v>552</v>
      </c>
      <c r="C173" s="201" t="s">
        <v>417</v>
      </c>
      <c r="D173" s="202">
        <v>25</v>
      </c>
      <c r="E173" s="202">
        <v>543</v>
      </c>
      <c r="F173" s="202">
        <v>13575</v>
      </c>
    </row>
    <row r="174" spans="1:6" ht="12.75">
      <c r="A174" s="123">
        <v>102</v>
      </c>
      <c r="B174" s="200" t="s">
        <v>553</v>
      </c>
      <c r="C174" s="201" t="s">
        <v>417</v>
      </c>
      <c r="D174" s="202">
        <v>10</v>
      </c>
      <c r="E174" s="202">
        <v>230</v>
      </c>
      <c r="F174" s="202">
        <v>2300</v>
      </c>
    </row>
    <row r="175" spans="1:6" ht="12.75">
      <c r="A175" s="123">
        <v>103</v>
      </c>
      <c r="B175" s="200" t="s">
        <v>554</v>
      </c>
      <c r="C175" s="201" t="s">
        <v>417</v>
      </c>
      <c r="D175" s="202">
        <v>15</v>
      </c>
      <c r="E175" s="202">
        <v>130</v>
      </c>
      <c r="F175" s="202">
        <v>1950</v>
      </c>
    </row>
    <row r="176" spans="1:6" ht="12.75">
      <c r="A176" s="123">
        <v>104</v>
      </c>
      <c r="B176" s="200" t="s">
        <v>555</v>
      </c>
      <c r="C176" s="201" t="s">
        <v>417</v>
      </c>
      <c r="D176" s="202">
        <v>160</v>
      </c>
      <c r="E176" s="202">
        <v>116.77583333333335</v>
      </c>
      <c r="F176" s="202">
        <v>18684.13333333334</v>
      </c>
    </row>
    <row r="177" spans="1:6" ht="12.75">
      <c r="A177" s="123">
        <v>105</v>
      </c>
      <c r="B177" s="200" t="s">
        <v>556</v>
      </c>
      <c r="C177" s="201" t="s">
        <v>417</v>
      </c>
      <c r="D177" s="202">
        <v>17</v>
      </c>
      <c r="E177" s="202">
        <v>405.2941176470588</v>
      </c>
      <c r="F177" s="202">
        <v>6890</v>
      </c>
    </row>
    <row r="178" spans="1:6" ht="12.75">
      <c r="A178" s="123">
        <v>106</v>
      </c>
      <c r="B178" s="200" t="s">
        <v>557</v>
      </c>
      <c r="C178" s="201" t="s">
        <v>417</v>
      </c>
      <c r="D178" s="202">
        <v>11</v>
      </c>
      <c r="E178" s="202">
        <v>121</v>
      </c>
      <c r="F178" s="202">
        <v>1331</v>
      </c>
    </row>
    <row r="179" spans="1:6" ht="12.75">
      <c r="A179" s="123">
        <v>107</v>
      </c>
      <c r="B179" s="200" t="s">
        <v>558</v>
      </c>
      <c r="C179" s="201" t="s">
        <v>417</v>
      </c>
      <c r="D179" s="202">
        <v>14</v>
      </c>
      <c r="E179" s="202">
        <v>444.8338594276098</v>
      </c>
      <c r="F179" s="202">
        <v>6227.674031986538</v>
      </c>
    </row>
    <row r="180" spans="1:6" ht="12.75">
      <c r="A180" s="123">
        <v>108</v>
      </c>
      <c r="B180" s="200" t="s">
        <v>559</v>
      </c>
      <c r="C180" s="201" t="s">
        <v>417</v>
      </c>
      <c r="D180" s="202">
        <v>21</v>
      </c>
      <c r="E180" s="202">
        <v>305</v>
      </c>
      <c r="F180" s="202">
        <v>6405</v>
      </c>
    </row>
    <row r="181" spans="1:6" ht="12.75">
      <c r="A181" s="123">
        <v>109</v>
      </c>
      <c r="B181" s="200" t="s">
        <v>560</v>
      </c>
      <c r="C181" s="201" t="s">
        <v>417</v>
      </c>
      <c r="D181" s="202">
        <v>16</v>
      </c>
      <c r="E181" s="202">
        <v>305</v>
      </c>
      <c r="F181" s="202">
        <v>4880</v>
      </c>
    </row>
    <row r="182" spans="1:6" ht="12.75">
      <c r="A182" s="123">
        <v>110</v>
      </c>
      <c r="B182" s="200" t="s">
        <v>561</v>
      </c>
      <c r="C182" s="201" t="s">
        <v>417</v>
      </c>
      <c r="D182" s="202">
        <v>18</v>
      </c>
      <c r="E182" s="202">
        <v>158.38527334002106</v>
      </c>
      <c r="F182" s="202">
        <v>2850.934920120379</v>
      </c>
    </row>
    <row r="183" spans="1:6" ht="12.75">
      <c r="A183" s="123">
        <v>111</v>
      </c>
      <c r="B183" s="200" t="s">
        <v>562</v>
      </c>
      <c r="C183" s="201" t="s">
        <v>417</v>
      </c>
      <c r="D183" s="202">
        <v>35</v>
      </c>
      <c r="E183" s="202">
        <v>640.5300901619631</v>
      </c>
      <c r="F183" s="202">
        <v>22418.55315566871</v>
      </c>
    </row>
    <row r="184" spans="1:6" ht="12.75">
      <c r="A184" s="123">
        <v>112</v>
      </c>
      <c r="B184" s="200" t="s">
        <v>563</v>
      </c>
      <c r="C184" s="201" t="s">
        <v>417</v>
      </c>
      <c r="D184" s="202">
        <v>8</v>
      </c>
      <c r="E184" s="202">
        <v>119.30850262129046</v>
      </c>
      <c r="F184" s="202">
        <v>954.4680209703237</v>
      </c>
    </row>
    <row r="185" spans="1:6" ht="12.75">
      <c r="A185" s="123">
        <v>113</v>
      </c>
      <c r="B185" s="200" t="s">
        <v>564</v>
      </c>
      <c r="C185" s="201" t="s">
        <v>417</v>
      </c>
      <c r="D185" s="202">
        <v>62</v>
      </c>
      <c r="E185" s="202">
        <v>484.52735190754754</v>
      </c>
      <c r="F185" s="202">
        <v>30040.69581826795</v>
      </c>
    </row>
    <row r="186" spans="1:6" ht="12.75">
      <c r="A186" s="123">
        <v>114</v>
      </c>
      <c r="B186" s="200" t="s">
        <v>565</v>
      </c>
      <c r="C186" s="201" t="s">
        <v>417</v>
      </c>
      <c r="D186" s="202">
        <v>6</v>
      </c>
      <c r="E186" s="202">
        <v>1909.3582190383065</v>
      </c>
      <c r="F186" s="202">
        <v>11456.149314229837</v>
      </c>
    </row>
    <row r="187" spans="1:6" ht="12.75">
      <c r="A187" s="123">
        <v>115</v>
      </c>
      <c r="B187" s="200" t="s">
        <v>566</v>
      </c>
      <c r="C187" s="201" t="s">
        <v>417</v>
      </c>
      <c r="D187" s="202">
        <v>4</v>
      </c>
      <c r="E187" s="202">
        <v>114.74430000000005</v>
      </c>
      <c r="F187" s="202">
        <v>458.97720000000015</v>
      </c>
    </row>
    <row r="188" spans="1:6" ht="12.75">
      <c r="A188" s="123">
        <v>116</v>
      </c>
      <c r="B188" s="200" t="s">
        <v>567</v>
      </c>
      <c r="C188" s="201" t="s">
        <v>417</v>
      </c>
      <c r="D188" s="202">
        <v>6</v>
      </c>
      <c r="E188" s="202">
        <v>500</v>
      </c>
      <c r="F188" s="202">
        <v>3000</v>
      </c>
    </row>
    <row r="189" spans="1:6" ht="12.75">
      <c r="A189" s="123">
        <v>117</v>
      </c>
      <c r="B189" s="200" t="s">
        <v>568</v>
      </c>
      <c r="C189" s="201" t="s">
        <v>417</v>
      </c>
      <c r="D189" s="202">
        <v>530</v>
      </c>
      <c r="E189" s="202">
        <v>25.381035053460824</v>
      </c>
      <c r="F189" s="202">
        <v>13451.948578334239</v>
      </c>
    </row>
    <row r="190" spans="1:6" ht="12.75">
      <c r="A190" s="123">
        <v>118</v>
      </c>
      <c r="B190" s="200" t="s">
        <v>569</v>
      </c>
      <c r="C190" s="201" t="s">
        <v>417</v>
      </c>
      <c r="D190" s="202">
        <v>9</v>
      </c>
      <c r="E190" s="202">
        <v>113.30727762803228</v>
      </c>
      <c r="F190" s="202">
        <v>1019.7654986522907</v>
      </c>
    </row>
    <row r="191" spans="1:6" ht="12.75">
      <c r="A191" s="123">
        <v>119</v>
      </c>
      <c r="B191" s="200" t="s">
        <v>570</v>
      </c>
      <c r="C191" s="201" t="s">
        <v>417</v>
      </c>
      <c r="D191" s="202">
        <v>6</v>
      </c>
      <c r="E191" s="202">
        <v>500</v>
      </c>
      <c r="F191" s="202">
        <v>3000</v>
      </c>
    </row>
    <row r="192" spans="1:6" ht="12.75">
      <c r="A192" s="123">
        <v>120</v>
      </c>
      <c r="B192" s="200" t="s">
        <v>571</v>
      </c>
      <c r="C192" s="201" t="s">
        <v>417</v>
      </c>
      <c r="D192" s="202">
        <v>10</v>
      </c>
      <c r="E192" s="202">
        <v>142.0272042727283</v>
      </c>
      <c r="F192" s="202">
        <v>1420.272042727283</v>
      </c>
    </row>
    <row r="193" spans="1:6" ht="12.75">
      <c r="A193" s="123">
        <v>121</v>
      </c>
      <c r="B193" s="200" t="s">
        <v>572</v>
      </c>
      <c r="C193" s="201" t="s">
        <v>417</v>
      </c>
      <c r="D193" s="202">
        <v>33</v>
      </c>
      <c r="E193" s="202">
        <v>199.14603020820311</v>
      </c>
      <c r="F193" s="202">
        <v>6571.818996870702</v>
      </c>
    </row>
    <row r="194" spans="1:6" ht="12.75">
      <c r="A194" s="123">
        <v>122</v>
      </c>
      <c r="B194" s="200" t="s">
        <v>573</v>
      </c>
      <c r="C194" s="201" t="s">
        <v>417</v>
      </c>
      <c r="D194" s="202">
        <v>8</v>
      </c>
      <c r="E194" s="202">
        <v>120</v>
      </c>
      <c r="F194" s="202">
        <v>960</v>
      </c>
    </row>
    <row r="195" spans="1:6" ht="12.75">
      <c r="A195" s="123">
        <v>123</v>
      </c>
      <c r="B195" s="200" t="s">
        <v>574</v>
      </c>
      <c r="C195" s="201" t="s">
        <v>417</v>
      </c>
      <c r="D195" s="202">
        <v>36</v>
      </c>
      <c r="E195" s="202">
        <v>104.59879999999997</v>
      </c>
      <c r="F195" s="202">
        <v>3765.5567999999994</v>
      </c>
    </row>
    <row r="196" spans="1:6" ht="12.75">
      <c r="A196" s="123">
        <v>124</v>
      </c>
      <c r="B196" s="200" t="s">
        <v>575</v>
      </c>
      <c r="C196" s="201" t="s">
        <v>417</v>
      </c>
      <c r="D196" s="202">
        <v>59</v>
      </c>
      <c r="E196" s="202">
        <v>177.84333545599256</v>
      </c>
      <c r="F196" s="202">
        <v>10492.756791903557</v>
      </c>
    </row>
    <row r="197" spans="1:6" ht="12.75">
      <c r="A197" s="123">
        <v>125</v>
      </c>
      <c r="B197" s="200" t="s">
        <v>576</v>
      </c>
      <c r="C197" s="201" t="s">
        <v>417</v>
      </c>
      <c r="D197" s="202">
        <v>177</v>
      </c>
      <c r="E197" s="202">
        <v>11.759999999999998</v>
      </c>
      <c r="F197" s="202">
        <v>2081.5199999999995</v>
      </c>
    </row>
    <row r="198" spans="1:6" ht="12.75">
      <c r="A198" s="123">
        <v>126</v>
      </c>
      <c r="B198" s="200" t="s">
        <v>577</v>
      </c>
      <c r="C198" s="201" t="s">
        <v>417</v>
      </c>
      <c r="D198" s="202">
        <v>50</v>
      </c>
      <c r="E198" s="202">
        <v>257.13000000000017</v>
      </c>
      <c r="F198" s="202">
        <v>12856.50000000001</v>
      </c>
    </row>
    <row r="199" spans="1:6" ht="12.75">
      <c r="A199" s="123">
        <v>127</v>
      </c>
      <c r="B199" s="200" t="s">
        <v>578</v>
      </c>
      <c r="C199" s="201" t="s">
        <v>417</v>
      </c>
      <c r="D199" s="202">
        <v>22</v>
      </c>
      <c r="E199" s="202">
        <v>73.02000000000004</v>
      </c>
      <c r="F199" s="202">
        <v>1606.4400000000005</v>
      </c>
    </row>
    <row r="200" spans="1:6" ht="12.75">
      <c r="A200" s="123"/>
      <c r="B200" s="216" t="s">
        <v>125</v>
      </c>
      <c r="C200" s="198"/>
      <c r="D200" s="198"/>
      <c r="E200" s="198"/>
      <c r="F200" s="270">
        <f>SUM(F73:F199)</f>
        <v>1430957.9817445658</v>
      </c>
    </row>
    <row r="201" spans="2:6" ht="12.75">
      <c r="B201" s="211"/>
      <c r="C201" s="211"/>
      <c r="D201" s="211"/>
      <c r="E201" s="211"/>
      <c r="F201" s="211"/>
    </row>
    <row r="202" spans="2:6" ht="12.75">
      <c r="B202" s="196"/>
      <c r="C202" s="196"/>
      <c r="D202" s="196"/>
      <c r="E202" s="196"/>
      <c r="F202" s="196"/>
    </row>
    <row r="203" spans="2:6" ht="12.75">
      <c r="B203" s="196"/>
      <c r="C203" s="196"/>
      <c r="D203" s="196"/>
      <c r="E203" s="196"/>
      <c r="F203" s="196"/>
    </row>
    <row r="204" spans="5:6" ht="12.75">
      <c r="E204" s="208"/>
      <c r="F204" s="208" t="s">
        <v>394</v>
      </c>
    </row>
    <row r="205" spans="5:6" ht="12.75">
      <c r="E205" s="209"/>
      <c r="F205" s="208"/>
    </row>
    <row r="206" spans="5:6" ht="12.75">
      <c r="E206" s="208"/>
      <c r="F206" s="210" t="s">
        <v>451</v>
      </c>
    </row>
  </sheetData>
  <sheetProtection/>
  <printOptions/>
  <pageMargins left="0.7" right="0.7" top="0.41" bottom="0.17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25"/>
  <sheetViews>
    <sheetView tabSelected="1" zoomScalePageLayoutView="0" workbookViewId="0" topLeftCell="A298">
      <selection activeCell="J314" sqref="J314"/>
    </sheetView>
  </sheetViews>
  <sheetFormatPr defaultColWidth="9.140625" defaultRowHeight="12.75"/>
  <cols>
    <col min="1" max="1" width="4.7109375" style="0" customWidth="1"/>
    <col min="2" max="2" width="35.8515625" style="196" customWidth="1"/>
    <col min="3" max="3" width="13.00390625" style="196" customWidth="1"/>
    <col min="4" max="5" width="11.421875" style="196" customWidth="1"/>
    <col min="6" max="6" width="15.57421875" style="196" customWidth="1"/>
  </cols>
  <sheetData>
    <row r="2" spans="3:6" ht="12.75">
      <c r="C2" s="264" t="s">
        <v>909</v>
      </c>
      <c r="D2" s="264"/>
      <c r="F2"/>
    </row>
    <row r="3" spans="2:6" ht="15.75">
      <c r="B3" s="263"/>
      <c r="C3" s="264" t="s">
        <v>908</v>
      </c>
      <c r="D3" s="265"/>
      <c r="E3" s="265"/>
      <c r="F3" s="265"/>
    </row>
    <row r="4" spans="2:6" ht="12.75">
      <c r="B4" s="266"/>
      <c r="F4" s="264" t="s">
        <v>844</v>
      </c>
    </row>
    <row r="5" spans="2:6" ht="12.75">
      <c r="B5" s="266" t="s">
        <v>895</v>
      </c>
      <c r="C5" s="264" t="s">
        <v>896</v>
      </c>
      <c r="F5" s="265"/>
    </row>
    <row r="6" spans="2:6" ht="12.75">
      <c r="B6" s="266" t="s">
        <v>897</v>
      </c>
      <c r="C6" s="264" t="s">
        <v>383</v>
      </c>
      <c r="F6" s="265"/>
    </row>
    <row r="7" spans="2:6" ht="12.75">
      <c r="B7" s="266" t="s">
        <v>898</v>
      </c>
      <c r="C7" s="264" t="s">
        <v>899</v>
      </c>
      <c r="F7" s="265"/>
    </row>
    <row r="8" spans="2:3" ht="12.75">
      <c r="B8" s="267" t="s">
        <v>900</v>
      </c>
      <c r="C8" s="264" t="s">
        <v>901</v>
      </c>
    </row>
    <row r="9" spans="2:3" ht="12.75">
      <c r="B9" s="267" t="s">
        <v>902</v>
      </c>
      <c r="C9" s="268">
        <f>+35582254944</f>
        <v>35582254944</v>
      </c>
    </row>
    <row r="10" spans="1:6" ht="12.75">
      <c r="A10" s="269" t="s">
        <v>5</v>
      </c>
      <c r="B10" s="197" t="s">
        <v>910</v>
      </c>
      <c r="C10" s="198" t="s">
        <v>412</v>
      </c>
      <c r="D10" s="199" t="s">
        <v>905</v>
      </c>
      <c r="E10" s="199" t="s">
        <v>904</v>
      </c>
      <c r="F10" s="199" t="s">
        <v>244</v>
      </c>
    </row>
    <row r="11" spans="1:6" ht="12.75">
      <c r="A11" s="123">
        <v>1</v>
      </c>
      <c r="B11" s="200" t="s">
        <v>576</v>
      </c>
      <c r="C11" s="200" t="s">
        <v>579</v>
      </c>
      <c r="D11" s="214">
        <v>12270</v>
      </c>
      <c r="E11" s="214">
        <v>11.76</v>
      </c>
      <c r="F11" s="214">
        <v>144295.2</v>
      </c>
    </row>
    <row r="12" spans="1:6" ht="12.75">
      <c r="A12" s="123">
        <v>2</v>
      </c>
      <c r="B12" s="200" t="s">
        <v>461</v>
      </c>
      <c r="C12" s="200" t="s">
        <v>580</v>
      </c>
      <c r="D12" s="214">
        <v>311</v>
      </c>
      <c r="E12" s="214">
        <v>31.730000000000008</v>
      </c>
      <c r="F12" s="214">
        <v>9868.030000000004</v>
      </c>
    </row>
    <row r="13" spans="1:6" ht="12.75">
      <c r="A13" s="123">
        <v>3</v>
      </c>
      <c r="B13" s="200" t="s">
        <v>581</v>
      </c>
      <c r="C13" s="200" t="s">
        <v>580</v>
      </c>
      <c r="D13" s="214">
        <v>640</v>
      </c>
      <c r="E13" s="214">
        <v>46.27</v>
      </c>
      <c r="F13" s="214">
        <v>29612.8</v>
      </c>
    </row>
    <row r="14" spans="1:6" ht="12.75">
      <c r="A14" s="123">
        <v>4</v>
      </c>
      <c r="B14" s="200" t="s">
        <v>582</v>
      </c>
      <c r="C14" s="200" t="s">
        <v>580</v>
      </c>
      <c r="D14" s="214">
        <v>252</v>
      </c>
      <c r="E14" s="214">
        <v>148.64039999999994</v>
      </c>
      <c r="F14" s="214">
        <v>37457.380799999984</v>
      </c>
    </row>
    <row r="15" spans="1:6" ht="12.75">
      <c r="A15" s="123">
        <v>5</v>
      </c>
      <c r="B15" s="200" t="s">
        <v>569</v>
      </c>
      <c r="C15" s="200" t="s">
        <v>580</v>
      </c>
      <c r="D15" s="214">
        <v>0</v>
      </c>
      <c r="E15" s="214">
        <v>0</v>
      </c>
      <c r="F15" s="214">
        <v>0</v>
      </c>
    </row>
    <row r="16" spans="1:6" ht="12.75">
      <c r="A16" s="123">
        <v>6</v>
      </c>
      <c r="B16" s="200" t="s">
        <v>583</v>
      </c>
      <c r="C16" s="200" t="s">
        <v>580</v>
      </c>
      <c r="D16" s="214">
        <v>234</v>
      </c>
      <c r="E16" s="214">
        <v>123.867</v>
      </c>
      <c r="F16" s="214">
        <v>28984.877999999997</v>
      </c>
    </row>
    <row r="17" spans="1:6" ht="12.75">
      <c r="A17" s="123">
        <v>7</v>
      </c>
      <c r="B17" s="200" t="s">
        <v>570</v>
      </c>
      <c r="C17" s="200" t="s">
        <v>580</v>
      </c>
      <c r="D17" s="214">
        <v>24</v>
      </c>
      <c r="E17" s="214">
        <v>506.4784000000003</v>
      </c>
      <c r="F17" s="214">
        <v>12155.481600000006</v>
      </c>
    </row>
    <row r="18" spans="1:6" ht="12.75">
      <c r="A18" s="123">
        <v>8</v>
      </c>
      <c r="B18" s="200" t="s">
        <v>571</v>
      </c>
      <c r="C18" s="200" t="s">
        <v>580</v>
      </c>
      <c r="D18" s="214">
        <v>1755</v>
      </c>
      <c r="E18" s="214">
        <v>141.75889999999984</v>
      </c>
      <c r="F18" s="214">
        <v>248786.86949999977</v>
      </c>
    </row>
    <row r="19" spans="1:6" ht="12.75">
      <c r="A19" s="123">
        <v>9</v>
      </c>
      <c r="B19" s="200" t="s">
        <v>584</v>
      </c>
      <c r="C19" s="200" t="s">
        <v>580</v>
      </c>
      <c r="D19" s="214">
        <v>0</v>
      </c>
      <c r="E19" s="214">
        <v>0</v>
      </c>
      <c r="F19" s="214">
        <v>0</v>
      </c>
    </row>
    <row r="20" spans="1:6" ht="12.75">
      <c r="A20" s="123">
        <v>10</v>
      </c>
      <c r="B20" s="200" t="s">
        <v>575</v>
      </c>
      <c r="C20" s="200" t="s">
        <v>580</v>
      </c>
      <c r="D20" s="214">
        <v>98</v>
      </c>
      <c r="E20" s="214">
        <v>180.29530000000042</v>
      </c>
      <c r="F20" s="214">
        <v>17668.939400000043</v>
      </c>
    </row>
    <row r="21" spans="1:6" ht="12.75">
      <c r="A21" s="123">
        <v>11</v>
      </c>
      <c r="B21" s="200" t="s">
        <v>574</v>
      </c>
      <c r="C21" s="200" t="s">
        <v>580</v>
      </c>
      <c r="D21" s="214">
        <v>84</v>
      </c>
      <c r="E21" s="214">
        <v>104.59880000000004</v>
      </c>
      <c r="F21" s="214">
        <v>8786.299200000003</v>
      </c>
    </row>
    <row r="22" spans="1:6" ht="12.75">
      <c r="A22" s="123">
        <v>12</v>
      </c>
      <c r="B22" s="200" t="s">
        <v>490</v>
      </c>
      <c r="C22" s="200" t="s">
        <v>580</v>
      </c>
      <c r="D22" s="214">
        <v>1038</v>
      </c>
      <c r="E22" s="214">
        <v>267.6569999999999</v>
      </c>
      <c r="F22" s="214">
        <v>277827.9659999999</v>
      </c>
    </row>
    <row r="23" spans="1:6" ht="12.75">
      <c r="A23" s="123">
        <v>13</v>
      </c>
      <c r="B23" s="200" t="s">
        <v>493</v>
      </c>
      <c r="C23" s="200" t="s">
        <v>580</v>
      </c>
      <c r="D23" s="214">
        <v>45</v>
      </c>
      <c r="E23" s="214">
        <v>1132.3949999999998</v>
      </c>
      <c r="F23" s="214">
        <v>50957.774999999994</v>
      </c>
    </row>
    <row r="24" spans="1:6" ht="12.75">
      <c r="A24" s="123">
        <v>14</v>
      </c>
      <c r="B24" s="200" t="s">
        <v>497</v>
      </c>
      <c r="C24" s="200" t="s">
        <v>585</v>
      </c>
      <c r="D24" s="214">
        <v>150</v>
      </c>
      <c r="E24" s="214">
        <v>288.40139999999997</v>
      </c>
      <c r="F24" s="214">
        <v>43260.21</v>
      </c>
    </row>
    <row r="25" spans="1:6" ht="12.75">
      <c r="A25" s="123">
        <v>15</v>
      </c>
      <c r="B25" s="200" t="s">
        <v>498</v>
      </c>
      <c r="C25" s="200" t="s">
        <v>580</v>
      </c>
      <c r="D25" s="214">
        <v>124</v>
      </c>
      <c r="E25" s="214">
        <v>1101.8263929618768</v>
      </c>
      <c r="F25" s="214">
        <v>136626.47272727272</v>
      </c>
    </row>
    <row r="26" spans="1:6" ht="12.75">
      <c r="A26" s="123">
        <v>16</v>
      </c>
      <c r="B26" s="200" t="s">
        <v>572</v>
      </c>
      <c r="C26" s="200" t="s">
        <v>580</v>
      </c>
      <c r="D26" s="214">
        <v>158</v>
      </c>
      <c r="E26" s="214">
        <v>199.02699999999987</v>
      </c>
      <c r="F26" s="214">
        <v>31446.265999999978</v>
      </c>
    </row>
    <row r="27" spans="1:6" ht="12.75">
      <c r="A27" s="123">
        <v>17</v>
      </c>
      <c r="B27" s="200" t="s">
        <v>573</v>
      </c>
      <c r="C27" s="200" t="s">
        <v>580</v>
      </c>
      <c r="D27" s="214">
        <v>84</v>
      </c>
      <c r="E27" s="214">
        <v>123.86700000000008</v>
      </c>
      <c r="F27" s="214">
        <v>10404.828000000005</v>
      </c>
    </row>
    <row r="28" spans="1:6" ht="12.75">
      <c r="A28" s="123">
        <v>18</v>
      </c>
      <c r="B28" s="200" t="s">
        <v>502</v>
      </c>
      <c r="C28" s="200" t="s">
        <v>580</v>
      </c>
      <c r="D28" s="214">
        <v>0</v>
      </c>
      <c r="E28" s="214">
        <v>0</v>
      </c>
      <c r="F28" s="214">
        <v>0</v>
      </c>
    </row>
    <row r="29" spans="1:6" ht="12.75">
      <c r="A29" s="123">
        <v>19</v>
      </c>
      <c r="B29" s="200" t="s">
        <v>566</v>
      </c>
      <c r="C29" s="200" t="s">
        <v>580</v>
      </c>
      <c r="D29" s="214">
        <v>11</v>
      </c>
      <c r="E29" s="214">
        <v>114.23289999999973</v>
      </c>
      <c r="F29" s="214">
        <v>1256.5618999999972</v>
      </c>
    </row>
    <row r="30" spans="1:6" ht="12.75">
      <c r="A30" s="123">
        <v>20</v>
      </c>
      <c r="B30" s="200" t="s">
        <v>586</v>
      </c>
      <c r="C30" s="200" t="s">
        <v>580</v>
      </c>
      <c r="D30" s="214">
        <v>60</v>
      </c>
      <c r="E30" s="214">
        <v>1032.225</v>
      </c>
      <c r="F30" s="214">
        <v>61933.5</v>
      </c>
    </row>
    <row r="31" spans="1:6" ht="12.75">
      <c r="A31" s="123">
        <v>21</v>
      </c>
      <c r="B31" s="200" t="s">
        <v>587</v>
      </c>
      <c r="C31" s="200" t="s">
        <v>580</v>
      </c>
      <c r="D31" s="214">
        <v>1910</v>
      </c>
      <c r="E31" s="214">
        <v>136.69</v>
      </c>
      <c r="F31" s="214">
        <v>261077.9</v>
      </c>
    </row>
    <row r="32" spans="1:6" ht="12.75">
      <c r="A32" s="123">
        <v>22</v>
      </c>
      <c r="B32" s="200" t="s">
        <v>503</v>
      </c>
      <c r="C32" s="200" t="s">
        <v>580</v>
      </c>
      <c r="D32" s="214">
        <v>28</v>
      </c>
      <c r="E32" s="214">
        <v>461.0605000000001</v>
      </c>
      <c r="F32" s="214">
        <v>12909.694000000003</v>
      </c>
    </row>
    <row r="33" spans="1:6" ht="12.75">
      <c r="A33" s="123">
        <v>23</v>
      </c>
      <c r="B33" s="200" t="s">
        <v>504</v>
      </c>
      <c r="C33" s="200" t="s">
        <v>580</v>
      </c>
      <c r="D33" s="214">
        <v>75</v>
      </c>
      <c r="E33" s="214">
        <v>1589.6264999999999</v>
      </c>
      <c r="F33" s="214">
        <v>119221.9875</v>
      </c>
    </row>
    <row r="34" spans="1:6" ht="12.75">
      <c r="A34" s="123">
        <v>24</v>
      </c>
      <c r="B34" s="200" t="s">
        <v>505</v>
      </c>
      <c r="C34" s="200" t="s">
        <v>580</v>
      </c>
      <c r="D34" s="214">
        <v>156</v>
      </c>
      <c r="E34" s="214">
        <v>509.2310000000001</v>
      </c>
      <c r="F34" s="214">
        <v>79440.03600000002</v>
      </c>
    </row>
    <row r="35" spans="1:6" ht="12.75">
      <c r="A35" s="123">
        <v>25</v>
      </c>
      <c r="B35" s="200" t="s">
        <v>588</v>
      </c>
      <c r="C35" s="200" t="s">
        <v>580</v>
      </c>
      <c r="D35" s="214">
        <v>2</v>
      </c>
      <c r="E35" s="214">
        <v>1318.2</v>
      </c>
      <c r="F35" s="214">
        <v>2636.4</v>
      </c>
    </row>
    <row r="36" spans="1:6" ht="12.75">
      <c r="A36" s="123">
        <v>26</v>
      </c>
      <c r="B36" s="200" t="s">
        <v>507</v>
      </c>
      <c r="C36" s="200" t="s">
        <v>580</v>
      </c>
      <c r="D36" s="214">
        <v>14</v>
      </c>
      <c r="E36" s="214">
        <v>449.2774166666666</v>
      </c>
      <c r="F36" s="214">
        <v>6289.883833333334</v>
      </c>
    </row>
    <row r="37" spans="1:6" ht="12.75">
      <c r="A37" s="123">
        <v>27</v>
      </c>
      <c r="B37" s="200" t="s">
        <v>589</v>
      </c>
      <c r="C37" s="200" t="s">
        <v>580</v>
      </c>
      <c r="D37" s="214">
        <v>7</v>
      </c>
      <c r="E37" s="214">
        <v>1381.9</v>
      </c>
      <c r="F37" s="214">
        <v>9673.3</v>
      </c>
    </row>
    <row r="38" spans="1:6" ht="12.75">
      <c r="A38" s="123">
        <v>28</v>
      </c>
      <c r="B38" s="200" t="s">
        <v>506</v>
      </c>
      <c r="C38" s="200" t="s">
        <v>580</v>
      </c>
      <c r="D38" s="214">
        <v>8</v>
      </c>
      <c r="E38" s="214">
        <v>536.3355781536168</v>
      </c>
      <c r="F38" s="214">
        <v>4290.684625228935</v>
      </c>
    </row>
    <row r="39" spans="1:6" ht="12.75">
      <c r="A39" s="123">
        <v>29</v>
      </c>
      <c r="B39" s="200" t="s">
        <v>590</v>
      </c>
      <c r="C39" s="200" t="s">
        <v>580</v>
      </c>
      <c r="D39" s="214">
        <v>9</v>
      </c>
      <c r="E39" s="214">
        <v>412.8</v>
      </c>
      <c r="F39" s="214">
        <v>3715.2</v>
      </c>
    </row>
    <row r="40" spans="1:6" ht="12.75">
      <c r="A40" s="123">
        <v>30</v>
      </c>
      <c r="B40" s="200" t="s">
        <v>591</v>
      </c>
      <c r="C40" s="200" t="s">
        <v>580</v>
      </c>
      <c r="D40" s="214">
        <v>4</v>
      </c>
      <c r="E40" s="214">
        <v>386.2</v>
      </c>
      <c r="F40" s="214">
        <v>1544.8</v>
      </c>
    </row>
    <row r="41" spans="1:6" ht="12.75">
      <c r="A41" s="123">
        <v>31</v>
      </c>
      <c r="B41" s="200" t="s">
        <v>592</v>
      </c>
      <c r="C41" s="200" t="s">
        <v>580</v>
      </c>
      <c r="D41" s="214">
        <v>6</v>
      </c>
      <c r="E41" s="214">
        <v>471.38</v>
      </c>
      <c r="F41" s="214">
        <v>2828.28</v>
      </c>
    </row>
    <row r="42" spans="1:6" ht="12.75">
      <c r="A42" s="123">
        <v>32</v>
      </c>
      <c r="B42" s="200" t="s">
        <v>593</v>
      </c>
      <c r="C42" s="200" t="s">
        <v>580</v>
      </c>
      <c r="D42" s="214">
        <v>10</v>
      </c>
      <c r="E42" s="214">
        <v>1448.62</v>
      </c>
      <c r="F42" s="214">
        <v>14486.2</v>
      </c>
    </row>
    <row r="43" spans="1:6" ht="12.75">
      <c r="A43" s="123">
        <v>33</v>
      </c>
      <c r="B43" s="200" t="s">
        <v>594</v>
      </c>
      <c r="C43" s="200" t="s">
        <v>580</v>
      </c>
      <c r="D43" s="214">
        <v>15</v>
      </c>
      <c r="E43" s="214">
        <v>479.37</v>
      </c>
      <c r="F43" s="214">
        <v>7190.55</v>
      </c>
    </row>
    <row r="44" spans="1:6" ht="12.75">
      <c r="A44" s="123">
        <v>34</v>
      </c>
      <c r="B44" s="200" t="s">
        <v>595</v>
      </c>
      <c r="C44" s="200" t="s">
        <v>580</v>
      </c>
      <c r="D44" s="214">
        <v>4</v>
      </c>
      <c r="E44" s="214">
        <v>752.91</v>
      </c>
      <c r="F44" s="214">
        <v>3011.64</v>
      </c>
    </row>
    <row r="45" spans="1:6" ht="12.75">
      <c r="A45" s="123">
        <v>35</v>
      </c>
      <c r="B45" s="200" t="s">
        <v>508</v>
      </c>
      <c r="C45" s="200" t="s">
        <v>580</v>
      </c>
      <c r="D45" s="214">
        <v>0</v>
      </c>
      <c r="E45" s="214">
        <v>0</v>
      </c>
      <c r="F45" s="214">
        <v>0</v>
      </c>
    </row>
    <row r="46" spans="1:6" ht="12.75">
      <c r="A46" s="123">
        <v>36</v>
      </c>
      <c r="B46" s="200" t="s">
        <v>596</v>
      </c>
      <c r="C46" s="200" t="s">
        <v>580</v>
      </c>
      <c r="D46" s="214">
        <v>15</v>
      </c>
      <c r="E46" s="214">
        <v>1427.2231</v>
      </c>
      <c r="F46" s="214">
        <v>21408.3465</v>
      </c>
    </row>
    <row r="47" spans="1:6" ht="12.75">
      <c r="A47" s="123">
        <v>37</v>
      </c>
      <c r="B47" s="200" t="s">
        <v>597</v>
      </c>
      <c r="C47" s="200" t="s">
        <v>580</v>
      </c>
      <c r="D47" s="214">
        <v>5</v>
      </c>
      <c r="E47" s="214">
        <v>761.72</v>
      </c>
      <c r="F47" s="214">
        <v>3808.6</v>
      </c>
    </row>
    <row r="48" spans="1:6" ht="12.75">
      <c r="A48" s="123">
        <v>38</v>
      </c>
      <c r="B48" s="200" t="s">
        <v>598</v>
      </c>
      <c r="C48" s="200" t="s">
        <v>580</v>
      </c>
      <c r="D48" s="214">
        <v>21</v>
      </c>
      <c r="E48" s="214">
        <v>885.44</v>
      </c>
      <c r="F48" s="214">
        <v>18594.24</v>
      </c>
    </row>
    <row r="49" spans="1:6" ht="12.75">
      <c r="A49" s="123">
        <v>39</v>
      </c>
      <c r="B49" s="200" t="s">
        <v>599</v>
      </c>
      <c r="C49" s="200" t="s">
        <v>580</v>
      </c>
      <c r="D49" s="214">
        <v>13</v>
      </c>
      <c r="E49" s="214">
        <v>758.95</v>
      </c>
      <c r="F49" s="214">
        <v>9866.35</v>
      </c>
    </row>
    <row r="50" spans="1:6" ht="12.75">
      <c r="A50" s="123">
        <v>40</v>
      </c>
      <c r="B50" s="200" t="s">
        <v>600</v>
      </c>
      <c r="C50" s="200" t="s">
        <v>580</v>
      </c>
      <c r="D50" s="214">
        <v>591</v>
      </c>
      <c r="E50" s="214">
        <v>682.6447999999999</v>
      </c>
      <c r="F50" s="214">
        <v>403443.0768</v>
      </c>
    </row>
    <row r="51" spans="1:6" ht="12.75">
      <c r="A51" s="123">
        <v>41</v>
      </c>
      <c r="B51" s="200" t="s">
        <v>601</v>
      </c>
      <c r="C51" s="200" t="s">
        <v>580</v>
      </c>
      <c r="D51" s="214">
        <v>606</v>
      </c>
      <c r="E51" s="214">
        <v>569.7882000000002</v>
      </c>
      <c r="F51" s="214">
        <v>345291.6492000001</v>
      </c>
    </row>
    <row r="52" spans="1:6" ht="12.75">
      <c r="A52" s="123">
        <v>42</v>
      </c>
      <c r="B52" s="200" t="s">
        <v>510</v>
      </c>
      <c r="C52" s="200" t="s">
        <v>580</v>
      </c>
      <c r="D52" s="214">
        <v>2</v>
      </c>
      <c r="E52" s="214">
        <v>834.9800000000006</v>
      </c>
      <c r="F52" s="214">
        <v>1669.9600000000012</v>
      </c>
    </row>
    <row r="53" spans="1:6" ht="12.75">
      <c r="A53" s="123">
        <v>43</v>
      </c>
      <c r="B53" s="200" t="s">
        <v>509</v>
      </c>
      <c r="C53" s="200" t="s">
        <v>580</v>
      </c>
      <c r="D53" s="214">
        <v>0</v>
      </c>
      <c r="E53" s="214">
        <v>0</v>
      </c>
      <c r="F53" s="214">
        <v>9.313225746154785E-12</v>
      </c>
    </row>
    <row r="54" spans="1:6" ht="12.75">
      <c r="A54" s="123">
        <v>44</v>
      </c>
      <c r="B54" s="200" t="s">
        <v>602</v>
      </c>
      <c r="C54" s="200" t="s">
        <v>580</v>
      </c>
      <c r="D54" s="214">
        <v>11</v>
      </c>
      <c r="E54" s="214">
        <v>835.99</v>
      </c>
      <c r="F54" s="214">
        <v>9195.89</v>
      </c>
    </row>
    <row r="55" spans="1:6" ht="12.75">
      <c r="A55" s="123">
        <v>45</v>
      </c>
      <c r="B55" s="200" t="s">
        <v>603</v>
      </c>
      <c r="C55" s="200" t="s">
        <v>579</v>
      </c>
      <c r="D55" s="214">
        <v>605</v>
      </c>
      <c r="E55" s="214">
        <v>3131.681801652893</v>
      </c>
      <c r="F55" s="214">
        <v>1894667.49</v>
      </c>
    </row>
    <row r="56" spans="1:6" ht="12.75">
      <c r="A56" s="123">
        <v>46</v>
      </c>
      <c r="B56" s="200" t="s">
        <v>604</v>
      </c>
      <c r="C56" s="200" t="s">
        <v>579</v>
      </c>
      <c r="D56" s="214">
        <v>59.5</v>
      </c>
      <c r="E56" s="214">
        <v>3425.1961344537813</v>
      </c>
      <c r="F56" s="214">
        <v>203799.17</v>
      </c>
    </row>
    <row r="57" spans="1:6" ht="12.75">
      <c r="A57" s="123">
        <v>47</v>
      </c>
      <c r="B57" s="200" t="s">
        <v>500</v>
      </c>
      <c r="C57" s="200" t="s">
        <v>580</v>
      </c>
      <c r="D57" s="214">
        <v>32</v>
      </c>
      <c r="E57" s="214">
        <v>233.97100000000032</v>
      </c>
      <c r="F57" s="214">
        <v>7487.072000000009</v>
      </c>
    </row>
    <row r="58" spans="1:6" ht="12.75">
      <c r="A58" s="123">
        <v>48</v>
      </c>
      <c r="B58" s="200" t="s">
        <v>501</v>
      </c>
      <c r="C58" s="200" t="s">
        <v>580</v>
      </c>
      <c r="D58" s="214">
        <v>6.9</v>
      </c>
      <c r="E58" s="214">
        <v>272.17589919553643</v>
      </c>
      <c r="F58" s="214">
        <v>1878.0137044492014</v>
      </c>
    </row>
    <row r="59" spans="1:6" ht="12.75">
      <c r="A59" s="123">
        <v>49</v>
      </c>
      <c r="B59" s="200" t="s">
        <v>605</v>
      </c>
      <c r="C59" s="200" t="s">
        <v>580</v>
      </c>
      <c r="D59" s="214">
        <v>326</v>
      </c>
      <c r="E59" s="214">
        <v>275.26</v>
      </c>
      <c r="F59" s="214">
        <v>89734.76</v>
      </c>
    </row>
    <row r="60" spans="1:6" ht="12.75">
      <c r="A60" s="123">
        <v>50</v>
      </c>
      <c r="B60" s="200" t="s">
        <v>526</v>
      </c>
      <c r="C60" s="200" t="s">
        <v>580</v>
      </c>
      <c r="D60" s="214">
        <v>60</v>
      </c>
      <c r="E60" s="214">
        <v>96.34100000000001</v>
      </c>
      <c r="F60" s="214">
        <v>5780.46</v>
      </c>
    </row>
    <row r="61" spans="1:6" ht="12.75">
      <c r="A61" s="123">
        <v>51</v>
      </c>
      <c r="B61" s="200" t="s">
        <v>537</v>
      </c>
      <c r="C61" s="200" t="s">
        <v>580</v>
      </c>
      <c r="D61" s="214">
        <v>288</v>
      </c>
      <c r="E61" s="214">
        <v>141.75889999999993</v>
      </c>
      <c r="F61" s="214">
        <v>40826.56319999998</v>
      </c>
    </row>
    <row r="62" spans="1:6" ht="12.75">
      <c r="A62" s="123"/>
      <c r="B62" s="200"/>
      <c r="C62" s="200"/>
      <c r="D62" s="214"/>
      <c r="E62" s="214"/>
      <c r="F62" s="214"/>
    </row>
    <row r="63" spans="1:6" ht="12.75">
      <c r="A63" s="123"/>
      <c r="B63" s="200"/>
      <c r="C63" s="200"/>
      <c r="D63" s="214"/>
      <c r="E63" s="214"/>
      <c r="F63" s="214"/>
    </row>
    <row r="64" spans="1:6" ht="12.75">
      <c r="A64" s="123">
        <v>52</v>
      </c>
      <c r="B64" s="200" t="s">
        <v>538</v>
      </c>
      <c r="C64" s="200" t="s">
        <v>580</v>
      </c>
      <c r="D64" s="214">
        <v>0</v>
      </c>
      <c r="E64" s="214">
        <v>0</v>
      </c>
      <c r="F64" s="214">
        <v>0</v>
      </c>
    </row>
    <row r="65" spans="1:6" ht="12.75">
      <c r="A65" s="123">
        <v>53</v>
      </c>
      <c r="B65" s="200" t="s">
        <v>606</v>
      </c>
      <c r="C65" s="200" t="s">
        <v>580</v>
      </c>
      <c r="D65" s="214">
        <v>48</v>
      </c>
      <c r="E65" s="214">
        <v>123.53399999999993</v>
      </c>
      <c r="F65" s="214">
        <v>5929.631999999999</v>
      </c>
    </row>
    <row r="66" spans="1:6" ht="12.75">
      <c r="A66" s="123">
        <v>54</v>
      </c>
      <c r="B66" s="200" t="s">
        <v>607</v>
      </c>
      <c r="C66" s="200" t="s">
        <v>580</v>
      </c>
      <c r="D66" s="214">
        <v>48</v>
      </c>
      <c r="E66" s="214">
        <v>96.08200000000001</v>
      </c>
      <c r="F66" s="214">
        <v>4611.936</v>
      </c>
    </row>
    <row r="67" spans="1:6" ht="12.75">
      <c r="A67" s="123">
        <v>55</v>
      </c>
      <c r="B67" s="200" t="s">
        <v>520</v>
      </c>
      <c r="C67" s="200" t="s">
        <v>580</v>
      </c>
      <c r="D67" s="214">
        <v>0</v>
      </c>
      <c r="E67" s="214">
        <v>0</v>
      </c>
      <c r="F67" s="214">
        <v>6.984919309616089E-11</v>
      </c>
    </row>
    <row r="68" spans="1:6" ht="12.75">
      <c r="A68" s="123">
        <v>56</v>
      </c>
      <c r="B68" s="200" t="s">
        <v>521</v>
      </c>
      <c r="C68" s="200" t="s">
        <v>580</v>
      </c>
      <c r="D68" s="214">
        <v>1</v>
      </c>
      <c r="E68" s="214">
        <v>120.74769488060149</v>
      </c>
      <c r="F68" s="214">
        <v>120.74769488060149</v>
      </c>
    </row>
    <row r="69" spans="1:6" ht="12.75">
      <c r="A69" s="123">
        <v>57</v>
      </c>
      <c r="B69" s="200" t="s">
        <v>536</v>
      </c>
      <c r="C69" s="200" t="s">
        <v>580</v>
      </c>
      <c r="D69" s="214">
        <v>42</v>
      </c>
      <c r="E69" s="214">
        <v>141.7589000000001</v>
      </c>
      <c r="F69" s="214">
        <v>5953.873800000004</v>
      </c>
    </row>
    <row r="70" spans="1:6" ht="12.75">
      <c r="A70" s="123">
        <v>58</v>
      </c>
      <c r="B70" s="200" t="s">
        <v>519</v>
      </c>
      <c r="C70" s="200" t="s">
        <v>580</v>
      </c>
      <c r="D70" s="214">
        <v>68</v>
      </c>
      <c r="E70" s="214">
        <v>94.96470000000025</v>
      </c>
      <c r="F70" s="214">
        <v>6457.599600000016</v>
      </c>
    </row>
    <row r="71" spans="1:6" ht="12.75">
      <c r="A71" s="123">
        <v>59</v>
      </c>
      <c r="B71" s="200" t="s">
        <v>608</v>
      </c>
      <c r="C71" s="200" t="s">
        <v>580</v>
      </c>
      <c r="D71" s="214">
        <v>40</v>
      </c>
      <c r="E71" s="214">
        <v>50</v>
      </c>
      <c r="F71" s="214">
        <v>2000</v>
      </c>
    </row>
    <row r="72" spans="1:6" ht="12.75">
      <c r="A72" s="123">
        <v>60</v>
      </c>
      <c r="B72" s="200" t="s">
        <v>561</v>
      </c>
      <c r="C72" s="200" t="s">
        <v>580</v>
      </c>
      <c r="D72" s="214">
        <v>0</v>
      </c>
      <c r="E72" s="214">
        <v>0</v>
      </c>
      <c r="F72" s="214">
        <v>0</v>
      </c>
    </row>
    <row r="73" spans="1:6" ht="12.75">
      <c r="A73" s="123">
        <v>61</v>
      </c>
      <c r="B73" s="200" t="s">
        <v>562</v>
      </c>
      <c r="C73" s="200" t="s">
        <v>580</v>
      </c>
      <c r="D73" s="214">
        <v>43</v>
      </c>
      <c r="E73" s="214">
        <v>641.1774260724691</v>
      </c>
      <c r="F73" s="214">
        <v>27570.629321116172</v>
      </c>
    </row>
    <row r="74" spans="1:6" ht="12.75">
      <c r="A74" s="123">
        <v>62</v>
      </c>
      <c r="B74" s="200" t="s">
        <v>563</v>
      </c>
      <c r="C74" s="200" t="s">
        <v>580</v>
      </c>
      <c r="D74" s="214">
        <v>21.11</v>
      </c>
      <c r="E74" s="214">
        <v>119.43108637798399</v>
      </c>
      <c r="F74" s="214">
        <v>2521.190233439242</v>
      </c>
    </row>
    <row r="75" spans="1:6" ht="12.75">
      <c r="A75" s="123">
        <v>63</v>
      </c>
      <c r="B75" s="200" t="s">
        <v>565</v>
      </c>
      <c r="C75" s="200" t="s">
        <v>580</v>
      </c>
      <c r="D75" s="214">
        <v>24</v>
      </c>
      <c r="E75" s="214">
        <v>1939.931181775036</v>
      </c>
      <c r="F75" s="214">
        <v>46558.34836260086</v>
      </c>
    </row>
    <row r="76" spans="1:6" ht="12.75">
      <c r="A76" s="123">
        <v>64</v>
      </c>
      <c r="B76" s="200" t="s">
        <v>564</v>
      </c>
      <c r="C76" s="200" t="s">
        <v>580</v>
      </c>
      <c r="D76" s="214">
        <v>443</v>
      </c>
      <c r="E76" s="214">
        <v>484.91973851560965</v>
      </c>
      <c r="F76" s="214">
        <v>214819.44416241505</v>
      </c>
    </row>
    <row r="77" spans="1:6" ht="12.75">
      <c r="A77" s="123">
        <v>65</v>
      </c>
      <c r="B77" s="200" t="s">
        <v>609</v>
      </c>
      <c r="C77" s="200" t="s">
        <v>580</v>
      </c>
      <c r="D77" s="214">
        <v>150</v>
      </c>
      <c r="E77" s="214">
        <v>156.91749999999996</v>
      </c>
      <c r="F77" s="214">
        <v>23537.624999999996</v>
      </c>
    </row>
    <row r="78" spans="1:6" ht="12.75">
      <c r="A78" s="123">
        <v>66</v>
      </c>
      <c r="B78" s="200" t="s">
        <v>610</v>
      </c>
      <c r="C78" s="200" t="s">
        <v>580</v>
      </c>
      <c r="D78" s="214">
        <v>25</v>
      </c>
      <c r="E78" s="214">
        <v>48.46703999999999</v>
      </c>
      <c r="F78" s="214">
        <v>1211.6759999999997</v>
      </c>
    </row>
    <row r="79" spans="1:6" ht="12.75">
      <c r="A79" s="123">
        <v>67</v>
      </c>
      <c r="B79" s="200" t="s">
        <v>611</v>
      </c>
      <c r="C79" s="200" t="s">
        <v>580</v>
      </c>
      <c r="D79" s="214">
        <v>1275</v>
      </c>
      <c r="E79" s="214">
        <v>20.20778037735849</v>
      </c>
      <c r="F79" s="214">
        <v>25764.919981132076</v>
      </c>
    </row>
    <row r="80" spans="1:6" ht="12.75">
      <c r="A80" s="123">
        <v>68</v>
      </c>
      <c r="B80" s="200" t="s">
        <v>612</v>
      </c>
      <c r="C80" s="200" t="s">
        <v>580</v>
      </c>
      <c r="D80" s="214">
        <v>1750</v>
      </c>
      <c r="E80" s="214">
        <v>42.572399999999995</v>
      </c>
      <c r="F80" s="214">
        <v>74501.7</v>
      </c>
    </row>
    <row r="81" spans="1:6" ht="12.75">
      <c r="A81" s="123">
        <v>69</v>
      </c>
      <c r="B81" s="200" t="s">
        <v>613</v>
      </c>
      <c r="C81" s="200" t="s">
        <v>580</v>
      </c>
      <c r="D81" s="214">
        <v>265</v>
      </c>
      <c r="E81" s="214">
        <v>125.59544905660377</v>
      </c>
      <c r="F81" s="214">
        <v>33282.793999999994</v>
      </c>
    </row>
    <row r="82" spans="1:6" ht="12.75">
      <c r="A82" s="123">
        <v>70</v>
      </c>
      <c r="B82" s="200" t="s">
        <v>614</v>
      </c>
      <c r="C82" s="200" t="s">
        <v>580</v>
      </c>
      <c r="D82" s="214">
        <v>250</v>
      </c>
      <c r="E82" s="214">
        <v>191.02999999999997</v>
      </c>
      <c r="F82" s="214">
        <v>47757.49999999999</v>
      </c>
    </row>
    <row r="83" spans="1:6" ht="12.75">
      <c r="A83" s="123">
        <v>71</v>
      </c>
      <c r="B83" s="200" t="s">
        <v>457</v>
      </c>
      <c r="C83" s="200" t="s">
        <v>580</v>
      </c>
      <c r="D83" s="214">
        <v>0</v>
      </c>
      <c r="E83" s="214">
        <v>0</v>
      </c>
      <c r="F83" s="214">
        <v>-4.656612873077393E-12</v>
      </c>
    </row>
    <row r="84" spans="1:6" ht="12.75">
      <c r="A84" s="123">
        <v>72</v>
      </c>
      <c r="B84" s="200" t="s">
        <v>615</v>
      </c>
      <c r="C84" s="200" t="s">
        <v>579</v>
      </c>
      <c r="D84" s="214">
        <v>0</v>
      </c>
      <c r="E84" s="214">
        <v>0</v>
      </c>
      <c r="F84" s="214">
        <v>0</v>
      </c>
    </row>
    <row r="85" spans="1:6" ht="12.75">
      <c r="A85" s="123">
        <v>73</v>
      </c>
      <c r="B85" s="200" t="s">
        <v>616</v>
      </c>
      <c r="C85" s="200" t="s">
        <v>580</v>
      </c>
      <c r="D85" s="214">
        <v>24</v>
      </c>
      <c r="E85" s="214">
        <v>1.22</v>
      </c>
      <c r="F85" s="214">
        <v>29.28</v>
      </c>
    </row>
    <row r="86" spans="1:6" ht="12.75">
      <c r="A86" s="123">
        <v>74</v>
      </c>
      <c r="B86" s="200" t="s">
        <v>540</v>
      </c>
      <c r="C86" s="200" t="s">
        <v>580</v>
      </c>
      <c r="D86" s="214">
        <v>0</v>
      </c>
      <c r="E86" s="214">
        <v>0</v>
      </c>
      <c r="F86" s="214">
        <v>0</v>
      </c>
    </row>
    <row r="87" spans="1:6" ht="12.75">
      <c r="A87" s="123">
        <v>75</v>
      </c>
      <c r="B87" s="200" t="s">
        <v>435</v>
      </c>
      <c r="C87" s="200" t="s">
        <v>580</v>
      </c>
      <c r="D87" s="214">
        <v>74</v>
      </c>
      <c r="E87" s="214">
        <v>620.9909459459459</v>
      </c>
      <c r="F87" s="214">
        <v>45953.33</v>
      </c>
    </row>
    <row r="88" spans="1:6" ht="12.75">
      <c r="A88" s="123">
        <v>76</v>
      </c>
      <c r="B88" s="200" t="s">
        <v>436</v>
      </c>
      <c r="C88" s="200" t="s">
        <v>580</v>
      </c>
      <c r="D88" s="214">
        <v>16</v>
      </c>
      <c r="E88" s="214">
        <v>960</v>
      </c>
      <c r="F88" s="214">
        <v>15360</v>
      </c>
    </row>
    <row r="89" spans="1:6" ht="12.75">
      <c r="A89" s="123">
        <v>77</v>
      </c>
      <c r="B89" s="200" t="s">
        <v>434</v>
      </c>
      <c r="C89" s="200" t="s">
        <v>580</v>
      </c>
      <c r="D89" s="214">
        <v>98</v>
      </c>
      <c r="E89" s="214">
        <v>220</v>
      </c>
      <c r="F89" s="214">
        <v>21560</v>
      </c>
    </row>
    <row r="90" spans="1:6" ht="12.75">
      <c r="A90" s="123">
        <v>78</v>
      </c>
      <c r="B90" s="200" t="s">
        <v>617</v>
      </c>
      <c r="C90" s="200" t="s">
        <v>579</v>
      </c>
      <c r="D90" s="214">
        <v>1775</v>
      </c>
      <c r="E90" s="214">
        <v>8.676228710462274</v>
      </c>
      <c r="F90" s="214">
        <v>15400.305961070539</v>
      </c>
    </row>
    <row r="91" spans="1:6" ht="12.75">
      <c r="A91" s="123">
        <v>79</v>
      </c>
      <c r="B91" s="200" t="s">
        <v>618</v>
      </c>
      <c r="C91" s="200" t="s">
        <v>580</v>
      </c>
      <c r="D91" s="214">
        <v>500</v>
      </c>
      <c r="E91" s="214">
        <v>579.7633999999999</v>
      </c>
      <c r="F91" s="214">
        <v>289881.7</v>
      </c>
    </row>
    <row r="92" spans="1:6" ht="12.75">
      <c r="A92" s="123">
        <v>80</v>
      </c>
      <c r="B92" s="200" t="s">
        <v>619</v>
      </c>
      <c r="C92" s="200" t="s">
        <v>580</v>
      </c>
      <c r="D92" s="214">
        <v>558</v>
      </c>
      <c r="E92" s="214">
        <v>46.972258064516126</v>
      </c>
      <c r="F92" s="214">
        <v>26210.520000000004</v>
      </c>
    </row>
    <row r="93" spans="1:6" ht="12.75">
      <c r="A93" s="123">
        <v>81</v>
      </c>
      <c r="B93" s="200" t="s">
        <v>620</v>
      </c>
      <c r="C93" s="200" t="s">
        <v>580</v>
      </c>
      <c r="D93" s="214">
        <v>288</v>
      </c>
      <c r="E93" s="214">
        <v>61.40249999999999</v>
      </c>
      <c r="F93" s="214">
        <v>17683.92</v>
      </c>
    </row>
    <row r="94" spans="1:6" ht="12.75">
      <c r="A94" s="123">
        <v>82</v>
      </c>
      <c r="B94" s="200" t="s">
        <v>621</v>
      </c>
      <c r="C94" s="200" t="s">
        <v>580</v>
      </c>
      <c r="D94" s="214">
        <v>240</v>
      </c>
      <c r="E94" s="214">
        <v>75.04749999999999</v>
      </c>
      <c r="F94" s="214">
        <v>18011.399999999998</v>
      </c>
    </row>
    <row r="95" spans="1:6" ht="12.75">
      <c r="A95" s="123">
        <v>83</v>
      </c>
      <c r="B95" s="200" t="s">
        <v>622</v>
      </c>
      <c r="C95" s="200" t="s">
        <v>580</v>
      </c>
      <c r="D95" s="214">
        <v>240</v>
      </c>
      <c r="E95" s="214">
        <v>95.515</v>
      </c>
      <c r="F95" s="214">
        <v>22923.6</v>
      </c>
    </row>
    <row r="96" spans="1:6" ht="12.75">
      <c r="A96" s="123">
        <v>84</v>
      </c>
      <c r="B96" s="200" t="s">
        <v>623</v>
      </c>
      <c r="C96" s="200" t="s">
        <v>580</v>
      </c>
      <c r="D96" s="214">
        <v>180</v>
      </c>
      <c r="E96" s="214">
        <v>125.53399999999999</v>
      </c>
      <c r="F96" s="214">
        <v>22596.12</v>
      </c>
    </row>
    <row r="97" spans="1:6" ht="12.75">
      <c r="A97" s="123">
        <v>85</v>
      </c>
      <c r="B97" s="200" t="s">
        <v>466</v>
      </c>
      <c r="C97" s="200" t="s">
        <v>580</v>
      </c>
      <c r="D97" s="214">
        <v>5020</v>
      </c>
      <c r="E97" s="214">
        <v>11.008665338645416</v>
      </c>
      <c r="F97" s="214">
        <v>55263.49999999999</v>
      </c>
    </row>
    <row r="98" spans="1:6" ht="12.75">
      <c r="A98" s="123">
        <v>86</v>
      </c>
      <c r="B98" s="200" t="s">
        <v>467</v>
      </c>
      <c r="C98" s="200" t="s">
        <v>580</v>
      </c>
      <c r="D98" s="214">
        <v>37292</v>
      </c>
      <c r="E98" s="214">
        <v>11.52903298788387</v>
      </c>
      <c r="F98" s="214">
        <v>429940.6981841653</v>
      </c>
    </row>
    <row r="99" spans="1:6" ht="12.75">
      <c r="A99" s="123">
        <v>87</v>
      </c>
      <c r="B99" s="200" t="s">
        <v>624</v>
      </c>
      <c r="C99" s="200" t="s">
        <v>580</v>
      </c>
      <c r="D99" s="214">
        <v>3789</v>
      </c>
      <c r="E99" s="214">
        <v>12.508336777385825</v>
      </c>
      <c r="F99" s="214">
        <v>47394.08804951489</v>
      </c>
    </row>
    <row r="100" spans="1:6" ht="12.75">
      <c r="A100" s="123">
        <v>88</v>
      </c>
      <c r="B100" s="200" t="s">
        <v>625</v>
      </c>
      <c r="C100" s="200" t="s">
        <v>580</v>
      </c>
      <c r="D100" s="214">
        <v>2300</v>
      </c>
      <c r="E100" s="214">
        <v>11.51</v>
      </c>
      <c r="F100" s="214">
        <v>26473</v>
      </c>
    </row>
    <row r="101" spans="1:6" ht="12.75">
      <c r="A101" s="123">
        <v>89</v>
      </c>
      <c r="B101" s="200" t="s">
        <v>489</v>
      </c>
      <c r="C101" s="200" t="s">
        <v>580</v>
      </c>
      <c r="D101" s="214">
        <v>13556</v>
      </c>
      <c r="E101" s="214">
        <v>12.258323724086244</v>
      </c>
      <c r="F101" s="214">
        <v>166173.83640371313</v>
      </c>
    </row>
    <row r="102" spans="1:6" ht="12.75">
      <c r="A102" s="123">
        <v>90</v>
      </c>
      <c r="B102" s="200" t="s">
        <v>495</v>
      </c>
      <c r="C102" s="200" t="s">
        <v>585</v>
      </c>
      <c r="D102" s="214">
        <v>3300</v>
      </c>
      <c r="E102" s="214">
        <v>33.69643198441316</v>
      </c>
      <c r="F102" s="214">
        <v>111198.22554856341</v>
      </c>
    </row>
    <row r="103" spans="1:6" ht="12.75">
      <c r="A103" s="123">
        <v>91</v>
      </c>
      <c r="B103" s="200" t="s">
        <v>626</v>
      </c>
      <c r="C103" s="200" t="s">
        <v>585</v>
      </c>
      <c r="D103" s="214">
        <v>125</v>
      </c>
      <c r="E103" s="214">
        <v>61.53</v>
      </c>
      <c r="F103" s="214">
        <v>7691.25</v>
      </c>
    </row>
    <row r="104" spans="1:6" ht="12.75">
      <c r="A104" s="123">
        <v>92</v>
      </c>
      <c r="B104" s="200" t="s">
        <v>627</v>
      </c>
      <c r="C104" s="200" t="s">
        <v>585</v>
      </c>
      <c r="D104" s="214">
        <v>100</v>
      </c>
      <c r="E104" s="214">
        <v>54.14</v>
      </c>
      <c r="F104" s="214">
        <v>5414</v>
      </c>
    </row>
    <row r="105" spans="1:6" ht="12.75">
      <c r="A105" s="123">
        <v>93</v>
      </c>
      <c r="B105" s="200" t="s">
        <v>628</v>
      </c>
      <c r="C105" s="200" t="s">
        <v>585</v>
      </c>
      <c r="D105" s="214">
        <v>1575</v>
      </c>
      <c r="E105" s="214">
        <v>47.142740887966795</v>
      </c>
      <c r="F105" s="214">
        <v>74249.8168985477</v>
      </c>
    </row>
    <row r="106" spans="1:6" ht="12.75">
      <c r="A106" s="123">
        <v>94</v>
      </c>
      <c r="B106" s="200" t="s">
        <v>629</v>
      </c>
      <c r="C106" s="200" t="s">
        <v>585</v>
      </c>
      <c r="D106" s="214">
        <v>125</v>
      </c>
      <c r="E106" s="214">
        <v>39.39</v>
      </c>
      <c r="F106" s="214">
        <v>4923.75</v>
      </c>
    </row>
    <row r="107" spans="1:6" ht="12.75">
      <c r="A107" s="123">
        <v>95</v>
      </c>
      <c r="B107" s="200" t="s">
        <v>630</v>
      </c>
      <c r="C107" s="200" t="s">
        <v>585</v>
      </c>
      <c r="D107" s="214">
        <v>575</v>
      </c>
      <c r="E107" s="214">
        <v>41.45869354838709</v>
      </c>
      <c r="F107" s="214">
        <v>23838.74879032258</v>
      </c>
    </row>
    <row r="108" spans="1:6" ht="12.75">
      <c r="A108" s="123">
        <v>96</v>
      </c>
      <c r="B108" s="200" t="s">
        <v>494</v>
      </c>
      <c r="C108" s="200" t="s">
        <v>585</v>
      </c>
      <c r="D108" s="214">
        <v>1425</v>
      </c>
      <c r="E108" s="214">
        <v>36.70020369909559</v>
      </c>
      <c r="F108" s="214">
        <v>52297.79027121121</v>
      </c>
    </row>
    <row r="109" spans="1:6" ht="12.75">
      <c r="A109" s="123">
        <v>97</v>
      </c>
      <c r="B109" s="200" t="s">
        <v>631</v>
      </c>
      <c r="C109" s="200" t="s">
        <v>585</v>
      </c>
      <c r="D109" s="214">
        <v>300</v>
      </c>
      <c r="E109" s="214">
        <v>68.52</v>
      </c>
      <c r="F109" s="214">
        <v>20556</v>
      </c>
    </row>
    <row r="110" spans="1:6" ht="12.75">
      <c r="A110" s="123">
        <v>98</v>
      </c>
      <c r="B110" s="200" t="s">
        <v>496</v>
      </c>
      <c r="C110" s="200" t="s">
        <v>585</v>
      </c>
      <c r="D110" s="214">
        <v>1675</v>
      </c>
      <c r="E110" s="214">
        <v>51.4156207990962</v>
      </c>
      <c r="F110" s="214">
        <v>86121.16483848613</v>
      </c>
    </row>
    <row r="111" spans="1:6" ht="12.75">
      <c r="A111" s="123">
        <v>99</v>
      </c>
      <c r="B111" s="200" t="s">
        <v>632</v>
      </c>
      <c r="C111" s="200" t="s">
        <v>585</v>
      </c>
      <c r="D111" s="214">
        <v>72</v>
      </c>
      <c r="E111" s="214">
        <v>88.78</v>
      </c>
      <c r="F111" s="214">
        <v>6392.16</v>
      </c>
    </row>
    <row r="112" spans="1:6" ht="12.75">
      <c r="A112" s="123">
        <v>100</v>
      </c>
      <c r="B112" s="200" t="s">
        <v>633</v>
      </c>
      <c r="C112" s="200" t="s">
        <v>585</v>
      </c>
      <c r="D112" s="214">
        <v>375</v>
      </c>
      <c r="E112" s="214">
        <v>83.98298666666668</v>
      </c>
      <c r="F112" s="214">
        <v>31493.62</v>
      </c>
    </row>
    <row r="113" spans="1:6" ht="12.75">
      <c r="A113" s="123">
        <v>101</v>
      </c>
      <c r="B113" s="200" t="s">
        <v>634</v>
      </c>
      <c r="C113" s="200" t="s">
        <v>585</v>
      </c>
      <c r="D113" s="214">
        <v>450</v>
      </c>
      <c r="E113" s="214">
        <v>56.31008888888888</v>
      </c>
      <c r="F113" s="214">
        <v>25339.539999999994</v>
      </c>
    </row>
    <row r="114" spans="1:6" ht="12.75">
      <c r="A114" s="123">
        <v>102</v>
      </c>
      <c r="B114" s="200" t="s">
        <v>635</v>
      </c>
      <c r="C114" s="200" t="s">
        <v>585</v>
      </c>
      <c r="D114" s="214">
        <v>50</v>
      </c>
      <c r="E114" s="214">
        <v>110.97</v>
      </c>
      <c r="F114" s="214">
        <v>5548.5</v>
      </c>
    </row>
    <row r="115" spans="1:6" ht="12.75">
      <c r="A115" s="123">
        <v>103</v>
      </c>
      <c r="B115" s="200" t="s">
        <v>531</v>
      </c>
      <c r="C115" s="200" t="s">
        <v>585</v>
      </c>
      <c r="D115" s="214">
        <v>776</v>
      </c>
      <c r="E115" s="214">
        <v>23.523734802003833</v>
      </c>
      <c r="F115" s="214">
        <v>18254.418206354974</v>
      </c>
    </row>
    <row r="116" spans="1:6" ht="12.75">
      <c r="A116" s="123">
        <v>104</v>
      </c>
      <c r="B116" s="200" t="s">
        <v>528</v>
      </c>
      <c r="C116" s="200" t="s">
        <v>585</v>
      </c>
      <c r="D116" s="214">
        <v>30</v>
      </c>
      <c r="E116" s="214">
        <v>32.874897180451214</v>
      </c>
      <c r="F116" s="214">
        <v>986.2469154135362</v>
      </c>
    </row>
    <row r="117" spans="1:6" ht="12.75">
      <c r="A117" s="123">
        <v>105</v>
      </c>
      <c r="B117" s="200" t="s">
        <v>529</v>
      </c>
      <c r="C117" s="200" t="s">
        <v>585</v>
      </c>
      <c r="D117" s="214">
        <v>838</v>
      </c>
      <c r="E117" s="214">
        <v>28.759186398279994</v>
      </c>
      <c r="F117" s="214">
        <v>24100.198201758627</v>
      </c>
    </row>
    <row r="118" spans="1:6" ht="12.75">
      <c r="A118" s="123">
        <v>106</v>
      </c>
      <c r="B118" s="200" t="s">
        <v>530</v>
      </c>
      <c r="C118" s="200" t="s">
        <v>585</v>
      </c>
      <c r="D118" s="214">
        <v>1016</v>
      </c>
      <c r="E118" s="214">
        <v>27.054275163163826</v>
      </c>
      <c r="F118" s="214">
        <v>27487.143565774448</v>
      </c>
    </row>
    <row r="119" spans="1:6" ht="12.75">
      <c r="A119" s="123">
        <v>107</v>
      </c>
      <c r="B119" s="200" t="s">
        <v>535</v>
      </c>
      <c r="C119" s="200" t="s">
        <v>585</v>
      </c>
      <c r="D119" s="214">
        <v>23116</v>
      </c>
      <c r="E119" s="214">
        <v>10.138150856676752</v>
      </c>
      <c r="F119" s="214">
        <v>234353.4952029398</v>
      </c>
    </row>
    <row r="120" spans="1:6" ht="12.75">
      <c r="A120" s="123">
        <v>108</v>
      </c>
      <c r="B120" s="200" t="s">
        <v>532</v>
      </c>
      <c r="C120" s="200" t="s">
        <v>585</v>
      </c>
      <c r="D120" s="214">
        <v>1500</v>
      </c>
      <c r="E120" s="214">
        <v>11.7918</v>
      </c>
      <c r="F120" s="214">
        <v>17687.7</v>
      </c>
    </row>
    <row r="121" spans="1:6" ht="12.75">
      <c r="A121" s="123">
        <v>109</v>
      </c>
      <c r="B121" s="200" t="s">
        <v>533</v>
      </c>
      <c r="C121" s="200" t="s">
        <v>585</v>
      </c>
      <c r="D121" s="214">
        <v>1268</v>
      </c>
      <c r="E121" s="214">
        <v>10.359762845849803</v>
      </c>
      <c r="F121" s="214">
        <v>13136.179288537549</v>
      </c>
    </row>
    <row r="122" spans="1:6" ht="12.75">
      <c r="A122" s="123">
        <v>110</v>
      </c>
      <c r="B122" s="200" t="s">
        <v>534</v>
      </c>
      <c r="C122" s="200" t="s">
        <v>585</v>
      </c>
      <c r="D122" s="214">
        <v>5045</v>
      </c>
      <c r="E122" s="214">
        <v>10.057071609883074</v>
      </c>
      <c r="F122" s="214">
        <v>50737.926271860095</v>
      </c>
    </row>
    <row r="123" spans="1:6" ht="12.75">
      <c r="A123" s="123"/>
      <c r="B123" s="200"/>
      <c r="C123" s="200"/>
      <c r="D123" s="214"/>
      <c r="E123" s="214"/>
      <c r="F123" s="214"/>
    </row>
    <row r="124" spans="1:6" ht="12.75">
      <c r="A124" s="123"/>
      <c r="B124" s="200"/>
      <c r="C124" s="200"/>
      <c r="D124" s="214"/>
      <c r="E124" s="214"/>
      <c r="F124" s="214"/>
    </row>
    <row r="125" spans="1:6" ht="12.75">
      <c r="A125" s="123">
        <v>111</v>
      </c>
      <c r="B125" s="200" t="s">
        <v>525</v>
      </c>
      <c r="C125" s="200" t="s">
        <v>580</v>
      </c>
      <c r="D125" s="214">
        <v>12620</v>
      </c>
      <c r="E125" s="214">
        <v>12.655510744677015</v>
      </c>
      <c r="F125" s="214">
        <v>159712.54559782392</v>
      </c>
    </row>
    <row r="126" spans="1:6" ht="12.75">
      <c r="A126" s="123">
        <v>112</v>
      </c>
      <c r="B126" s="200" t="s">
        <v>523</v>
      </c>
      <c r="C126" s="200" t="s">
        <v>580</v>
      </c>
      <c r="D126" s="214">
        <v>550</v>
      </c>
      <c r="E126" s="214">
        <v>13.650619047619045</v>
      </c>
      <c r="F126" s="214">
        <v>7507.840476190473</v>
      </c>
    </row>
    <row r="127" spans="1:6" ht="12.75">
      <c r="A127" s="123">
        <v>113</v>
      </c>
      <c r="B127" s="200" t="s">
        <v>524</v>
      </c>
      <c r="C127" s="200" t="s">
        <v>580</v>
      </c>
      <c r="D127" s="214">
        <v>2250</v>
      </c>
      <c r="E127" s="214">
        <v>12.663878917378916</v>
      </c>
      <c r="F127" s="214">
        <v>28493.727564102566</v>
      </c>
    </row>
    <row r="128" spans="1:6" ht="12.75">
      <c r="A128" s="123">
        <v>114</v>
      </c>
      <c r="B128" s="200" t="s">
        <v>636</v>
      </c>
      <c r="C128" s="200" t="s">
        <v>585</v>
      </c>
      <c r="D128" s="214">
        <v>450</v>
      </c>
      <c r="E128" s="214">
        <v>116.29799999999999</v>
      </c>
      <c r="F128" s="214">
        <v>52334.1</v>
      </c>
    </row>
    <row r="129" spans="1:6" ht="12.75">
      <c r="A129" s="123">
        <v>115</v>
      </c>
      <c r="B129" s="200" t="s">
        <v>637</v>
      </c>
      <c r="C129" s="200" t="s">
        <v>585</v>
      </c>
      <c r="D129" s="214">
        <v>150</v>
      </c>
      <c r="E129" s="214">
        <v>159.21749999999997</v>
      </c>
      <c r="F129" s="214">
        <v>23882.624999999996</v>
      </c>
    </row>
    <row r="130" spans="1:6" ht="12.75">
      <c r="A130" s="123">
        <v>116</v>
      </c>
      <c r="B130" s="200" t="s">
        <v>638</v>
      </c>
      <c r="C130" s="200" t="s">
        <v>585</v>
      </c>
      <c r="D130" s="214">
        <v>150</v>
      </c>
      <c r="E130" s="214">
        <v>138.45</v>
      </c>
      <c r="F130" s="214">
        <v>20767.5</v>
      </c>
    </row>
    <row r="131" spans="1:6" ht="12.75">
      <c r="A131" s="123">
        <v>117</v>
      </c>
      <c r="B131" s="200" t="s">
        <v>639</v>
      </c>
      <c r="C131" s="200" t="s">
        <v>585</v>
      </c>
      <c r="D131" s="214">
        <v>150</v>
      </c>
      <c r="E131" s="214">
        <v>128.7585</v>
      </c>
      <c r="F131" s="214">
        <v>19313.774999999998</v>
      </c>
    </row>
    <row r="132" spans="1:6" ht="12.75">
      <c r="A132" s="123">
        <v>118</v>
      </c>
      <c r="B132" s="200" t="s">
        <v>640</v>
      </c>
      <c r="C132" s="200" t="s">
        <v>585</v>
      </c>
      <c r="D132" s="214">
        <v>835</v>
      </c>
      <c r="E132" s="214">
        <v>54.133734375</v>
      </c>
      <c r="F132" s="214">
        <v>45201.668203125</v>
      </c>
    </row>
    <row r="133" spans="1:6" ht="12.75">
      <c r="A133" s="123">
        <v>119</v>
      </c>
      <c r="B133" s="200" t="s">
        <v>641</v>
      </c>
      <c r="C133" s="200" t="s">
        <v>585</v>
      </c>
      <c r="D133" s="214">
        <v>100</v>
      </c>
      <c r="E133" s="214">
        <v>67.96</v>
      </c>
      <c r="F133" s="214">
        <v>6796</v>
      </c>
    </row>
    <row r="134" spans="1:6" ht="12.75">
      <c r="A134" s="123">
        <v>120</v>
      </c>
      <c r="B134" s="200" t="s">
        <v>642</v>
      </c>
      <c r="C134" s="200" t="s">
        <v>585</v>
      </c>
      <c r="D134" s="214">
        <v>650</v>
      </c>
      <c r="E134" s="214">
        <v>64.36</v>
      </c>
      <c r="F134" s="214">
        <v>41834</v>
      </c>
    </row>
    <row r="135" spans="1:6" ht="12.75">
      <c r="A135" s="123">
        <v>121</v>
      </c>
      <c r="B135" s="200" t="s">
        <v>643</v>
      </c>
      <c r="C135" s="200" t="s">
        <v>585</v>
      </c>
      <c r="D135" s="214">
        <v>1650</v>
      </c>
      <c r="E135" s="214">
        <v>61.02217203389831</v>
      </c>
      <c r="F135" s="214">
        <v>100686.5838559322</v>
      </c>
    </row>
    <row r="136" spans="1:6" ht="12.75">
      <c r="A136" s="123">
        <v>122</v>
      </c>
      <c r="B136" s="200" t="s">
        <v>644</v>
      </c>
      <c r="C136" s="200" t="s">
        <v>585</v>
      </c>
      <c r="D136" s="214">
        <v>3594</v>
      </c>
      <c r="E136" s="214">
        <v>55.47344537868166</v>
      </c>
      <c r="F136" s="214">
        <v>199371.56269098184</v>
      </c>
    </row>
    <row r="137" spans="1:6" ht="12.75">
      <c r="A137" s="123">
        <v>123</v>
      </c>
      <c r="B137" s="200" t="s">
        <v>645</v>
      </c>
      <c r="C137" s="200" t="s">
        <v>585</v>
      </c>
      <c r="D137" s="214">
        <v>375</v>
      </c>
      <c r="E137" s="214">
        <v>67.574</v>
      </c>
      <c r="F137" s="214">
        <v>25340.25</v>
      </c>
    </row>
    <row r="138" spans="1:6" ht="12.75">
      <c r="A138" s="123">
        <v>124</v>
      </c>
      <c r="B138" s="200" t="s">
        <v>462</v>
      </c>
      <c r="C138" s="200" t="s">
        <v>580</v>
      </c>
      <c r="D138" s="214">
        <v>10</v>
      </c>
      <c r="E138" s="214">
        <v>15.940000000000007</v>
      </c>
      <c r="F138" s="214">
        <v>159.40000000000006</v>
      </c>
    </row>
    <row r="139" spans="1:6" ht="12.75">
      <c r="A139" s="123">
        <v>125</v>
      </c>
      <c r="B139" s="200" t="s">
        <v>463</v>
      </c>
      <c r="C139" s="200" t="s">
        <v>580</v>
      </c>
      <c r="D139" s="214">
        <v>1482</v>
      </c>
      <c r="E139" s="214">
        <v>14.7</v>
      </c>
      <c r="F139" s="214">
        <v>21785.4</v>
      </c>
    </row>
    <row r="140" spans="1:6" ht="12.75">
      <c r="A140" s="123">
        <v>126</v>
      </c>
      <c r="B140" s="200" t="s">
        <v>646</v>
      </c>
      <c r="C140" s="200" t="s">
        <v>580</v>
      </c>
      <c r="D140" s="214">
        <v>60</v>
      </c>
      <c r="E140" s="214">
        <v>18.409999999999997</v>
      </c>
      <c r="F140" s="214">
        <v>1104.6</v>
      </c>
    </row>
    <row r="141" spans="1:6" ht="12.75">
      <c r="A141" s="123">
        <v>127</v>
      </c>
      <c r="B141" s="200" t="s">
        <v>647</v>
      </c>
      <c r="C141" s="200" t="s">
        <v>580</v>
      </c>
      <c r="D141" s="214">
        <v>430</v>
      </c>
      <c r="E141" s="214">
        <v>15.81</v>
      </c>
      <c r="F141" s="214">
        <v>6798.3</v>
      </c>
    </row>
    <row r="142" spans="1:6" ht="12.75">
      <c r="A142" s="123">
        <v>128</v>
      </c>
      <c r="B142" s="200" t="s">
        <v>453</v>
      </c>
      <c r="C142" s="200" t="s">
        <v>580</v>
      </c>
      <c r="D142" s="214">
        <v>1438</v>
      </c>
      <c r="E142" s="214">
        <v>49.53813306222016</v>
      </c>
      <c r="F142" s="214">
        <v>71235.83534347259</v>
      </c>
    </row>
    <row r="143" spans="1:6" ht="12.75">
      <c r="A143" s="123">
        <v>129</v>
      </c>
      <c r="B143" s="200" t="s">
        <v>454</v>
      </c>
      <c r="C143" s="200" t="s">
        <v>580</v>
      </c>
      <c r="D143" s="214">
        <v>2868</v>
      </c>
      <c r="E143" s="214">
        <v>64.30212993445807</v>
      </c>
      <c r="F143" s="214">
        <v>184418.50865202575</v>
      </c>
    </row>
    <row r="144" spans="1:6" ht="12.75">
      <c r="A144" s="123">
        <v>130</v>
      </c>
      <c r="B144" s="200" t="s">
        <v>456</v>
      </c>
      <c r="C144" s="200" t="s">
        <v>580</v>
      </c>
      <c r="D144" s="214">
        <v>96</v>
      </c>
      <c r="E144" s="214">
        <v>98.89379999999937</v>
      </c>
      <c r="F144" s="214">
        <v>9493.80479999994</v>
      </c>
    </row>
    <row r="145" spans="1:6" ht="12.75">
      <c r="A145" s="123">
        <v>131</v>
      </c>
      <c r="B145" s="200" t="s">
        <v>455</v>
      </c>
      <c r="C145" s="200" t="s">
        <v>580</v>
      </c>
      <c r="D145" s="214">
        <v>2262</v>
      </c>
      <c r="E145" s="214">
        <v>130.06035000000003</v>
      </c>
      <c r="F145" s="214">
        <v>294196.51170000003</v>
      </c>
    </row>
    <row r="146" spans="1:6" ht="12.75">
      <c r="A146" s="123">
        <v>132</v>
      </c>
      <c r="B146" s="200" t="s">
        <v>648</v>
      </c>
      <c r="C146" s="200" t="s">
        <v>580</v>
      </c>
      <c r="D146" s="214">
        <v>12</v>
      </c>
      <c r="E146" s="214">
        <v>138.87133333333333</v>
      </c>
      <c r="F146" s="214">
        <v>1666.4559999999997</v>
      </c>
    </row>
    <row r="147" spans="1:6" ht="12.75">
      <c r="A147" s="123">
        <v>133</v>
      </c>
      <c r="B147" s="200" t="s">
        <v>649</v>
      </c>
      <c r="C147" s="200" t="s">
        <v>580</v>
      </c>
      <c r="D147" s="214">
        <v>1</v>
      </c>
      <c r="E147" s="214">
        <v>5000</v>
      </c>
      <c r="F147" s="214">
        <v>5000</v>
      </c>
    </row>
    <row r="148" spans="1:6" ht="12.75">
      <c r="A148" s="123">
        <v>134</v>
      </c>
      <c r="B148" s="200" t="s">
        <v>650</v>
      </c>
      <c r="C148" s="200" t="s">
        <v>580</v>
      </c>
      <c r="D148" s="214">
        <v>1</v>
      </c>
      <c r="E148" s="214">
        <v>5000</v>
      </c>
      <c r="F148" s="214">
        <v>5000</v>
      </c>
    </row>
    <row r="149" spans="1:6" ht="12.75">
      <c r="A149" s="123">
        <v>135</v>
      </c>
      <c r="B149" s="200" t="s">
        <v>651</v>
      </c>
      <c r="C149" s="200" t="s">
        <v>580</v>
      </c>
      <c r="D149" s="214">
        <v>1</v>
      </c>
      <c r="E149" s="214">
        <v>5000</v>
      </c>
      <c r="F149" s="214">
        <v>5000</v>
      </c>
    </row>
    <row r="150" spans="1:6" ht="12.75">
      <c r="A150" s="123">
        <v>136</v>
      </c>
      <c r="B150" s="200" t="s">
        <v>652</v>
      </c>
      <c r="C150" s="200" t="s">
        <v>580</v>
      </c>
      <c r="D150" s="214">
        <v>3</v>
      </c>
      <c r="E150" s="214">
        <v>2050</v>
      </c>
      <c r="F150" s="214">
        <v>6150</v>
      </c>
    </row>
    <row r="151" spans="1:6" ht="12.75">
      <c r="A151" s="123">
        <v>137</v>
      </c>
      <c r="B151" s="200" t="s">
        <v>653</v>
      </c>
      <c r="C151" s="200" t="s">
        <v>580</v>
      </c>
      <c r="D151" s="214">
        <v>1</v>
      </c>
      <c r="E151" s="214">
        <v>2050</v>
      </c>
      <c r="F151" s="214">
        <v>2050</v>
      </c>
    </row>
    <row r="152" spans="1:6" ht="12.75">
      <c r="A152" s="123">
        <v>138</v>
      </c>
      <c r="B152" s="200" t="s">
        <v>654</v>
      </c>
      <c r="C152" s="200" t="s">
        <v>580</v>
      </c>
      <c r="D152" s="214">
        <v>4</v>
      </c>
      <c r="E152" s="214">
        <v>2050</v>
      </c>
      <c r="F152" s="214">
        <v>8200</v>
      </c>
    </row>
    <row r="153" spans="1:6" ht="12.75">
      <c r="A153" s="123">
        <v>139</v>
      </c>
      <c r="B153" s="200" t="s">
        <v>655</v>
      </c>
      <c r="C153" s="200" t="s">
        <v>580</v>
      </c>
      <c r="D153" s="214">
        <v>1</v>
      </c>
      <c r="E153" s="214">
        <v>2050</v>
      </c>
      <c r="F153" s="214">
        <v>2050</v>
      </c>
    </row>
    <row r="154" spans="1:6" ht="12.75">
      <c r="A154" s="123">
        <v>140</v>
      </c>
      <c r="B154" s="200" t="s">
        <v>656</v>
      </c>
      <c r="C154" s="200" t="s">
        <v>580</v>
      </c>
      <c r="D154" s="214">
        <v>7</v>
      </c>
      <c r="E154" s="214">
        <v>2207.4757142857143</v>
      </c>
      <c r="F154" s="214">
        <v>15452.33</v>
      </c>
    </row>
    <row r="155" spans="1:6" ht="12.75">
      <c r="A155" s="123">
        <v>141</v>
      </c>
      <c r="B155" s="200" t="s">
        <v>657</v>
      </c>
      <c r="C155" s="200" t="s">
        <v>580</v>
      </c>
      <c r="D155" s="214">
        <v>10</v>
      </c>
      <c r="E155" s="214">
        <v>2289.728</v>
      </c>
      <c r="F155" s="214">
        <v>22897.28</v>
      </c>
    </row>
    <row r="156" spans="1:6" ht="12.75">
      <c r="A156" s="123">
        <v>142</v>
      </c>
      <c r="B156" s="200" t="s">
        <v>658</v>
      </c>
      <c r="C156" s="200" t="s">
        <v>580</v>
      </c>
      <c r="D156" s="214">
        <v>4</v>
      </c>
      <c r="E156" s="214">
        <v>2300</v>
      </c>
      <c r="F156" s="214">
        <v>9200</v>
      </c>
    </row>
    <row r="157" spans="1:6" ht="12.75">
      <c r="A157" s="123">
        <v>143</v>
      </c>
      <c r="B157" s="200" t="s">
        <v>659</v>
      </c>
      <c r="C157" s="200" t="s">
        <v>580</v>
      </c>
      <c r="D157" s="214">
        <v>2</v>
      </c>
      <c r="E157" s="214">
        <v>2206.165</v>
      </c>
      <c r="F157" s="214">
        <v>4412.33</v>
      </c>
    </row>
    <row r="158" spans="1:6" ht="12.75">
      <c r="A158" s="123">
        <v>144</v>
      </c>
      <c r="B158" s="200" t="s">
        <v>660</v>
      </c>
      <c r="C158" s="200" t="s">
        <v>580</v>
      </c>
      <c r="D158" s="214">
        <v>7</v>
      </c>
      <c r="E158" s="214">
        <v>2287.142857142857</v>
      </c>
      <c r="F158" s="214">
        <v>16010</v>
      </c>
    </row>
    <row r="159" spans="1:6" ht="12.75">
      <c r="A159" s="123">
        <v>145</v>
      </c>
      <c r="B159" s="200" t="s">
        <v>661</v>
      </c>
      <c r="C159" s="200" t="s">
        <v>580</v>
      </c>
      <c r="D159" s="214">
        <v>7</v>
      </c>
      <c r="E159" s="214">
        <v>2237.4757142857143</v>
      </c>
      <c r="F159" s="214">
        <v>15662.33</v>
      </c>
    </row>
    <row r="160" spans="1:6" ht="12.75">
      <c r="A160" s="123">
        <v>146</v>
      </c>
      <c r="B160" s="200" t="s">
        <v>662</v>
      </c>
      <c r="C160" s="200" t="s">
        <v>580</v>
      </c>
      <c r="D160" s="214">
        <v>8</v>
      </c>
      <c r="E160" s="214">
        <v>2140.4375</v>
      </c>
      <c r="F160" s="214">
        <v>17123.5</v>
      </c>
    </row>
    <row r="161" spans="1:6" ht="12.75">
      <c r="A161" s="123">
        <v>147</v>
      </c>
      <c r="B161" s="200" t="s">
        <v>663</v>
      </c>
      <c r="C161" s="200" t="s">
        <v>580</v>
      </c>
      <c r="D161" s="214">
        <v>29</v>
      </c>
      <c r="E161" s="214">
        <v>2210.1993103448276</v>
      </c>
      <c r="F161" s="214">
        <v>64095.78</v>
      </c>
    </row>
    <row r="162" spans="1:6" ht="12.75">
      <c r="A162" s="123">
        <v>148</v>
      </c>
      <c r="B162" s="200" t="s">
        <v>664</v>
      </c>
      <c r="C162" s="200" t="s">
        <v>580</v>
      </c>
      <c r="D162" s="214">
        <v>2</v>
      </c>
      <c r="E162" s="214">
        <v>2050</v>
      </c>
      <c r="F162" s="214">
        <v>4100</v>
      </c>
    </row>
    <row r="163" spans="1:6" ht="12.75">
      <c r="A163" s="123">
        <v>149</v>
      </c>
      <c r="B163" s="200" t="s">
        <v>665</v>
      </c>
      <c r="C163" s="200" t="s">
        <v>580</v>
      </c>
      <c r="D163" s="214">
        <v>4</v>
      </c>
      <c r="E163" s="214">
        <v>2300</v>
      </c>
      <c r="F163" s="214">
        <v>9200</v>
      </c>
    </row>
    <row r="164" spans="1:6" ht="12.75">
      <c r="A164" s="123">
        <v>150</v>
      </c>
      <c r="B164" s="200" t="s">
        <v>666</v>
      </c>
      <c r="C164" s="200" t="s">
        <v>580</v>
      </c>
      <c r="D164" s="214">
        <v>5</v>
      </c>
      <c r="E164" s="214">
        <v>2244.466</v>
      </c>
      <c r="F164" s="214">
        <v>11222.33</v>
      </c>
    </row>
    <row r="165" spans="1:6" ht="12.75">
      <c r="A165" s="123">
        <v>151</v>
      </c>
      <c r="B165" s="200" t="s">
        <v>667</v>
      </c>
      <c r="C165" s="200" t="s">
        <v>580</v>
      </c>
      <c r="D165" s="214">
        <v>12</v>
      </c>
      <c r="E165" s="214">
        <v>8135.5</v>
      </c>
      <c r="F165" s="214">
        <v>97626</v>
      </c>
    </row>
    <row r="166" spans="1:6" ht="12.75">
      <c r="A166" s="123">
        <v>152</v>
      </c>
      <c r="B166" s="200" t="s">
        <v>668</v>
      </c>
      <c r="C166" s="200" t="s">
        <v>580</v>
      </c>
      <c r="D166" s="214">
        <v>4</v>
      </c>
      <c r="E166" s="214">
        <v>8052.9175</v>
      </c>
      <c r="F166" s="214">
        <v>32211.67</v>
      </c>
    </row>
    <row r="167" spans="1:6" ht="12.75">
      <c r="A167" s="123">
        <v>153</v>
      </c>
      <c r="B167" s="200" t="s">
        <v>669</v>
      </c>
      <c r="C167" s="200" t="s">
        <v>580</v>
      </c>
      <c r="D167" s="214">
        <v>6</v>
      </c>
      <c r="E167" s="214">
        <v>2229.75</v>
      </c>
      <c r="F167" s="214">
        <v>13378.5</v>
      </c>
    </row>
    <row r="168" spans="1:6" ht="12.75">
      <c r="A168" s="123">
        <v>154</v>
      </c>
      <c r="B168" s="200" t="s">
        <v>670</v>
      </c>
      <c r="C168" s="200" t="s">
        <v>580</v>
      </c>
      <c r="D168" s="214">
        <v>9</v>
      </c>
      <c r="E168" s="214">
        <v>2308.3144444444442</v>
      </c>
      <c r="F168" s="214">
        <v>20774.83</v>
      </c>
    </row>
    <row r="169" spans="1:6" ht="12.75">
      <c r="A169" s="123">
        <v>155</v>
      </c>
      <c r="B169" s="200" t="s">
        <v>671</v>
      </c>
      <c r="C169" s="200" t="s">
        <v>580</v>
      </c>
      <c r="D169" s="214">
        <v>6</v>
      </c>
      <c r="E169" s="214">
        <v>7966.685</v>
      </c>
      <c r="F169" s="214">
        <v>47800.11</v>
      </c>
    </row>
    <row r="170" spans="1:6" ht="12.75">
      <c r="A170" s="123">
        <v>156</v>
      </c>
      <c r="B170" s="200" t="s">
        <v>672</v>
      </c>
      <c r="C170" s="200" t="s">
        <v>580</v>
      </c>
      <c r="D170" s="214">
        <v>13</v>
      </c>
      <c r="E170" s="214">
        <v>7727.429230769231</v>
      </c>
      <c r="F170" s="214">
        <v>100456.58</v>
      </c>
    </row>
    <row r="171" spans="1:6" ht="12.75">
      <c r="A171" s="123">
        <v>157</v>
      </c>
      <c r="B171" s="200" t="s">
        <v>673</v>
      </c>
      <c r="C171" s="200" t="s">
        <v>580</v>
      </c>
      <c r="D171" s="214">
        <v>1</v>
      </c>
      <c r="E171" s="214">
        <v>7000</v>
      </c>
      <c r="F171" s="214">
        <v>7000</v>
      </c>
    </row>
    <row r="172" spans="1:6" ht="12.75">
      <c r="A172" s="123">
        <v>158</v>
      </c>
      <c r="B172" s="200" t="s">
        <v>674</v>
      </c>
      <c r="C172" s="200" t="s">
        <v>580</v>
      </c>
      <c r="D172" s="214">
        <v>1</v>
      </c>
      <c r="E172" s="214">
        <v>7100</v>
      </c>
      <c r="F172" s="214">
        <v>7100</v>
      </c>
    </row>
    <row r="173" spans="1:6" ht="12.75">
      <c r="A173" s="123">
        <v>159</v>
      </c>
      <c r="B173" s="200" t="s">
        <v>675</v>
      </c>
      <c r="C173" s="200" t="s">
        <v>580</v>
      </c>
      <c r="D173" s="214">
        <v>9</v>
      </c>
      <c r="E173" s="214">
        <v>2130.3888888888887</v>
      </c>
      <c r="F173" s="214">
        <v>19173.5</v>
      </c>
    </row>
    <row r="174" spans="1:6" ht="12.75">
      <c r="A174" s="123">
        <v>160</v>
      </c>
      <c r="B174" s="200" t="s">
        <v>676</v>
      </c>
      <c r="C174" s="200" t="s">
        <v>580</v>
      </c>
      <c r="D174" s="214">
        <v>9</v>
      </c>
      <c r="E174" s="214">
        <v>7381.666666666666</v>
      </c>
      <c r="F174" s="214">
        <v>66435</v>
      </c>
    </row>
    <row r="175" spans="1:6" ht="12.75">
      <c r="A175" s="123">
        <v>161</v>
      </c>
      <c r="B175" s="200" t="s">
        <v>677</v>
      </c>
      <c r="C175" s="200" t="s">
        <v>580</v>
      </c>
      <c r="D175" s="214">
        <v>4</v>
      </c>
      <c r="E175" s="214">
        <v>7100</v>
      </c>
      <c r="F175" s="214">
        <v>28400</v>
      </c>
    </row>
    <row r="176" spans="1:6" ht="12.75">
      <c r="A176" s="123">
        <v>162</v>
      </c>
      <c r="B176" s="200" t="s">
        <v>678</v>
      </c>
      <c r="C176" s="200" t="s">
        <v>580</v>
      </c>
      <c r="D176" s="214">
        <v>2</v>
      </c>
      <c r="E176" s="214">
        <v>3640.175</v>
      </c>
      <c r="F176" s="214">
        <v>7280.35</v>
      </c>
    </row>
    <row r="177" spans="1:6" ht="12.75">
      <c r="A177" s="123">
        <v>163</v>
      </c>
      <c r="B177" s="200" t="s">
        <v>679</v>
      </c>
      <c r="C177" s="200" t="s">
        <v>580</v>
      </c>
      <c r="D177" s="214">
        <v>1</v>
      </c>
      <c r="E177" s="214">
        <v>61770</v>
      </c>
      <c r="F177" s="214">
        <v>61770</v>
      </c>
    </row>
    <row r="178" spans="1:6" ht="12.75">
      <c r="A178" s="123">
        <v>164</v>
      </c>
      <c r="B178" s="200" t="s">
        <v>680</v>
      </c>
      <c r="C178" s="200" t="s">
        <v>580</v>
      </c>
      <c r="D178" s="214">
        <v>39</v>
      </c>
      <c r="E178" s="214">
        <v>681.8376923076924</v>
      </c>
      <c r="F178" s="214">
        <v>26591.67</v>
      </c>
    </row>
    <row r="179" spans="1:6" ht="12.75">
      <c r="A179" s="123">
        <v>165</v>
      </c>
      <c r="B179" s="200" t="s">
        <v>681</v>
      </c>
      <c r="C179" s="200" t="s">
        <v>580</v>
      </c>
      <c r="D179" s="214">
        <v>1519.54</v>
      </c>
      <c r="E179" s="214">
        <v>10</v>
      </c>
      <c r="F179" s="214">
        <v>15195.4</v>
      </c>
    </row>
    <row r="180" spans="1:6" ht="12.75">
      <c r="A180" s="123">
        <v>166</v>
      </c>
      <c r="B180" s="200" t="s">
        <v>682</v>
      </c>
      <c r="C180" s="200" t="s">
        <v>580</v>
      </c>
      <c r="D180" s="214">
        <v>15</v>
      </c>
      <c r="E180" s="214">
        <v>100</v>
      </c>
      <c r="F180" s="214">
        <v>1500</v>
      </c>
    </row>
    <row r="181" spans="1:6" ht="12.75">
      <c r="A181" s="123">
        <v>167</v>
      </c>
      <c r="B181" s="200" t="s">
        <v>577</v>
      </c>
      <c r="C181" s="200" t="s">
        <v>580</v>
      </c>
      <c r="D181" s="214">
        <v>1057</v>
      </c>
      <c r="E181" s="214">
        <v>257.13</v>
      </c>
      <c r="F181" s="214">
        <v>271786.41</v>
      </c>
    </row>
    <row r="182" spans="1:6" ht="12.75">
      <c r="A182" s="123">
        <v>168</v>
      </c>
      <c r="B182" s="200" t="s">
        <v>568</v>
      </c>
      <c r="C182" s="200" t="s">
        <v>580</v>
      </c>
      <c r="D182" s="214">
        <v>9608</v>
      </c>
      <c r="E182" s="214">
        <v>26.446497970400277</v>
      </c>
      <c r="F182" s="214">
        <v>254097.95249960586</v>
      </c>
    </row>
    <row r="183" spans="1:6" ht="12.75">
      <c r="A183" s="123">
        <v>169</v>
      </c>
      <c r="B183" s="200" t="s">
        <v>683</v>
      </c>
      <c r="C183" s="200" t="s">
        <v>580</v>
      </c>
      <c r="D183" s="214">
        <v>3754</v>
      </c>
      <c r="E183" s="214">
        <v>76.87</v>
      </c>
      <c r="F183" s="214">
        <v>288569.98</v>
      </c>
    </row>
    <row r="184" spans="1:6" ht="12.75">
      <c r="A184" s="123">
        <v>170</v>
      </c>
      <c r="B184" s="200" t="s">
        <v>578</v>
      </c>
      <c r="C184" s="200" t="s">
        <v>580</v>
      </c>
      <c r="D184" s="214">
        <v>0</v>
      </c>
      <c r="E184" s="214">
        <v>0</v>
      </c>
      <c r="F184" s="214">
        <v>4.656612873077393E-12</v>
      </c>
    </row>
    <row r="185" spans="1:6" ht="12.75">
      <c r="A185" s="123">
        <v>171</v>
      </c>
      <c r="B185" s="200" t="s">
        <v>465</v>
      </c>
      <c r="C185" s="200" t="s">
        <v>580</v>
      </c>
      <c r="D185" s="214">
        <v>0</v>
      </c>
      <c r="E185" s="214">
        <v>0</v>
      </c>
      <c r="F185" s="214">
        <v>0</v>
      </c>
    </row>
    <row r="186" spans="1:6" ht="12.75">
      <c r="A186" s="123">
        <v>172</v>
      </c>
      <c r="B186" s="200" t="s">
        <v>464</v>
      </c>
      <c r="C186" s="200" t="s">
        <v>580</v>
      </c>
      <c r="D186" s="214">
        <v>0</v>
      </c>
      <c r="E186" s="214">
        <v>0</v>
      </c>
      <c r="F186" s="214">
        <v>0</v>
      </c>
    </row>
    <row r="187" spans="1:6" ht="12.75">
      <c r="A187" s="123">
        <v>173</v>
      </c>
      <c r="B187" s="200" t="s">
        <v>452</v>
      </c>
      <c r="C187" s="200" t="s">
        <v>580</v>
      </c>
      <c r="D187" s="214">
        <v>7</v>
      </c>
      <c r="E187" s="214">
        <v>490.2083793103269</v>
      </c>
      <c r="F187" s="214">
        <v>3431.458655172288</v>
      </c>
    </row>
    <row r="188" spans="1:6" ht="12.75">
      <c r="A188" s="123">
        <v>174</v>
      </c>
      <c r="B188" s="200" t="s">
        <v>684</v>
      </c>
      <c r="C188" s="200" t="s">
        <v>579</v>
      </c>
      <c r="D188" s="214">
        <v>0</v>
      </c>
      <c r="E188" s="214">
        <v>0</v>
      </c>
      <c r="F188" s="214">
        <v>0</v>
      </c>
    </row>
    <row r="189" spans="1:6" ht="12.75">
      <c r="A189" s="123">
        <v>175</v>
      </c>
      <c r="B189" s="200" t="s">
        <v>488</v>
      </c>
      <c r="C189" s="200" t="s">
        <v>580</v>
      </c>
      <c r="D189" s="214">
        <v>0</v>
      </c>
      <c r="E189" s="214">
        <v>0</v>
      </c>
      <c r="F189" s="214">
        <v>0</v>
      </c>
    </row>
    <row r="190" spans="1:6" ht="12.75">
      <c r="A190" s="123">
        <v>176</v>
      </c>
      <c r="B190" s="200" t="s">
        <v>476</v>
      </c>
      <c r="C190" s="200" t="s">
        <v>580</v>
      </c>
      <c r="D190" s="214">
        <v>0</v>
      </c>
      <c r="E190" s="214">
        <v>0</v>
      </c>
      <c r="F190" s="214">
        <v>0</v>
      </c>
    </row>
    <row r="191" spans="1:6" ht="12.75">
      <c r="A191" s="123">
        <v>177</v>
      </c>
      <c r="B191" s="200" t="s">
        <v>468</v>
      </c>
      <c r="C191" s="200" t="s">
        <v>580</v>
      </c>
      <c r="D191" s="214">
        <v>360</v>
      </c>
      <c r="E191" s="214">
        <v>65.88479999999991</v>
      </c>
      <c r="F191" s="214">
        <v>23718.52799999997</v>
      </c>
    </row>
    <row r="192" spans="1:6" ht="12.75">
      <c r="A192" s="123">
        <v>178</v>
      </c>
      <c r="B192" s="200" t="s">
        <v>477</v>
      </c>
      <c r="C192" s="200" t="s">
        <v>580</v>
      </c>
      <c r="D192" s="214">
        <v>7</v>
      </c>
      <c r="E192" s="214">
        <v>75.9099526066353</v>
      </c>
      <c r="F192" s="214">
        <v>531.3696682464471</v>
      </c>
    </row>
    <row r="193" spans="1:6" ht="12.75">
      <c r="A193" s="123">
        <v>179</v>
      </c>
      <c r="B193" s="200" t="s">
        <v>483</v>
      </c>
      <c r="C193" s="200" t="s">
        <v>580</v>
      </c>
      <c r="D193" s="214">
        <v>348</v>
      </c>
      <c r="E193" s="214">
        <v>178.91899999999998</v>
      </c>
      <c r="F193" s="214">
        <v>62263.812000000005</v>
      </c>
    </row>
    <row r="194" spans="1:6" ht="12.75">
      <c r="A194" s="123">
        <v>180</v>
      </c>
      <c r="B194" s="200" t="s">
        <v>482</v>
      </c>
      <c r="C194" s="200" t="s">
        <v>580</v>
      </c>
      <c r="D194" s="214">
        <v>53</v>
      </c>
      <c r="E194" s="214">
        <v>85</v>
      </c>
      <c r="F194" s="214">
        <v>4505</v>
      </c>
    </row>
    <row r="195" spans="1:6" ht="12.75">
      <c r="A195" s="123">
        <v>181</v>
      </c>
      <c r="B195" s="200" t="s">
        <v>478</v>
      </c>
      <c r="C195" s="200" t="s">
        <v>580</v>
      </c>
      <c r="D195" s="214">
        <v>120</v>
      </c>
      <c r="E195" s="214">
        <v>288.2459999999999</v>
      </c>
      <c r="F195" s="214">
        <v>34589.52</v>
      </c>
    </row>
    <row r="196" spans="1:6" ht="12.75">
      <c r="A196" s="123">
        <v>182</v>
      </c>
      <c r="B196" s="200" t="s">
        <v>479</v>
      </c>
      <c r="C196" s="200" t="s">
        <v>580</v>
      </c>
      <c r="D196" s="214">
        <v>292</v>
      </c>
      <c r="E196" s="214">
        <v>151.393</v>
      </c>
      <c r="F196" s="214">
        <v>44206.755999999994</v>
      </c>
    </row>
    <row r="197" spans="1:6" ht="12.75">
      <c r="A197" s="123">
        <v>183</v>
      </c>
      <c r="B197" s="200" t="s">
        <v>480</v>
      </c>
      <c r="C197" s="200" t="s">
        <v>580</v>
      </c>
      <c r="D197" s="214">
        <v>180</v>
      </c>
      <c r="E197" s="214">
        <v>250.48660000000004</v>
      </c>
      <c r="F197" s="214">
        <v>45087.58800000001</v>
      </c>
    </row>
    <row r="198" spans="1:6" ht="12.75">
      <c r="A198" s="123">
        <v>184</v>
      </c>
      <c r="B198" s="200" t="s">
        <v>485</v>
      </c>
      <c r="C198" s="200" t="s">
        <v>580</v>
      </c>
      <c r="D198" s="214">
        <v>10</v>
      </c>
      <c r="E198" s="214">
        <v>253.2391999999904</v>
      </c>
      <c r="F198" s="214">
        <v>2532.391999999904</v>
      </c>
    </row>
    <row r="199" spans="1:6" ht="12.75">
      <c r="A199" s="123">
        <v>185</v>
      </c>
      <c r="B199" s="200" t="s">
        <v>486</v>
      </c>
      <c r="C199" s="200" t="s">
        <v>580</v>
      </c>
      <c r="D199" s="214">
        <v>0</v>
      </c>
      <c r="E199" s="214">
        <v>0</v>
      </c>
      <c r="F199" s="214">
        <v>0</v>
      </c>
    </row>
    <row r="200" spans="1:6" ht="12.75">
      <c r="A200" s="123">
        <v>186</v>
      </c>
      <c r="B200" s="200" t="s">
        <v>487</v>
      </c>
      <c r="C200" s="200" t="s">
        <v>580</v>
      </c>
      <c r="D200" s="214">
        <v>241</v>
      </c>
      <c r="E200" s="214">
        <v>155.52189999999973</v>
      </c>
      <c r="F200" s="214">
        <v>37480.777899999935</v>
      </c>
    </row>
    <row r="201" spans="1:6" ht="12.75">
      <c r="A201" s="123">
        <v>187</v>
      </c>
      <c r="B201" s="200" t="s">
        <v>481</v>
      </c>
      <c r="C201" s="200" t="s">
        <v>580</v>
      </c>
      <c r="D201" s="214">
        <v>0</v>
      </c>
      <c r="E201" s="214">
        <v>0</v>
      </c>
      <c r="F201" s="214">
        <v>0</v>
      </c>
    </row>
    <row r="202" spans="1:6" ht="12.75">
      <c r="A202" s="123">
        <v>188</v>
      </c>
      <c r="B202" s="200" t="s">
        <v>685</v>
      </c>
      <c r="C202" s="200" t="s">
        <v>580</v>
      </c>
      <c r="D202" s="214">
        <v>150</v>
      </c>
      <c r="E202" s="214">
        <v>612.4535</v>
      </c>
      <c r="F202" s="214">
        <v>91868.025</v>
      </c>
    </row>
    <row r="203" spans="1:6" ht="12.75">
      <c r="A203" s="123">
        <v>189</v>
      </c>
      <c r="B203" s="200" t="s">
        <v>469</v>
      </c>
      <c r="C203" s="200" t="s">
        <v>580</v>
      </c>
      <c r="D203" s="214">
        <v>231</v>
      </c>
      <c r="E203" s="214">
        <v>155.52189999999956</v>
      </c>
      <c r="F203" s="214">
        <v>35925.558899999894</v>
      </c>
    </row>
    <row r="204" spans="1:6" ht="12.75">
      <c r="A204" s="123">
        <v>190</v>
      </c>
      <c r="B204" s="200" t="s">
        <v>470</v>
      </c>
      <c r="C204" s="200" t="s">
        <v>580</v>
      </c>
      <c r="D204" s="214">
        <v>763</v>
      </c>
      <c r="E204" s="214">
        <v>273.88369999999964</v>
      </c>
      <c r="F204" s="214">
        <v>208973.26309999972</v>
      </c>
    </row>
    <row r="205" spans="1:6" ht="12.75">
      <c r="A205" s="123">
        <v>191</v>
      </c>
      <c r="B205" s="200" t="s">
        <v>471</v>
      </c>
      <c r="C205" s="200" t="s">
        <v>580</v>
      </c>
      <c r="D205" s="214">
        <v>111</v>
      </c>
      <c r="E205" s="214">
        <v>386.7403000000005</v>
      </c>
      <c r="F205" s="214">
        <v>42928.17330000007</v>
      </c>
    </row>
    <row r="206" spans="1:6" ht="12.75">
      <c r="A206" s="123">
        <v>192</v>
      </c>
      <c r="B206" s="200" t="s">
        <v>484</v>
      </c>
      <c r="C206" s="200" t="s">
        <v>580</v>
      </c>
      <c r="D206" s="214">
        <v>0</v>
      </c>
      <c r="E206" s="214">
        <v>0</v>
      </c>
      <c r="F206" s="214">
        <v>0</v>
      </c>
    </row>
    <row r="207" spans="1:6" ht="12.75">
      <c r="A207" s="123">
        <v>193</v>
      </c>
      <c r="B207" s="200" t="s">
        <v>473</v>
      </c>
      <c r="C207" s="200" t="s">
        <v>580</v>
      </c>
      <c r="D207" s="214">
        <v>0</v>
      </c>
      <c r="E207" s="214">
        <v>0</v>
      </c>
      <c r="F207" s="214">
        <v>0</v>
      </c>
    </row>
    <row r="208" spans="1:6" ht="12.75">
      <c r="A208" s="123">
        <v>194</v>
      </c>
      <c r="B208" s="200" t="s">
        <v>475</v>
      </c>
      <c r="C208" s="200" t="s">
        <v>580</v>
      </c>
      <c r="D208" s="214">
        <v>0</v>
      </c>
      <c r="E208" s="214">
        <v>0</v>
      </c>
      <c r="F208" s="214">
        <v>0</v>
      </c>
    </row>
    <row r="209" spans="1:6" ht="12.75">
      <c r="A209" s="123">
        <v>195</v>
      </c>
      <c r="B209" s="200" t="s">
        <v>686</v>
      </c>
      <c r="C209" s="200" t="s">
        <v>580</v>
      </c>
      <c r="D209" s="214">
        <v>5</v>
      </c>
      <c r="E209" s="214">
        <v>659.8560000000001</v>
      </c>
      <c r="F209" s="214">
        <v>3299.28</v>
      </c>
    </row>
    <row r="210" spans="1:6" ht="12.75">
      <c r="A210" s="123">
        <v>196</v>
      </c>
      <c r="B210" s="200" t="s">
        <v>511</v>
      </c>
      <c r="C210" s="200" t="s">
        <v>580</v>
      </c>
      <c r="D210" s="214">
        <v>180</v>
      </c>
      <c r="E210" s="214">
        <v>398.435671140939</v>
      </c>
      <c r="F210" s="214">
        <v>71718.42080536902</v>
      </c>
    </row>
    <row r="211" spans="1:6" ht="12.75">
      <c r="A211" s="123">
        <v>197</v>
      </c>
      <c r="B211" s="200" t="s">
        <v>512</v>
      </c>
      <c r="C211" s="200" t="s">
        <v>580</v>
      </c>
      <c r="D211" s="214">
        <v>0</v>
      </c>
      <c r="E211" s="214">
        <v>0</v>
      </c>
      <c r="F211" s="214">
        <v>0</v>
      </c>
    </row>
    <row r="212" spans="1:6" ht="12.75">
      <c r="A212" s="123">
        <v>198</v>
      </c>
      <c r="B212" s="200" t="s">
        <v>513</v>
      </c>
      <c r="C212" s="200" t="s">
        <v>580</v>
      </c>
      <c r="D212" s="214">
        <v>0</v>
      </c>
      <c r="E212" s="214">
        <v>0</v>
      </c>
      <c r="F212" s="214">
        <v>0</v>
      </c>
    </row>
    <row r="213" spans="1:6" ht="12.75">
      <c r="A213" s="123">
        <v>199</v>
      </c>
      <c r="B213" s="200" t="s">
        <v>515</v>
      </c>
      <c r="C213" s="200" t="s">
        <v>580</v>
      </c>
      <c r="D213" s="214">
        <v>0</v>
      </c>
      <c r="E213" s="214">
        <v>0</v>
      </c>
      <c r="F213" s="214">
        <v>0</v>
      </c>
    </row>
    <row r="214" spans="1:6" ht="12.75">
      <c r="A214" s="123">
        <v>200</v>
      </c>
      <c r="B214" s="200" t="s">
        <v>514</v>
      </c>
      <c r="C214" s="200" t="s">
        <v>580</v>
      </c>
      <c r="D214" s="214">
        <v>0</v>
      </c>
      <c r="E214" s="214">
        <v>0</v>
      </c>
      <c r="F214" s="214">
        <v>0</v>
      </c>
    </row>
    <row r="215" spans="1:6" ht="12.75">
      <c r="A215" s="123">
        <v>201</v>
      </c>
      <c r="B215" s="200" t="s">
        <v>516</v>
      </c>
      <c r="C215" s="200" t="s">
        <v>580</v>
      </c>
      <c r="D215" s="214">
        <v>15.49</v>
      </c>
      <c r="E215" s="214">
        <v>323.53360921604343</v>
      </c>
      <c r="F215" s="214">
        <v>5011.535606756513</v>
      </c>
    </row>
    <row r="216" spans="1:6" ht="12.75">
      <c r="A216" s="123">
        <v>202</v>
      </c>
      <c r="B216" s="200" t="s">
        <v>541</v>
      </c>
      <c r="C216" s="200" t="s">
        <v>580</v>
      </c>
      <c r="D216" s="214">
        <v>2138</v>
      </c>
      <c r="E216" s="214">
        <v>407.1458499061916</v>
      </c>
      <c r="F216" s="214">
        <v>870477.8270994376</v>
      </c>
    </row>
    <row r="217" spans="1:6" ht="12.75">
      <c r="A217" s="123">
        <v>203</v>
      </c>
      <c r="B217" s="200" t="s">
        <v>542</v>
      </c>
      <c r="C217" s="200" t="s">
        <v>580</v>
      </c>
      <c r="D217" s="214">
        <v>24</v>
      </c>
      <c r="E217" s="214">
        <v>963.41</v>
      </c>
      <c r="F217" s="214">
        <v>23121.84</v>
      </c>
    </row>
    <row r="218" spans="1:6" ht="12.75">
      <c r="A218" s="123">
        <v>204</v>
      </c>
      <c r="B218" s="200" t="s">
        <v>544</v>
      </c>
      <c r="C218" s="200" t="s">
        <v>580</v>
      </c>
      <c r="D218" s="214">
        <v>67</v>
      </c>
      <c r="E218" s="214">
        <v>112.81</v>
      </c>
      <c r="F218" s="214">
        <v>7558.27</v>
      </c>
    </row>
    <row r="219" spans="1:6" ht="12.75">
      <c r="A219" s="123">
        <v>205</v>
      </c>
      <c r="B219" s="200" t="s">
        <v>543</v>
      </c>
      <c r="C219" s="200" t="s">
        <v>580</v>
      </c>
      <c r="D219" s="214">
        <v>84</v>
      </c>
      <c r="E219" s="214">
        <v>1858.005</v>
      </c>
      <c r="F219" s="214">
        <v>156072.42</v>
      </c>
    </row>
    <row r="220" spans="1:6" ht="12.75">
      <c r="A220" s="123">
        <v>206</v>
      </c>
      <c r="B220" s="200" t="s">
        <v>546</v>
      </c>
      <c r="C220" s="200" t="s">
        <v>580</v>
      </c>
      <c r="D220" s="214">
        <v>913</v>
      </c>
      <c r="E220" s="214">
        <v>405.16798010313005</v>
      </c>
      <c r="F220" s="214">
        <v>369918.3658341576</v>
      </c>
    </row>
    <row r="221" spans="1:6" ht="12.75">
      <c r="A221" s="123">
        <v>207</v>
      </c>
      <c r="B221" s="200" t="s">
        <v>547</v>
      </c>
      <c r="C221" s="200" t="s">
        <v>580</v>
      </c>
      <c r="D221" s="214">
        <v>44</v>
      </c>
      <c r="E221" s="214">
        <v>963.41</v>
      </c>
      <c r="F221" s="214">
        <v>42390.04</v>
      </c>
    </row>
    <row r="222" spans="1:6" ht="12.75">
      <c r="A222" s="123">
        <v>208</v>
      </c>
      <c r="B222" s="200" t="s">
        <v>545</v>
      </c>
      <c r="C222" s="200" t="s">
        <v>580</v>
      </c>
      <c r="D222" s="214">
        <v>131</v>
      </c>
      <c r="E222" s="214">
        <v>206.81</v>
      </c>
      <c r="F222" s="214">
        <v>27092.11</v>
      </c>
    </row>
    <row r="223" spans="1:6" ht="12.75">
      <c r="A223" s="123">
        <v>209</v>
      </c>
      <c r="B223" s="200" t="s">
        <v>548</v>
      </c>
      <c r="C223" s="200" t="s">
        <v>580</v>
      </c>
      <c r="D223" s="214">
        <v>108</v>
      </c>
      <c r="E223" s="214">
        <v>1858.005</v>
      </c>
      <c r="F223" s="214">
        <v>200664.54</v>
      </c>
    </row>
    <row r="224" spans="1:6" ht="12.75">
      <c r="A224" s="123">
        <v>210</v>
      </c>
      <c r="B224" s="200" t="s">
        <v>552</v>
      </c>
      <c r="C224" s="200" t="s">
        <v>580</v>
      </c>
      <c r="D224" s="214">
        <v>0</v>
      </c>
      <c r="E224" s="214">
        <v>0</v>
      </c>
      <c r="F224" s="214">
        <v>0</v>
      </c>
    </row>
    <row r="225" spans="1:6" ht="12.75">
      <c r="A225" s="123">
        <v>211</v>
      </c>
      <c r="B225" s="200" t="s">
        <v>555</v>
      </c>
      <c r="C225" s="200" t="s">
        <v>580</v>
      </c>
      <c r="D225" s="214">
        <v>680</v>
      </c>
      <c r="E225" s="214">
        <v>116.77583333333334</v>
      </c>
      <c r="F225" s="214">
        <v>79407.56666666667</v>
      </c>
    </row>
    <row r="226" spans="1:6" ht="12.75">
      <c r="A226" s="123">
        <v>212</v>
      </c>
      <c r="B226" s="200" t="s">
        <v>556</v>
      </c>
      <c r="C226" s="200" t="s">
        <v>580</v>
      </c>
      <c r="D226" s="214">
        <v>0</v>
      </c>
      <c r="E226" s="214">
        <v>0</v>
      </c>
      <c r="F226" s="214">
        <v>0</v>
      </c>
    </row>
    <row r="227" spans="1:6" ht="12.75">
      <c r="A227" s="123">
        <v>213</v>
      </c>
      <c r="B227" s="200" t="s">
        <v>687</v>
      </c>
      <c r="C227" s="200" t="s">
        <v>580</v>
      </c>
      <c r="D227" s="214">
        <v>410</v>
      </c>
      <c r="E227" s="214">
        <v>117.52</v>
      </c>
      <c r="F227" s="214">
        <v>48183.2</v>
      </c>
    </row>
    <row r="228" spans="1:6" ht="12.75">
      <c r="A228" s="123">
        <v>214</v>
      </c>
      <c r="B228" s="200" t="s">
        <v>558</v>
      </c>
      <c r="C228" s="200" t="s">
        <v>580</v>
      </c>
      <c r="D228" s="214">
        <v>3</v>
      </c>
      <c r="E228" s="214">
        <v>447.2975000000008</v>
      </c>
      <c r="F228" s="214">
        <v>1341.8925000000024</v>
      </c>
    </row>
    <row r="229" spans="1:6" ht="12.75">
      <c r="A229" s="123">
        <v>215</v>
      </c>
      <c r="B229" s="200" t="s">
        <v>688</v>
      </c>
      <c r="C229" s="200" t="s">
        <v>580</v>
      </c>
      <c r="D229" s="214">
        <v>120</v>
      </c>
      <c r="E229" s="214">
        <v>412.89</v>
      </c>
      <c r="F229" s="214">
        <v>49546.8</v>
      </c>
    </row>
    <row r="230" spans="1:6" ht="12.75">
      <c r="A230" s="123">
        <v>216</v>
      </c>
      <c r="B230" s="200" t="s">
        <v>689</v>
      </c>
      <c r="C230" s="200" t="s">
        <v>580</v>
      </c>
      <c r="D230" s="214">
        <v>100</v>
      </c>
      <c r="E230" s="214">
        <v>650.9899</v>
      </c>
      <c r="F230" s="214">
        <v>65098.99</v>
      </c>
    </row>
    <row r="231" spans="1:6" ht="12.75">
      <c r="A231" s="123">
        <v>217</v>
      </c>
      <c r="B231" s="200" t="s">
        <v>690</v>
      </c>
      <c r="C231" s="200" t="s">
        <v>580</v>
      </c>
      <c r="D231" s="214">
        <v>165.6</v>
      </c>
      <c r="E231" s="214">
        <v>110.10399999999994</v>
      </c>
      <c r="F231" s="214">
        <v>18233.222399999988</v>
      </c>
    </row>
    <row r="232" spans="1:6" ht="12.75">
      <c r="A232" s="123">
        <v>218</v>
      </c>
      <c r="B232" s="200" t="s">
        <v>691</v>
      </c>
      <c r="C232" s="200" t="s">
        <v>580</v>
      </c>
      <c r="D232" s="214">
        <v>520</v>
      </c>
      <c r="E232" s="214">
        <v>481.705</v>
      </c>
      <c r="F232" s="214">
        <v>250486.6</v>
      </c>
    </row>
    <row r="233" spans="1:6" ht="12.75">
      <c r="A233" s="123">
        <v>219</v>
      </c>
      <c r="B233" s="200" t="s">
        <v>692</v>
      </c>
      <c r="C233" s="200" t="s">
        <v>580</v>
      </c>
      <c r="D233" s="214">
        <v>120</v>
      </c>
      <c r="E233" s="214">
        <v>302.786</v>
      </c>
      <c r="F233" s="214">
        <v>36334.32</v>
      </c>
    </row>
    <row r="234" spans="1:6" ht="12.75">
      <c r="A234" s="123">
        <v>220</v>
      </c>
      <c r="B234" s="200" t="s">
        <v>693</v>
      </c>
      <c r="C234" s="200" t="s">
        <v>580</v>
      </c>
      <c r="D234" s="214">
        <v>120</v>
      </c>
      <c r="E234" s="214">
        <v>344.075</v>
      </c>
      <c r="F234" s="214">
        <v>41289</v>
      </c>
    </row>
    <row r="235" spans="1:6" ht="12.75">
      <c r="A235" s="123">
        <v>221</v>
      </c>
      <c r="B235" s="200" t="s">
        <v>694</v>
      </c>
      <c r="C235" s="200" t="s">
        <v>580</v>
      </c>
      <c r="D235" s="214">
        <v>180</v>
      </c>
      <c r="E235" s="214">
        <v>371.6009999999999</v>
      </c>
      <c r="F235" s="214">
        <v>66888.18</v>
      </c>
    </row>
    <row r="236" spans="1:8" ht="12.75">
      <c r="A236" s="123"/>
      <c r="B236" s="216" t="s">
        <v>125</v>
      </c>
      <c r="C236" s="217"/>
      <c r="D236" s="217"/>
      <c r="E236" s="199"/>
      <c r="F236" s="218">
        <f>SUM(F11:F235)</f>
        <v>13306611.915063167</v>
      </c>
      <c r="H236" s="235"/>
    </row>
    <row r="238" ht="12.75">
      <c r="E238" s="209" t="s">
        <v>394</v>
      </c>
    </row>
    <row r="239" ht="12.75">
      <c r="E239" s="209"/>
    </row>
    <row r="240" ht="12.75">
      <c r="E240" s="209" t="s">
        <v>903</v>
      </c>
    </row>
    <row r="248" spans="2:6" ht="12.75">
      <c r="B248" s="264" t="s">
        <v>907</v>
      </c>
      <c r="C248" s="264"/>
      <c r="D248" s="264"/>
      <c r="F248"/>
    </row>
    <row r="249" spans="2:6" ht="15.75">
      <c r="B249" s="263"/>
      <c r="C249" s="264" t="s">
        <v>908</v>
      </c>
      <c r="D249" s="265"/>
      <c r="E249" s="265"/>
      <c r="F249" s="265"/>
    </row>
    <row r="250" spans="2:6" ht="12.75">
      <c r="B250" s="266"/>
      <c r="F250" s="264" t="s">
        <v>844</v>
      </c>
    </row>
    <row r="251" spans="2:6" ht="12.75">
      <c r="B251" s="266" t="s">
        <v>895</v>
      </c>
      <c r="C251" s="264" t="s">
        <v>896</v>
      </c>
      <c r="F251" s="265"/>
    </row>
    <row r="252" spans="2:6" ht="12.75">
      <c r="B252" s="266" t="s">
        <v>897</v>
      </c>
      <c r="C252" s="264" t="s">
        <v>383</v>
      </c>
      <c r="F252" s="265"/>
    </row>
    <row r="253" spans="2:6" ht="12.75">
      <c r="B253" s="266" t="s">
        <v>898</v>
      </c>
      <c r="C253" s="264" t="s">
        <v>899</v>
      </c>
      <c r="F253" s="265"/>
    </row>
    <row r="254" spans="2:3" ht="12.75">
      <c r="B254" s="267" t="s">
        <v>900</v>
      </c>
      <c r="C254" s="264" t="s">
        <v>901</v>
      </c>
    </row>
    <row r="255" spans="2:3" ht="12.75">
      <c r="B255" s="267" t="s">
        <v>902</v>
      </c>
      <c r="C255" s="268">
        <f>+35582254944</f>
        <v>35582254944</v>
      </c>
    </row>
    <row r="258" spans="1:6" ht="12.75">
      <c r="A258" s="123">
        <v>1</v>
      </c>
      <c r="B258" s="197" t="s">
        <v>910</v>
      </c>
      <c r="C258" s="198" t="s">
        <v>412</v>
      </c>
      <c r="D258" s="199" t="s">
        <v>905</v>
      </c>
      <c r="E258" s="199" t="s">
        <v>904</v>
      </c>
      <c r="F258" s="199" t="s">
        <v>244</v>
      </c>
    </row>
    <row r="259" spans="1:8" ht="12.75">
      <c r="A259" s="123">
        <v>2</v>
      </c>
      <c r="B259" s="212" t="s">
        <v>439</v>
      </c>
      <c r="C259" s="212" t="s">
        <v>580</v>
      </c>
      <c r="D259" s="213">
        <v>3882</v>
      </c>
      <c r="E259" s="213">
        <v>124</v>
      </c>
      <c r="F259" s="213">
        <f aca="true" t="shared" si="0" ref="F259:F290">D259*E259</f>
        <v>481368</v>
      </c>
      <c r="H259">
        <f>D259*E259</f>
        <v>481368</v>
      </c>
    </row>
    <row r="260" spans="1:8" ht="12.75">
      <c r="A260" s="123">
        <v>3</v>
      </c>
      <c r="B260" s="212" t="s">
        <v>817</v>
      </c>
      <c r="C260" s="212" t="s">
        <v>580</v>
      </c>
      <c r="D260" s="213">
        <v>0</v>
      </c>
      <c r="E260" s="213">
        <v>0</v>
      </c>
      <c r="F260" s="213">
        <f t="shared" si="0"/>
        <v>0</v>
      </c>
      <c r="H260">
        <f aca="true" t="shared" si="1" ref="H260:H318">D260*E260</f>
        <v>0</v>
      </c>
    </row>
    <row r="261" spans="1:8" ht="12.75">
      <c r="A261" s="123">
        <v>4</v>
      </c>
      <c r="B261" s="212" t="s">
        <v>441</v>
      </c>
      <c r="C261" s="212" t="s">
        <v>580</v>
      </c>
      <c r="D261" s="213">
        <v>163</v>
      </c>
      <c r="E261" s="213">
        <v>572</v>
      </c>
      <c r="F261" s="213">
        <f t="shared" si="0"/>
        <v>93236</v>
      </c>
      <c r="H261">
        <f t="shared" si="1"/>
        <v>93236</v>
      </c>
    </row>
    <row r="262" spans="1:8" ht="12.75">
      <c r="A262" s="123">
        <v>5</v>
      </c>
      <c r="B262" s="212" t="s">
        <v>440</v>
      </c>
      <c r="C262" s="212" t="s">
        <v>580</v>
      </c>
      <c r="D262" s="213">
        <v>493</v>
      </c>
      <c r="E262" s="213">
        <v>700</v>
      </c>
      <c r="F262" s="213">
        <f t="shared" si="0"/>
        <v>345100</v>
      </c>
      <c r="H262">
        <f t="shared" si="1"/>
        <v>345100</v>
      </c>
    </row>
    <row r="263" spans="1:8" ht="12.75">
      <c r="A263" s="123">
        <v>6</v>
      </c>
      <c r="B263" s="212" t="s">
        <v>818</v>
      </c>
      <c r="C263" s="212" t="s">
        <v>580</v>
      </c>
      <c r="D263" s="213">
        <v>127</v>
      </c>
      <c r="E263" s="213">
        <v>80</v>
      </c>
      <c r="F263" s="213">
        <f t="shared" si="0"/>
        <v>10160</v>
      </c>
      <c r="H263">
        <f t="shared" si="1"/>
        <v>10160</v>
      </c>
    </row>
    <row r="264" spans="1:8" ht="12.75">
      <c r="A264" s="123">
        <v>7</v>
      </c>
      <c r="B264" s="212" t="s">
        <v>446</v>
      </c>
      <c r="C264" s="212" t="s">
        <v>580</v>
      </c>
      <c r="D264" s="213">
        <v>6</v>
      </c>
      <c r="E264" s="213">
        <v>1990</v>
      </c>
      <c r="F264" s="213">
        <f t="shared" si="0"/>
        <v>11940</v>
      </c>
      <c r="H264">
        <f t="shared" si="1"/>
        <v>11940</v>
      </c>
    </row>
    <row r="265" spans="1:8" ht="12.75">
      <c r="A265" s="123">
        <v>8</v>
      </c>
      <c r="B265" s="212" t="s">
        <v>819</v>
      </c>
      <c r="C265" s="212" t="s">
        <v>580</v>
      </c>
      <c r="D265" s="213">
        <v>2570</v>
      </c>
      <c r="E265" s="213">
        <v>2110</v>
      </c>
      <c r="F265" s="213">
        <f t="shared" si="0"/>
        <v>5422700</v>
      </c>
      <c r="H265">
        <f t="shared" si="1"/>
        <v>5422700</v>
      </c>
    </row>
    <row r="266" spans="1:8" ht="12.75">
      <c r="A266" s="123">
        <v>9</v>
      </c>
      <c r="B266" s="212" t="s">
        <v>445</v>
      </c>
      <c r="C266" s="212" t="s">
        <v>580</v>
      </c>
      <c r="D266" s="213">
        <v>96</v>
      </c>
      <c r="E266" s="213">
        <v>150</v>
      </c>
      <c r="F266" s="213">
        <f t="shared" si="0"/>
        <v>14400</v>
      </c>
      <c r="H266">
        <f t="shared" si="1"/>
        <v>14400</v>
      </c>
    </row>
    <row r="267" spans="1:8" ht="12.75">
      <c r="A267" s="123">
        <v>10</v>
      </c>
      <c r="B267" s="212" t="s">
        <v>443</v>
      </c>
      <c r="C267" s="212" t="s">
        <v>580</v>
      </c>
      <c r="D267" s="213">
        <v>36</v>
      </c>
      <c r="E267" s="213">
        <v>680</v>
      </c>
      <c r="F267" s="213">
        <f t="shared" si="0"/>
        <v>24480</v>
      </c>
      <c r="H267">
        <f t="shared" si="1"/>
        <v>24480</v>
      </c>
    </row>
    <row r="268" spans="1:8" ht="12.75">
      <c r="A268" s="123">
        <v>11</v>
      </c>
      <c r="B268" s="212" t="s">
        <v>424</v>
      </c>
      <c r="C268" s="212" t="s">
        <v>580</v>
      </c>
      <c r="D268" s="213">
        <v>181</v>
      </c>
      <c r="E268" s="213">
        <v>750</v>
      </c>
      <c r="F268" s="213">
        <f t="shared" si="0"/>
        <v>135750</v>
      </c>
      <c r="H268">
        <f t="shared" si="1"/>
        <v>135750</v>
      </c>
    </row>
    <row r="269" spans="1:8" ht="12.75">
      <c r="A269" s="123">
        <v>12</v>
      </c>
      <c r="B269" s="212" t="s">
        <v>422</v>
      </c>
      <c r="C269" s="212" t="s">
        <v>580</v>
      </c>
      <c r="D269" s="213">
        <v>1892</v>
      </c>
      <c r="E269" s="213">
        <v>64</v>
      </c>
      <c r="F269" s="213">
        <f t="shared" si="0"/>
        <v>121088</v>
      </c>
      <c r="H269">
        <f t="shared" si="1"/>
        <v>121088</v>
      </c>
    </row>
    <row r="270" spans="1:8" ht="12.75">
      <c r="A270" s="123">
        <v>13</v>
      </c>
      <c r="B270" s="212" t="s">
        <v>423</v>
      </c>
      <c r="C270" s="212" t="s">
        <v>580</v>
      </c>
      <c r="D270" s="213">
        <v>263</v>
      </c>
      <c r="E270" s="213">
        <v>260</v>
      </c>
      <c r="F270" s="213">
        <f t="shared" si="0"/>
        <v>68380</v>
      </c>
      <c r="H270">
        <f t="shared" si="1"/>
        <v>68380</v>
      </c>
    </row>
    <row r="271" spans="1:8" ht="12.75">
      <c r="A271" s="123">
        <v>14</v>
      </c>
      <c r="B271" s="212" t="s">
        <v>444</v>
      </c>
      <c r="C271" s="212" t="s">
        <v>580</v>
      </c>
      <c r="D271" s="213">
        <v>4881</v>
      </c>
      <c r="E271" s="213">
        <v>207</v>
      </c>
      <c r="F271" s="213">
        <f t="shared" si="0"/>
        <v>1010367</v>
      </c>
      <c r="H271">
        <f t="shared" si="1"/>
        <v>1010367</v>
      </c>
    </row>
    <row r="272" spans="1:8" ht="12.75">
      <c r="A272" s="123">
        <v>15</v>
      </c>
      <c r="B272" s="212" t="s">
        <v>820</v>
      </c>
      <c r="C272" s="212" t="s">
        <v>580</v>
      </c>
      <c r="D272" s="213">
        <v>166</v>
      </c>
      <c r="E272" s="213">
        <v>487</v>
      </c>
      <c r="F272" s="213">
        <f t="shared" si="0"/>
        <v>80842</v>
      </c>
      <c r="H272">
        <f t="shared" si="1"/>
        <v>80842</v>
      </c>
    </row>
    <row r="273" spans="1:8" ht="12.75">
      <c r="A273" s="123">
        <v>16</v>
      </c>
      <c r="B273" s="212" t="s">
        <v>442</v>
      </c>
      <c r="C273" s="212" t="s">
        <v>580</v>
      </c>
      <c r="D273" s="213">
        <v>6002</v>
      </c>
      <c r="E273" s="213">
        <v>147</v>
      </c>
      <c r="F273" s="213">
        <f t="shared" si="0"/>
        <v>882294</v>
      </c>
      <c r="H273">
        <f t="shared" si="1"/>
        <v>882294</v>
      </c>
    </row>
    <row r="274" spans="1:8" ht="12.75">
      <c r="A274" s="123">
        <v>17</v>
      </c>
      <c r="B274" s="212" t="s">
        <v>821</v>
      </c>
      <c r="C274" s="212" t="s">
        <v>580</v>
      </c>
      <c r="D274" s="213">
        <v>952</v>
      </c>
      <c r="E274" s="213">
        <v>50</v>
      </c>
      <c r="F274" s="213">
        <f t="shared" si="0"/>
        <v>47600</v>
      </c>
      <c r="H274">
        <f t="shared" si="1"/>
        <v>47600</v>
      </c>
    </row>
    <row r="275" spans="1:8" ht="12.75">
      <c r="A275" s="123">
        <v>18</v>
      </c>
      <c r="B275" s="212" t="s">
        <v>822</v>
      </c>
      <c r="C275" s="212" t="s">
        <v>580</v>
      </c>
      <c r="D275" s="213">
        <v>168</v>
      </c>
      <c r="E275" s="213">
        <v>550</v>
      </c>
      <c r="F275" s="213">
        <f t="shared" si="0"/>
        <v>92400</v>
      </c>
      <c r="H275">
        <f t="shared" si="1"/>
        <v>92400</v>
      </c>
    </row>
    <row r="276" spans="1:8" ht="12.75">
      <c r="A276" s="123">
        <v>19</v>
      </c>
      <c r="B276" s="212" t="s">
        <v>823</v>
      </c>
      <c r="C276" s="212" t="s">
        <v>580</v>
      </c>
      <c r="D276" s="213">
        <v>818</v>
      </c>
      <c r="E276" s="213">
        <v>89</v>
      </c>
      <c r="F276" s="213">
        <f t="shared" si="0"/>
        <v>72802</v>
      </c>
      <c r="H276">
        <f t="shared" si="1"/>
        <v>72802</v>
      </c>
    </row>
    <row r="277" spans="1:8" ht="12.75">
      <c r="A277" s="123">
        <v>20</v>
      </c>
      <c r="B277" s="212" t="s">
        <v>430</v>
      </c>
      <c r="C277" s="212" t="s">
        <v>580</v>
      </c>
      <c r="D277" s="213">
        <v>444</v>
      </c>
      <c r="E277" s="213">
        <v>900</v>
      </c>
      <c r="F277" s="213">
        <f t="shared" si="0"/>
        <v>399600</v>
      </c>
      <c r="H277">
        <f t="shared" si="1"/>
        <v>399600</v>
      </c>
    </row>
    <row r="278" spans="1:8" ht="12.75">
      <c r="A278" s="123">
        <v>21</v>
      </c>
      <c r="B278" s="212" t="s">
        <v>824</v>
      </c>
      <c r="C278" s="212" t="s">
        <v>580</v>
      </c>
      <c r="D278" s="213">
        <v>1512</v>
      </c>
      <c r="E278" s="213">
        <v>60</v>
      </c>
      <c r="F278" s="213">
        <f t="shared" si="0"/>
        <v>90720</v>
      </c>
      <c r="H278">
        <f t="shared" si="1"/>
        <v>90720</v>
      </c>
    </row>
    <row r="279" spans="1:8" ht="12.75">
      <c r="A279" s="123">
        <v>22</v>
      </c>
      <c r="B279" s="212" t="s">
        <v>429</v>
      </c>
      <c r="C279" s="212" t="s">
        <v>580</v>
      </c>
      <c r="D279" s="213">
        <v>751</v>
      </c>
      <c r="E279" s="213">
        <v>360</v>
      </c>
      <c r="F279" s="213">
        <f t="shared" si="0"/>
        <v>270360</v>
      </c>
      <c r="H279">
        <f t="shared" si="1"/>
        <v>270360</v>
      </c>
    </row>
    <row r="280" spans="1:8" ht="12.75">
      <c r="A280" s="123">
        <v>23</v>
      </c>
      <c r="B280" s="212" t="s">
        <v>420</v>
      </c>
      <c r="C280" s="212" t="s">
        <v>580</v>
      </c>
      <c r="D280" s="213">
        <v>20</v>
      </c>
      <c r="E280" s="213">
        <v>36</v>
      </c>
      <c r="F280" s="213">
        <f t="shared" si="0"/>
        <v>720</v>
      </c>
      <c r="H280">
        <f t="shared" si="1"/>
        <v>720</v>
      </c>
    </row>
    <row r="281" spans="1:8" ht="12.75">
      <c r="A281" s="123">
        <v>24</v>
      </c>
      <c r="B281" s="212" t="s">
        <v>416</v>
      </c>
      <c r="C281" s="212" t="s">
        <v>580</v>
      </c>
      <c r="D281" s="213">
        <v>20</v>
      </c>
      <c r="E281" s="213">
        <v>100</v>
      </c>
      <c r="F281" s="213">
        <f t="shared" si="0"/>
        <v>2000</v>
      </c>
      <c r="H281">
        <f t="shared" si="1"/>
        <v>2000</v>
      </c>
    </row>
    <row r="282" spans="1:8" ht="12.75">
      <c r="A282" s="123">
        <v>25</v>
      </c>
      <c r="B282" s="212" t="s">
        <v>435</v>
      </c>
      <c r="C282" s="212" t="s">
        <v>580</v>
      </c>
      <c r="D282" s="213">
        <v>1603</v>
      </c>
      <c r="E282" s="213">
        <v>400</v>
      </c>
      <c r="F282" s="213">
        <f t="shared" si="0"/>
        <v>641200</v>
      </c>
      <c r="H282">
        <f t="shared" si="1"/>
        <v>641200</v>
      </c>
    </row>
    <row r="283" spans="1:8" ht="12.75">
      <c r="A283" s="123">
        <v>26</v>
      </c>
      <c r="B283" s="212" t="s">
        <v>433</v>
      </c>
      <c r="C283" s="212" t="s">
        <v>580</v>
      </c>
      <c r="D283" s="213">
        <v>336</v>
      </c>
      <c r="E283" s="213">
        <v>42</v>
      </c>
      <c r="F283" s="213">
        <f t="shared" si="0"/>
        <v>14112</v>
      </c>
      <c r="H283">
        <f t="shared" si="1"/>
        <v>14112</v>
      </c>
    </row>
    <row r="284" spans="1:8" ht="12.75">
      <c r="A284" s="123">
        <v>27</v>
      </c>
      <c r="B284" s="212" t="s">
        <v>436</v>
      </c>
      <c r="C284" s="212" t="s">
        <v>580</v>
      </c>
      <c r="D284" s="213">
        <v>56</v>
      </c>
      <c r="E284" s="213">
        <v>660</v>
      </c>
      <c r="F284" s="213">
        <f t="shared" si="0"/>
        <v>36960</v>
      </c>
      <c r="H284">
        <f t="shared" si="1"/>
        <v>36960</v>
      </c>
    </row>
    <row r="285" spans="1:8" ht="12.75">
      <c r="A285" s="123">
        <v>28</v>
      </c>
      <c r="B285" s="212" t="s">
        <v>434</v>
      </c>
      <c r="C285" s="212" t="s">
        <v>580</v>
      </c>
      <c r="D285" s="213">
        <v>523</v>
      </c>
      <c r="E285" s="213">
        <v>156</v>
      </c>
      <c r="F285" s="213">
        <f t="shared" si="0"/>
        <v>81588</v>
      </c>
      <c r="H285">
        <f t="shared" si="1"/>
        <v>81588</v>
      </c>
    </row>
    <row r="286" spans="1:8" ht="12.75">
      <c r="A286" s="123">
        <v>29</v>
      </c>
      <c r="B286" s="212" t="s">
        <v>825</v>
      </c>
      <c r="C286" s="212" t="s">
        <v>580</v>
      </c>
      <c r="D286" s="213">
        <v>0</v>
      </c>
      <c r="E286" s="213">
        <v>400</v>
      </c>
      <c r="F286" s="213">
        <f t="shared" si="0"/>
        <v>0</v>
      </c>
      <c r="H286">
        <f t="shared" si="1"/>
        <v>0</v>
      </c>
    </row>
    <row r="287" spans="1:8" ht="12.75">
      <c r="A287" s="123">
        <v>30</v>
      </c>
      <c r="B287" s="212" t="s">
        <v>826</v>
      </c>
      <c r="C287" s="212" t="s">
        <v>580</v>
      </c>
      <c r="D287" s="213">
        <v>0</v>
      </c>
      <c r="E287" s="213">
        <v>0</v>
      </c>
      <c r="F287" s="213">
        <f t="shared" si="0"/>
        <v>0</v>
      </c>
      <c r="H287">
        <f t="shared" si="1"/>
        <v>0</v>
      </c>
    </row>
    <row r="288" spans="1:8" ht="12.75">
      <c r="A288" s="123">
        <v>31</v>
      </c>
      <c r="B288" s="212" t="s">
        <v>450</v>
      </c>
      <c r="C288" s="212" t="s">
        <v>580</v>
      </c>
      <c r="D288" s="213">
        <v>0</v>
      </c>
      <c r="E288" s="213">
        <v>0</v>
      </c>
      <c r="F288" s="213">
        <f t="shared" si="0"/>
        <v>0</v>
      </c>
      <c r="H288">
        <f t="shared" si="1"/>
        <v>0</v>
      </c>
    </row>
    <row r="289" spans="1:8" ht="12.75">
      <c r="A289" s="123">
        <v>32</v>
      </c>
      <c r="B289" s="212" t="s">
        <v>426</v>
      </c>
      <c r="C289" s="212" t="s">
        <v>580</v>
      </c>
      <c r="D289" s="213">
        <v>534</v>
      </c>
      <c r="E289" s="213">
        <v>900</v>
      </c>
      <c r="F289" s="213">
        <f t="shared" si="0"/>
        <v>480600</v>
      </c>
      <c r="H289">
        <f t="shared" si="1"/>
        <v>480600</v>
      </c>
    </row>
    <row r="290" spans="1:8" ht="12.75">
      <c r="A290" s="123">
        <v>33</v>
      </c>
      <c r="B290" s="212" t="s">
        <v>438</v>
      </c>
      <c r="C290" s="212" t="s">
        <v>580</v>
      </c>
      <c r="D290" s="213">
        <v>1494</v>
      </c>
      <c r="E290" s="213">
        <v>40</v>
      </c>
      <c r="F290" s="213">
        <f t="shared" si="0"/>
        <v>59760</v>
      </c>
      <c r="H290">
        <f t="shared" si="1"/>
        <v>59760</v>
      </c>
    </row>
    <row r="291" spans="1:8" ht="12.75">
      <c r="A291" s="123">
        <v>34</v>
      </c>
      <c r="B291" s="212" t="s">
        <v>425</v>
      </c>
      <c r="C291" s="212" t="s">
        <v>580</v>
      </c>
      <c r="D291" s="213">
        <v>396</v>
      </c>
      <c r="E291" s="213">
        <v>350</v>
      </c>
      <c r="F291" s="213">
        <f aca="true" t="shared" si="2" ref="F291:F318">D291*E291</f>
        <v>138600</v>
      </c>
      <c r="H291">
        <f t="shared" si="1"/>
        <v>138600</v>
      </c>
    </row>
    <row r="292" spans="1:8" ht="12.75">
      <c r="A292" s="123">
        <v>35</v>
      </c>
      <c r="B292" s="212" t="s">
        <v>447</v>
      </c>
      <c r="C292" s="212" t="s">
        <v>580</v>
      </c>
      <c r="D292" s="213">
        <v>731</v>
      </c>
      <c r="E292" s="213">
        <v>195</v>
      </c>
      <c r="F292" s="213">
        <f t="shared" si="2"/>
        <v>142545</v>
      </c>
      <c r="H292">
        <f t="shared" si="1"/>
        <v>142545</v>
      </c>
    </row>
    <row r="293" spans="1:8" ht="12.75">
      <c r="A293" s="123">
        <v>36</v>
      </c>
      <c r="B293" s="212" t="s">
        <v>827</v>
      </c>
      <c r="C293" s="212" t="s">
        <v>580</v>
      </c>
      <c r="D293" s="213">
        <v>130</v>
      </c>
      <c r="E293" s="213">
        <v>65</v>
      </c>
      <c r="F293" s="213">
        <f t="shared" si="2"/>
        <v>8450</v>
      </c>
      <c r="H293">
        <f t="shared" si="1"/>
        <v>8450</v>
      </c>
    </row>
    <row r="294" spans="1:8" ht="12.75">
      <c r="A294" s="123">
        <v>37</v>
      </c>
      <c r="B294" s="212" t="s">
        <v>448</v>
      </c>
      <c r="C294" s="212" t="s">
        <v>580</v>
      </c>
      <c r="D294" s="213">
        <v>212</v>
      </c>
      <c r="E294" s="213">
        <v>197</v>
      </c>
      <c r="F294" s="213">
        <f t="shared" si="2"/>
        <v>41764</v>
      </c>
      <c r="H294">
        <f t="shared" si="1"/>
        <v>41764</v>
      </c>
    </row>
    <row r="295" spans="1:8" ht="12.75">
      <c r="A295" s="123">
        <v>38</v>
      </c>
      <c r="B295" s="212" t="s">
        <v>431</v>
      </c>
      <c r="C295" s="212" t="s">
        <v>580</v>
      </c>
      <c r="D295" s="213">
        <v>419</v>
      </c>
      <c r="E295" s="213">
        <v>300</v>
      </c>
      <c r="F295" s="213">
        <f t="shared" si="2"/>
        <v>125700</v>
      </c>
      <c r="H295">
        <f t="shared" si="1"/>
        <v>125700</v>
      </c>
    </row>
    <row r="296" spans="1:8" ht="12.75">
      <c r="A296" s="123">
        <v>39</v>
      </c>
      <c r="B296" s="212" t="s">
        <v>432</v>
      </c>
      <c r="C296" s="212" t="s">
        <v>580</v>
      </c>
      <c r="D296" s="213">
        <v>208</v>
      </c>
      <c r="E296" s="213">
        <v>820</v>
      </c>
      <c r="F296" s="213">
        <f t="shared" si="2"/>
        <v>170560</v>
      </c>
      <c r="H296">
        <f t="shared" si="1"/>
        <v>170560</v>
      </c>
    </row>
    <row r="297" spans="1:8" ht="12.75">
      <c r="A297" s="123">
        <v>40</v>
      </c>
      <c r="B297" s="212" t="s">
        <v>828</v>
      </c>
      <c r="C297" s="212" t="s">
        <v>580</v>
      </c>
      <c r="D297" s="213">
        <v>2074</v>
      </c>
      <c r="E297" s="213">
        <v>64</v>
      </c>
      <c r="F297" s="213">
        <f t="shared" si="2"/>
        <v>132736</v>
      </c>
      <c r="H297">
        <f t="shared" si="1"/>
        <v>132736</v>
      </c>
    </row>
    <row r="298" spans="1:8" ht="12.75">
      <c r="A298" s="123">
        <v>41</v>
      </c>
      <c r="B298" s="212" t="s">
        <v>829</v>
      </c>
      <c r="C298" s="212" t="s">
        <v>580</v>
      </c>
      <c r="D298" s="213">
        <v>797</v>
      </c>
      <c r="E298" s="213">
        <v>264</v>
      </c>
      <c r="F298" s="213">
        <f t="shared" si="2"/>
        <v>210408</v>
      </c>
      <c r="H298">
        <f t="shared" si="1"/>
        <v>210408</v>
      </c>
    </row>
    <row r="299" spans="1:8" ht="12.75">
      <c r="A299" s="123">
        <v>42</v>
      </c>
      <c r="B299" s="212" t="s">
        <v>428</v>
      </c>
      <c r="C299" s="212" t="s">
        <v>580</v>
      </c>
      <c r="D299" s="213">
        <v>5080</v>
      </c>
      <c r="E299" s="213">
        <v>168</v>
      </c>
      <c r="F299" s="213">
        <f t="shared" si="2"/>
        <v>853440</v>
      </c>
      <c r="H299">
        <f t="shared" si="1"/>
        <v>853440</v>
      </c>
    </row>
    <row r="300" spans="1:8" ht="12.75">
      <c r="A300" s="123">
        <v>43</v>
      </c>
      <c r="B300" s="212" t="s">
        <v>427</v>
      </c>
      <c r="C300" s="212" t="s">
        <v>580</v>
      </c>
      <c r="D300" s="213">
        <v>6493</v>
      </c>
      <c r="E300" s="213">
        <v>48</v>
      </c>
      <c r="F300" s="213">
        <f t="shared" si="2"/>
        <v>311664</v>
      </c>
      <c r="H300">
        <f t="shared" si="1"/>
        <v>311664</v>
      </c>
    </row>
    <row r="301" spans="1:8" ht="12.75">
      <c r="A301" s="123">
        <v>44</v>
      </c>
      <c r="B301" s="212" t="s">
        <v>437</v>
      </c>
      <c r="C301" s="212" t="s">
        <v>580</v>
      </c>
      <c r="D301" s="213">
        <v>1553</v>
      </c>
      <c r="E301" s="213">
        <v>88</v>
      </c>
      <c r="F301" s="213">
        <f t="shared" si="2"/>
        <v>136664</v>
      </c>
      <c r="H301">
        <f t="shared" si="1"/>
        <v>136664</v>
      </c>
    </row>
    <row r="302" spans="1:8" ht="12.75">
      <c r="A302" s="123">
        <v>45</v>
      </c>
      <c r="B302" s="212" t="s">
        <v>830</v>
      </c>
      <c r="C302" s="212" t="s">
        <v>580</v>
      </c>
      <c r="D302" s="213">
        <v>219</v>
      </c>
      <c r="E302" s="213">
        <v>3667.2000000000003</v>
      </c>
      <c r="F302" s="213">
        <f t="shared" si="2"/>
        <v>803116.8</v>
      </c>
      <c r="H302">
        <f t="shared" si="1"/>
        <v>803116.8</v>
      </c>
    </row>
    <row r="303" spans="1:8" ht="12.75">
      <c r="A303" s="123">
        <v>46</v>
      </c>
      <c r="B303" s="212" t="s">
        <v>831</v>
      </c>
      <c r="C303" s="212" t="s">
        <v>580</v>
      </c>
      <c r="D303" s="213">
        <v>762</v>
      </c>
      <c r="E303" s="213">
        <v>240</v>
      </c>
      <c r="F303" s="213">
        <f t="shared" si="2"/>
        <v>182880</v>
      </c>
      <c r="H303">
        <f t="shared" si="1"/>
        <v>182880</v>
      </c>
    </row>
    <row r="304" spans="1:8" ht="12.75">
      <c r="A304" s="123">
        <v>47</v>
      </c>
      <c r="B304" s="212" t="s">
        <v>832</v>
      </c>
      <c r="C304" s="212" t="s">
        <v>580</v>
      </c>
      <c r="D304" s="213">
        <v>283</v>
      </c>
      <c r="E304" s="213">
        <v>1280</v>
      </c>
      <c r="F304" s="213">
        <f t="shared" si="2"/>
        <v>362240</v>
      </c>
      <c r="H304">
        <f t="shared" si="1"/>
        <v>362240</v>
      </c>
    </row>
    <row r="305" spans="1:8" ht="12.75">
      <c r="A305" s="123"/>
      <c r="B305" s="212"/>
      <c r="C305" s="212"/>
      <c r="D305" s="213"/>
      <c r="E305" s="213"/>
      <c r="F305" s="213"/>
      <c r="H305">
        <f t="shared" si="1"/>
        <v>0</v>
      </c>
    </row>
    <row r="306" spans="1:8" ht="12.75">
      <c r="A306" s="123"/>
      <c r="B306" s="212"/>
      <c r="C306" s="212"/>
      <c r="D306" s="213"/>
      <c r="E306" s="213"/>
      <c r="F306" s="213"/>
      <c r="H306">
        <f t="shared" si="1"/>
        <v>0</v>
      </c>
    </row>
    <row r="307" spans="1:8" ht="12.75">
      <c r="A307" s="123"/>
      <c r="B307" s="212"/>
      <c r="C307" s="212"/>
      <c r="D307" s="213"/>
      <c r="E307" s="213"/>
      <c r="F307" s="213"/>
      <c r="H307">
        <f t="shared" si="1"/>
        <v>0</v>
      </c>
    </row>
    <row r="308" spans="1:8" ht="12.75">
      <c r="A308" s="123">
        <v>48</v>
      </c>
      <c r="B308" s="212" t="s">
        <v>449</v>
      </c>
      <c r="C308" s="212" t="s">
        <v>580</v>
      </c>
      <c r="D308" s="213">
        <v>6539</v>
      </c>
      <c r="E308" s="213">
        <v>37.5</v>
      </c>
      <c r="F308" s="213">
        <f t="shared" si="2"/>
        <v>245212.5</v>
      </c>
      <c r="H308">
        <f t="shared" si="1"/>
        <v>245212.5</v>
      </c>
    </row>
    <row r="309" spans="1:8" ht="12.75">
      <c r="A309" s="123">
        <v>49</v>
      </c>
      <c r="B309" s="212" t="s">
        <v>833</v>
      </c>
      <c r="C309" s="212" t="s">
        <v>580</v>
      </c>
      <c r="D309" s="213">
        <v>31</v>
      </c>
      <c r="E309" s="213">
        <v>52</v>
      </c>
      <c r="F309" s="213">
        <f t="shared" si="2"/>
        <v>1612</v>
      </c>
      <c r="H309">
        <f t="shared" si="1"/>
        <v>1612</v>
      </c>
    </row>
    <row r="310" spans="1:8" ht="12.75">
      <c r="A310" s="123">
        <v>50</v>
      </c>
      <c r="B310" s="212" t="s">
        <v>834</v>
      </c>
      <c r="C310" s="212" t="s">
        <v>580</v>
      </c>
      <c r="D310" s="213">
        <v>9</v>
      </c>
      <c r="E310" s="213">
        <v>448</v>
      </c>
      <c r="F310" s="213">
        <f t="shared" si="2"/>
        <v>4032</v>
      </c>
      <c r="H310">
        <f t="shared" si="1"/>
        <v>4032</v>
      </c>
    </row>
    <row r="311" spans="1:8" ht="12.75">
      <c r="A311" s="123">
        <v>51</v>
      </c>
      <c r="B311" s="212" t="s">
        <v>835</v>
      </c>
      <c r="C311" s="212" t="s">
        <v>580</v>
      </c>
      <c r="D311" s="213">
        <v>857</v>
      </c>
      <c r="E311" s="213">
        <v>43</v>
      </c>
      <c r="F311" s="213">
        <f t="shared" si="2"/>
        <v>36851</v>
      </c>
      <c r="H311">
        <f t="shared" si="1"/>
        <v>36851</v>
      </c>
    </row>
    <row r="312" spans="1:8" ht="12.75">
      <c r="A312" s="123">
        <v>52</v>
      </c>
      <c r="B312" s="212" t="s">
        <v>836</v>
      </c>
      <c r="C312" s="212" t="s">
        <v>580</v>
      </c>
      <c r="D312" s="213">
        <v>74</v>
      </c>
      <c r="E312" s="213">
        <v>160</v>
      </c>
      <c r="F312" s="213">
        <f t="shared" si="2"/>
        <v>11840</v>
      </c>
      <c r="H312">
        <f t="shared" si="1"/>
        <v>11840</v>
      </c>
    </row>
    <row r="313" spans="1:8" ht="12.75">
      <c r="A313" s="123">
        <v>53</v>
      </c>
      <c r="B313" s="212" t="s">
        <v>837</v>
      </c>
      <c r="C313" s="212" t="s">
        <v>580</v>
      </c>
      <c r="D313" s="213">
        <v>684</v>
      </c>
      <c r="E313" s="213">
        <v>1464</v>
      </c>
      <c r="F313" s="213">
        <f t="shared" si="2"/>
        <v>1001376</v>
      </c>
      <c r="H313">
        <f t="shared" si="1"/>
        <v>1001376</v>
      </c>
    </row>
    <row r="314" spans="1:8" ht="12.75">
      <c r="A314" s="123">
        <v>54</v>
      </c>
      <c r="B314" s="212" t="s">
        <v>838</v>
      </c>
      <c r="C314" s="212" t="s">
        <v>579</v>
      </c>
      <c r="D314" s="213">
        <v>0</v>
      </c>
      <c r="E314" s="213">
        <v>0</v>
      </c>
      <c r="F314" s="213">
        <f t="shared" si="2"/>
        <v>0</v>
      </c>
      <c r="H314">
        <f t="shared" si="1"/>
        <v>0</v>
      </c>
    </row>
    <row r="315" spans="1:8" ht="12.75">
      <c r="A315" s="123">
        <v>55</v>
      </c>
      <c r="B315" s="212" t="s">
        <v>421</v>
      </c>
      <c r="C315" s="212" t="s">
        <v>580</v>
      </c>
      <c r="D315" s="213">
        <v>9757</v>
      </c>
      <c r="E315" s="213">
        <v>44</v>
      </c>
      <c r="F315" s="213">
        <f t="shared" si="2"/>
        <v>429308</v>
      </c>
      <c r="H315">
        <f t="shared" si="1"/>
        <v>429308</v>
      </c>
    </row>
    <row r="316" spans="1:8" ht="12.75">
      <c r="A316" s="123">
        <v>56</v>
      </c>
      <c r="B316" s="212" t="s">
        <v>418</v>
      </c>
      <c r="C316" s="212" t="s">
        <v>580</v>
      </c>
      <c r="D316" s="213">
        <v>3457</v>
      </c>
      <c r="E316" s="213">
        <v>103</v>
      </c>
      <c r="F316" s="213">
        <f t="shared" si="2"/>
        <v>356071</v>
      </c>
      <c r="H316">
        <f t="shared" si="1"/>
        <v>356071</v>
      </c>
    </row>
    <row r="317" spans="1:8" ht="12.75">
      <c r="A317" s="123">
        <v>57</v>
      </c>
      <c r="B317" s="212" t="s">
        <v>839</v>
      </c>
      <c r="C317" s="212" t="s">
        <v>580</v>
      </c>
      <c r="D317" s="213">
        <v>123</v>
      </c>
      <c r="E317" s="213">
        <v>390</v>
      </c>
      <c r="F317" s="213">
        <f t="shared" si="2"/>
        <v>47970</v>
      </c>
      <c r="H317">
        <f t="shared" si="1"/>
        <v>47970</v>
      </c>
    </row>
    <row r="318" spans="1:8" ht="12.75">
      <c r="A318" s="123">
        <v>58</v>
      </c>
      <c r="B318" s="212" t="s">
        <v>419</v>
      </c>
      <c r="C318" s="212" t="s">
        <v>580</v>
      </c>
      <c r="D318" s="213">
        <v>49</v>
      </c>
      <c r="E318" s="213">
        <v>471</v>
      </c>
      <c r="F318" s="213">
        <f t="shared" si="2"/>
        <v>23079</v>
      </c>
      <c r="H318">
        <f t="shared" si="1"/>
        <v>23079</v>
      </c>
    </row>
    <row r="319" spans="1:8" ht="12.75">
      <c r="A319" s="123"/>
      <c r="B319" s="223" t="s">
        <v>125</v>
      </c>
      <c r="C319" s="215"/>
      <c r="D319" s="215"/>
      <c r="E319" s="199"/>
      <c r="F319" s="204">
        <f>SUM(F259:F318)</f>
        <v>16770646.3</v>
      </c>
      <c r="H319">
        <f>SUM(H259:H318)</f>
        <v>16770646.3</v>
      </c>
    </row>
    <row r="323" ht="12.75">
      <c r="E323" s="209" t="s">
        <v>394</v>
      </c>
    </row>
    <row r="324" ht="12.75">
      <c r="E324" s="209"/>
    </row>
    <row r="325" ht="12.75">
      <c r="E325" s="209" t="s">
        <v>903</v>
      </c>
    </row>
  </sheetData>
  <sheetProtection/>
  <printOptions/>
  <pageMargins left="0.19" right="0.7" top="0.25" bottom="0.19" header="0.17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141"/>
  <sheetViews>
    <sheetView zoomScalePageLayoutView="0" workbookViewId="0" topLeftCell="A1">
      <selection activeCell="E139" sqref="E139:F141"/>
    </sheetView>
  </sheetViews>
  <sheetFormatPr defaultColWidth="9.140625" defaultRowHeight="12.75"/>
  <cols>
    <col min="1" max="1" width="4.421875" style="0" customWidth="1"/>
    <col min="2" max="2" width="36.140625" style="196" customWidth="1"/>
    <col min="3" max="3" width="12.7109375" style="196" customWidth="1"/>
    <col min="4" max="4" width="13.8515625" style="196" customWidth="1"/>
    <col min="5" max="5" width="11.7109375" style="196" customWidth="1"/>
    <col min="6" max="6" width="12.57421875" style="196" customWidth="1"/>
    <col min="7" max="7" width="9.28125" style="0" bestFit="1" customWidth="1"/>
    <col min="8" max="8" width="13.28125" style="0" customWidth="1"/>
  </cols>
  <sheetData>
    <row r="3" spans="2:6" ht="12.75">
      <c r="B3" s="264" t="s">
        <v>906</v>
      </c>
      <c r="C3" s="264"/>
      <c r="D3" s="264"/>
      <c r="F3"/>
    </row>
    <row r="4" spans="2:6" ht="15.75">
      <c r="B4" s="263"/>
      <c r="C4" s="265"/>
      <c r="D4" s="265"/>
      <c r="E4" s="265"/>
      <c r="F4" s="265"/>
    </row>
    <row r="5" spans="2:6" ht="12.75">
      <c r="B5" s="266"/>
      <c r="F5" s="264" t="s">
        <v>844</v>
      </c>
    </row>
    <row r="6" spans="2:6" ht="12.75">
      <c r="B6" s="266" t="s">
        <v>895</v>
      </c>
      <c r="C6" s="264" t="s">
        <v>896</v>
      </c>
      <c r="F6" s="265"/>
    </row>
    <row r="7" spans="2:6" ht="12.75">
      <c r="B7" s="266" t="s">
        <v>897</v>
      </c>
      <c r="C7" s="264" t="s">
        <v>383</v>
      </c>
      <c r="F7" s="265"/>
    </row>
    <row r="8" spans="2:6" ht="12.75">
      <c r="B8" s="266" t="s">
        <v>898</v>
      </c>
      <c r="C8" s="264" t="s">
        <v>899</v>
      </c>
      <c r="F8" s="265"/>
    </row>
    <row r="9" spans="2:3" ht="12.75">
      <c r="B9" s="267" t="s">
        <v>900</v>
      </c>
      <c r="C9" s="264" t="s">
        <v>901</v>
      </c>
    </row>
    <row r="10" spans="2:3" ht="12.75">
      <c r="B10" s="267" t="s">
        <v>902</v>
      </c>
      <c r="C10" s="268">
        <f>+35582254944</f>
        <v>35582254944</v>
      </c>
    </row>
    <row r="11" spans="2:6" ht="12.75">
      <c r="B11" s="206"/>
      <c r="D11" s="207"/>
      <c r="E11" s="207"/>
      <c r="F11" s="207"/>
    </row>
    <row r="12" spans="1:6" ht="12.75">
      <c r="A12" s="269" t="s">
        <v>5</v>
      </c>
      <c r="B12" s="197" t="s">
        <v>910</v>
      </c>
      <c r="C12" s="198" t="s">
        <v>412</v>
      </c>
      <c r="D12" s="199" t="s">
        <v>905</v>
      </c>
      <c r="E12" s="199" t="s">
        <v>904</v>
      </c>
      <c r="F12" s="199" t="s">
        <v>244</v>
      </c>
    </row>
    <row r="13" spans="1:6" ht="12.75">
      <c r="A13" s="123">
        <v>1</v>
      </c>
      <c r="B13" s="219" t="s">
        <v>695</v>
      </c>
      <c r="C13" s="219" t="s">
        <v>816</v>
      </c>
      <c r="D13" s="220">
        <v>1200</v>
      </c>
      <c r="E13" s="220">
        <v>9.142149999999997</v>
      </c>
      <c r="F13" s="220">
        <v>10970.579999999994</v>
      </c>
    </row>
    <row r="14" spans="1:6" ht="12.75">
      <c r="A14" s="123">
        <v>2</v>
      </c>
      <c r="B14" s="219" t="s">
        <v>696</v>
      </c>
      <c r="C14" s="219" t="s">
        <v>816</v>
      </c>
      <c r="D14" s="220">
        <v>0</v>
      </c>
      <c r="E14" s="220">
        <v>0</v>
      </c>
      <c r="F14" s="220">
        <v>0</v>
      </c>
    </row>
    <row r="15" spans="1:6" ht="12.75">
      <c r="A15" s="123">
        <v>3</v>
      </c>
      <c r="B15" s="219" t="s">
        <v>697</v>
      </c>
      <c r="C15" s="219" t="s">
        <v>816</v>
      </c>
      <c r="D15" s="220">
        <v>1159.8</v>
      </c>
      <c r="E15" s="220">
        <v>11.295499999999999</v>
      </c>
      <c r="F15" s="220">
        <v>13100.520899999998</v>
      </c>
    </row>
    <row r="16" spans="1:6" ht="12.75">
      <c r="A16" s="123">
        <v>4</v>
      </c>
      <c r="B16" s="219" t="s">
        <v>698</v>
      </c>
      <c r="C16" s="219" t="s">
        <v>816</v>
      </c>
      <c r="D16" s="220">
        <v>1500</v>
      </c>
      <c r="E16" s="220">
        <v>10.779549999999999</v>
      </c>
      <c r="F16" s="220">
        <v>16169.325</v>
      </c>
    </row>
    <row r="17" spans="1:6" ht="12.75">
      <c r="A17" s="123">
        <v>5</v>
      </c>
      <c r="B17" s="219" t="s">
        <v>699</v>
      </c>
      <c r="C17" s="219" t="s">
        <v>816</v>
      </c>
      <c r="D17" s="220">
        <v>0</v>
      </c>
      <c r="E17" s="220">
        <v>0</v>
      </c>
      <c r="F17" s="220">
        <v>0</v>
      </c>
    </row>
    <row r="18" spans="1:6" ht="12.75">
      <c r="A18" s="123">
        <v>6</v>
      </c>
      <c r="B18" s="219" t="s">
        <v>700</v>
      </c>
      <c r="C18" s="219" t="s">
        <v>816</v>
      </c>
      <c r="D18" s="220">
        <v>19.49</v>
      </c>
      <c r="E18" s="220">
        <v>130.47469999999987</v>
      </c>
      <c r="F18" s="220">
        <v>2542.9519029999974</v>
      </c>
    </row>
    <row r="19" spans="1:6" ht="12.75">
      <c r="A19" s="123">
        <v>7</v>
      </c>
      <c r="B19" s="219" t="s">
        <v>701</v>
      </c>
      <c r="C19" s="219" t="s">
        <v>816</v>
      </c>
      <c r="D19" s="220">
        <v>8999.2</v>
      </c>
      <c r="E19" s="220">
        <v>2.2247999999999997</v>
      </c>
      <c r="F19" s="220">
        <v>20021.420159999994</v>
      </c>
    </row>
    <row r="20" spans="1:6" ht="12.75">
      <c r="A20" s="123">
        <v>8</v>
      </c>
      <c r="B20" s="219" t="s">
        <v>702</v>
      </c>
      <c r="C20" s="219" t="s">
        <v>816</v>
      </c>
      <c r="D20" s="220">
        <v>4050</v>
      </c>
      <c r="E20" s="220">
        <v>2.2248</v>
      </c>
      <c r="F20" s="220">
        <v>9010.44</v>
      </c>
    </row>
    <row r="21" spans="1:6" ht="12.75">
      <c r="A21" s="123">
        <v>9</v>
      </c>
      <c r="B21" s="219" t="s">
        <v>703</v>
      </c>
      <c r="C21" s="219" t="s">
        <v>816</v>
      </c>
      <c r="D21" s="220">
        <v>669.46</v>
      </c>
      <c r="E21" s="220">
        <v>16.130698058152085</v>
      </c>
      <c r="F21" s="220">
        <v>10798.857122010495</v>
      </c>
    </row>
    <row r="22" spans="1:6" ht="12.75">
      <c r="A22" s="123">
        <v>10</v>
      </c>
      <c r="B22" s="219" t="s">
        <v>704</v>
      </c>
      <c r="C22" s="219" t="s">
        <v>816</v>
      </c>
      <c r="D22" s="220">
        <v>577.38</v>
      </c>
      <c r="E22" s="220">
        <v>15.949999999999994</v>
      </c>
      <c r="F22" s="220">
        <v>9209.210999999996</v>
      </c>
    </row>
    <row r="23" spans="1:6" ht="12.75">
      <c r="A23" s="123">
        <v>11</v>
      </c>
      <c r="B23" s="219" t="s">
        <v>705</v>
      </c>
      <c r="C23" s="219" t="s">
        <v>816</v>
      </c>
      <c r="D23" s="220">
        <v>0.78</v>
      </c>
      <c r="E23" s="220">
        <v>10.383514721137592</v>
      </c>
      <c r="F23" s="220">
        <v>8.09914148248732</v>
      </c>
    </row>
    <row r="24" spans="1:6" ht="12.75">
      <c r="A24" s="123">
        <v>12</v>
      </c>
      <c r="B24" s="219" t="s">
        <v>706</v>
      </c>
      <c r="C24" s="219" t="s">
        <v>816</v>
      </c>
      <c r="D24" s="220">
        <v>0.69</v>
      </c>
      <c r="E24" s="220">
        <v>12.666779557755893</v>
      </c>
      <c r="F24" s="220">
        <v>8.740077894851565</v>
      </c>
    </row>
    <row r="25" spans="1:6" ht="12.75">
      <c r="A25" s="123">
        <v>13</v>
      </c>
      <c r="B25" s="219" t="s">
        <v>707</v>
      </c>
      <c r="C25" s="219" t="s">
        <v>816</v>
      </c>
      <c r="D25" s="220">
        <v>381.95</v>
      </c>
      <c r="E25" s="220">
        <v>13.05</v>
      </c>
      <c r="F25" s="220">
        <v>4984.4475</v>
      </c>
    </row>
    <row r="26" spans="1:6" ht="12.75">
      <c r="A26" s="123">
        <v>14</v>
      </c>
      <c r="B26" s="219" t="s">
        <v>708</v>
      </c>
      <c r="C26" s="219" t="s">
        <v>816</v>
      </c>
      <c r="D26" s="220">
        <v>0.36</v>
      </c>
      <c r="E26" s="220">
        <v>18.03524294699956</v>
      </c>
      <c r="F26" s="220">
        <v>6.492687460919842</v>
      </c>
    </row>
    <row r="27" spans="1:6" ht="12.75">
      <c r="A27" s="123">
        <v>15</v>
      </c>
      <c r="B27" s="219" t="s">
        <v>709</v>
      </c>
      <c r="C27" s="219" t="s">
        <v>816</v>
      </c>
      <c r="D27" s="220">
        <v>0.78</v>
      </c>
      <c r="E27" s="220">
        <v>23.904350659236883</v>
      </c>
      <c r="F27" s="220">
        <v>18.64539351420477</v>
      </c>
    </row>
    <row r="28" spans="1:6" ht="12.75">
      <c r="A28" s="123">
        <v>16</v>
      </c>
      <c r="B28" s="219" t="s">
        <v>710</v>
      </c>
      <c r="C28" s="219" t="s">
        <v>816</v>
      </c>
      <c r="D28" s="220">
        <v>2895.66</v>
      </c>
      <c r="E28" s="220">
        <v>9.374256</v>
      </c>
      <c r="F28" s="220">
        <v>27144.658128960007</v>
      </c>
    </row>
    <row r="29" spans="1:6" ht="12.75">
      <c r="A29" s="123">
        <v>17</v>
      </c>
      <c r="B29" s="219" t="s">
        <v>711</v>
      </c>
      <c r="C29" s="219" t="s">
        <v>816</v>
      </c>
      <c r="D29" s="220">
        <v>488.31</v>
      </c>
      <c r="E29" s="220">
        <v>10.396499999999838</v>
      </c>
      <c r="F29" s="220">
        <v>5076.71491499992</v>
      </c>
    </row>
    <row r="30" spans="1:6" ht="12.75">
      <c r="A30" s="123">
        <v>18</v>
      </c>
      <c r="B30" s="219" t="s">
        <v>712</v>
      </c>
      <c r="C30" s="219" t="s">
        <v>816</v>
      </c>
      <c r="D30" s="220">
        <v>3000</v>
      </c>
      <c r="E30" s="220">
        <v>16.77302</v>
      </c>
      <c r="F30" s="220">
        <v>50319.06</v>
      </c>
    </row>
    <row r="31" spans="1:6" ht="12.75">
      <c r="A31" s="123">
        <v>19</v>
      </c>
      <c r="B31" s="219" t="s">
        <v>713</v>
      </c>
      <c r="C31" s="219" t="s">
        <v>816</v>
      </c>
      <c r="D31" s="220">
        <v>20567.67</v>
      </c>
      <c r="E31" s="220">
        <v>166.14000000000004</v>
      </c>
      <c r="F31" s="220">
        <v>3417112.6938</v>
      </c>
    </row>
    <row r="32" spans="1:6" ht="12.75">
      <c r="A32" s="123">
        <v>20</v>
      </c>
      <c r="B32" s="219" t="s">
        <v>714</v>
      </c>
      <c r="C32" s="219" t="s">
        <v>816</v>
      </c>
      <c r="D32" s="220">
        <v>250</v>
      </c>
      <c r="E32" s="220">
        <v>245.898</v>
      </c>
      <c r="F32" s="220">
        <v>61474.5</v>
      </c>
    </row>
    <row r="33" spans="1:6" ht="12.75">
      <c r="A33" s="123">
        <v>21</v>
      </c>
      <c r="B33" s="219" t="s">
        <v>715</v>
      </c>
      <c r="C33" s="219" t="s">
        <v>816</v>
      </c>
      <c r="D33" s="220">
        <v>4000</v>
      </c>
      <c r="E33" s="220">
        <v>3.19815</v>
      </c>
      <c r="F33" s="220">
        <v>12792.6</v>
      </c>
    </row>
    <row r="34" spans="1:6" ht="12.75">
      <c r="A34" s="123">
        <v>22</v>
      </c>
      <c r="B34" s="219" t="s">
        <v>716</v>
      </c>
      <c r="C34" s="219" t="s">
        <v>816</v>
      </c>
      <c r="D34" s="220">
        <v>1518.22</v>
      </c>
      <c r="E34" s="220">
        <v>153.56320000000005</v>
      </c>
      <c r="F34" s="220">
        <v>233142.72150400004</v>
      </c>
    </row>
    <row r="35" spans="1:6" ht="12.75">
      <c r="A35" s="123">
        <v>23</v>
      </c>
      <c r="B35" s="219" t="s">
        <v>717</v>
      </c>
      <c r="C35" s="219" t="s">
        <v>816</v>
      </c>
      <c r="D35" s="220">
        <v>17.23</v>
      </c>
      <c r="E35" s="220">
        <v>234.90000000000185</v>
      </c>
      <c r="F35" s="220">
        <v>4047.327000000032</v>
      </c>
    </row>
    <row r="36" spans="1:6" ht="12.75">
      <c r="A36" s="123">
        <v>24</v>
      </c>
      <c r="B36" s="219" t="s">
        <v>718</v>
      </c>
      <c r="C36" s="219" t="s">
        <v>816</v>
      </c>
      <c r="D36" s="220">
        <v>7.940000000000291</v>
      </c>
      <c r="E36" s="220">
        <v>122.9343207551905</v>
      </c>
      <c r="F36" s="220">
        <v>976.0985067962482</v>
      </c>
    </row>
    <row r="37" spans="1:6" ht="12.75">
      <c r="A37" s="123">
        <v>25</v>
      </c>
      <c r="B37" s="219" t="s">
        <v>719</v>
      </c>
      <c r="C37" s="219" t="s">
        <v>816</v>
      </c>
      <c r="D37" s="220">
        <v>24</v>
      </c>
      <c r="E37" s="220">
        <v>429.94999999999993</v>
      </c>
      <c r="F37" s="220">
        <v>10318.8</v>
      </c>
    </row>
    <row r="38" spans="1:6" ht="12.75">
      <c r="A38" s="123">
        <v>26</v>
      </c>
      <c r="B38" s="219" t="s">
        <v>720</v>
      </c>
      <c r="C38" s="219" t="s">
        <v>816</v>
      </c>
      <c r="D38" s="220">
        <v>0.1</v>
      </c>
      <c r="E38" s="220">
        <v>158.1906632681843</v>
      </c>
      <c r="F38" s="220">
        <v>15.81906632681843</v>
      </c>
    </row>
    <row r="39" spans="1:6" ht="12.75">
      <c r="A39" s="123">
        <v>27</v>
      </c>
      <c r="B39" s="219" t="s">
        <v>721</v>
      </c>
      <c r="C39" s="219" t="s">
        <v>816</v>
      </c>
      <c r="D39" s="220">
        <v>9</v>
      </c>
      <c r="E39" s="220">
        <v>30.45</v>
      </c>
      <c r="F39" s="220">
        <v>274.05</v>
      </c>
    </row>
    <row r="40" spans="1:6" ht="12.75">
      <c r="A40" s="123">
        <v>28</v>
      </c>
      <c r="B40" s="219" t="s">
        <v>722</v>
      </c>
      <c r="C40" s="219" t="s">
        <v>816</v>
      </c>
      <c r="D40" s="220">
        <v>8</v>
      </c>
      <c r="E40" s="220">
        <v>964.25</v>
      </c>
      <c r="F40" s="220">
        <v>7714</v>
      </c>
    </row>
    <row r="41" spans="1:6" ht="12.75">
      <c r="A41" s="123">
        <v>29</v>
      </c>
      <c r="B41" s="219" t="s">
        <v>723</v>
      </c>
      <c r="C41" s="219" t="s">
        <v>816</v>
      </c>
      <c r="D41" s="220">
        <v>36.62999900000002</v>
      </c>
      <c r="E41" s="220">
        <v>105.26469862962782</v>
      </c>
      <c r="F41" s="220">
        <v>3855.8458055385704</v>
      </c>
    </row>
    <row r="42" spans="1:6" ht="12.75">
      <c r="A42" s="123">
        <v>30</v>
      </c>
      <c r="B42" s="219" t="s">
        <v>724</v>
      </c>
      <c r="C42" s="219" t="s">
        <v>816</v>
      </c>
      <c r="D42" s="220">
        <v>315.23999999999995</v>
      </c>
      <c r="E42" s="220">
        <v>174</v>
      </c>
      <c r="F42" s="220">
        <v>54851.75999999999</v>
      </c>
    </row>
    <row r="43" spans="1:6" ht="12.75">
      <c r="A43" s="123">
        <v>31</v>
      </c>
      <c r="B43" s="219" t="s">
        <v>725</v>
      </c>
      <c r="C43" s="219" t="s">
        <v>816</v>
      </c>
      <c r="D43" s="220">
        <v>1975.68</v>
      </c>
      <c r="E43" s="220">
        <v>86.69998626464934</v>
      </c>
      <c r="F43" s="220">
        <v>171291.42886334241</v>
      </c>
    </row>
    <row r="44" spans="1:8" ht="12.75">
      <c r="A44" s="123">
        <v>32</v>
      </c>
      <c r="B44" s="219" t="s">
        <v>726</v>
      </c>
      <c r="C44" s="219" t="s">
        <v>816</v>
      </c>
      <c r="D44" s="220">
        <v>6187.74</v>
      </c>
      <c r="E44" s="220">
        <f>F44/D44</f>
        <v>282.95567774057895</v>
      </c>
      <c r="F44" s="220">
        <f>31023+1719833.16538249</f>
        <v>1750856.16538249</v>
      </c>
      <c r="G44" s="234"/>
      <c r="H44" s="5"/>
    </row>
    <row r="45" spans="1:7" ht="12.75">
      <c r="A45" s="123">
        <v>33</v>
      </c>
      <c r="B45" s="219" t="s">
        <v>727</v>
      </c>
      <c r="C45" s="219" t="s">
        <v>816</v>
      </c>
      <c r="D45" s="220">
        <v>2970.05</v>
      </c>
      <c r="E45" s="220">
        <v>137.7062871378559</v>
      </c>
      <c r="F45" s="220">
        <v>408994.55811378884</v>
      </c>
      <c r="G45" s="4"/>
    </row>
    <row r="46" spans="1:7" ht="12.75">
      <c r="A46" s="123">
        <v>34</v>
      </c>
      <c r="B46" s="219" t="s">
        <v>728</v>
      </c>
      <c r="C46" s="219" t="s">
        <v>816</v>
      </c>
      <c r="D46" s="220">
        <v>2347.75</v>
      </c>
      <c r="E46" s="220">
        <v>145.8195427332225</v>
      </c>
      <c r="F46" s="220">
        <v>342347.8314519231</v>
      </c>
      <c r="G46" s="4"/>
    </row>
    <row r="47" spans="1:7" ht="12.75">
      <c r="A47" s="123">
        <v>35</v>
      </c>
      <c r="B47" s="219" t="s">
        <v>729</v>
      </c>
      <c r="C47" s="219" t="s">
        <v>816</v>
      </c>
      <c r="D47" s="220">
        <v>0.01</v>
      </c>
      <c r="E47" s="220">
        <v>68.23189613944851</v>
      </c>
      <c r="F47" s="220">
        <v>0.6823189613944851</v>
      </c>
      <c r="G47" s="4"/>
    </row>
    <row r="48" spans="1:7" ht="12.75">
      <c r="A48" s="123">
        <v>36</v>
      </c>
      <c r="B48" s="219" t="s">
        <v>730</v>
      </c>
      <c r="C48" s="219" t="s">
        <v>816</v>
      </c>
      <c r="D48" s="220">
        <v>84.69</v>
      </c>
      <c r="E48" s="220">
        <v>529.2499999999986</v>
      </c>
      <c r="F48" s="220">
        <v>44822.182499999886</v>
      </c>
      <c r="G48" s="4"/>
    </row>
    <row r="49" spans="1:7" ht="12.75">
      <c r="A49" s="123">
        <v>37</v>
      </c>
      <c r="B49" s="219" t="s">
        <v>731</v>
      </c>
      <c r="C49" s="219" t="s">
        <v>816</v>
      </c>
      <c r="D49" s="220">
        <v>0.01</v>
      </c>
      <c r="E49" s="220">
        <v>-26900.488790365867</v>
      </c>
      <c r="F49" s="220">
        <v>-269.0048879036587</v>
      </c>
      <c r="G49" s="4"/>
    </row>
    <row r="50" spans="1:7" ht="12.75">
      <c r="A50" s="123">
        <v>38</v>
      </c>
      <c r="B50" s="219" t="s">
        <v>732</v>
      </c>
      <c r="C50" s="219" t="s">
        <v>816</v>
      </c>
      <c r="D50" s="220">
        <v>2652</v>
      </c>
      <c r="E50" s="220">
        <v>198.92047511312217</v>
      </c>
      <c r="F50" s="220">
        <v>527537.1</v>
      </c>
      <c r="G50" s="4"/>
    </row>
    <row r="51" spans="1:7" ht="12.75">
      <c r="A51" s="123">
        <v>39</v>
      </c>
      <c r="B51" s="219" t="s">
        <v>733</v>
      </c>
      <c r="C51" s="219" t="s">
        <v>816</v>
      </c>
      <c r="D51" s="220">
        <v>8313.85</v>
      </c>
      <c r="E51" s="220">
        <v>177.63815238532095</v>
      </c>
      <c r="F51" s="220">
        <v>1476856.9532087005</v>
      </c>
      <c r="G51" s="4"/>
    </row>
    <row r="52" spans="1:7" ht="12.75">
      <c r="A52" s="123">
        <v>40</v>
      </c>
      <c r="B52" s="219" t="s">
        <v>734</v>
      </c>
      <c r="C52" s="219" t="s">
        <v>816</v>
      </c>
      <c r="D52" s="220">
        <v>1.8189894035458565E-14</v>
      </c>
      <c r="E52" s="220">
        <v>0</v>
      </c>
      <c r="F52" s="220">
        <v>4.656612873077393E-12</v>
      </c>
      <c r="G52" s="4"/>
    </row>
    <row r="53" spans="1:7" ht="12.75">
      <c r="A53" s="123">
        <v>41</v>
      </c>
      <c r="B53" s="219" t="s">
        <v>735</v>
      </c>
      <c r="C53" s="219" t="s">
        <v>816</v>
      </c>
      <c r="D53" s="220">
        <v>330.84</v>
      </c>
      <c r="E53" s="220">
        <v>63.53760000000004</v>
      </c>
      <c r="F53" s="220">
        <v>21020.779584000014</v>
      </c>
      <c r="G53" s="4"/>
    </row>
    <row r="54" spans="1:7" ht="12.75">
      <c r="A54" s="123">
        <v>42</v>
      </c>
      <c r="B54" s="219" t="s">
        <v>736</v>
      </c>
      <c r="C54" s="219" t="s">
        <v>816</v>
      </c>
      <c r="D54" s="220">
        <v>2</v>
      </c>
      <c r="E54" s="220">
        <v>181.25</v>
      </c>
      <c r="F54" s="220">
        <v>362.5</v>
      </c>
      <c r="G54" s="4"/>
    </row>
    <row r="55" spans="1:8" ht="12.75">
      <c r="A55" s="123">
        <v>43</v>
      </c>
      <c r="B55" s="219" t="s">
        <v>737</v>
      </c>
      <c r="C55" s="219" t="s">
        <v>816</v>
      </c>
      <c r="D55" s="220">
        <v>6719.62</v>
      </c>
      <c r="E55" s="220">
        <f>F55/D55</f>
        <v>100.09123719673225</v>
      </c>
      <c r="F55" s="220">
        <f>33600+638975.079291906</f>
        <v>672575.079291906</v>
      </c>
      <c r="G55" s="234"/>
      <c r="H55" s="5"/>
    </row>
    <row r="56" spans="1:7" ht="12.75">
      <c r="A56" s="123">
        <v>44</v>
      </c>
      <c r="B56" s="219" t="s">
        <v>738</v>
      </c>
      <c r="C56" s="219" t="s">
        <v>816</v>
      </c>
      <c r="D56" s="220">
        <v>199.48</v>
      </c>
      <c r="E56" s="220">
        <v>507.5</v>
      </c>
      <c r="F56" s="220">
        <v>101236.1</v>
      </c>
      <c r="G56" s="4"/>
    </row>
    <row r="57" spans="1:7" ht="12.75">
      <c r="A57" s="123">
        <v>45</v>
      </c>
      <c r="B57" s="219" t="s">
        <v>739</v>
      </c>
      <c r="C57" s="219" t="s">
        <v>816</v>
      </c>
      <c r="D57" s="220">
        <v>160</v>
      </c>
      <c r="E57" s="220">
        <v>628.556</v>
      </c>
      <c r="F57" s="220">
        <v>100568.96</v>
      </c>
      <c r="G57" s="4"/>
    </row>
    <row r="58" spans="1:7" ht="12.75">
      <c r="A58" s="123">
        <v>46</v>
      </c>
      <c r="B58" s="219" t="s">
        <v>740</v>
      </c>
      <c r="C58" s="219" t="s">
        <v>816</v>
      </c>
      <c r="D58" s="220">
        <v>40</v>
      </c>
      <c r="E58" s="220">
        <v>634.979</v>
      </c>
      <c r="F58" s="220">
        <v>25399.16</v>
      </c>
      <c r="G58" s="4"/>
    </row>
    <row r="59" spans="1:7" ht="12.75">
      <c r="A59" s="123">
        <v>47</v>
      </c>
      <c r="B59" s="219" t="s">
        <v>741</v>
      </c>
      <c r="C59" s="219" t="s">
        <v>816</v>
      </c>
      <c r="D59" s="220">
        <v>120</v>
      </c>
      <c r="E59" s="220">
        <v>628.556</v>
      </c>
      <c r="F59" s="220">
        <v>75426.72</v>
      </c>
      <c r="G59" s="4"/>
    </row>
    <row r="60" spans="1:7" ht="12.75">
      <c r="A60" s="123">
        <v>48</v>
      </c>
      <c r="B60" s="219" t="s">
        <v>742</v>
      </c>
      <c r="C60" s="219" t="s">
        <v>816</v>
      </c>
      <c r="D60" s="220">
        <v>160</v>
      </c>
      <c r="E60" s="220">
        <v>821.252</v>
      </c>
      <c r="F60" s="220">
        <v>131400.32</v>
      </c>
      <c r="G60" s="4"/>
    </row>
    <row r="61" spans="1:7" ht="12.75">
      <c r="A61" s="123">
        <v>49</v>
      </c>
      <c r="B61" s="219" t="s">
        <v>743</v>
      </c>
      <c r="C61" s="219" t="s">
        <v>816</v>
      </c>
      <c r="D61" s="220">
        <v>40</v>
      </c>
      <c r="E61" s="220">
        <v>3730.0440000000003</v>
      </c>
      <c r="F61" s="220">
        <v>149201.76</v>
      </c>
      <c r="G61" s="4"/>
    </row>
    <row r="62" spans="1:7" ht="12.75">
      <c r="A62" s="123">
        <v>50</v>
      </c>
      <c r="B62" s="219" t="s">
        <v>744</v>
      </c>
      <c r="C62" s="219" t="s">
        <v>816</v>
      </c>
      <c r="D62" s="220">
        <v>40</v>
      </c>
      <c r="E62" s="220">
        <v>2851.9007500000002</v>
      </c>
      <c r="F62" s="220">
        <v>114076.03</v>
      </c>
      <c r="G62" s="4"/>
    </row>
    <row r="63" spans="1:7" ht="12.75">
      <c r="A63" s="123">
        <v>51</v>
      </c>
      <c r="B63" s="219" t="s">
        <v>745</v>
      </c>
      <c r="C63" s="219" t="s">
        <v>816</v>
      </c>
      <c r="D63" s="220">
        <v>300</v>
      </c>
      <c r="E63" s="220">
        <v>642.32</v>
      </c>
      <c r="F63" s="220">
        <v>192696</v>
      </c>
      <c r="G63" s="4"/>
    </row>
    <row r="64" spans="1:7" ht="12.75">
      <c r="A64" s="123">
        <v>52</v>
      </c>
      <c r="B64" s="219" t="s">
        <v>746</v>
      </c>
      <c r="C64" s="219" t="s">
        <v>417</v>
      </c>
      <c r="D64" s="220">
        <v>7</v>
      </c>
      <c r="E64" s="220">
        <v>17.178434782610942</v>
      </c>
      <c r="F64" s="220">
        <v>120.24904347827658</v>
      </c>
      <c r="G64" s="4"/>
    </row>
    <row r="65" spans="1:7" ht="12.75">
      <c r="A65" s="123">
        <v>53</v>
      </c>
      <c r="B65" s="219" t="s">
        <v>747</v>
      </c>
      <c r="C65" s="219" t="s">
        <v>417</v>
      </c>
      <c r="D65" s="220">
        <v>7629</v>
      </c>
      <c r="E65" s="220">
        <v>37.08057142857142</v>
      </c>
      <c r="F65" s="220">
        <v>282887.67942857137</v>
      </c>
      <c r="G65" s="4"/>
    </row>
    <row r="66" spans="1:7" ht="12.75">
      <c r="A66" s="123">
        <v>54</v>
      </c>
      <c r="B66" s="219" t="s">
        <v>748</v>
      </c>
      <c r="C66" s="219" t="s">
        <v>417</v>
      </c>
      <c r="D66" s="220">
        <v>4577</v>
      </c>
      <c r="E66" s="220">
        <v>1.7663203642384107</v>
      </c>
      <c r="F66" s="220">
        <v>8084.448307119205</v>
      </c>
      <c r="G66" s="4"/>
    </row>
    <row r="67" spans="1:7" ht="12.75">
      <c r="A67" s="123">
        <v>55</v>
      </c>
      <c r="B67" s="219" t="s">
        <v>749</v>
      </c>
      <c r="C67" s="219" t="s">
        <v>417</v>
      </c>
      <c r="D67" s="220">
        <v>31</v>
      </c>
      <c r="E67" s="220">
        <v>2</v>
      </c>
      <c r="F67" s="220">
        <v>62</v>
      </c>
      <c r="G67" s="4"/>
    </row>
    <row r="68" spans="1:7" ht="12.75">
      <c r="A68" s="123">
        <v>56</v>
      </c>
      <c r="B68" s="219" t="s">
        <v>750</v>
      </c>
      <c r="C68" s="219" t="s">
        <v>417</v>
      </c>
      <c r="D68" s="220">
        <v>21</v>
      </c>
      <c r="E68" s="220">
        <v>1.3237</v>
      </c>
      <c r="F68" s="220">
        <v>27.7977</v>
      </c>
      <c r="G68" s="4"/>
    </row>
    <row r="69" spans="1:7" ht="12.75">
      <c r="A69" s="123">
        <v>57</v>
      </c>
      <c r="B69" s="219" t="s">
        <v>751</v>
      </c>
      <c r="C69" s="219" t="s">
        <v>417</v>
      </c>
      <c r="D69" s="220">
        <v>1560</v>
      </c>
      <c r="E69" s="220">
        <v>17.2</v>
      </c>
      <c r="F69" s="220">
        <v>26832</v>
      </c>
      <c r="G69" s="4"/>
    </row>
    <row r="70" spans="1:7" ht="12.75">
      <c r="A70" s="123">
        <v>58</v>
      </c>
      <c r="B70" s="219" t="s">
        <v>752</v>
      </c>
      <c r="C70" s="219" t="s">
        <v>417</v>
      </c>
      <c r="D70" s="220">
        <v>89125</v>
      </c>
      <c r="E70" s="220">
        <v>40.172062658775346</v>
      </c>
      <c r="F70" s="220">
        <v>3580335.084463352</v>
      </c>
      <c r="G70" s="4"/>
    </row>
    <row r="71" spans="1:7" ht="12.75">
      <c r="A71" s="123">
        <v>59</v>
      </c>
      <c r="B71" s="219" t="s">
        <v>753</v>
      </c>
      <c r="C71" s="219" t="s">
        <v>417</v>
      </c>
      <c r="D71" s="220">
        <v>29</v>
      </c>
      <c r="E71" s="220">
        <v>129.62750000000062</v>
      </c>
      <c r="F71" s="220">
        <v>3759.1975000000175</v>
      </c>
      <c r="G71" s="4"/>
    </row>
    <row r="72" spans="1:7" ht="12.75">
      <c r="A72" s="123">
        <v>60</v>
      </c>
      <c r="B72" s="219" t="s">
        <v>754</v>
      </c>
      <c r="C72" s="219" t="s">
        <v>417</v>
      </c>
      <c r="D72" s="220">
        <v>47</v>
      </c>
      <c r="E72" s="220">
        <v>36.3817376094791</v>
      </c>
      <c r="F72" s="220">
        <v>1709.9416676455178</v>
      </c>
      <c r="G72" s="4"/>
    </row>
    <row r="73" spans="1:7" ht="12.75">
      <c r="A73" s="123">
        <v>61</v>
      </c>
      <c r="B73" s="219" t="s">
        <v>755</v>
      </c>
      <c r="C73" s="219" t="s">
        <v>417</v>
      </c>
      <c r="D73" s="220">
        <v>3467</v>
      </c>
      <c r="E73" s="220">
        <v>123.90866482796838</v>
      </c>
      <c r="F73" s="220">
        <v>429591.34095856635</v>
      </c>
      <c r="G73" s="4"/>
    </row>
    <row r="74" spans="1:7" ht="12.75">
      <c r="A74" s="123">
        <v>62</v>
      </c>
      <c r="B74" s="219" t="s">
        <v>756</v>
      </c>
      <c r="C74" s="219" t="s">
        <v>417</v>
      </c>
      <c r="D74" s="220">
        <v>0</v>
      </c>
      <c r="E74" s="220">
        <v>0</v>
      </c>
      <c r="F74" s="220">
        <v>-6.984919309616089E-12</v>
      </c>
      <c r="G74" s="4"/>
    </row>
    <row r="75" spans="1:7" ht="12.75">
      <c r="A75" s="123">
        <v>63</v>
      </c>
      <c r="B75" s="219" t="s">
        <v>757</v>
      </c>
      <c r="C75" s="219" t="s">
        <v>417</v>
      </c>
      <c r="D75" s="220">
        <v>420</v>
      </c>
      <c r="E75" s="220">
        <v>227.49964285714287</v>
      </c>
      <c r="F75" s="220">
        <v>95549.85</v>
      </c>
      <c r="G75" s="4"/>
    </row>
    <row r="76" spans="1:7" ht="12.75">
      <c r="A76" s="123">
        <v>64</v>
      </c>
      <c r="B76" s="219" t="s">
        <v>758</v>
      </c>
      <c r="C76" s="219" t="s">
        <v>417</v>
      </c>
      <c r="D76" s="220">
        <v>4</v>
      </c>
      <c r="E76" s="220">
        <v>424.58219999999505</v>
      </c>
      <c r="F76" s="220">
        <v>1698.3287999999802</v>
      </c>
      <c r="G76" s="4"/>
    </row>
    <row r="77" spans="1:7" ht="12.75">
      <c r="A77" s="123">
        <v>65</v>
      </c>
      <c r="B77" s="219" t="s">
        <v>759</v>
      </c>
      <c r="C77" s="219" t="s">
        <v>417</v>
      </c>
      <c r="D77" s="220">
        <v>18</v>
      </c>
      <c r="E77" s="220">
        <v>384.4599999999999</v>
      </c>
      <c r="F77" s="220">
        <v>6920.279999999999</v>
      </c>
      <c r="G77" s="4"/>
    </row>
    <row r="78" spans="1:7" ht="12.75">
      <c r="A78" s="123">
        <v>66</v>
      </c>
      <c r="B78" s="219" t="s">
        <v>760</v>
      </c>
      <c r="C78" s="219" t="s">
        <v>417</v>
      </c>
      <c r="D78" s="220">
        <v>350</v>
      </c>
      <c r="E78" s="220">
        <v>23</v>
      </c>
      <c r="F78" s="220">
        <v>8050</v>
      </c>
      <c r="G78" s="4"/>
    </row>
    <row r="79" spans="1:7" ht="12.75">
      <c r="A79" s="123">
        <v>67</v>
      </c>
      <c r="B79" s="219" t="s">
        <v>761</v>
      </c>
      <c r="C79" s="219" t="s">
        <v>417</v>
      </c>
      <c r="D79" s="220">
        <v>19531</v>
      </c>
      <c r="E79" s="220">
        <v>35.0975864274571</v>
      </c>
      <c r="F79" s="220">
        <v>685490.9605146648</v>
      </c>
      <c r="G79" s="4"/>
    </row>
    <row r="80" spans="1:7" ht="12.75">
      <c r="A80" s="123">
        <v>68</v>
      </c>
      <c r="B80" s="219" t="s">
        <v>762</v>
      </c>
      <c r="C80" s="219" t="s">
        <v>417</v>
      </c>
      <c r="D80" s="220">
        <v>18290</v>
      </c>
      <c r="E80" s="220">
        <f>F80/D80</f>
        <v>112.54036796063423</v>
      </c>
      <c r="F80" s="220">
        <f>79966+1978397.33</f>
        <v>2058363.33</v>
      </c>
      <c r="G80" s="4"/>
    </row>
    <row r="81" spans="1:7" ht="12.75">
      <c r="A81" s="123">
        <v>69</v>
      </c>
      <c r="B81" s="219" t="s">
        <v>763</v>
      </c>
      <c r="C81" s="219" t="s">
        <v>417</v>
      </c>
      <c r="D81" s="220">
        <v>1066</v>
      </c>
      <c r="E81" s="220">
        <v>11</v>
      </c>
      <c r="F81" s="220">
        <v>11726</v>
      </c>
      <c r="G81" s="4"/>
    </row>
    <row r="82" spans="1:7" ht="12.75">
      <c r="A82" s="123">
        <v>70</v>
      </c>
      <c r="B82" s="219" t="s">
        <v>764</v>
      </c>
      <c r="C82" s="219" t="s">
        <v>417</v>
      </c>
      <c r="D82" s="220">
        <v>0</v>
      </c>
      <c r="E82" s="220">
        <v>0</v>
      </c>
      <c r="F82" s="220">
        <v>2.3283064365386963E-12</v>
      </c>
      <c r="G82" s="4"/>
    </row>
    <row r="83" spans="1:8" ht="12.75">
      <c r="A83" s="123">
        <v>71</v>
      </c>
      <c r="B83" s="219" t="s">
        <v>765</v>
      </c>
      <c r="C83" s="219" t="s">
        <v>417</v>
      </c>
      <c r="D83" s="220">
        <v>10448</v>
      </c>
      <c r="E83" s="220">
        <f>F83/D83</f>
        <v>13.95467840735069</v>
      </c>
      <c r="F83" s="220">
        <f>1416+144382.48</f>
        <v>145798.48</v>
      </c>
      <c r="G83" s="234"/>
      <c r="H83" s="5"/>
    </row>
    <row r="84" spans="1:8" ht="12.75">
      <c r="A84" s="123">
        <v>72</v>
      </c>
      <c r="B84" s="219" t="s">
        <v>766</v>
      </c>
      <c r="C84" s="219" t="s">
        <v>417</v>
      </c>
      <c r="D84" s="220">
        <v>30685</v>
      </c>
      <c r="E84" s="220">
        <f>F84/D84</f>
        <v>63.41733811308457</v>
      </c>
      <c r="F84" s="220">
        <f>187290+1758671.02</f>
        <v>1945961.02</v>
      </c>
      <c r="G84" s="234"/>
      <c r="H84" s="5"/>
    </row>
    <row r="85" spans="1:7" ht="12.75">
      <c r="A85" s="123">
        <v>73</v>
      </c>
      <c r="B85" s="219" t="s">
        <v>767</v>
      </c>
      <c r="C85" s="219" t="s">
        <v>417</v>
      </c>
      <c r="D85" s="220">
        <v>0</v>
      </c>
      <c r="E85" s="220">
        <v>0</v>
      </c>
      <c r="F85" s="220">
        <v>0</v>
      </c>
      <c r="G85" s="4"/>
    </row>
    <row r="86" spans="1:7" ht="12.75">
      <c r="A86" s="123">
        <v>74</v>
      </c>
      <c r="B86" s="219" t="s">
        <v>768</v>
      </c>
      <c r="C86" s="219" t="s">
        <v>417</v>
      </c>
      <c r="D86" s="220">
        <v>16865</v>
      </c>
      <c r="E86" s="220">
        <f>F86/D86</f>
        <v>19.15908006800943</v>
      </c>
      <c r="F86" s="220">
        <f>26783+296334.885346979</f>
        <v>323117.885346979</v>
      </c>
      <c r="G86" s="4"/>
    </row>
    <row r="87" spans="1:7" ht="12.75">
      <c r="A87" s="123">
        <v>75</v>
      </c>
      <c r="B87" s="219" t="s">
        <v>769</v>
      </c>
      <c r="C87" s="219" t="s">
        <v>417</v>
      </c>
      <c r="D87" s="220">
        <v>245</v>
      </c>
      <c r="E87" s="220">
        <v>32.08502040816327</v>
      </c>
      <c r="F87" s="220">
        <v>7860.83</v>
      </c>
      <c r="G87" s="4"/>
    </row>
    <row r="88" spans="1:7" ht="12.75">
      <c r="A88" s="123">
        <v>76</v>
      </c>
      <c r="B88" s="219" t="s">
        <v>770</v>
      </c>
      <c r="C88" s="219" t="s">
        <v>417</v>
      </c>
      <c r="D88" s="220">
        <v>3303</v>
      </c>
      <c r="E88" s="220">
        <v>28.75783292968174</v>
      </c>
      <c r="F88" s="220">
        <v>94987.12216673879</v>
      </c>
      <c r="G88" s="4"/>
    </row>
    <row r="89" spans="1:7" ht="12.75">
      <c r="A89" s="123">
        <v>77</v>
      </c>
      <c r="B89" s="219" t="s">
        <v>771</v>
      </c>
      <c r="C89" s="219" t="s">
        <v>417</v>
      </c>
      <c r="D89" s="220">
        <v>16568</v>
      </c>
      <c r="E89" s="220">
        <v>7.155082190477512</v>
      </c>
      <c r="F89" s="220">
        <v>118545.40173183144</v>
      </c>
      <c r="G89" s="4"/>
    </row>
    <row r="90" spans="1:7" ht="12.75">
      <c r="A90" s="123">
        <v>78</v>
      </c>
      <c r="B90" s="219" t="s">
        <v>772</v>
      </c>
      <c r="C90" s="219" t="s">
        <v>417</v>
      </c>
      <c r="D90" s="220">
        <v>4478</v>
      </c>
      <c r="E90" s="220">
        <v>13.438259357888716</v>
      </c>
      <c r="F90" s="220">
        <v>60176.52540462567</v>
      </c>
      <c r="G90" s="4"/>
    </row>
    <row r="91" spans="1:7" ht="12.75">
      <c r="A91" s="123">
        <v>79</v>
      </c>
      <c r="B91" s="219" t="s">
        <v>773</v>
      </c>
      <c r="C91" s="219" t="s">
        <v>417</v>
      </c>
      <c r="D91" s="220">
        <v>1493</v>
      </c>
      <c r="E91" s="220">
        <v>28.333233811224382</v>
      </c>
      <c r="F91" s="220">
        <v>42301.51808015799</v>
      </c>
      <c r="G91" s="4"/>
    </row>
    <row r="92" spans="1:7" ht="12.75">
      <c r="A92" s="123">
        <v>80</v>
      </c>
      <c r="B92" s="219" t="s">
        <v>774</v>
      </c>
      <c r="C92" s="219" t="s">
        <v>417</v>
      </c>
      <c r="D92" s="220">
        <v>39614</v>
      </c>
      <c r="E92" s="220">
        <v>1.4490801135846205</v>
      </c>
      <c r="F92" s="220">
        <v>57403.85961954115</v>
      </c>
      <c r="G92" s="4"/>
    </row>
    <row r="93" spans="1:7" ht="12.75">
      <c r="A93" s="123">
        <v>81</v>
      </c>
      <c r="B93" s="219" t="s">
        <v>775</v>
      </c>
      <c r="C93" s="219" t="s">
        <v>417</v>
      </c>
      <c r="D93" s="220">
        <v>1555</v>
      </c>
      <c r="E93" s="220">
        <v>2.0413204419889506</v>
      </c>
      <c r="F93" s="220">
        <v>3174.2532872928177</v>
      </c>
      <c r="G93" s="4"/>
    </row>
    <row r="94" spans="1:7" ht="12.75">
      <c r="A94" s="123">
        <v>82</v>
      </c>
      <c r="B94" s="219" t="s">
        <v>776</v>
      </c>
      <c r="C94" s="219" t="s">
        <v>816</v>
      </c>
      <c r="D94" s="220">
        <v>3200</v>
      </c>
      <c r="E94" s="220">
        <v>9.04452</v>
      </c>
      <c r="F94" s="220">
        <v>28942.464000000004</v>
      </c>
      <c r="G94" s="4"/>
    </row>
    <row r="95" spans="1:7" ht="12.75">
      <c r="A95" s="123">
        <v>83</v>
      </c>
      <c r="B95" s="219" t="s">
        <v>777</v>
      </c>
      <c r="C95" s="219" t="s">
        <v>816</v>
      </c>
      <c r="D95" s="220">
        <v>0.39</v>
      </c>
      <c r="E95" s="220">
        <v>13.77999999987869</v>
      </c>
      <c r="F95" s="220">
        <v>5.374199999952689</v>
      </c>
      <c r="G95" s="4"/>
    </row>
    <row r="96" spans="1:7" ht="12.75">
      <c r="A96" s="123">
        <v>84</v>
      </c>
      <c r="B96" s="219" t="s">
        <v>778</v>
      </c>
      <c r="C96" s="219" t="s">
        <v>816</v>
      </c>
      <c r="D96" s="220">
        <v>3024.58</v>
      </c>
      <c r="E96" s="220">
        <v>161.655280303944</v>
      </c>
      <c r="F96" s="220">
        <v>488939.3277017029</v>
      </c>
      <c r="G96" s="4"/>
    </row>
    <row r="97" spans="1:7" ht="12.75">
      <c r="A97" s="123">
        <v>85</v>
      </c>
      <c r="B97" s="219" t="s">
        <v>779</v>
      </c>
      <c r="C97" s="219" t="s">
        <v>816</v>
      </c>
      <c r="D97" s="220">
        <v>347.83</v>
      </c>
      <c r="E97" s="220">
        <v>35.13413164197177</v>
      </c>
      <c r="F97" s="220">
        <v>12220.70500902704</v>
      </c>
      <c r="G97" s="4"/>
    </row>
    <row r="98" spans="1:7" ht="12.75">
      <c r="A98" s="123">
        <v>86</v>
      </c>
      <c r="B98" s="219" t="s">
        <v>780</v>
      </c>
      <c r="C98" s="219" t="s">
        <v>816</v>
      </c>
      <c r="D98" s="220">
        <v>631.99</v>
      </c>
      <c r="E98" s="220">
        <v>46.60062771960946</v>
      </c>
      <c r="F98" s="220">
        <v>29451.130712515987</v>
      </c>
      <c r="G98" s="4"/>
    </row>
    <row r="99" spans="1:7" ht="12.75">
      <c r="A99" s="123">
        <v>87</v>
      </c>
      <c r="B99" s="219" t="s">
        <v>781</v>
      </c>
      <c r="C99" s="219" t="s">
        <v>816</v>
      </c>
      <c r="D99" s="220">
        <v>7.06</v>
      </c>
      <c r="E99" s="220">
        <v>46.39999999999993</v>
      </c>
      <c r="F99" s="220">
        <v>327.58399999999943</v>
      </c>
      <c r="G99" s="4"/>
    </row>
    <row r="100" spans="1:7" ht="12.75">
      <c r="A100" s="123">
        <v>88</v>
      </c>
      <c r="B100" s="219" t="s">
        <v>782</v>
      </c>
      <c r="C100" s="219" t="s">
        <v>417</v>
      </c>
      <c r="D100" s="220">
        <v>1905</v>
      </c>
      <c r="E100" s="220">
        <v>25.000200000000003</v>
      </c>
      <c r="F100" s="220">
        <v>47625.380999999994</v>
      </c>
      <c r="G100" s="4"/>
    </row>
    <row r="101" spans="1:7" ht="12.75">
      <c r="A101" s="123">
        <v>89</v>
      </c>
      <c r="B101" s="219" t="s">
        <v>783</v>
      </c>
      <c r="C101" s="219" t="s">
        <v>417</v>
      </c>
      <c r="D101" s="220">
        <v>500</v>
      </c>
      <c r="E101" s="220">
        <v>125.00099999999999</v>
      </c>
      <c r="F101" s="220">
        <v>62500.49999999999</v>
      </c>
      <c r="G101" s="4"/>
    </row>
    <row r="102" spans="1:7" ht="12.75">
      <c r="A102" s="123">
        <v>90</v>
      </c>
      <c r="B102" s="219" t="s">
        <v>784</v>
      </c>
      <c r="C102" s="219" t="s">
        <v>417</v>
      </c>
      <c r="D102" s="220">
        <v>910</v>
      </c>
      <c r="E102" s="220">
        <v>44.44480000000001</v>
      </c>
      <c r="F102" s="220">
        <v>40444.768000000004</v>
      </c>
      <c r="G102" s="4"/>
    </row>
    <row r="103" spans="1:7" ht="12.75">
      <c r="A103" s="123">
        <v>91</v>
      </c>
      <c r="B103" s="219" t="s">
        <v>785</v>
      </c>
      <c r="C103" s="219" t="s">
        <v>417</v>
      </c>
      <c r="D103" s="220">
        <v>1700</v>
      </c>
      <c r="E103" s="220">
        <v>27.778000000000002</v>
      </c>
      <c r="F103" s="220">
        <v>47222.6</v>
      </c>
      <c r="G103" s="4"/>
    </row>
    <row r="104" spans="1:7" ht="12.75">
      <c r="A104" s="123">
        <v>92</v>
      </c>
      <c r="B104" s="219" t="s">
        <v>786</v>
      </c>
      <c r="C104" s="219" t="s">
        <v>417</v>
      </c>
      <c r="D104" s="220">
        <v>1280</v>
      </c>
      <c r="E104" s="220">
        <v>29.166899999999995</v>
      </c>
      <c r="F104" s="220">
        <v>37333.63199999999</v>
      </c>
      <c r="G104" s="4"/>
    </row>
    <row r="105" spans="1:7" ht="12.75">
      <c r="A105" s="123">
        <v>93</v>
      </c>
      <c r="B105" s="219" t="s">
        <v>787</v>
      </c>
      <c r="C105" s="219" t="s">
        <v>417</v>
      </c>
      <c r="D105" s="220">
        <v>240</v>
      </c>
      <c r="E105" s="220">
        <v>37.50029999999999</v>
      </c>
      <c r="F105" s="220">
        <v>9000.071999999996</v>
      </c>
      <c r="G105" s="4"/>
    </row>
    <row r="106" spans="1:7" ht="12.75">
      <c r="A106" s="123">
        <v>94</v>
      </c>
      <c r="B106" s="219" t="s">
        <v>788</v>
      </c>
      <c r="C106" s="219" t="s">
        <v>417</v>
      </c>
      <c r="D106" s="220">
        <v>480</v>
      </c>
      <c r="E106" s="220">
        <v>37.50029999999999</v>
      </c>
      <c r="F106" s="220">
        <v>18000.143999999993</v>
      </c>
      <c r="G106" s="4"/>
    </row>
    <row r="107" spans="1:7" ht="12.75">
      <c r="A107" s="123">
        <v>95</v>
      </c>
      <c r="B107" s="219" t="s">
        <v>789</v>
      </c>
      <c r="C107" s="219" t="s">
        <v>417</v>
      </c>
      <c r="D107" s="220">
        <v>244</v>
      </c>
      <c r="E107" s="220">
        <v>30.555799999999994</v>
      </c>
      <c r="F107" s="220">
        <v>7455.615199999999</v>
      </c>
      <c r="G107" s="4"/>
    </row>
    <row r="108" spans="1:7" ht="12.75">
      <c r="A108" s="123">
        <v>96</v>
      </c>
      <c r="B108" s="219" t="s">
        <v>790</v>
      </c>
      <c r="C108" s="219" t="s">
        <v>417</v>
      </c>
      <c r="D108" s="220">
        <v>100</v>
      </c>
      <c r="E108" s="220">
        <v>125.00099999999999</v>
      </c>
      <c r="F108" s="220">
        <v>12500.099999999999</v>
      </c>
      <c r="G108" s="4"/>
    </row>
    <row r="109" spans="1:7" ht="12.75">
      <c r="A109" s="123">
        <v>97</v>
      </c>
      <c r="B109" s="219" t="s">
        <v>791</v>
      </c>
      <c r="C109" s="219" t="s">
        <v>417</v>
      </c>
      <c r="D109" s="220">
        <v>100</v>
      </c>
      <c r="E109" s="220">
        <v>125.00099999999999</v>
      </c>
      <c r="F109" s="220">
        <v>12500.099999999999</v>
      </c>
      <c r="G109" s="4"/>
    </row>
    <row r="110" spans="1:7" ht="12.75">
      <c r="A110" s="123">
        <v>98</v>
      </c>
      <c r="B110" s="219" t="s">
        <v>792</v>
      </c>
      <c r="C110" s="219" t="s">
        <v>417</v>
      </c>
      <c r="D110" s="220">
        <v>120</v>
      </c>
      <c r="E110" s="220">
        <v>37.50029999999999</v>
      </c>
      <c r="F110" s="220">
        <v>4500.035999999998</v>
      </c>
      <c r="G110" s="4"/>
    </row>
    <row r="111" spans="1:7" ht="12.75">
      <c r="A111" s="123">
        <v>99</v>
      </c>
      <c r="B111" s="219" t="s">
        <v>793</v>
      </c>
      <c r="C111" s="219" t="s">
        <v>417</v>
      </c>
      <c r="D111" s="220">
        <v>1000</v>
      </c>
      <c r="E111" s="220">
        <v>37.500299999999996</v>
      </c>
      <c r="F111" s="220">
        <v>37500.299999999996</v>
      </c>
      <c r="G111" s="4"/>
    </row>
    <row r="112" spans="1:7" ht="12.75">
      <c r="A112" s="123">
        <v>100</v>
      </c>
      <c r="B112" s="219" t="s">
        <v>794</v>
      </c>
      <c r="C112" s="219" t="s">
        <v>417</v>
      </c>
      <c r="D112" s="220">
        <v>210</v>
      </c>
      <c r="E112" s="220">
        <v>115.27869999999997</v>
      </c>
      <c r="F112" s="220">
        <v>24208.52699999999</v>
      </c>
      <c r="G112" s="4"/>
    </row>
    <row r="113" spans="1:7" ht="12.75">
      <c r="A113" s="123">
        <v>101</v>
      </c>
      <c r="B113" s="219" t="s">
        <v>795</v>
      </c>
      <c r="C113" s="219" t="s">
        <v>417</v>
      </c>
      <c r="D113" s="220">
        <v>320</v>
      </c>
      <c r="E113" s="220">
        <v>115.27869999999999</v>
      </c>
      <c r="F113" s="220">
        <v>36889.184</v>
      </c>
      <c r="G113" s="4"/>
    </row>
    <row r="114" spans="1:7" ht="12.75">
      <c r="A114" s="123">
        <v>102</v>
      </c>
      <c r="B114" s="219" t="s">
        <v>796</v>
      </c>
      <c r="C114" s="219" t="s">
        <v>417</v>
      </c>
      <c r="D114" s="220">
        <v>175</v>
      </c>
      <c r="E114" s="220">
        <v>115.27870000000001</v>
      </c>
      <c r="F114" s="220">
        <v>20173.7725</v>
      </c>
      <c r="G114" s="4"/>
    </row>
    <row r="115" spans="1:7" ht="12.75">
      <c r="A115" s="123">
        <v>103</v>
      </c>
      <c r="B115" s="219" t="s">
        <v>797</v>
      </c>
      <c r="C115" s="219" t="s">
        <v>417</v>
      </c>
      <c r="D115" s="220">
        <v>350</v>
      </c>
      <c r="E115" s="220">
        <v>37.5003</v>
      </c>
      <c r="F115" s="220">
        <v>13125.105</v>
      </c>
      <c r="G115" s="4"/>
    </row>
    <row r="116" spans="1:7" ht="12.75">
      <c r="A116" s="123">
        <v>104</v>
      </c>
      <c r="B116" s="219" t="s">
        <v>798</v>
      </c>
      <c r="C116" s="219" t="s">
        <v>417</v>
      </c>
      <c r="D116" s="220">
        <v>1610</v>
      </c>
      <c r="E116" s="220">
        <v>115.27869999999999</v>
      </c>
      <c r="F116" s="220">
        <v>185598.707</v>
      </c>
      <c r="G116" s="4"/>
    </row>
    <row r="117" spans="1:7" ht="12.75">
      <c r="A117" s="123">
        <v>105</v>
      </c>
      <c r="B117" s="219" t="s">
        <v>799</v>
      </c>
      <c r="C117" s="219" t="s">
        <v>417</v>
      </c>
      <c r="D117" s="220">
        <v>1300</v>
      </c>
      <c r="E117" s="220">
        <v>26.3891</v>
      </c>
      <c r="F117" s="220">
        <v>34305.829999999994</v>
      </c>
      <c r="G117" s="4"/>
    </row>
    <row r="118" spans="1:7" ht="12.75">
      <c r="A118" s="123">
        <v>106</v>
      </c>
      <c r="B118" s="219" t="s">
        <v>800</v>
      </c>
      <c r="C118" s="219" t="s">
        <v>417</v>
      </c>
      <c r="D118" s="220">
        <v>1056</v>
      </c>
      <c r="E118" s="220">
        <v>44.44479999999999</v>
      </c>
      <c r="F118" s="220">
        <v>46933.70879999999</v>
      </c>
      <c r="G118" s="4"/>
    </row>
    <row r="119" spans="1:7" ht="12.75">
      <c r="A119" s="123">
        <v>107</v>
      </c>
      <c r="B119" s="219" t="s">
        <v>801</v>
      </c>
      <c r="C119" s="219" t="s">
        <v>816</v>
      </c>
      <c r="D119" s="220">
        <v>1200</v>
      </c>
      <c r="E119" s="220">
        <v>213.15</v>
      </c>
      <c r="F119" s="220">
        <v>255780</v>
      </c>
      <c r="G119" s="4"/>
    </row>
    <row r="120" spans="1:7" ht="12.75">
      <c r="A120" s="123">
        <v>108</v>
      </c>
      <c r="B120" s="219" t="s">
        <v>802</v>
      </c>
      <c r="C120" s="219" t="s">
        <v>816</v>
      </c>
      <c r="D120" s="220">
        <v>4</v>
      </c>
      <c r="E120" s="220">
        <v>652.5</v>
      </c>
      <c r="F120" s="220">
        <v>2610</v>
      </c>
      <c r="G120" s="4"/>
    </row>
    <row r="121" spans="1:7" ht="12.75">
      <c r="A121" s="123">
        <v>109</v>
      </c>
      <c r="B121" s="219" t="s">
        <v>803</v>
      </c>
      <c r="C121" s="219" t="s">
        <v>417</v>
      </c>
      <c r="D121" s="220">
        <v>117</v>
      </c>
      <c r="E121" s="220">
        <v>39.5809659090909</v>
      </c>
      <c r="F121" s="220">
        <v>4630.973011363636</v>
      </c>
      <c r="G121" s="4"/>
    </row>
    <row r="122" spans="1:7" ht="12.75">
      <c r="A122" s="123">
        <v>110</v>
      </c>
      <c r="B122" s="219" t="s">
        <v>804</v>
      </c>
      <c r="C122" s="219" t="s">
        <v>417</v>
      </c>
      <c r="D122" s="220">
        <v>593</v>
      </c>
      <c r="E122" s="220">
        <v>28.749469026548674</v>
      </c>
      <c r="F122" s="220">
        <v>17048.43513274336</v>
      </c>
      <c r="G122" s="4"/>
    </row>
    <row r="123" spans="1:7" ht="12.75">
      <c r="A123" s="123">
        <v>111</v>
      </c>
      <c r="B123" s="219" t="s">
        <v>805</v>
      </c>
      <c r="C123" s="219" t="s">
        <v>417</v>
      </c>
      <c r="D123" s="220">
        <v>670</v>
      </c>
      <c r="E123" s="220">
        <v>15.41667</v>
      </c>
      <c r="F123" s="220">
        <v>10329.168899999999</v>
      </c>
      <c r="G123" s="4"/>
    </row>
    <row r="124" spans="1:7" ht="12.75">
      <c r="A124" s="123">
        <v>112</v>
      </c>
      <c r="B124" s="219" t="s">
        <v>806</v>
      </c>
      <c r="C124" s="219" t="s">
        <v>417</v>
      </c>
      <c r="D124" s="220">
        <v>1200</v>
      </c>
      <c r="E124" s="220">
        <v>7.95</v>
      </c>
      <c r="F124" s="220">
        <v>9540</v>
      </c>
      <c r="G124" s="4"/>
    </row>
    <row r="125" spans="1:7" ht="12.75">
      <c r="A125" s="123">
        <v>113</v>
      </c>
      <c r="B125" s="219" t="s">
        <v>807</v>
      </c>
      <c r="C125" s="219" t="s">
        <v>417</v>
      </c>
      <c r="D125" s="220">
        <v>53983</v>
      </c>
      <c r="E125" s="220">
        <f>F125/D125</f>
        <v>88.40315093615638</v>
      </c>
      <c r="F125" s="220">
        <f>1039751+3732516.29698653</f>
        <v>4772267.29698653</v>
      </c>
      <c r="G125" s="4"/>
    </row>
    <row r="126" spans="1:8" ht="12.75">
      <c r="A126" s="123">
        <v>114</v>
      </c>
      <c r="B126" s="219" t="s">
        <v>808</v>
      </c>
      <c r="C126" s="219" t="s">
        <v>417</v>
      </c>
      <c r="D126" s="220">
        <v>16634</v>
      </c>
      <c r="E126" s="220">
        <f>F126/D126</f>
        <v>14.601519237705904</v>
      </c>
      <c r="F126" s="220">
        <f>6911+235970.671</f>
        <v>242881.671</v>
      </c>
      <c r="G126" s="234"/>
      <c r="H126" s="5"/>
    </row>
    <row r="127" spans="1:8" ht="12.75">
      <c r="A127" s="123">
        <v>115</v>
      </c>
      <c r="B127" s="219" t="s">
        <v>809</v>
      </c>
      <c r="C127" s="219" t="s">
        <v>417</v>
      </c>
      <c r="D127" s="220">
        <v>7238</v>
      </c>
      <c r="E127" s="220">
        <f>F127/D127</f>
        <v>188.38019896222468</v>
      </c>
      <c r="F127" s="220">
        <f>840223.880088582+523272</f>
        <v>1363495.8800885822</v>
      </c>
      <c r="G127" s="4"/>
      <c r="H127" s="5"/>
    </row>
    <row r="128" spans="1:8" ht="12.75">
      <c r="A128" s="123">
        <v>116</v>
      </c>
      <c r="B128" s="219" t="s">
        <v>810</v>
      </c>
      <c r="C128" s="219" t="s">
        <v>417</v>
      </c>
      <c r="D128" s="220">
        <v>0</v>
      </c>
      <c r="E128" s="220">
        <v>0</v>
      </c>
      <c r="F128" s="220">
        <v>-9.313225746154785E-12</v>
      </c>
      <c r="G128" s="4"/>
      <c r="H128" s="5"/>
    </row>
    <row r="129" spans="1:8" ht="12.75">
      <c r="A129" s="123">
        <v>117</v>
      </c>
      <c r="B129" s="219" t="s">
        <v>811</v>
      </c>
      <c r="C129" s="219" t="s">
        <v>417</v>
      </c>
      <c r="D129" s="220">
        <v>52014</v>
      </c>
      <c r="E129" s="213">
        <f>F129/D129</f>
        <v>32.3126715666261</v>
      </c>
      <c r="F129" s="220">
        <f>5206+1675505.29886649</f>
        <v>1680711.29886649</v>
      </c>
      <c r="G129" s="234"/>
      <c r="H129" s="5"/>
    </row>
    <row r="130" spans="1:7" ht="12.75">
      <c r="A130" s="123">
        <v>118</v>
      </c>
      <c r="B130" s="219" t="s">
        <v>812</v>
      </c>
      <c r="C130" s="219" t="s">
        <v>417</v>
      </c>
      <c r="D130" s="220">
        <v>0</v>
      </c>
      <c r="E130" s="220">
        <v>0</v>
      </c>
      <c r="F130" s="220">
        <v>3.725290298461914E-11</v>
      </c>
      <c r="G130" s="4"/>
    </row>
    <row r="131" spans="1:7" ht="12.75">
      <c r="A131" s="123">
        <v>119</v>
      </c>
      <c r="B131" s="219" t="s">
        <v>813</v>
      </c>
      <c r="C131" s="219" t="s">
        <v>417</v>
      </c>
      <c r="D131" s="220">
        <v>41964</v>
      </c>
      <c r="E131" s="220">
        <v>16.47999983855777</v>
      </c>
      <c r="F131" s="220">
        <v>691566.7132252385</v>
      </c>
      <c r="G131" s="4"/>
    </row>
    <row r="132" spans="1:7" ht="12.75">
      <c r="A132" s="123">
        <v>120</v>
      </c>
      <c r="B132" s="219" t="s">
        <v>814</v>
      </c>
      <c r="C132" s="219" t="s">
        <v>417</v>
      </c>
      <c r="D132" s="220">
        <v>15893</v>
      </c>
      <c r="E132" s="220">
        <f>F132/D132</f>
        <v>15.648649405398602</v>
      </c>
      <c r="F132" s="220">
        <f>31844+216859.985</f>
        <v>248703.985</v>
      </c>
      <c r="G132" s="4"/>
    </row>
    <row r="133" spans="1:7" ht="12.75">
      <c r="A133" s="123">
        <v>121</v>
      </c>
      <c r="B133" s="219" t="s">
        <v>815</v>
      </c>
      <c r="C133" s="219" t="s">
        <v>816</v>
      </c>
      <c r="D133" s="220">
        <v>1.1</v>
      </c>
      <c r="E133" s="220">
        <v>50.956752040106224</v>
      </c>
      <c r="F133" s="220">
        <v>56.05242724411684</v>
      </c>
      <c r="G133" s="4"/>
    </row>
    <row r="134" spans="2:7" ht="12.75">
      <c r="B134" s="233" t="s">
        <v>125</v>
      </c>
      <c r="C134" s="215"/>
      <c r="D134" s="215"/>
      <c r="E134" s="215"/>
      <c r="F134" s="221">
        <f>SUM(F13:F133)</f>
        <v>30850229.212221194</v>
      </c>
      <c r="G134" s="4"/>
    </row>
    <row r="135" spans="2:6" ht="12.75">
      <c r="B135" s="227"/>
      <c r="F135" s="228"/>
    </row>
    <row r="136" spans="2:6" ht="12.75">
      <c r="B136" s="229"/>
      <c r="C136" s="230"/>
      <c r="D136" s="230"/>
      <c r="E136" s="230"/>
      <c r="F136" s="231"/>
    </row>
    <row r="137" ht="12.75">
      <c r="F137" s="232"/>
    </row>
    <row r="139" ht="12.75">
      <c r="E139" s="209" t="s">
        <v>394</v>
      </c>
    </row>
    <row r="140" ht="12.75">
      <c r="E140" s="209"/>
    </row>
    <row r="141" ht="12.75">
      <c r="E141" s="209" t="s">
        <v>903</v>
      </c>
    </row>
  </sheetData>
  <sheetProtection/>
  <printOptions/>
  <pageMargins left="0.17" right="0.16" top="0.17" bottom="0.17" header="0.17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6">
      <selection activeCell="I34" sqref="I34"/>
    </sheetView>
  </sheetViews>
  <sheetFormatPr defaultColWidth="9.140625" defaultRowHeight="12.75"/>
  <cols>
    <col min="1" max="1" width="5.28125" style="196" customWidth="1"/>
    <col min="2" max="2" width="15.8515625" style="196" customWidth="1"/>
    <col min="3" max="3" width="8.00390625" style="196" customWidth="1"/>
    <col min="4" max="4" width="8.57421875" style="196" customWidth="1"/>
    <col min="5" max="5" width="11.421875" style="196" customWidth="1"/>
    <col min="6" max="6" width="12.7109375" style="196" customWidth="1"/>
    <col min="7" max="7" width="17.57421875" style="196" bestFit="1" customWidth="1"/>
  </cols>
  <sheetData>
    <row r="2" spans="2:6" ht="12.75">
      <c r="B2" s="264" t="s">
        <v>941</v>
      </c>
      <c r="D2" s="264"/>
      <c r="F2"/>
    </row>
    <row r="3" spans="2:6" ht="12.75">
      <c r="B3" s="264" t="s">
        <v>908</v>
      </c>
      <c r="D3" s="265"/>
      <c r="E3" s="265"/>
      <c r="F3" s="265"/>
    </row>
    <row r="4" spans="2:6" ht="12.75">
      <c r="B4" s="266"/>
      <c r="F4" s="264" t="s">
        <v>844</v>
      </c>
    </row>
    <row r="5" spans="2:6" ht="12.75">
      <c r="B5" s="266" t="s">
        <v>895</v>
      </c>
      <c r="C5" s="264" t="s">
        <v>896</v>
      </c>
      <c r="F5" s="265"/>
    </row>
    <row r="6" spans="2:6" ht="12.75">
      <c r="B6" s="266" t="s">
        <v>897</v>
      </c>
      <c r="C6" s="264" t="s">
        <v>383</v>
      </c>
      <c r="F6" s="265"/>
    </row>
    <row r="7" spans="2:6" ht="12.75">
      <c r="B7" s="266" t="s">
        <v>898</v>
      </c>
      <c r="C7" s="264" t="s">
        <v>899</v>
      </c>
      <c r="F7" s="265"/>
    </row>
    <row r="8" spans="2:3" ht="12.75">
      <c r="B8" s="267" t="s">
        <v>900</v>
      </c>
      <c r="C8" s="264" t="s">
        <v>901</v>
      </c>
    </row>
    <row r="9" spans="2:4" ht="12.75">
      <c r="B9" s="267" t="s">
        <v>902</v>
      </c>
      <c r="C9" s="559">
        <f>+35582254944</f>
        <v>35582254944</v>
      </c>
      <c r="D9" s="559"/>
    </row>
    <row r="10" ht="12.75">
      <c r="B10" s="304"/>
    </row>
    <row r="12" spans="1:6" ht="12.75">
      <c r="A12" s="123" t="s">
        <v>5</v>
      </c>
      <c r="B12" s="197" t="s">
        <v>411</v>
      </c>
      <c r="C12" s="305" t="s">
        <v>412</v>
      </c>
      <c r="D12" s="306" t="s">
        <v>413</v>
      </c>
      <c r="E12" s="306" t="s">
        <v>414</v>
      </c>
      <c r="F12" s="306" t="s">
        <v>415</v>
      </c>
    </row>
    <row r="13" spans="1:6" ht="12.75">
      <c r="A13" s="307">
        <v>1</v>
      </c>
      <c r="B13" s="212" t="s">
        <v>913</v>
      </c>
      <c r="C13" s="212" t="s">
        <v>579</v>
      </c>
      <c r="D13" s="308">
        <v>76840</v>
      </c>
      <c r="E13" s="309">
        <v>9.181140748593846</v>
      </c>
      <c r="F13" s="308">
        <f>D13*E13</f>
        <v>705478.8551219511</v>
      </c>
    </row>
    <row r="14" spans="1:6" ht="12.75">
      <c r="A14" s="307">
        <v>2</v>
      </c>
      <c r="B14" s="212" t="s">
        <v>914</v>
      </c>
      <c r="C14" s="212" t="s">
        <v>915</v>
      </c>
      <c r="D14" s="308">
        <v>18.18</v>
      </c>
      <c r="E14" s="309">
        <v>24000</v>
      </c>
      <c r="F14" s="308">
        <f aca="true" t="shared" si="0" ref="F14:F38">D14*E14</f>
        <v>436320</v>
      </c>
    </row>
    <row r="15" spans="1:6" ht="12.75">
      <c r="A15" s="307">
        <v>3</v>
      </c>
      <c r="B15" s="212" t="s">
        <v>916</v>
      </c>
      <c r="C15" s="212" t="s">
        <v>579</v>
      </c>
      <c r="D15" s="308">
        <v>200</v>
      </c>
      <c r="E15" s="309">
        <v>70.1</v>
      </c>
      <c r="F15" s="308">
        <f t="shared" si="0"/>
        <v>14019.999999999998</v>
      </c>
    </row>
    <row r="16" spans="1:6" ht="12.75">
      <c r="A16" s="307">
        <v>4</v>
      </c>
      <c r="B16" s="212" t="s">
        <v>917</v>
      </c>
      <c r="C16" s="212" t="s">
        <v>579</v>
      </c>
      <c r="D16" s="308">
        <v>1500</v>
      </c>
      <c r="E16" s="309">
        <v>150</v>
      </c>
      <c r="F16" s="308">
        <f t="shared" si="0"/>
        <v>225000</v>
      </c>
    </row>
    <row r="17" spans="1:6" ht="12.75">
      <c r="A17" s="307">
        <v>5</v>
      </c>
      <c r="B17" s="212" t="s">
        <v>918</v>
      </c>
      <c r="C17" s="212" t="s">
        <v>915</v>
      </c>
      <c r="D17" s="308">
        <v>578.7</v>
      </c>
      <c r="E17" s="309">
        <v>800</v>
      </c>
      <c r="F17" s="308">
        <f t="shared" si="0"/>
        <v>462960.00000000006</v>
      </c>
    </row>
    <row r="18" spans="1:6" ht="12.75">
      <c r="A18" s="307">
        <v>6</v>
      </c>
      <c r="B18" s="212" t="s">
        <v>919</v>
      </c>
      <c r="C18" s="212" t="s">
        <v>579</v>
      </c>
      <c r="D18" s="308">
        <v>28000</v>
      </c>
      <c r="E18" s="309">
        <v>68.33333321428572</v>
      </c>
      <c r="F18" s="308">
        <f t="shared" si="0"/>
        <v>1913333.33</v>
      </c>
    </row>
    <row r="19" spans="1:6" ht="12.75">
      <c r="A19" s="307">
        <v>7</v>
      </c>
      <c r="B19" s="212" t="s">
        <v>920</v>
      </c>
      <c r="C19" s="212" t="s">
        <v>579</v>
      </c>
      <c r="D19" s="308">
        <v>0</v>
      </c>
      <c r="E19" s="309">
        <v>0</v>
      </c>
      <c r="F19" s="308">
        <f t="shared" si="0"/>
        <v>0</v>
      </c>
    </row>
    <row r="20" spans="1:6" ht="12.75">
      <c r="A20" s="307">
        <v>8</v>
      </c>
      <c r="B20" s="212" t="s">
        <v>921</v>
      </c>
      <c r="C20" s="212" t="s">
        <v>580</v>
      </c>
      <c r="D20" s="308">
        <v>280</v>
      </c>
      <c r="E20" s="309">
        <v>87.5</v>
      </c>
      <c r="F20" s="308">
        <f t="shared" si="0"/>
        <v>24500</v>
      </c>
    </row>
    <row r="21" spans="1:6" ht="12.75">
      <c r="A21" s="307">
        <v>9</v>
      </c>
      <c r="B21" s="212" t="s">
        <v>922</v>
      </c>
      <c r="C21" s="212" t="s">
        <v>579</v>
      </c>
      <c r="D21" s="308">
        <v>3190</v>
      </c>
      <c r="E21" s="309">
        <v>78.38401253918495</v>
      </c>
      <c r="F21" s="308">
        <f t="shared" si="0"/>
        <v>250045</v>
      </c>
    </row>
    <row r="22" spans="1:6" ht="12.75">
      <c r="A22" s="307">
        <v>10</v>
      </c>
      <c r="B22" s="212" t="s">
        <v>923</v>
      </c>
      <c r="C22" s="212" t="s">
        <v>915</v>
      </c>
      <c r="D22" s="308">
        <v>3.82</v>
      </c>
      <c r="E22" s="309">
        <v>29465.968586387433</v>
      </c>
      <c r="F22" s="308">
        <f t="shared" si="0"/>
        <v>112559.99999999999</v>
      </c>
    </row>
    <row r="23" spans="1:6" ht="12.75">
      <c r="A23" s="307">
        <v>11</v>
      </c>
      <c r="B23" s="212" t="s">
        <v>924</v>
      </c>
      <c r="C23" s="212" t="s">
        <v>915</v>
      </c>
      <c r="D23" s="308">
        <v>6.5</v>
      </c>
      <c r="E23" s="309">
        <v>46301.53846153846</v>
      </c>
      <c r="F23" s="308">
        <f t="shared" si="0"/>
        <v>300960</v>
      </c>
    </row>
    <row r="24" spans="1:6" ht="12.75">
      <c r="A24" s="307">
        <v>12</v>
      </c>
      <c r="B24" s="212" t="s">
        <v>925</v>
      </c>
      <c r="C24" s="212" t="s">
        <v>926</v>
      </c>
      <c r="D24" s="308">
        <v>80</v>
      </c>
      <c r="E24" s="309">
        <v>630</v>
      </c>
      <c r="F24" s="308">
        <f t="shared" si="0"/>
        <v>50400</v>
      </c>
    </row>
    <row r="25" spans="1:6" ht="12.75">
      <c r="A25" s="307">
        <v>13</v>
      </c>
      <c r="B25" s="212" t="s">
        <v>927</v>
      </c>
      <c r="C25" s="212" t="s">
        <v>926</v>
      </c>
      <c r="D25" s="308">
        <v>52</v>
      </c>
      <c r="E25" s="309">
        <v>187.5</v>
      </c>
      <c r="F25" s="308">
        <f t="shared" si="0"/>
        <v>9750</v>
      </c>
    </row>
    <row r="26" spans="1:7" ht="12.75">
      <c r="A26" s="307">
        <v>14</v>
      </c>
      <c r="B26" s="212" t="s">
        <v>928</v>
      </c>
      <c r="C26" s="212" t="s">
        <v>579</v>
      </c>
      <c r="D26" s="308">
        <v>20803</v>
      </c>
      <c r="E26" s="309">
        <v>97.77267088800733</v>
      </c>
      <c r="F26" s="308">
        <f t="shared" si="0"/>
        <v>2033964.8724832165</v>
      </c>
      <c r="G26" s="310"/>
    </row>
    <row r="27" spans="1:6" ht="12.75">
      <c r="A27" s="307">
        <v>15</v>
      </c>
      <c r="B27" s="212" t="s">
        <v>929</v>
      </c>
      <c r="C27" s="212" t="s">
        <v>579</v>
      </c>
      <c r="D27" s="308">
        <v>306</v>
      </c>
      <c r="E27" s="309">
        <v>103.10186274509805</v>
      </c>
      <c r="F27" s="308">
        <f t="shared" si="0"/>
        <v>31549.170000000002</v>
      </c>
    </row>
    <row r="28" spans="1:6" ht="12.75">
      <c r="A28" s="307">
        <v>16</v>
      </c>
      <c r="B28" s="212" t="s">
        <v>930</v>
      </c>
      <c r="C28" s="212" t="s">
        <v>579</v>
      </c>
      <c r="D28" s="308">
        <v>54</v>
      </c>
      <c r="E28" s="309">
        <v>82.99388888888889</v>
      </c>
      <c r="F28" s="308">
        <f t="shared" si="0"/>
        <v>4481.67</v>
      </c>
    </row>
    <row r="29" spans="1:6" ht="12.75">
      <c r="A29" s="307">
        <v>17</v>
      </c>
      <c r="B29" s="212" t="s">
        <v>931</v>
      </c>
      <c r="C29" s="212" t="s">
        <v>579</v>
      </c>
      <c r="D29" s="308">
        <v>0</v>
      </c>
      <c r="E29" s="309">
        <v>0</v>
      </c>
      <c r="F29" s="308">
        <f t="shared" si="0"/>
        <v>0</v>
      </c>
    </row>
    <row r="30" spans="1:6" ht="12.75">
      <c r="A30" s="307">
        <v>18</v>
      </c>
      <c r="B30" s="212" t="s">
        <v>932</v>
      </c>
      <c r="C30" s="212" t="s">
        <v>579</v>
      </c>
      <c r="D30" s="308">
        <v>355</v>
      </c>
      <c r="E30" s="309">
        <v>104</v>
      </c>
      <c r="F30" s="308">
        <f t="shared" si="0"/>
        <v>36920</v>
      </c>
    </row>
    <row r="31" spans="1:6" ht="12.75">
      <c r="A31" s="307">
        <v>19</v>
      </c>
      <c r="B31" s="212" t="s">
        <v>933</v>
      </c>
      <c r="C31" s="212" t="s">
        <v>580</v>
      </c>
      <c r="D31" s="308">
        <v>13400</v>
      </c>
      <c r="E31" s="309">
        <v>53.33320895522388</v>
      </c>
      <c r="F31" s="308">
        <f t="shared" si="0"/>
        <v>714665</v>
      </c>
    </row>
    <row r="32" spans="1:6" ht="12.75">
      <c r="A32" s="307">
        <v>20</v>
      </c>
      <c r="B32" s="212" t="s">
        <v>934</v>
      </c>
      <c r="C32" s="212" t="s">
        <v>579</v>
      </c>
      <c r="D32" s="308">
        <v>224</v>
      </c>
      <c r="E32" s="309">
        <v>83.99924107142857</v>
      </c>
      <c r="F32" s="308">
        <f t="shared" si="0"/>
        <v>18815.83</v>
      </c>
    </row>
    <row r="33" spans="1:6" ht="12.75">
      <c r="A33" s="307">
        <v>21</v>
      </c>
      <c r="B33" s="212" t="s">
        <v>935</v>
      </c>
      <c r="C33" s="212" t="s">
        <v>579</v>
      </c>
      <c r="D33" s="308">
        <v>2520</v>
      </c>
      <c r="E33" s="309">
        <v>78</v>
      </c>
      <c r="F33" s="308">
        <f t="shared" si="0"/>
        <v>196560</v>
      </c>
    </row>
    <row r="34" spans="1:6" ht="12.75">
      <c r="A34" s="307">
        <v>22</v>
      </c>
      <c r="B34" s="212" t="s">
        <v>936</v>
      </c>
      <c r="C34" s="212" t="s">
        <v>579</v>
      </c>
      <c r="D34" s="308">
        <v>1353</v>
      </c>
      <c r="E34" s="309">
        <v>81.00024390243902</v>
      </c>
      <c r="F34" s="308">
        <f t="shared" si="0"/>
        <v>109593.33</v>
      </c>
    </row>
    <row r="35" spans="1:6" ht="12.75">
      <c r="A35" s="307">
        <v>23</v>
      </c>
      <c r="B35" s="212" t="s">
        <v>937</v>
      </c>
      <c r="C35" s="212" t="s">
        <v>580</v>
      </c>
      <c r="D35" s="308">
        <v>20420</v>
      </c>
      <c r="E35" s="309">
        <v>38.21253672869736</v>
      </c>
      <c r="F35" s="308">
        <f t="shared" si="0"/>
        <v>780300.0000000001</v>
      </c>
    </row>
    <row r="36" spans="1:6" ht="12.75">
      <c r="A36" s="307">
        <v>24</v>
      </c>
      <c r="B36" s="212" t="s">
        <v>938</v>
      </c>
      <c r="C36" s="212" t="s">
        <v>580</v>
      </c>
      <c r="D36" s="308">
        <v>40320</v>
      </c>
      <c r="E36" s="309">
        <v>13.5700228174603</v>
      </c>
      <c r="F36" s="308">
        <f t="shared" si="0"/>
        <v>547143.3199999993</v>
      </c>
    </row>
    <row r="37" spans="1:6" ht="12.75">
      <c r="A37" s="307">
        <v>25</v>
      </c>
      <c r="B37" s="212" t="s">
        <v>939</v>
      </c>
      <c r="C37" s="212" t="s">
        <v>926</v>
      </c>
      <c r="D37" s="308">
        <v>82.59</v>
      </c>
      <c r="E37" s="309">
        <v>450.0141663639666</v>
      </c>
      <c r="F37" s="308">
        <f t="shared" si="0"/>
        <v>37166.67</v>
      </c>
    </row>
    <row r="38" spans="1:6" ht="12.75">
      <c r="A38" s="307">
        <v>26</v>
      </c>
      <c r="B38" s="212" t="s">
        <v>940</v>
      </c>
      <c r="C38" s="212" t="s">
        <v>579</v>
      </c>
      <c r="D38" s="308">
        <v>1000</v>
      </c>
      <c r="E38" s="309">
        <v>67.5</v>
      </c>
      <c r="F38" s="308">
        <f t="shared" si="0"/>
        <v>67500</v>
      </c>
    </row>
    <row r="39" spans="1:6" ht="12.75">
      <c r="A39" s="560" t="s">
        <v>221</v>
      </c>
      <c r="B39" s="560"/>
      <c r="C39" s="560"/>
      <c r="D39" s="560"/>
      <c r="E39" s="560"/>
      <c r="F39" s="205">
        <f>SUM(F13:F38)-11</f>
        <v>9083976.047605166</v>
      </c>
    </row>
    <row r="40" spans="6:7" ht="12.75">
      <c r="F40" s="232"/>
      <c r="G40" s="311"/>
    </row>
    <row r="43" ht="12.75">
      <c r="D43" s="209" t="s">
        <v>394</v>
      </c>
    </row>
    <row r="44" ht="12.75">
      <c r="D44" s="209"/>
    </row>
    <row r="45" ht="12.75">
      <c r="D45" s="209" t="s">
        <v>903</v>
      </c>
    </row>
  </sheetData>
  <sheetProtection/>
  <mergeCells count="2">
    <mergeCell ref="C9:D9"/>
    <mergeCell ref="A39:E39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8.8515625" style="196" customWidth="1"/>
    <col min="2" max="2" width="25.421875" style="196" customWidth="1"/>
    <col min="3" max="3" width="9.140625" style="196" customWidth="1"/>
    <col min="4" max="4" width="9.57421875" style="196" customWidth="1"/>
    <col min="5" max="9" width="9.140625" style="196" customWidth="1"/>
    <col min="10" max="10" width="12.140625" style="196" customWidth="1"/>
    <col min="11" max="11" width="9.140625" style="196" customWidth="1"/>
  </cols>
  <sheetData>
    <row r="2" ht="15">
      <c r="D2" s="315" t="s">
        <v>943</v>
      </c>
    </row>
    <row r="5" spans="1:10" ht="12.75">
      <c r="A5" s="316" t="s">
        <v>5</v>
      </c>
      <c r="B5" s="317" t="s">
        <v>944</v>
      </c>
      <c r="C5" s="318" t="s">
        <v>945</v>
      </c>
      <c r="D5" s="319" t="s">
        <v>323</v>
      </c>
      <c r="E5" s="320" t="s">
        <v>946</v>
      </c>
      <c r="F5" s="320" t="s">
        <v>945</v>
      </c>
      <c r="G5" s="320" t="s">
        <v>947</v>
      </c>
      <c r="H5" s="320" t="s">
        <v>246</v>
      </c>
      <c r="I5" s="320" t="s">
        <v>245</v>
      </c>
      <c r="J5" s="321" t="s">
        <v>948</v>
      </c>
    </row>
    <row r="6" spans="1:10" ht="15">
      <c r="A6" s="322"/>
      <c r="B6" s="317"/>
      <c r="C6" s="323" t="s">
        <v>949</v>
      </c>
      <c r="D6" s="319"/>
      <c r="E6" s="324" t="s">
        <v>950</v>
      </c>
      <c r="F6" s="324" t="s">
        <v>951</v>
      </c>
      <c r="G6" s="324" t="s">
        <v>952</v>
      </c>
      <c r="H6" s="324" t="s">
        <v>951</v>
      </c>
      <c r="I6" s="324" t="s">
        <v>951</v>
      </c>
      <c r="J6" s="325"/>
    </row>
    <row r="7" spans="1:10" ht="12.75">
      <c r="A7" s="326">
        <v>1</v>
      </c>
      <c r="B7" s="327" t="s">
        <v>953</v>
      </c>
      <c r="C7" s="328">
        <v>1000000</v>
      </c>
      <c r="D7" s="329"/>
      <c r="E7" s="330"/>
      <c r="F7" s="331">
        <f>C7+D7-E7</f>
        <v>1000000</v>
      </c>
      <c r="G7" s="330"/>
      <c r="H7" s="331">
        <f>F7-G7</f>
        <v>1000000</v>
      </c>
      <c r="I7" s="332">
        <v>0</v>
      </c>
      <c r="J7" s="332">
        <v>0</v>
      </c>
    </row>
    <row r="8" spans="1:10" ht="12.75">
      <c r="A8" s="326">
        <v>2</v>
      </c>
      <c r="B8" s="333" t="s">
        <v>8</v>
      </c>
      <c r="C8" s="334">
        <v>26277530</v>
      </c>
      <c r="D8" s="335">
        <v>2964207</v>
      </c>
      <c r="E8" s="333"/>
      <c r="F8" s="331">
        <f>C8+D8-E8</f>
        <v>29241737</v>
      </c>
      <c r="G8" s="123">
        <v>1326231</v>
      </c>
      <c r="H8" s="331">
        <f>F8-G8</f>
        <v>27915506</v>
      </c>
      <c r="I8" s="336">
        <v>0.05</v>
      </c>
      <c r="J8" s="336">
        <v>0.05</v>
      </c>
    </row>
    <row r="9" spans="1:10" ht="12.75">
      <c r="A9" s="326">
        <v>3</v>
      </c>
      <c r="B9" s="333" t="s">
        <v>954</v>
      </c>
      <c r="C9" s="334">
        <f>9319450+7401903</f>
        <v>16721353</v>
      </c>
      <c r="D9" s="337">
        <f>2942810+1000000</f>
        <v>3942810</v>
      </c>
      <c r="E9" s="333"/>
      <c r="F9" s="331">
        <f>C9+D9-E9</f>
        <v>20664163</v>
      </c>
      <c r="G9" s="123">
        <f>2141031+1480380</f>
        <v>3621411</v>
      </c>
      <c r="H9" s="331">
        <f>F9-G9</f>
        <v>17042752</v>
      </c>
      <c r="I9" s="336">
        <v>0.2</v>
      </c>
      <c r="J9" s="336">
        <v>0.2</v>
      </c>
    </row>
    <row r="10" spans="1:10" ht="12.75">
      <c r="A10" s="326">
        <v>5</v>
      </c>
      <c r="B10" s="333" t="s">
        <v>955</v>
      </c>
      <c r="C10" s="334">
        <f>58249+1220687</f>
        <v>1278936</v>
      </c>
      <c r="D10" s="334">
        <f>20833+596600</f>
        <v>617433</v>
      </c>
      <c r="E10" s="333"/>
      <c r="F10" s="331">
        <f>C10+D10-E10</f>
        <v>1896369</v>
      </c>
      <c r="G10" s="333">
        <f>16304+251200</f>
        <v>267504</v>
      </c>
      <c r="H10" s="331">
        <f>F10-G10</f>
        <v>1628865</v>
      </c>
      <c r="I10" s="326" t="s">
        <v>956</v>
      </c>
      <c r="J10" s="326" t="s">
        <v>956</v>
      </c>
    </row>
    <row r="11" spans="1:10" ht="15.75">
      <c r="A11" s="333"/>
      <c r="B11" s="338" t="s">
        <v>957</v>
      </c>
      <c r="C11" s="339">
        <f aca="true" t="shared" si="0" ref="C11:H11">SUM(C7:C10)</f>
        <v>45277819</v>
      </c>
      <c r="D11" s="339">
        <f t="shared" si="0"/>
        <v>7524450</v>
      </c>
      <c r="E11" s="339">
        <f t="shared" si="0"/>
        <v>0</v>
      </c>
      <c r="F11" s="339">
        <f t="shared" si="0"/>
        <v>52802269</v>
      </c>
      <c r="G11" s="339">
        <f t="shared" si="0"/>
        <v>5215146</v>
      </c>
      <c r="H11" s="339">
        <f t="shared" si="0"/>
        <v>47587123</v>
      </c>
      <c r="I11" s="339"/>
      <c r="J11" s="339"/>
    </row>
    <row r="16" ht="12.75">
      <c r="H16" s="265" t="s">
        <v>394</v>
      </c>
    </row>
    <row r="18" ht="12.75">
      <c r="H18" s="265" t="s">
        <v>903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14.00390625" style="196" customWidth="1"/>
    <col min="2" max="2" width="18.140625" style="196" customWidth="1"/>
    <col min="3" max="3" width="14.421875" style="196" customWidth="1"/>
    <col min="4" max="4" width="13.421875" style="196" customWidth="1"/>
    <col min="5" max="5" width="11.7109375" style="196" customWidth="1"/>
  </cols>
  <sheetData>
    <row r="2" spans="1:2" ht="15.75">
      <c r="A2" s="340" t="s">
        <v>958</v>
      </c>
      <c r="B2" s="340"/>
    </row>
    <row r="3" spans="1:2" ht="15.75">
      <c r="A3" s="256" t="s">
        <v>959</v>
      </c>
      <c r="B3" s="256"/>
    </row>
    <row r="4" spans="1:2" ht="15.75">
      <c r="A4" s="256" t="s">
        <v>960</v>
      </c>
      <c r="B4" s="256"/>
    </row>
    <row r="6" spans="2:4" ht="12.75">
      <c r="B6" s="209" t="s">
        <v>961</v>
      </c>
      <c r="C6" s="209"/>
      <c r="D6" s="209"/>
    </row>
    <row r="7" ht="12.75">
      <c r="D7" s="209" t="s">
        <v>844</v>
      </c>
    </row>
    <row r="10" spans="1:5" ht="15">
      <c r="A10" s="341" t="s">
        <v>962</v>
      </c>
      <c r="B10" s="341" t="s">
        <v>963</v>
      </c>
      <c r="C10" s="341" t="s">
        <v>964</v>
      </c>
      <c r="D10" s="341" t="s">
        <v>965</v>
      </c>
      <c r="E10" s="341" t="s">
        <v>244</v>
      </c>
    </row>
    <row r="11" spans="1:5" ht="12.75">
      <c r="A11" s="326">
        <v>1</v>
      </c>
      <c r="B11" s="333" t="s">
        <v>966</v>
      </c>
      <c r="C11" s="326" t="s">
        <v>967</v>
      </c>
      <c r="D11" s="326" t="s">
        <v>968</v>
      </c>
      <c r="E11" s="333">
        <v>473354</v>
      </c>
    </row>
    <row r="12" spans="1:5" ht="12.75">
      <c r="A12" s="326">
        <v>2</v>
      </c>
      <c r="B12" s="333" t="s">
        <v>966</v>
      </c>
      <c r="C12" s="326" t="s">
        <v>969</v>
      </c>
      <c r="D12" s="326" t="s">
        <v>970</v>
      </c>
      <c r="E12" s="333">
        <v>1200000</v>
      </c>
    </row>
    <row r="13" spans="1:5" ht="12.75">
      <c r="A13" s="326">
        <v>3</v>
      </c>
      <c r="B13" s="333" t="s">
        <v>971</v>
      </c>
      <c r="C13" s="326" t="s">
        <v>972</v>
      </c>
      <c r="D13" s="326" t="s">
        <v>973</v>
      </c>
      <c r="E13" s="333">
        <v>600000</v>
      </c>
    </row>
    <row r="14" spans="1:5" ht="12.75">
      <c r="A14" s="326">
        <v>4</v>
      </c>
      <c r="B14" s="333" t="s">
        <v>966</v>
      </c>
      <c r="C14" s="326" t="s">
        <v>974</v>
      </c>
      <c r="D14" s="326" t="s">
        <v>975</v>
      </c>
      <c r="E14" s="333">
        <v>950000</v>
      </c>
    </row>
    <row r="15" spans="1:5" ht="12.75">
      <c r="A15" s="326">
        <v>5</v>
      </c>
      <c r="B15" s="342" t="s">
        <v>966</v>
      </c>
      <c r="C15" s="326" t="s">
        <v>976</v>
      </c>
      <c r="D15" s="333" t="s">
        <v>977</v>
      </c>
      <c r="E15" s="333">
        <v>144257</v>
      </c>
    </row>
    <row r="16" spans="1:5" ht="12.75">
      <c r="A16" s="326">
        <v>6</v>
      </c>
      <c r="B16" s="342" t="s">
        <v>978</v>
      </c>
      <c r="C16" s="326" t="s">
        <v>979</v>
      </c>
      <c r="D16" s="333" t="s">
        <v>980</v>
      </c>
      <c r="E16" s="333">
        <v>3630651</v>
      </c>
    </row>
    <row r="17" spans="1:5" ht="12.75">
      <c r="A17" s="326">
        <v>7</v>
      </c>
      <c r="B17" s="342" t="s">
        <v>966</v>
      </c>
      <c r="C17" s="326" t="s">
        <v>981</v>
      </c>
      <c r="D17" s="333" t="s">
        <v>982</v>
      </c>
      <c r="E17" s="333">
        <v>4544283</v>
      </c>
    </row>
    <row r="18" spans="1:5" ht="12.75">
      <c r="A18" s="326">
        <v>8</v>
      </c>
      <c r="B18" s="342" t="s">
        <v>983</v>
      </c>
      <c r="C18" s="326" t="s">
        <v>984</v>
      </c>
      <c r="D18" s="326" t="s">
        <v>985</v>
      </c>
      <c r="E18" s="333">
        <v>1000000</v>
      </c>
    </row>
    <row r="19" spans="1:5" ht="12.75">
      <c r="A19" s="326">
        <v>9</v>
      </c>
      <c r="B19" s="342"/>
      <c r="C19" s="326"/>
      <c r="D19" s="333"/>
      <c r="E19" s="333"/>
    </row>
    <row r="20" spans="1:5" ht="12.75">
      <c r="A20" s="326">
        <v>10</v>
      </c>
      <c r="B20" s="333"/>
      <c r="C20" s="326"/>
      <c r="D20" s="333"/>
      <c r="E20" s="333"/>
    </row>
    <row r="21" spans="1:5" ht="12.75">
      <c r="A21" s="326">
        <v>11</v>
      </c>
      <c r="B21" s="333"/>
      <c r="C21" s="326"/>
      <c r="D21" s="333"/>
      <c r="E21" s="333"/>
    </row>
    <row r="22" spans="1:5" ht="12.75">
      <c r="A22" s="326">
        <v>12</v>
      </c>
      <c r="B22" s="333"/>
      <c r="C22" s="326"/>
      <c r="D22" s="333"/>
      <c r="E22" s="333"/>
    </row>
    <row r="23" spans="1:5" ht="12.75">
      <c r="A23" s="326">
        <v>13</v>
      </c>
      <c r="B23" s="333"/>
      <c r="C23" s="326"/>
      <c r="D23" s="333"/>
      <c r="E23" s="333"/>
    </row>
    <row r="24" spans="1:5" ht="12.75">
      <c r="A24" s="326">
        <v>14</v>
      </c>
      <c r="B24" s="333"/>
      <c r="C24" s="326"/>
      <c r="D24" s="333"/>
      <c r="E24" s="333"/>
    </row>
    <row r="25" spans="1:5" ht="12.75">
      <c r="A25" s="326">
        <v>15</v>
      </c>
      <c r="B25" s="333"/>
      <c r="C25" s="333"/>
      <c r="D25" s="333"/>
      <c r="E25" s="333"/>
    </row>
    <row r="26" spans="1:5" ht="12.75">
      <c r="A26" s="326">
        <v>16</v>
      </c>
      <c r="B26" s="333"/>
      <c r="C26" s="333"/>
      <c r="D26" s="333"/>
      <c r="E26" s="333"/>
    </row>
    <row r="27" spans="1:5" ht="12.75">
      <c r="A27" s="326">
        <v>17</v>
      </c>
      <c r="B27" s="333"/>
      <c r="C27" s="333"/>
      <c r="D27" s="333"/>
      <c r="E27" s="333"/>
    </row>
    <row r="28" spans="1:5" ht="12.75">
      <c r="A28" s="326">
        <v>18</v>
      </c>
      <c r="B28" s="333"/>
      <c r="C28" s="333"/>
      <c r="D28" s="333"/>
      <c r="E28" s="333"/>
    </row>
    <row r="29" spans="1:5" ht="12.75">
      <c r="A29" s="326">
        <v>19</v>
      </c>
      <c r="B29" s="333"/>
      <c r="C29" s="333"/>
      <c r="D29" s="333"/>
      <c r="E29" s="333"/>
    </row>
    <row r="30" spans="1:5" ht="12.75">
      <c r="A30" s="326">
        <v>20</v>
      </c>
      <c r="B30" s="333"/>
      <c r="C30" s="333"/>
      <c r="D30" s="333"/>
      <c r="E30" s="333"/>
    </row>
    <row r="31" spans="1:5" ht="15">
      <c r="A31" s="343" t="s">
        <v>986</v>
      </c>
      <c r="B31" s="343"/>
      <c r="C31" s="333"/>
      <c r="D31" s="333"/>
      <c r="E31" s="329">
        <f>SUM(E11:E30)</f>
        <v>12542545</v>
      </c>
    </row>
    <row r="36" ht="12.75">
      <c r="D36" s="265" t="s">
        <v>394</v>
      </c>
    </row>
    <row r="38" ht="12.75">
      <c r="D38" s="265" t="s">
        <v>903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12.00390625" style="0" customWidth="1"/>
    <col min="2" max="2" width="6.57421875" style="0" customWidth="1"/>
    <col min="3" max="3" width="5.57421875" style="0" customWidth="1"/>
    <col min="4" max="4" width="12.57421875" style="0" customWidth="1"/>
    <col min="5" max="5" width="7.00390625" style="0" customWidth="1"/>
    <col min="6" max="6" width="21.8515625" style="0" customWidth="1"/>
    <col min="7" max="7" width="2.7109375" style="0" customWidth="1"/>
    <col min="8" max="8" width="13.28125" style="0" customWidth="1"/>
    <col min="9" max="9" width="3.140625" style="19" customWidth="1"/>
    <col min="10" max="10" width="14.8515625" style="0" customWidth="1"/>
  </cols>
  <sheetData>
    <row r="1" ht="12.75">
      <c r="F1" s="5"/>
    </row>
    <row r="2" spans="1:10" ht="12.75">
      <c r="A2" s="164" t="s">
        <v>987</v>
      </c>
      <c r="E2" s="5"/>
      <c r="F2" s="6"/>
      <c r="G2" s="2" t="s">
        <v>988</v>
      </c>
      <c r="H2" s="2"/>
      <c r="I2" s="112"/>
      <c r="J2" s="3"/>
    </row>
    <row r="3" spans="1:10" ht="12.75">
      <c r="A3" s="164" t="s">
        <v>989</v>
      </c>
      <c r="E3" s="5"/>
      <c r="F3" s="6"/>
      <c r="G3" s="5" t="s">
        <v>990</v>
      </c>
      <c r="H3" s="5" t="s">
        <v>991</v>
      </c>
      <c r="I3" s="10"/>
      <c r="J3" s="6"/>
    </row>
    <row r="4" spans="5:10" ht="12.75">
      <c r="E4" s="5"/>
      <c r="F4" s="6"/>
      <c r="G4" s="8"/>
      <c r="H4" s="8"/>
      <c r="I4" s="23"/>
      <c r="J4" s="9"/>
    </row>
    <row r="5" spans="1:6" ht="12.75">
      <c r="A5" s="8"/>
      <c r="E5" s="5"/>
      <c r="F5" s="5"/>
    </row>
    <row r="6" spans="1:9" ht="12.75">
      <c r="A6" s="344" t="s">
        <v>992</v>
      </c>
      <c r="B6" s="345" t="s">
        <v>383</v>
      </c>
      <c r="C6" s="11"/>
      <c r="D6" s="11"/>
      <c r="E6" s="3"/>
      <c r="F6" s="5"/>
      <c r="G6" s="1"/>
      <c r="H6" s="112" t="s">
        <v>993</v>
      </c>
      <c r="I6" s="346"/>
    </row>
    <row r="7" spans="1:9" ht="12.75">
      <c r="A7" s="347" t="s">
        <v>994</v>
      </c>
      <c r="B7" s="345" t="s">
        <v>896</v>
      </c>
      <c r="C7" s="11"/>
      <c r="D7" s="11"/>
      <c r="E7" s="6"/>
      <c r="F7" s="5"/>
      <c r="G7" s="347"/>
      <c r="H7" s="348">
        <v>2010</v>
      </c>
      <c r="I7" s="88"/>
    </row>
    <row r="8" spans="1:9" ht="12.75">
      <c r="A8" s="347" t="s">
        <v>995</v>
      </c>
      <c r="B8" s="345" t="s">
        <v>996</v>
      </c>
      <c r="C8" s="11"/>
      <c r="D8" s="11"/>
      <c r="E8" s="6"/>
      <c r="F8" s="5"/>
      <c r="G8" s="7"/>
      <c r="H8" s="8"/>
      <c r="I8" s="314"/>
    </row>
    <row r="9" spans="1:9" ht="12.75">
      <c r="A9" s="7"/>
      <c r="B9" s="8"/>
      <c r="C9" s="8"/>
      <c r="D9" s="8"/>
      <c r="E9" s="9"/>
      <c r="F9" s="5"/>
      <c r="G9" s="7"/>
      <c r="H9" s="8"/>
      <c r="I9" s="10"/>
    </row>
    <row r="10" spans="1:6" ht="12.75">
      <c r="A10" s="2"/>
      <c r="B10" s="5"/>
      <c r="C10" s="5"/>
      <c r="D10" s="5"/>
      <c r="E10" s="5"/>
      <c r="F10" s="5"/>
    </row>
    <row r="11" spans="1:10" ht="12.75">
      <c r="A11" s="29"/>
      <c r="B11" s="349" t="s">
        <v>222</v>
      </c>
      <c r="C11" s="29"/>
      <c r="D11" s="29"/>
      <c r="E11" s="29"/>
      <c r="F11" s="29"/>
      <c r="G11" s="65" t="s">
        <v>997</v>
      </c>
      <c r="H11" s="58"/>
      <c r="I11" s="35"/>
      <c r="J11" s="38" t="s">
        <v>998</v>
      </c>
    </row>
    <row r="12" spans="1:10" ht="12.75">
      <c r="A12" s="349" t="s">
        <v>999</v>
      </c>
      <c r="B12" s="29"/>
      <c r="C12" s="29"/>
      <c r="D12" s="29"/>
      <c r="E12" s="29"/>
      <c r="F12" s="29"/>
      <c r="G12" s="350">
        <v>1</v>
      </c>
      <c r="H12" s="351">
        <f>103211849+1179410+2964207+5935078+7728523</f>
        <v>121019067</v>
      </c>
      <c r="I12" s="352">
        <v>2</v>
      </c>
      <c r="J12" s="353">
        <f>H12</f>
        <v>121019067</v>
      </c>
    </row>
    <row r="13" spans="1:10" ht="12.75">
      <c r="A13" t="s">
        <v>1000</v>
      </c>
      <c r="G13" s="354">
        <v>3</v>
      </c>
      <c r="H13" s="355">
        <f>121019067-19029930+7159465-584915</f>
        <v>108563687</v>
      </c>
      <c r="I13" s="356">
        <v>4</v>
      </c>
      <c r="J13" s="357">
        <f>H13</f>
        <v>108563687</v>
      </c>
    </row>
    <row r="14" spans="1:10" ht="12.75">
      <c r="A14" s="283" t="s">
        <v>1001</v>
      </c>
      <c r="G14" s="358"/>
      <c r="H14" s="359"/>
      <c r="I14" s="356">
        <v>5</v>
      </c>
      <c r="J14" s="357">
        <v>1392724</v>
      </c>
    </row>
    <row r="15" spans="1:10" ht="12.75">
      <c r="A15" s="96" t="s">
        <v>1002</v>
      </c>
      <c r="G15" s="358"/>
      <c r="H15" s="359"/>
      <c r="I15" s="356">
        <v>6</v>
      </c>
      <c r="J15" s="357"/>
    </row>
    <row r="16" spans="1:10" ht="12.75">
      <c r="A16" s="96" t="s">
        <v>1003</v>
      </c>
      <c r="G16" s="358"/>
      <c r="H16" s="359"/>
      <c r="I16" s="356">
        <v>7</v>
      </c>
      <c r="J16" s="357"/>
    </row>
    <row r="17" spans="1:10" ht="12.75">
      <c r="A17" s="96" t="s">
        <v>1004</v>
      </c>
      <c r="G17" s="360"/>
      <c r="H17" s="361"/>
      <c r="I17" s="362">
        <v>8</v>
      </c>
      <c r="J17" s="363"/>
    </row>
    <row r="18" spans="1:10" ht="12.75">
      <c r="A18" s="96" t="s">
        <v>1005</v>
      </c>
      <c r="G18" s="358"/>
      <c r="H18" s="359"/>
      <c r="I18" s="356">
        <v>9</v>
      </c>
      <c r="J18" s="357"/>
    </row>
    <row r="19" spans="1:10" ht="12.75">
      <c r="A19" s="96" t="s">
        <v>1006</v>
      </c>
      <c r="G19" s="358"/>
      <c r="H19" s="359"/>
      <c r="I19" s="356">
        <v>10</v>
      </c>
      <c r="J19" s="357"/>
    </row>
    <row r="20" spans="1:10" ht="12.75">
      <c r="A20" s="96" t="s">
        <v>1007</v>
      </c>
      <c r="G20" s="358"/>
      <c r="H20" s="359"/>
      <c r="I20" s="362">
        <v>11</v>
      </c>
      <c r="J20" s="364"/>
    </row>
    <row r="21" spans="1:10" ht="12.75">
      <c r="A21" s="96" t="s">
        <v>1008</v>
      </c>
      <c r="G21" s="360"/>
      <c r="H21" s="361"/>
      <c r="I21" s="356">
        <v>12</v>
      </c>
      <c r="J21" s="357">
        <f>J14-930</f>
        <v>1391794</v>
      </c>
    </row>
    <row r="22" spans="1:10" ht="12.75">
      <c r="A22" s="96" t="s">
        <v>1009</v>
      </c>
      <c r="G22" s="365"/>
      <c r="H22" s="366"/>
      <c r="I22" s="356">
        <v>13</v>
      </c>
      <c r="J22" s="357">
        <v>930</v>
      </c>
    </row>
    <row r="23" spans="1:10" ht="12.75">
      <c r="A23" s="96" t="s">
        <v>1010</v>
      </c>
      <c r="G23" s="358"/>
      <c r="H23" s="359"/>
      <c r="I23" s="356">
        <v>14</v>
      </c>
      <c r="J23" s="357"/>
    </row>
    <row r="24" spans="1:10" ht="12.75">
      <c r="A24" s="96" t="s">
        <v>1011</v>
      </c>
      <c r="G24" s="360"/>
      <c r="H24" s="361"/>
      <c r="I24" s="356">
        <v>15</v>
      </c>
      <c r="J24" s="367"/>
    </row>
    <row r="25" spans="1:10" ht="12.75">
      <c r="A25" s="96" t="s">
        <v>1012</v>
      </c>
      <c r="G25" s="368"/>
      <c r="H25" s="369"/>
      <c r="I25" s="356"/>
      <c r="J25" s="367"/>
    </row>
    <row r="26" spans="1:10" ht="12.75">
      <c r="A26" s="96" t="s">
        <v>1013</v>
      </c>
      <c r="G26" s="358"/>
      <c r="H26" s="359"/>
      <c r="I26" s="356">
        <v>16</v>
      </c>
      <c r="J26" s="357"/>
    </row>
    <row r="27" spans="1:10" ht="12.75">
      <c r="A27" s="96" t="s">
        <v>1014</v>
      </c>
      <c r="G27" s="368"/>
      <c r="H27" s="369"/>
      <c r="I27" s="356">
        <v>17</v>
      </c>
      <c r="J27" s="357"/>
    </row>
    <row r="28" spans="1:10" ht="12.75">
      <c r="A28" s="96" t="s">
        <v>1015</v>
      </c>
      <c r="G28" s="365"/>
      <c r="H28" s="366"/>
      <c r="I28" s="356">
        <v>18</v>
      </c>
      <c r="J28" s="357"/>
    </row>
    <row r="29" spans="1:10" ht="12.75">
      <c r="A29" s="96" t="s">
        <v>1016</v>
      </c>
      <c r="G29" s="358"/>
      <c r="H29" s="359"/>
      <c r="I29" s="356">
        <v>19</v>
      </c>
      <c r="J29" s="357"/>
    </row>
    <row r="30" spans="1:10" ht="12.75">
      <c r="A30" s="96" t="s">
        <v>1017</v>
      </c>
      <c r="G30" s="365"/>
      <c r="H30" s="366"/>
      <c r="I30" s="370">
        <v>20</v>
      </c>
      <c r="J30" s="371"/>
    </row>
    <row r="31" spans="1:10" ht="12.75">
      <c r="A31" s="96" t="s">
        <v>1018</v>
      </c>
      <c r="G31" s="360"/>
      <c r="H31" s="361"/>
      <c r="I31" s="362">
        <v>21</v>
      </c>
      <c r="J31" s="364"/>
    </row>
    <row r="32" spans="1:10" ht="12.75">
      <c r="A32" s="96" t="s">
        <v>1019</v>
      </c>
      <c r="G32" s="358"/>
      <c r="H32" s="359"/>
      <c r="I32" s="356">
        <v>22</v>
      </c>
      <c r="J32" s="357"/>
    </row>
    <row r="33" spans="1:10" ht="12.75">
      <c r="A33" s="96" t="s">
        <v>1020</v>
      </c>
      <c r="G33" s="360"/>
      <c r="H33" s="361"/>
      <c r="I33" s="356">
        <v>23</v>
      </c>
      <c r="J33" s="357"/>
    </row>
    <row r="34" spans="1:10" ht="12.75">
      <c r="A34" s="96" t="s">
        <v>1021</v>
      </c>
      <c r="G34" s="368"/>
      <c r="H34" s="369"/>
      <c r="I34" s="356"/>
      <c r="J34" s="357"/>
    </row>
    <row r="35" spans="1:10" ht="12.75">
      <c r="A35" s="96" t="s">
        <v>1022</v>
      </c>
      <c r="G35" s="358"/>
      <c r="H35" s="359"/>
      <c r="I35" s="356">
        <v>24</v>
      </c>
      <c r="J35" s="357"/>
    </row>
    <row r="36" spans="1:10" ht="12.75">
      <c r="A36" s="184" t="s">
        <v>1023</v>
      </c>
      <c r="B36" s="29"/>
      <c r="C36" s="29"/>
      <c r="D36" s="29"/>
      <c r="E36" s="29"/>
      <c r="F36" s="29"/>
      <c r="G36" s="372"/>
      <c r="H36" s="373"/>
      <c r="I36" s="374"/>
      <c r="J36" s="373"/>
    </row>
    <row r="37" spans="1:10" ht="12.75">
      <c r="A37" s="164" t="s">
        <v>1024</v>
      </c>
      <c r="G37" s="354">
        <v>25</v>
      </c>
      <c r="H37" s="357"/>
      <c r="I37" s="356">
        <v>26</v>
      </c>
      <c r="J37" s="357"/>
    </row>
    <row r="38" spans="1:10" ht="12.75">
      <c r="A38" s="164" t="s">
        <v>1025</v>
      </c>
      <c r="G38" s="354">
        <v>27</v>
      </c>
      <c r="H38" s="355">
        <f>H12-H13</f>
        <v>12455380</v>
      </c>
      <c r="I38" s="356">
        <v>28</v>
      </c>
      <c r="J38" s="357">
        <f>J12-J13+J14</f>
        <v>13848104</v>
      </c>
    </row>
    <row r="39" spans="1:10" ht="12.75">
      <c r="A39" s="96" t="s">
        <v>1026</v>
      </c>
      <c r="G39" s="365"/>
      <c r="H39" s="366"/>
      <c r="I39" s="370">
        <v>29</v>
      </c>
      <c r="J39" s="357"/>
    </row>
    <row r="40" spans="1:10" ht="12.75">
      <c r="A40" s="96" t="s">
        <v>1027</v>
      </c>
      <c r="F40" s="6"/>
      <c r="G40" s="358"/>
      <c r="H40" s="359"/>
      <c r="I40" s="356">
        <v>30</v>
      </c>
      <c r="J40" s="357"/>
    </row>
    <row r="41" spans="1:10" ht="12.75">
      <c r="A41" s="96" t="s">
        <v>1028</v>
      </c>
      <c r="F41" s="6"/>
      <c r="G41" s="375"/>
      <c r="H41" s="376"/>
      <c r="I41" s="370">
        <v>31</v>
      </c>
      <c r="J41" s="357"/>
    </row>
    <row r="42" spans="1:10" ht="12.75">
      <c r="A42" s="164" t="s">
        <v>1029</v>
      </c>
      <c r="F42" s="6"/>
      <c r="G42" s="354">
        <v>32</v>
      </c>
      <c r="H42" s="355"/>
      <c r="I42" s="356">
        <v>33</v>
      </c>
      <c r="J42" s="357"/>
    </row>
    <row r="43" spans="1:10" ht="12.75">
      <c r="A43" s="164" t="s">
        <v>1030</v>
      </c>
      <c r="F43" s="6"/>
      <c r="G43" s="358"/>
      <c r="H43" s="359"/>
      <c r="I43" s="356">
        <v>34</v>
      </c>
      <c r="J43" s="357"/>
    </row>
    <row r="44" spans="1:10" ht="12.75">
      <c r="A44" s="164" t="s">
        <v>1031</v>
      </c>
      <c r="F44" s="6"/>
      <c r="G44" s="375"/>
      <c r="H44" s="376"/>
      <c r="I44" s="370">
        <v>35</v>
      </c>
      <c r="J44" s="377">
        <f>J38</f>
        <v>13848104</v>
      </c>
    </row>
    <row r="45" spans="1:10" ht="12.75">
      <c r="A45" s="164" t="s">
        <v>1032</v>
      </c>
      <c r="F45" s="6"/>
      <c r="G45" s="358"/>
      <c r="H45" s="359"/>
      <c r="I45" s="356">
        <v>36</v>
      </c>
      <c r="J45" s="357">
        <f>J44*10%</f>
        <v>1384810.4000000001</v>
      </c>
    </row>
    <row r="46" spans="1:10" ht="12.75">
      <c r="A46" s="164" t="s">
        <v>1033</v>
      </c>
      <c r="F46" s="6"/>
      <c r="G46" s="68">
        <v>37</v>
      </c>
      <c r="H46" s="378"/>
      <c r="I46" s="370">
        <v>38</v>
      </c>
      <c r="J46" s="357"/>
    </row>
    <row r="47" spans="1:10" ht="12.75">
      <c r="A47" s="164" t="s">
        <v>1034</v>
      </c>
      <c r="F47" s="6"/>
      <c r="G47" s="358"/>
      <c r="H47" s="359"/>
      <c r="I47" s="356">
        <v>39</v>
      </c>
      <c r="J47" s="357"/>
    </row>
    <row r="48" spans="1:10" ht="12.75">
      <c r="A48" s="164" t="s">
        <v>1035</v>
      </c>
      <c r="F48" s="6"/>
      <c r="G48" s="358"/>
      <c r="H48" s="359"/>
      <c r="I48" s="356">
        <v>40</v>
      </c>
      <c r="J48" s="357"/>
    </row>
    <row r="49" spans="1:10" ht="12.75">
      <c r="A49" s="164" t="s">
        <v>1036</v>
      </c>
      <c r="F49" s="6"/>
      <c r="G49" s="358"/>
      <c r="H49" s="359"/>
      <c r="I49" s="356">
        <v>41</v>
      </c>
      <c r="J49" s="357"/>
    </row>
    <row r="50" spans="1:10" ht="12.75">
      <c r="A50" s="164" t="s">
        <v>1037</v>
      </c>
      <c r="F50" s="6"/>
      <c r="G50" s="368"/>
      <c r="H50" s="369"/>
      <c r="I50" s="379">
        <v>42</v>
      </c>
      <c r="J50" s="357"/>
    </row>
    <row r="51" spans="1:10" ht="12.75">
      <c r="A51" s="164" t="s">
        <v>1038</v>
      </c>
      <c r="F51" s="6"/>
      <c r="G51" s="368"/>
      <c r="H51" s="369"/>
      <c r="I51" s="379">
        <v>43</v>
      </c>
      <c r="J51" s="357"/>
    </row>
    <row r="52" spans="1:10" ht="15">
      <c r="A52" s="380" t="s">
        <v>1039</v>
      </c>
      <c r="B52" s="29"/>
      <c r="C52" s="29"/>
      <c r="D52" s="29"/>
      <c r="E52" s="29"/>
      <c r="F52" s="41"/>
      <c r="G52" s="372"/>
      <c r="H52" s="373"/>
      <c r="I52" s="374"/>
      <c r="J52" s="373"/>
    </row>
    <row r="53" spans="1:10" ht="12.75">
      <c r="A53" s="164" t="s">
        <v>1040</v>
      </c>
      <c r="F53" s="6"/>
      <c r="G53" s="354">
        <v>44</v>
      </c>
      <c r="H53" s="357">
        <f>H54+H55+H56+H57</f>
        <v>0</v>
      </c>
      <c r="I53" s="356">
        <v>45</v>
      </c>
      <c r="J53" s="357">
        <f>J54+J55+J56+J57</f>
        <v>5240814</v>
      </c>
    </row>
    <row r="54" spans="1:10" ht="12.75">
      <c r="A54" s="96" t="s">
        <v>1041</v>
      </c>
      <c r="F54" s="6"/>
      <c r="G54" s="354">
        <v>46</v>
      </c>
      <c r="H54" s="355"/>
      <c r="I54" s="356">
        <v>47</v>
      </c>
      <c r="J54" s="357">
        <v>1326231</v>
      </c>
    </row>
    <row r="55" spans="1:10" ht="12.75">
      <c r="A55" s="96" t="s">
        <v>1042</v>
      </c>
      <c r="F55" s="6"/>
      <c r="G55" s="354">
        <v>48</v>
      </c>
      <c r="H55" s="355"/>
      <c r="I55" s="356">
        <v>49</v>
      </c>
      <c r="J55" s="357">
        <v>3621411</v>
      </c>
    </row>
    <row r="56" spans="1:10" ht="12.75">
      <c r="A56" s="96" t="s">
        <v>1043</v>
      </c>
      <c r="F56" s="6"/>
      <c r="G56" s="381">
        <v>50</v>
      </c>
      <c r="H56" s="382"/>
      <c r="I56" s="379">
        <v>51</v>
      </c>
      <c r="J56" s="371">
        <f>267504</f>
        <v>267504</v>
      </c>
    </row>
    <row r="57" spans="1:10" ht="12.75">
      <c r="A57" s="96" t="s">
        <v>1044</v>
      </c>
      <c r="F57" s="6"/>
      <c r="G57" s="354">
        <v>52</v>
      </c>
      <c r="H57" s="355"/>
      <c r="I57" s="356">
        <v>53</v>
      </c>
      <c r="J57" s="357">
        <v>25668</v>
      </c>
    </row>
    <row r="58" spans="1:10" ht="12.75">
      <c r="A58" s="164" t="s">
        <v>1045</v>
      </c>
      <c r="F58" s="6"/>
      <c r="G58" s="368"/>
      <c r="H58" s="369"/>
      <c r="I58" s="379">
        <v>54</v>
      </c>
      <c r="J58" s="371"/>
    </row>
    <row r="59" spans="1:10" ht="12.75">
      <c r="A59" s="164"/>
      <c r="F59" s="5"/>
      <c r="G59" s="313"/>
      <c r="H59" s="298"/>
      <c r="I59" s="313"/>
      <c r="J59" s="5"/>
    </row>
    <row r="60" spans="1:10" ht="12.75">
      <c r="A60" s="383" t="s">
        <v>1046</v>
      </c>
      <c r="F60" s="5"/>
      <c r="G60" s="5"/>
      <c r="H60" s="5"/>
      <c r="I60" s="10"/>
      <c r="J60" s="5"/>
    </row>
    <row r="61" spans="1:10" ht="12.75">
      <c r="A61" s="383"/>
      <c r="F61" s="5"/>
      <c r="G61" s="5"/>
      <c r="H61" s="5"/>
      <c r="I61" s="10"/>
      <c r="J61" s="5"/>
    </row>
    <row r="62" spans="1:10" ht="12.75">
      <c r="A62" s="383"/>
      <c r="F62" s="5"/>
      <c r="G62" s="5"/>
      <c r="H62" s="384" t="s">
        <v>1047</v>
      </c>
      <c r="I62" s="10"/>
      <c r="J62" s="5"/>
    </row>
    <row r="63" spans="1:10" ht="12.75">
      <c r="A63" s="383"/>
      <c r="F63" s="5"/>
      <c r="G63" s="385" t="s">
        <v>903</v>
      </c>
      <c r="H63" s="384"/>
      <c r="I63" s="10"/>
      <c r="J63" s="5"/>
    </row>
    <row r="64" spans="1:10" ht="12.75">
      <c r="A64" s="8"/>
      <c r="B64" s="8"/>
      <c r="C64" s="8"/>
      <c r="D64" s="8"/>
      <c r="E64" s="8"/>
      <c r="F64" s="8"/>
      <c r="G64" s="8"/>
      <c r="H64" s="8"/>
      <c r="I64" s="23"/>
      <c r="J64" s="8"/>
    </row>
    <row r="65" spans="6:10" ht="12.75">
      <c r="F65" s="5"/>
      <c r="G65" s="5"/>
      <c r="H65" s="5"/>
      <c r="I65" s="10"/>
      <c r="J65" s="5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140625" style="0" customWidth="1"/>
    <col min="2" max="2" width="19.0039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</cols>
  <sheetData>
    <row r="1" ht="12.75">
      <c r="B1" s="386" t="s">
        <v>1048</v>
      </c>
    </row>
    <row r="2" ht="12.75">
      <c r="B2" s="386" t="s">
        <v>959</v>
      </c>
    </row>
    <row r="3" ht="12.75">
      <c r="B3" s="386"/>
    </row>
    <row r="4" spans="2:7" ht="15.75">
      <c r="B4" s="563" t="s">
        <v>1049</v>
      </c>
      <c r="C4" s="563"/>
      <c r="D4" s="563"/>
      <c r="E4" s="563"/>
      <c r="F4" s="563"/>
      <c r="G4" s="563"/>
    </row>
    <row r="6" spans="1:7" ht="12.75">
      <c r="A6" s="564" t="s">
        <v>5</v>
      </c>
      <c r="B6" s="565" t="s">
        <v>128</v>
      </c>
      <c r="C6" s="564" t="s">
        <v>905</v>
      </c>
      <c r="D6" s="387" t="s">
        <v>945</v>
      </c>
      <c r="E6" s="564" t="s">
        <v>323</v>
      </c>
      <c r="F6" s="564" t="s">
        <v>1050</v>
      </c>
      <c r="G6" s="387" t="s">
        <v>945</v>
      </c>
    </row>
    <row r="7" spans="1:7" ht="12.75">
      <c r="A7" s="518"/>
      <c r="B7" s="566"/>
      <c r="C7" s="518"/>
      <c r="D7" s="388">
        <v>40179</v>
      </c>
      <c r="E7" s="518"/>
      <c r="F7" s="518"/>
      <c r="G7" s="388">
        <v>40543</v>
      </c>
    </row>
    <row r="8" spans="1:7" ht="12.75">
      <c r="A8" s="262">
        <v>1</v>
      </c>
      <c r="B8" s="150" t="s">
        <v>55</v>
      </c>
      <c r="C8" s="262"/>
      <c r="D8" s="389">
        <v>1000000</v>
      </c>
      <c r="E8" s="390"/>
      <c r="F8" s="390"/>
      <c r="G8" s="390">
        <v>1000000</v>
      </c>
    </row>
    <row r="9" spans="1:7" ht="12.75">
      <c r="A9" s="262">
        <v>2</v>
      </c>
      <c r="B9" s="96" t="s">
        <v>1051</v>
      </c>
      <c r="C9" s="262"/>
      <c r="D9" s="391">
        <v>32846912</v>
      </c>
      <c r="E9" s="390">
        <v>2964907</v>
      </c>
      <c r="F9" s="390"/>
      <c r="G9" s="390">
        <v>35811819</v>
      </c>
    </row>
    <row r="10" spans="1:7" ht="12.75">
      <c r="A10" s="262">
        <v>3</v>
      </c>
      <c r="B10" s="150" t="s">
        <v>1052</v>
      </c>
      <c r="C10" s="262"/>
      <c r="D10" s="389">
        <f>7401903+14737993</f>
        <v>22139896</v>
      </c>
      <c r="E10" s="390">
        <f>1000000+2942810</f>
        <v>3942810</v>
      </c>
      <c r="F10" s="390"/>
      <c r="G10" s="390">
        <v>17680803</v>
      </c>
    </row>
    <row r="11" spans="1:7" ht="12.75">
      <c r="A11" s="262">
        <v>4</v>
      </c>
      <c r="B11" s="150" t="s">
        <v>1053</v>
      </c>
      <c r="C11" s="262"/>
      <c r="D11" s="391">
        <v>59488</v>
      </c>
      <c r="E11" s="181">
        <v>20833</v>
      </c>
      <c r="F11" s="390"/>
      <c r="G11" s="390">
        <v>80321</v>
      </c>
    </row>
    <row r="12" spans="1:7" ht="12.75">
      <c r="A12" s="262">
        <v>1</v>
      </c>
      <c r="B12" s="150" t="s">
        <v>1054</v>
      </c>
      <c r="C12" s="262"/>
      <c r="D12" s="389">
        <v>2075955</v>
      </c>
      <c r="E12" s="390">
        <v>596600</v>
      </c>
      <c r="F12" s="390"/>
      <c r="G12" s="390">
        <v>2672555</v>
      </c>
    </row>
    <row r="13" spans="1:7" ht="12.75">
      <c r="A13" s="262">
        <v>2</v>
      </c>
      <c r="B13" s="123" t="s">
        <v>912</v>
      </c>
      <c r="C13" s="262"/>
      <c r="D13" s="392"/>
      <c r="E13" s="390">
        <v>6519294</v>
      </c>
      <c r="F13" s="390"/>
      <c r="G13" s="390">
        <v>6519294</v>
      </c>
    </row>
    <row r="14" spans="1:7" ht="12.75">
      <c r="A14" s="262">
        <v>3</v>
      </c>
      <c r="B14" s="123"/>
      <c r="C14" s="262"/>
      <c r="D14" s="393"/>
      <c r="E14" s="390"/>
      <c r="F14" s="390"/>
      <c r="G14" s="390">
        <v>0</v>
      </c>
    </row>
    <row r="15" spans="1:7" ht="13.5" thickBot="1">
      <c r="A15" s="394">
        <v>4</v>
      </c>
      <c r="B15" s="395"/>
      <c r="C15" s="394"/>
      <c r="D15" s="396"/>
      <c r="E15" s="397"/>
      <c r="F15" s="397"/>
      <c r="G15" s="397">
        <v>0</v>
      </c>
    </row>
    <row r="16" spans="1:7" ht="13.5" thickBot="1">
      <c r="A16" s="398"/>
      <c r="B16" s="399" t="s">
        <v>1055</v>
      </c>
      <c r="C16" s="400"/>
      <c r="D16" s="401">
        <f>SUM(D8:D15)</f>
        <v>58122251</v>
      </c>
      <c r="E16" s="402">
        <f>SUM(E8:E15)</f>
        <v>14044444</v>
      </c>
      <c r="F16" s="402">
        <f>SUM(F8:F15)</f>
        <v>0</v>
      </c>
      <c r="G16" s="403">
        <f>SUM(G8:G15)</f>
        <v>63764792</v>
      </c>
    </row>
    <row r="19" spans="2:7" ht="15.75">
      <c r="B19" s="563" t="s">
        <v>1056</v>
      </c>
      <c r="C19" s="563"/>
      <c r="D19" s="563"/>
      <c r="E19" s="563"/>
      <c r="F19" s="563"/>
      <c r="G19" s="563"/>
    </row>
    <row r="21" spans="1:7" ht="12.75">
      <c r="A21" s="564" t="s">
        <v>5</v>
      </c>
      <c r="B21" s="565" t="s">
        <v>128</v>
      </c>
      <c r="C21" s="564" t="s">
        <v>905</v>
      </c>
      <c r="D21" s="387" t="s">
        <v>945</v>
      </c>
      <c r="E21" s="564" t="s">
        <v>323</v>
      </c>
      <c r="F21" s="564" t="s">
        <v>1050</v>
      </c>
      <c r="G21" s="387" t="s">
        <v>945</v>
      </c>
    </row>
    <row r="22" spans="1:7" ht="12.75">
      <c r="A22" s="518"/>
      <c r="B22" s="566"/>
      <c r="C22" s="518"/>
      <c r="D22" s="388">
        <v>40179</v>
      </c>
      <c r="E22" s="518"/>
      <c r="F22" s="518"/>
      <c r="G22" s="388">
        <v>40543</v>
      </c>
    </row>
    <row r="23" spans="1:7" ht="12.75">
      <c r="A23" s="262">
        <v>1</v>
      </c>
      <c r="B23" s="150" t="s">
        <v>55</v>
      </c>
      <c r="C23" s="262"/>
      <c r="D23" s="390">
        <v>0</v>
      </c>
      <c r="E23" s="390">
        <v>0</v>
      </c>
      <c r="F23" s="390"/>
      <c r="G23" s="390">
        <v>0</v>
      </c>
    </row>
    <row r="24" spans="1:7" ht="12.75">
      <c r="A24" s="262">
        <v>2</v>
      </c>
      <c r="B24" s="96" t="s">
        <v>1051</v>
      </c>
      <c r="C24" s="262"/>
      <c r="D24" s="390">
        <v>6569382</v>
      </c>
      <c r="E24" s="390">
        <v>1326231</v>
      </c>
      <c r="F24" s="390"/>
      <c r="G24" s="390">
        <v>7895613</v>
      </c>
    </row>
    <row r="25" spans="1:7" ht="12.75">
      <c r="A25" s="262">
        <v>3</v>
      </c>
      <c r="B25" s="150" t="s">
        <v>1052</v>
      </c>
      <c r="C25" s="262"/>
      <c r="D25" s="390">
        <v>5418543</v>
      </c>
      <c r="E25" s="404">
        <f>2141031+1480380</f>
        <v>3621411</v>
      </c>
      <c r="F25" s="390"/>
      <c r="G25" s="390">
        <v>7559574</v>
      </c>
    </row>
    <row r="26" spans="1:7" ht="12.75">
      <c r="A26" s="262">
        <v>4</v>
      </c>
      <c r="B26" s="150" t="s">
        <v>1053</v>
      </c>
      <c r="C26" s="262"/>
      <c r="D26" s="390">
        <v>1237</v>
      </c>
      <c r="E26" s="404">
        <v>16304</v>
      </c>
      <c r="F26" s="390"/>
      <c r="G26" s="390">
        <v>17541</v>
      </c>
    </row>
    <row r="27" spans="1:7" ht="12.75">
      <c r="A27" s="262">
        <v>1</v>
      </c>
      <c r="B27" s="150" t="s">
        <v>1054</v>
      </c>
      <c r="C27" s="262"/>
      <c r="D27" s="390">
        <v>855270</v>
      </c>
      <c r="E27" s="390">
        <v>251200</v>
      </c>
      <c r="F27" s="390"/>
      <c r="G27" s="390">
        <v>1106470</v>
      </c>
    </row>
    <row r="28" spans="1:7" ht="12.75">
      <c r="A28" s="262">
        <v>2</v>
      </c>
      <c r="B28" s="123"/>
      <c r="C28" s="262"/>
      <c r="D28" s="390"/>
      <c r="E28" s="390"/>
      <c r="F28" s="390"/>
      <c r="G28" s="390">
        <v>0</v>
      </c>
    </row>
    <row r="29" spans="1:7" ht="12.75">
      <c r="A29" s="262">
        <v>3</v>
      </c>
      <c r="B29" s="123"/>
      <c r="C29" s="262"/>
      <c r="D29" s="390"/>
      <c r="E29" s="390"/>
      <c r="F29" s="390"/>
      <c r="G29" s="390">
        <v>0</v>
      </c>
    </row>
    <row r="30" spans="1:7" ht="13.5" thickBot="1">
      <c r="A30" s="394">
        <v>4</v>
      </c>
      <c r="B30" s="395"/>
      <c r="C30" s="394"/>
      <c r="D30" s="397"/>
      <c r="E30" s="397"/>
      <c r="F30" s="397"/>
      <c r="G30" s="397">
        <v>0</v>
      </c>
    </row>
    <row r="31" spans="1:7" ht="13.5" thickBot="1">
      <c r="A31" s="398"/>
      <c r="B31" s="399" t="s">
        <v>1055</v>
      </c>
      <c r="C31" s="400"/>
      <c r="D31" s="402">
        <f>SUM(D23:D30)</f>
        <v>12844432</v>
      </c>
      <c r="E31" s="402">
        <f>SUM(E23:E30)</f>
        <v>5215146</v>
      </c>
      <c r="F31" s="402">
        <f>SUM(F23:F30)</f>
        <v>0</v>
      </c>
      <c r="G31" s="403">
        <f>SUM(G23:G30)</f>
        <v>16579198</v>
      </c>
    </row>
    <row r="32" ht="12.75">
      <c r="G32" s="235"/>
    </row>
    <row r="34" spans="2:7" ht="15.75">
      <c r="B34" s="563" t="s">
        <v>1057</v>
      </c>
      <c r="C34" s="563"/>
      <c r="D34" s="563"/>
      <c r="E34" s="563"/>
      <c r="F34" s="563"/>
      <c r="G34" s="563"/>
    </row>
    <row r="36" spans="1:7" ht="12.75">
      <c r="A36" s="564" t="s">
        <v>5</v>
      </c>
      <c r="B36" s="565" t="s">
        <v>128</v>
      </c>
      <c r="C36" s="564" t="s">
        <v>905</v>
      </c>
      <c r="D36" s="387" t="s">
        <v>945</v>
      </c>
      <c r="E36" s="564" t="s">
        <v>323</v>
      </c>
      <c r="F36" s="564" t="s">
        <v>1050</v>
      </c>
      <c r="G36" s="387" t="s">
        <v>945</v>
      </c>
    </row>
    <row r="37" spans="1:7" ht="12.75">
      <c r="A37" s="518"/>
      <c r="B37" s="566"/>
      <c r="C37" s="518"/>
      <c r="D37" s="388">
        <v>40179</v>
      </c>
      <c r="E37" s="518"/>
      <c r="F37" s="518"/>
      <c r="G37" s="388">
        <v>40543</v>
      </c>
    </row>
    <row r="38" spans="1:7" ht="12.75">
      <c r="A38" s="262">
        <v>1</v>
      </c>
      <c r="B38" s="96" t="s">
        <v>55</v>
      </c>
      <c r="C38" s="262"/>
      <c r="D38" s="390">
        <f aca="true" t="shared" si="0" ref="D38:E42">D8-D23</f>
        <v>1000000</v>
      </c>
      <c r="E38" s="390">
        <f t="shared" si="0"/>
        <v>0</v>
      </c>
      <c r="F38" s="390">
        <v>0</v>
      </c>
      <c r="G38" s="390">
        <f aca="true" t="shared" si="1" ref="G38:G45">D38+E38-F38</f>
        <v>1000000</v>
      </c>
    </row>
    <row r="39" spans="1:7" ht="12.75">
      <c r="A39" s="262">
        <v>2</v>
      </c>
      <c r="B39" s="150" t="s">
        <v>1051</v>
      </c>
      <c r="C39" s="262"/>
      <c r="D39" s="390">
        <f t="shared" si="0"/>
        <v>26277530</v>
      </c>
      <c r="E39" s="390">
        <f t="shared" si="0"/>
        <v>1638676</v>
      </c>
      <c r="F39" s="390"/>
      <c r="G39" s="390">
        <f t="shared" si="1"/>
        <v>27916206</v>
      </c>
    </row>
    <row r="40" spans="1:7" ht="12.75">
      <c r="A40" s="262">
        <v>3</v>
      </c>
      <c r="B40" s="150" t="s">
        <v>1052</v>
      </c>
      <c r="C40" s="262"/>
      <c r="D40" s="390">
        <f t="shared" si="0"/>
        <v>16721353</v>
      </c>
      <c r="E40" s="390">
        <f t="shared" si="0"/>
        <v>321399</v>
      </c>
      <c r="F40" s="390"/>
      <c r="G40" s="390">
        <f t="shared" si="1"/>
        <v>17042752</v>
      </c>
    </row>
    <row r="41" spans="1:7" ht="12.75">
      <c r="A41" s="262">
        <v>4</v>
      </c>
      <c r="B41" s="150" t="s">
        <v>1053</v>
      </c>
      <c r="C41" s="262"/>
      <c r="D41" s="390">
        <f t="shared" si="0"/>
        <v>58251</v>
      </c>
      <c r="E41" s="390">
        <f t="shared" si="0"/>
        <v>4529</v>
      </c>
      <c r="F41" s="390"/>
      <c r="G41" s="390">
        <f t="shared" si="1"/>
        <v>62780</v>
      </c>
    </row>
    <row r="42" spans="1:7" ht="12.75">
      <c r="A42" s="262">
        <v>1</v>
      </c>
      <c r="B42" s="150" t="s">
        <v>1054</v>
      </c>
      <c r="C42" s="262"/>
      <c r="D42" s="390">
        <f t="shared" si="0"/>
        <v>1220685</v>
      </c>
      <c r="E42" s="390">
        <f t="shared" si="0"/>
        <v>345400</v>
      </c>
      <c r="F42" s="390"/>
      <c r="G42" s="390">
        <f t="shared" si="1"/>
        <v>1566085</v>
      </c>
    </row>
    <row r="43" spans="1:7" ht="12.75">
      <c r="A43" s="262">
        <v>2</v>
      </c>
      <c r="B43" s="123" t="s">
        <v>912</v>
      </c>
      <c r="C43" s="262"/>
      <c r="D43" s="392"/>
      <c r="E43" s="390">
        <f>5935078+584216</f>
        <v>6519294</v>
      </c>
      <c r="F43" s="390"/>
      <c r="G43" s="390">
        <f t="shared" si="1"/>
        <v>6519294</v>
      </c>
    </row>
    <row r="44" spans="1:7" ht="12.75">
      <c r="A44" s="262">
        <v>3</v>
      </c>
      <c r="B44" s="123"/>
      <c r="C44" s="262"/>
      <c r="D44" s="390"/>
      <c r="E44" s="390"/>
      <c r="F44" s="390"/>
      <c r="G44" s="390">
        <f t="shared" si="1"/>
        <v>0</v>
      </c>
    </row>
    <row r="45" spans="1:7" ht="13.5" thickBot="1">
      <c r="A45" s="394">
        <v>4</v>
      </c>
      <c r="B45" s="395"/>
      <c r="C45" s="394"/>
      <c r="D45" s="397"/>
      <c r="E45" s="397"/>
      <c r="F45" s="397"/>
      <c r="G45" s="397">
        <f t="shared" si="1"/>
        <v>0</v>
      </c>
    </row>
    <row r="46" spans="1:7" ht="13.5" thickBot="1">
      <c r="A46" s="398"/>
      <c r="B46" s="399" t="s">
        <v>1055</v>
      </c>
      <c r="C46" s="400"/>
      <c r="D46" s="402">
        <f>SUM(D38:D45)</f>
        <v>45277819</v>
      </c>
      <c r="E46" s="402">
        <f>SUM(E38:E45)</f>
        <v>8829298</v>
      </c>
      <c r="F46" s="402">
        <f>SUM(F38:F45)</f>
        <v>0</v>
      </c>
      <c r="G46" s="403">
        <f>SUM(G38:G45)</f>
        <v>54107117</v>
      </c>
    </row>
    <row r="47" spans="1:7" ht="12.75">
      <c r="A47" s="5"/>
      <c r="B47" s="5"/>
      <c r="C47" s="5"/>
      <c r="D47" s="5"/>
      <c r="E47" s="5"/>
      <c r="F47" s="20"/>
      <c r="G47" s="405"/>
    </row>
    <row r="48" spans="4:7" ht="12.75">
      <c r="D48" s="18"/>
      <c r="G48" s="18"/>
    </row>
    <row r="49" spans="4:7" ht="12.75">
      <c r="D49" s="18"/>
      <c r="G49" s="18"/>
    </row>
    <row r="50" spans="5:7" ht="15.75">
      <c r="E50" s="561" t="s">
        <v>1058</v>
      </c>
      <c r="F50" s="561"/>
      <c r="G50" s="561"/>
    </row>
    <row r="51" spans="5:7" ht="12.75">
      <c r="E51" s="562"/>
      <c r="F51" s="562"/>
      <c r="G51" s="562"/>
    </row>
  </sheetData>
  <sheetProtection/>
  <mergeCells count="20">
    <mergeCell ref="B4:G4"/>
    <mergeCell ref="A6:A7"/>
    <mergeCell ref="B6:B7"/>
    <mergeCell ref="C6:C7"/>
    <mergeCell ref="E6:E7"/>
    <mergeCell ref="F6:F7"/>
    <mergeCell ref="B19:G19"/>
    <mergeCell ref="A21:A22"/>
    <mergeCell ref="B21:B22"/>
    <mergeCell ref="C21:C22"/>
    <mergeCell ref="E21:E22"/>
    <mergeCell ref="F21:F22"/>
    <mergeCell ref="E50:G50"/>
    <mergeCell ref="E51:G51"/>
    <mergeCell ref="B34:G34"/>
    <mergeCell ref="A36:A37"/>
    <mergeCell ref="B36:B37"/>
    <mergeCell ref="C36:C37"/>
    <mergeCell ref="E36:E37"/>
    <mergeCell ref="F36:F3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2.5742187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19" customWidth="1"/>
    <col min="10" max="10" width="14.57421875" style="0" customWidth="1"/>
  </cols>
  <sheetData>
    <row r="1" spans="1:10" ht="12.75">
      <c r="A1" s="85"/>
      <c r="B1" s="386" t="s">
        <v>1048</v>
      </c>
      <c r="C1" s="406"/>
      <c r="D1" s="406"/>
      <c r="E1" s="85"/>
      <c r="F1" s="85"/>
      <c r="G1" s="85"/>
      <c r="H1" s="85"/>
      <c r="I1" s="69"/>
      <c r="J1" s="85"/>
    </row>
    <row r="2" spans="1:10" ht="12.75">
      <c r="A2" s="85"/>
      <c r="B2" s="386" t="s">
        <v>959</v>
      </c>
      <c r="C2" s="406"/>
      <c r="D2" s="406"/>
      <c r="E2" s="85"/>
      <c r="F2" s="85"/>
      <c r="G2" s="85"/>
      <c r="H2" s="85"/>
      <c r="I2" s="69"/>
      <c r="J2" s="85"/>
    </row>
    <row r="3" spans="1:10" ht="12.75">
      <c r="A3" s="85"/>
      <c r="B3" s="164"/>
      <c r="C3" s="85"/>
      <c r="D3" s="85"/>
      <c r="E3" s="85"/>
      <c r="F3" s="85"/>
      <c r="G3" s="85"/>
      <c r="H3" s="85"/>
      <c r="I3" s="407" t="s">
        <v>1059</v>
      </c>
      <c r="J3" s="85"/>
    </row>
    <row r="4" spans="1:10" ht="12.75">
      <c r="A4" s="85"/>
      <c r="B4" s="164"/>
      <c r="C4" s="85"/>
      <c r="D4" s="85"/>
      <c r="E4" s="85"/>
      <c r="F4" s="85"/>
      <c r="G4" s="85"/>
      <c r="H4" s="85"/>
      <c r="I4" s="69"/>
      <c r="J4" s="85"/>
    </row>
    <row r="5" spans="1:10" ht="12.75">
      <c r="A5" s="83"/>
      <c r="B5" s="83"/>
      <c r="C5" s="83"/>
      <c r="D5" s="83"/>
      <c r="E5" s="83"/>
      <c r="F5" s="83"/>
      <c r="G5" s="83"/>
      <c r="H5" s="83"/>
      <c r="I5" s="408"/>
      <c r="J5" s="409" t="s">
        <v>1060</v>
      </c>
    </row>
    <row r="6" spans="1:10" ht="12.75">
      <c r="A6" s="577" t="s">
        <v>1061</v>
      </c>
      <c r="B6" s="578"/>
      <c r="C6" s="578"/>
      <c r="D6" s="578"/>
      <c r="E6" s="578"/>
      <c r="F6" s="578"/>
      <c r="G6" s="578"/>
      <c r="H6" s="578"/>
      <c r="I6" s="578"/>
      <c r="J6" s="579"/>
    </row>
    <row r="7" spans="1:10" ht="22.5" thickBot="1">
      <c r="A7" s="410"/>
      <c r="B7" s="594" t="s">
        <v>1062</v>
      </c>
      <c r="C7" s="594"/>
      <c r="D7" s="594"/>
      <c r="E7" s="594"/>
      <c r="F7" s="595"/>
      <c r="G7" s="411" t="s">
        <v>1063</v>
      </c>
      <c r="H7" s="411" t="s">
        <v>1064</v>
      </c>
      <c r="I7" s="412" t="s">
        <v>1065</v>
      </c>
      <c r="J7" s="412" t="s">
        <v>1066</v>
      </c>
    </row>
    <row r="8" spans="1:10" ht="12.75">
      <c r="A8" s="413">
        <v>1</v>
      </c>
      <c r="B8" s="596" t="s">
        <v>1067</v>
      </c>
      <c r="C8" s="597"/>
      <c r="D8" s="597"/>
      <c r="E8" s="597"/>
      <c r="F8" s="597"/>
      <c r="G8" s="414">
        <v>70</v>
      </c>
      <c r="H8" s="414">
        <v>11100</v>
      </c>
      <c r="I8" s="415">
        <f>SUM(I9:I11)</f>
        <v>103212</v>
      </c>
      <c r="J8" s="416"/>
    </row>
    <row r="9" spans="1:10" ht="25.5">
      <c r="A9" s="417" t="s">
        <v>1068</v>
      </c>
      <c r="B9" s="592" t="s">
        <v>1069</v>
      </c>
      <c r="C9" s="592"/>
      <c r="D9" s="592"/>
      <c r="E9" s="592"/>
      <c r="F9" s="593"/>
      <c r="G9" s="418" t="s">
        <v>1070</v>
      </c>
      <c r="H9" s="418">
        <v>11101</v>
      </c>
      <c r="I9" s="419">
        <v>82579.5</v>
      </c>
      <c r="J9" s="420"/>
    </row>
    <row r="10" spans="1:10" ht="12.75">
      <c r="A10" s="421" t="s">
        <v>1071</v>
      </c>
      <c r="B10" s="592" t="s">
        <v>1072</v>
      </c>
      <c r="C10" s="592"/>
      <c r="D10" s="592"/>
      <c r="E10" s="592"/>
      <c r="F10" s="593"/>
      <c r="G10" s="418">
        <v>704</v>
      </c>
      <c r="H10" s="418">
        <v>11102</v>
      </c>
      <c r="I10" s="419"/>
      <c r="J10" s="420"/>
    </row>
    <row r="11" spans="1:10" ht="12.75">
      <c r="A11" s="421" t="s">
        <v>1073</v>
      </c>
      <c r="B11" s="592" t="s">
        <v>1074</v>
      </c>
      <c r="C11" s="592"/>
      <c r="D11" s="592"/>
      <c r="E11" s="592"/>
      <c r="F11" s="593"/>
      <c r="G11" s="422">
        <v>705</v>
      </c>
      <c r="H11" s="418">
        <v>11103</v>
      </c>
      <c r="I11" s="419">
        <f>19486+1146.5</f>
        <v>20632.5</v>
      </c>
      <c r="J11" s="420"/>
    </row>
    <row r="12" spans="1:10" ht="12.75">
      <c r="A12" s="423">
        <v>2</v>
      </c>
      <c r="B12" s="587" t="s">
        <v>1075</v>
      </c>
      <c r="C12" s="587"/>
      <c r="D12" s="587"/>
      <c r="E12" s="587"/>
      <c r="F12" s="588"/>
      <c r="G12" s="424">
        <v>708</v>
      </c>
      <c r="H12" s="425">
        <v>11104</v>
      </c>
      <c r="I12" s="419">
        <f>SUM(I13:I15)</f>
        <v>1179</v>
      </c>
      <c r="J12" s="420"/>
    </row>
    <row r="13" spans="1:10" ht="12.75">
      <c r="A13" s="426" t="s">
        <v>1068</v>
      </c>
      <c r="B13" s="592" t="s">
        <v>1076</v>
      </c>
      <c r="C13" s="592"/>
      <c r="D13" s="592"/>
      <c r="E13" s="592"/>
      <c r="F13" s="593"/>
      <c r="G13" s="418">
        <v>7081</v>
      </c>
      <c r="H13" s="427">
        <v>111041</v>
      </c>
      <c r="I13" s="428">
        <v>400</v>
      </c>
      <c r="J13" s="420"/>
    </row>
    <row r="14" spans="1:10" ht="12.75">
      <c r="A14" s="426" t="s">
        <v>1077</v>
      </c>
      <c r="B14" s="592" t="s">
        <v>1078</v>
      </c>
      <c r="C14" s="592"/>
      <c r="D14" s="592"/>
      <c r="E14" s="592"/>
      <c r="F14" s="593"/>
      <c r="G14" s="418">
        <v>7082</v>
      </c>
      <c r="H14" s="427">
        <v>111042</v>
      </c>
      <c r="I14" s="428"/>
      <c r="J14" s="420"/>
    </row>
    <row r="15" spans="1:10" ht="12.75">
      <c r="A15" s="426" t="s">
        <v>1079</v>
      </c>
      <c r="B15" s="592" t="s">
        <v>1080</v>
      </c>
      <c r="C15" s="592"/>
      <c r="D15" s="592"/>
      <c r="E15" s="592"/>
      <c r="F15" s="593"/>
      <c r="G15" s="418">
        <v>7083</v>
      </c>
      <c r="H15" s="427">
        <v>111043</v>
      </c>
      <c r="I15" s="428">
        <v>779</v>
      </c>
      <c r="J15" s="420"/>
    </row>
    <row r="16" spans="1:10" ht="12.75">
      <c r="A16" s="429">
        <v>3</v>
      </c>
      <c r="B16" s="587" t="s">
        <v>1081</v>
      </c>
      <c r="C16" s="587"/>
      <c r="D16" s="587"/>
      <c r="E16" s="587"/>
      <c r="F16" s="588"/>
      <c r="G16" s="424">
        <v>71</v>
      </c>
      <c r="H16" s="425">
        <v>11201</v>
      </c>
      <c r="I16" s="407">
        <f>SUM(I17)</f>
        <v>7728.5</v>
      </c>
      <c r="J16" s="420"/>
    </row>
    <row r="17" spans="1:10" ht="12.75">
      <c r="A17" s="430"/>
      <c r="B17" s="585" t="s">
        <v>1082</v>
      </c>
      <c r="C17" s="585"/>
      <c r="D17" s="585"/>
      <c r="E17" s="585"/>
      <c r="F17" s="586"/>
      <c r="G17" s="431"/>
      <c r="H17" s="418">
        <v>112011</v>
      </c>
      <c r="I17" s="428">
        <v>7728.5</v>
      </c>
      <c r="J17" s="420"/>
    </row>
    <row r="18" spans="1:10" ht="12.75">
      <c r="A18" s="430"/>
      <c r="B18" s="585" t="s">
        <v>1083</v>
      </c>
      <c r="C18" s="585"/>
      <c r="D18" s="585"/>
      <c r="E18" s="585"/>
      <c r="F18" s="586"/>
      <c r="G18" s="431"/>
      <c r="H18" s="418">
        <v>112012</v>
      </c>
      <c r="I18" s="419"/>
      <c r="J18" s="420"/>
    </row>
    <row r="19" spans="1:10" ht="12.75">
      <c r="A19" s="432">
        <v>4</v>
      </c>
      <c r="B19" s="587" t="s">
        <v>1084</v>
      </c>
      <c r="C19" s="587"/>
      <c r="D19" s="587"/>
      <c r="E19" s="587"/>
      <c r="F19" s="588"/>
      <c r="G19" s="433">
        <v>72</v>
      </c>
      <c r="H19" s="434">
        <v>11300</v>
      </c>
      <c r="I19" s="419">
        <f>SUM(I20)</f>
        <v>8899</v>
      </c>
      <c r="J19" s="420"/>
    </row>
    <row r="20" spans="1:10" ht="12.75">
      <c r="A20" s="421"/>
      <c r="B20" s="589" t="s">
        <v>1085</v>
      </c>
      <c r="C20" s="590"/>
      <c r="D20" s="590"/>
      <c r="E20" s="590"/>
      <c r="F20" s="590"/>
      <c r="G20" s="435"/>
      <c r="H20" s="436">
        <v>11301</v>
      </c>
      <c r="I20" s="428">
        <f>5935+2964</f>
        <v>8899</v>
      </c>
      <c r="J20" s="420"/>
    </row>
    <row r="21" spans="1:10" ht="12.75">
      <c r="A21" s="437">
        <v>5</v>
      </c>
      <c r="B21" s="588" t="s">
        <v>1086</v>
      </c>
      <c r="C21" s="591"/>
      <c r="D21" s="591"/>
      <c r="E21" s="591"/>
      <c r="F21" s="591"/>
      <c r="G21" s="438">
        <v>73</v>
      </c>
      <c r="H21" s="438">
        <v>11400</v>
      </c>
      <c r="I21" s="419"/>
      <c r="J21" s="420"/>
    </row>
    <row r="22" spans="1:10" ht="12.75">
      <c r="A22" s="439">
        <v>6</v>
      </c>
      <c r="B22" s="588" t="s">
        <v>1087</v>
      </c>
      <c r="C22" s="591"/>
      <c r="D22" s="591"/>
      <c r="E22" s="591"/>
      <c r="F22" s="591"/>
      <c r="G22" s="438">
        <v>75</v>
      </c>
      <c r="H22" s="440">
        <v>11500</v>
      </c>
      <c r="I22" s="419"/>
      <c r="J22" s="420"/>
    </row>
    <row r="23" spans="1:10" ht="12.75">
      <c r="A23" s="437">
        <v>7</v>
      </c>
      <c r="B23" s="587" t="s">
        <v>1088</v>
      </c>
      <c r="C23" s="587"/>
      <c r="D23" s="587"/>
      <c r="E23" s="587"/>
      <c r="F23" s="588"/>
      <c r="G23" s="424">
        <v>77</v>
      </c>
      <c r="H23" s="424">
        <v>11600</v>
      </c>
      <c r="I23" s="419"/>
      <c r="J23" s="420"/>
    </row>
    <row r="24" spans="1:10" ht="13.5" thickBot="1">
      <c r="A24" s="441" t="s">
        <v>1089</v>
      </c>
      <c r="B24" s="576" t="s">
        <v>1090</v>
      </c>
      <c r="C24" s="576"/>
      <c r="D24" s="576"/>
      <c r="E24" s="576"/>
      <c r="F24" s="576"/>
      <c r="G24" s="442"/>
      <c r="H24" s="442">
        <v>11800</v>
      </c>
      <c r="I24" s="443">
        <f>I8+I12+I16+I19</f>
        <v>121018.5</v>
      </c>
      <c r="J24" s="444"/>
    </row>
    <row r="25" spans="1:10" ht="12.75">
      <c r="A25" s="445"/>
      <c r="B25" s="446"/>
      <c r="C25" s="446"/>
      <c r="D25" s="446"/>
      <c r="E25" s="446"/>
      <c r="F25" s="446"/>
      <c r="G25" s="446"/>
      <c r="H25" s="446"/>
      <c r="I25" s="445"/>
      <c r="J25" s="447"/>
    </row>
    <row r="26" spans="1:10" ht="12.75">
      <c r="A26" s="445"/>
      <c r="B26" s="446"/>
      <c r="C26" s="446"/>
      <c r="D26" s="446"/>
      <c r="E26" s="446"/>
      <c r="F26" s="446"/>
      <c r="G26" s="446"/>
      <c r="H26" s="446"/>
      <c r="I26" s="445"/>
      <c r="J26" s="447"/>
    </row>
    <row r="27" spans="1:10" ht="12.75">
      <c r="A27" s="445"/>
      <c r="B27" s="446"/>
      <c r="C27" s="446"/>
      <c r="D27" s="446"/>
      <c r="E27" s="446"/>
      <c r="F27" s="446"/>
      <c r="G27" s="446"/>
      <c r="H27" s="446"/>
      <c r="I27" s="445"/>
      <c r="J27" s="447"/>
    </row>
    <row r="28" spans="1:10" ht="12.75">
      <c r="A28" s="445"/>
      <c r="B28" s="446"/>
      <c r="C28" s="446"/>
      <c r="D28" s="446"/>
      <c r="E28" s="446"/>
      <c r="F28" s="446"/>
      <c r="G28" s="446"/>
      <c r="H28" s="446"/>
      <c r="I28" s="445" t="s">
        <v>1058</v>
      </c>
      <c r="J28" s="447"/>
    </row>
    <row r="29" spans="1:10" ht="12.75">
      <c r="A29" s="445"/>
      <c r="B29" s="446"/>
      <c r="C29" s="446"/>
      <c r="D29" s="446"/>
      <c r="E29" s="446"/>
      <c r="F29" s="446"/>
      <c r="G29" s="446"/>
      <c r="H29" s="446"/>
      <c r="I29" s="445"/>
      <c r="J29" s="447"/>
    </row>
    <row r="30" spans="1:10" ht="12.75">
      <c r="A30" s="445"/>
      <c r="B30" s="446"/>
      <c r="C30" s="446"/>
      <c r="D30" s="446"/>
      <c r="E30" s="446"/>
      <c r="F30" s="446"/>
      <c r="G30" s="446"/>
      <c r="H30" s="446"/>
      <c r="I30" s="445" t="s">
        <v>1091</v>
      </c>
      <c r="J30" s="447"/>
    </row>
    <row r="31" spans="1:10" ht="12.75">
      <c r="A31" s="445"/>
      <c r="B31" s="446"/>
      <c r="C31" s="446"/>
      <c r="D31" s="446"/>
      <c r="E31" s="446"/>
      <c r="F31" s="446"/>
      <c r="G31" s="446"/>
      <c r="H31" s="446"/>
      <c r="I31" s="445"/>
      <c r="J31" s="447"/>
    </row>
    <row r="32" spans="1:10" ht="12.75">
      <c r="A32" s="445"/>
      <c r="B32" s="446"/>
      <c r="C32" s="446"/>
      <c r="D32" s="446"/>
      <c r="E32" s="446"/>
      <c r="F32" s="446"/>
      <c r="G32" s="446"/>
      <c r="H32" s="446"/>
      <c r="I32" s="445"/>
      <c r="J32" s="447"/>
    </row>
    <row r="33" spans="1:10" ht="12.75">
      <c r="A33" s="445"/>
      <c r="B33" s="446"/>
      <c r="C33" s="446"/>
      <c r="D33" s="446"/>
      <c r="E33" s="446"/>
      <c r="F33" s="446"/>
      <c r="G33" s="446"/>
      <c r="H33" s="446"/>
      <c r="I33" s="445"/>
      <c r="J33" s="447"/>
    </row>
    <row r="34" spans="1:10" ht="12.75">
      <c r="A34" s="445"/>
      <c r="B34" s="446"/>
      <c r="C34" s="446"/>
      <c r="D34" s="446"/>
      <c r="E34" s="446"/>
      <c r="F34" s="446"/>
      <c r="G34" s="446"/>
      <c r="H34" s="446"/>
      <c r="I34" s="445"/>
      <c r="J34" s="447"/>
    </row>
    <row r="35" spans="1:10" ht="12.75">
      <c r="A35" s="445"/>
      <c r="B35" s="446"/>
      <c r="C35" s="446"/>
      <c r="D35" s="446"/>
      <c r="E35" s="446"/>
      <c r="F35" s="446"/>
      <c r="G35" s="446"/>
      <c r="H35" s="446"/>
      <c r="I35" s="445"/>
      <c r="J35" s="447"/>
    </row>
    <row r="36" spans="1:10" ht="12.75">
      <c r="A36" s="445"/>
      <c r="B36" s="446"/>
      <c r="C36" s="446"/>
      <c r="D36" s="446"/>
      <c r="E36" s="446"/>
      <c r="F36" s="446"/>
      <c r="G36" s="446"/>
      <c r="H36" s="446"/>
      <c r="I36" s="445"/>
      <c r="J36" s="447"/>
    </row>
    <row r="37" spans="1:10" ht="12.75">
      <c r="A37" s="445"/>
      <c r="B37" s="446"/>
      <c r="C37" s="446"/>
      <c r="D37" s="446"/>
      <c r="E37" s="446"/>
      <c r="F37" s="446"/>
      <c r="G37" s="446"/>
      <c r="H37" s="446"/>
      <c r="I37" s="445"/>
      <c r="J37" s="447"/>
    </row>
    <row r="38" spans="1:10" ht="12.75">
      <c r="A38" s="445"/>
      <c r="B38" s="446"/>
      <c r="C38" s="446"/>
      <c r="D38" s="446"/>
      <c r="E38" s="446"/>
      <c r="F38" s="446"/>
      <c r="G38" s="446"/>
      <c r="H38" s="446"/>
      <c r="I38" s="445"/>
      <c r="J38" s="447"/>
    </row>
    <row r="39" spans="1:10" ht="12.75">
      <c r="A39" s="445"/>
      <c r="B39" s="446"/>
      <c r="C39" s="446"/>
      <c r="D39" s="446"/>
      <c r="E39" s="446"/>
      <c r="F39" s="446"/>
      <c r="G39" s="446"/>
      <c r="H39" s="446"/>
      <c r="I39" s="445"/>
      <c r="J39" s="447"/>
    </row>
    <row r="40" spans="1:10" ht="12.75">
      <c r="A40" s="445"/>
      <c r="B40" s="446"/>
      <c r="C40" s="446"/>
      <c r="D40" s="446"/>
      <c r="E40" s="446"/>
      <c r="F40" s="446"/>
      <c r="G40" s="446"/>
      <c r="H40" s="446"/>
      <c r="I40" s="445"/>
      <c r="J40" s="447"/>
    </row>
    <row r="41" spans="1:10" ht="12.75">
      <c r="A41" s="445"/>
      <c r="B41" s="446"/>
      <c r="C41" s="446"/>
      <c r="D41" s="446"/>
      <c r="E41" s="446"/>
      <c r="F41" s="446"/>
      <c r="G41" s="446"/>
      <c r="H41" s="446"/>
      <c r="I41" s="445"/>
      <c r="J41" s="447"/>
    </row>
    <row r="42" spans="1:10" ht="12.75">
      <c r="A42" s="445"/>
      <c r="B42" s="446"/>
      <c r="C42" s="446"/>
      <c r="D42" s="446"/>
      <c r="E42" s="446"/>
      <c r="F42" s="446"/>
      <c r="G42" s="446"/>
      <c r="H42" s="446"/>
      <c r="I42" s="445"/>
      <c r="J42" s="447"/>
    </row>
    <row r="43" spans="1:10" ht="12.75">
      <c r="A43" s="445"/>
      <c r="B43" s="446"/>
      <c r="C43" s="446"/>
      <c r="D43" s="446"/>
      <c r="E43" s="446"/>
      <c r="F43" s="446"/>
      <c r="G43" s="446"/>
      <c r="H43" s="446"/>
      <c r="I43" s="445"/>
      <c r="J43" s="447"/>
    </row>
    <row r="44" spans="1:10" ht="12.75">
      <c r="A44" s="445"/>
      <c r="B44" s="446"/>
      <c r="C44" s="446"/>
      <c r="D44" s="446"/>
      <c r="E44" s="446"/>
      <c r="F44" s="446"/>
      <c r="G44" s="446"/>
      <c r="H44" s="446"/>
      <c r="I44" s="445"/>
      <c r="J44" s="447"/>
    </row>
    <row r="45" spans="1:10" ht="12.75">
      <c r="A45" s="445"/>
      <c r="B45" s="446"/>
      <c r="C45" s="446"/>
      <c r="D45" s="446"/>
      <c r="E45" s="446"/>
      <c r="F45" s="446"/>
      <c r="G45" s="446"/>
      <c r="H45" s="446"/>
      <c r="I45" s="445"/>
      <c r="J45" s="447"/>
    </row>
    <row r="46" spans="1:10" ht="12.75">
      <c r="A46" s="445"/>
      <c r="B46" s="446"/>
      <c r="C46" s="446"/>
      <c r="D46" s="446"/>
      <c r="E46" s="446"/>
      <c r="F46" s="446"/>
      <c r="G46" s="446"/>
      <c r="H46" s="446"/>
      <c r="I46" s="445"/>
      <c r="J46" s="447"/>
    </row>
    <row r="47" spans="1:10" ht="12.75">
      <c r="A47" s="445"/>
      <c r="B47" s="446"/>
      <c r="C47" s="446"/>
      <c r="D47" s="446"/>
      <c r="E47" s="446"/>
      <c r="F47" s="446"/>
      <c r="G47" s="446"/>
      <c r="H47" s="446"/>
      <c r="I47" s="445"/>
      <c r="J47" s="447"/>
    </row>
    <row r="48" spans="1:10" ht="12.75">
      <c r="A48" s="445"/>
      <c r="B48" s="446"/>
      <c r="C48" s="446"/>
      <c r="D48" s="446"/>
      <c r="E48" s="446"/>
      <c r="F48" s="446"/>
      <c r="G48" s="446"/>
      <c r="H48" s="446"/>
      <c r="I48" s="445"/>
      <c r="J48" s="447"/>
    </row>
    <row r="49" spans="1:10" ht="12.75">
      <c r="A49" s="445"/>
      <c r="B49" s="446"/>
      <c r="C49" s="446"/>
      <c r="D49" s="446"/>
      <c r="E49" s="446"/>
      <c r="F49" s="446"/>
      <c r="G49" s="446"/>
      <c r="H49" s="446"/>
      <c r="I49" s="445"/>
      <c r="J49" s="447"/>
    </row>
    <row r="50" spans="1:10" ht="12.75">
      <c r="A50" s="445"/>
      <c r="B50" s="446"/>
      <c r="C50" s="446"/>
      <c r="D50" s="446"/>
      <c r="E50" s="446"/>
      <c r="F50" s="446"/>
      <c r="G50" s="446"/>
      <c r="H50" s="446"/>
      <c r="I50" s="445"/>
      <c r="J50" s="447"/>
    </row>
    <row r="51" spans="1:10" ht="12.75">
      <c r="A51" s="445"/>
      <c r="B51" s="446"/>
      <c r="C51" s="446"/>
      <c r="D51" s="446"/>
      <c r="E51" s="446"/>
      <c r="F51" s="446"/>
      <c r="G51" s="446"/>
      <c r="H51" s="446"/>
      <c r="I51" s="445"/>
      <c r="J51" s="447"/>
    </row>
    <row r="52" spans="1:10" ht="12.75">
      <c r="A52" s="85"/>
      <c r="B52" s="386" t="s">
        <v>1048</v>
      </c>
      <c r="C52" s="406"/>
      <c r="D52" s="406"/>
      <c r="E52" s="85"/>
      <c r="F52" s="85"/>
      <c r="G52" s="85"/>
      <c r="H52" s="85"/>
      <c r="I52" s="69"/>
      <c r="J52" s="85"/>
    </row>
    <row r="53" spans="1:10" ht="12.75">
      <c r="A53" s="85"/>
      <c r="B53" s="386" t="s">
        <v>959</v>
      </c>
      <c r="C53" s="406"/>
      <c r="D53" s="406"/>
      <c r="E53" s="85"/>
      <c r="F53" s="85"/>
      <c r="G53" s="85"/>
      <c r="H53" s="85"/>
      <c r="I53" s="448" t="s">
        <v>1092</v>
      </c>
      <c r="J53" s="409" t="s">
        <v>1060</v>
      </c>
    </row>
    <row r="54" spans="1:10" ht="12.75">
      <c r="A54" s="577" t="s">
        <v>1061</v>
      </c>
      <c r="B54" s="578"/>
      <c r="C54" s="578"/>
      <c r="D54" s="578"/>
      <c r="E54" s="578"/>
      <c r="F54" s="578"/>
      <c r="G54" s="578"/>
      <c r="H54" s="578"/>
      <c r="I54" s="578"/>
      <c r="J54" s="579"/>
    </row>
    <row r="55" spans="1:10" ht="22.5" thickBot="1">
      <c r="A55" s="449"/>
      <c r="B55" s="580" t="s">
        <v>1093</v>
      </c>
      <c r="C55" s="581"/>
      <c r="D55" s="581"/>
      <c r="E55" s="581"/>
      <c r="F55" s="582"/>
      <c r="G55" s="450" t="s">
        <v>1063</v>
      </c>
      <c r="H55" s="450" t="s">
        <v>1064</v>
      </c>
      <c r="I55" s="451" t="s">
        <v>1065</v>
      </c>
      <c r="J55" s="451" t="s">
        <v>1066</v>
      </c>
    </row>
    <row r="56" spans="1:10" ht="12.75">
      <c r="A56" s="452">
        <v>1</v>
      </c>
      <c r="B56" s="583" t="s">
        <v>1094</v>
      </c>
      <c r="C56" s="584"/>
      <c r="D56" s="584"/>
      <c r="E56" s="584"/>
      <c r="F56" s="584"/>
      <c r="G56" s="453">
        <v>60</v>
      </c>
      <c r="H56" s="453">
        <v>12100</v>
      </c>
      <c r="I56" s="454">
        <f>SUM(I57:I61)</f>
        <v>63765</v>
      </c>
      <c r="J56" s="455"/>
    </row>
    <row r="57" spans="1:10" ht="12.75">
      <c r="A57" s="456" t="s">
        <v>1095</v>
      </c>
      <c r="B57" s="571" t="s">
        <v>1096</v>
      </c>
      <c r="C57" s="571" t="s">
        <v>1097</v>
      </c>
      <c r="D57" s="571"/>
      <c r="E57" s="571"/>
      <c r="F57" s="571"/>
      <c r="G57" s="457" t="s">
        <v>1098</v>
      </c>
      <c r="H57" s="457">
        <v>12101</v>
      </c>
      <c r="I57" s="458">
        <f>79320-I59</f>
        <v>57636</v>
      </c>
      <c r="J57" s="459"/>
    </row>
    <row r="58" spans="1:10" ht="12.75">
      <c r="A58" s="456" t="s">
        <v>1071</v>
      </c>
      <c r="B58" s="571" t="s">
        <v>1099</v>
      </c>
      <c r="C58" s="571" t="s">
        <v>1097</v>
      </c>
      <c r="D58" s="571"/>
      <c r="E58" s="571"/>
      <c r="F58" s="571"/>
      <c r="G58" s="457"/>
      <c r="H58" s="460">
        <v>12102</v>
      </c>
      <c r="I58" s="458">
        <v>-2093</v>
      </c>
      <c r="J58" s="459"/>
    </row>
    <row r="59" spans="1:10" ht="12.75">
      <c r="A59" s="456" t="s">
        <v>1073</v>
      </c>
      <c r="B59" s="571" t="s">
        <v>1100</v>
      </c>
      <c r="C59" s="571" t="s">
        <v>1097</v>
      </c>
      <c r="D59" s="571"/>
      <c r="E59" s="571"/>
      <c r="F59" s="571"/>
      <c r="G59" s="457" t="s">
        <v>1101</v>
      </c>
      <c r="H59" s="457">
        <v>12103</v>
      </c>
      <c r="I59" s="458">
        <v>21684</v>
      </c>
      <c r="J59" s="459"/>
    </row>
    <row r="60" spans="1:10" ht="12.75">
      <c r="A60" s="456" t="s">
        <v>1102</v>
      </c>
      <c r="B60" s="574" t="s">
        <v>1103</v>
      </c>
      <c r="C60" s="571" t="s">
        <v>1097</v>
      </c>
      <c r="D60" s="571"/>
      <c r="E60" s="571"/>
      <c r="F60" s="571"/>
      <c r="G60" s="457"/>
      <c r="H60" s="460">
        <v>12104</v>
      </c>
      <c r="I60" s="458">
        <v>-5105</v>
      </c>
      <c r="J60" s="459"/>
    </row>
    <row r="61" spans="1:10" ht="12.75">
      <c r="A61" s="456" t="s">
        <v>1104</v>
      </c>
      <c r="B61" s="571" t="s">
        <v>1105</v>
      </c>
      <c r="C61" s="571" t="s">
        <v>1097</v>
      </c>
      <c r="D61" s="571"/>
      <c r="E61" s="571"/>
      <c r="F61" s="571"/>
      <c r="G61" s="457" t="s">
        <v>1106</v>
      </c>
      <c r="H61" s="460">
        <v>12105</v>
      </c>
      <c r="I61" s="458">
        <v>-8357</v>
      </c>
      <c r="J61" s="459"/>
    </row>
    <row r="62" spans="1:10" ht="12.75">
      <c r="A62" s="461">
        <v>2</v>
      </c>
      <c r="B62" s="572" t="s">
        <v>1107</v>
      </c>
      <c r="C62" s="572"/>
      <c r="D62" s="572"/>
      <c r="E62" s="572"/>
      <c r="F62" s="572"/>
      <c r="G62" s="462">
        <v>64</v>
      </c>
      <c r="H62" s="462">
        <v>12200</v>
      </c>
      <c r="I62" s="19">
        <f>SUM(I63:I64)</f>
        <v>4746.6</v>
      </c>
      <c r="J62" s="459"/>
    </row>
    <row r="63" spans="1:10" ht="12.75">
      <c r="A63" s="463" t="s">
        <v>1108</v>
      </c>
      <c r="B63" s="572" t="s">
        <v>1109</v>
      </c>
      <c r="C63" s="575"/>
      <c r="D63" s="575"/>
      <c r="E63" s="575"/>
      <c r="F63" s="575"/>
      <c r="G63" s="460">
        <v>641</v>
      </c>
      <c r="H63" s="460">
        <v>12201</v>
      </c>
      <c r="I63" s="458">
        <v>4086.6</v>
      </c>
      <c r="J63" s="459"/>
    </row>
    <row r="64" spans="1:10" ht="12.75">
      <c r="A64" s="463" t="s">
        <v>1110</v>
      </c>
      <c r="B64" s="575" t="s">
        <v>1111</v>
      </c>
      <c r="C64" s="575"/>
      <c r="D64" s="575"/>
      <c r="E64" s="575"/>
      <c r="F64" s="575"/>
      <c r="G64" s="460">
        <v>644</v>
      </c>
      <c r="H64" s="460">
        <v>12202</v>
      </c>
      <c r="I64" s="458">
        <v>660</v>
      </c>
      <c r="J64" s="459"/>
    </row>
    <row r="65" spans="1:10" ht="12.75">
      <c r="A65" s="461">
        <v>3</v>
      </c>
      <c r="B65" s="572" t="s">
        <v>1112</v>
      </c>
      <c r="C65" s="572"/>
      <c r="D65" s="572"/>
      <c r="E65" s="572"/>
      <c r="F65" s="572"/>
      <c r="G65" s="462">
        <v>68</v>
      </c>
      <c r="H65" s="462">
        <v>12300</v>
      </c>
      <c r="I65" s="458">
        <v>5241</v>
      </c>
      <c r="J65" s="459"/>
    </row>
    <row r="66" spans="1:10" ht="12.75">
      <c r="A66" s="461">
        <v>4</v>
      </c>
      <c r="B66" s="572" t="s">
        <v>1113</v>
      </c>
      <c r="C66" s="572"/>
      <c r="D66" s="572"/>
      <c r="E66" s="572"/>
      <c r="F66" s="572"/>
      <c r="G66" s="462">
        <v>61</v>
      </c>
      <c r="H66" s="462">
        <v>12400</v>
      </c>
      <c r="I66" s="458">
        <f>SUM(I67:I78)</f>
        <v>10467.1</v>
      </c>
      <c r="J66" s="459"/>
    </row>
    <row r="67" spans="1:10" ht="12.75">
      <c r="A67" s="463" t="s">
        <v>1068</v>
      </c>
      <c r="B67" s="568" t="s">
        <v>1114</v>
      </c>
      <c r="C67" s="568"/>
      <c r="D67" s="568"/>
      <c r="E67" s="568"/>
      <c r="F67" s="568"/>
      <c r="G67" s="457"/>
      <c r="H67" s="457">
        <v>12401</v>
      </c>
      <c r="I67" s="458"/>
      <c r="J67" s="459"/>
    </row>
    <row r="68" spans="1:10" ht="12.75">
      <c r="A68" s="463" t="s">
        <v>1077</v>
      </c>
      <c r="B68" s="568" t="s">
        <v>1115</v>
      </c>
      <c r="C68" s="568"/>
      <c r="D68" s="568"/>
      <c r="E68" s="568"/>
      <c r="F68" s="568"/>
      <c r="G68" s="464">
        <v>611</v>
      </c>
      <c r="H68" s="457">
        <v>12402</v>
      </c>
      <c r="I68" s="458"/>
      <c r="J68" s="459"/>
    </row>
    <row r="69" spans="1:10" ht="12.75">
      <c r="A69" s="463" t="s">
        <v>1079</v>
      </c>
      <c r="B69" s="568" t="s">
        <v>1116</v>
      </c>
      <c r="C69" s="568"/>
      <c r="D69" s="568"/>
      <c r="E69" s="568"/>
      <c r="F69" s="568"/>
      <c r="G69" s="457">
        <v>613</v>
      </c>
      <c r="H69" s="457">
        <v>12403</v>
      </c>
      <c r="I69" s="458">
        <v>1020</v>
      </c>
      <c r="J69" s="459"/>
    </row>
    <row r="70" spans="1:10" ht="12.75">
      <c r="A70" s="463" t="s">
        <v>1117</v>
      </c>
      <c r="B70" s="568" t="s">
        <v>1118</v>
      </c>
      <c r="C70" s="568"/>
      <c r="D70" s="568"/>
      <c r="E70" s="568"/>
      <c r="F70" s="568"/>
      <c r="G70" s="464">
        <v>615</v>
      </c>
      <c r="H70" s="457">
        <v>12404</v>
      </c>
      <c r="I70" s="465">
        <v>380</v>
      </c>
      <c r="J70" s="466"/>
    </row>
    <row r="71" spans="1:10" ht="12.75">
      <c r="A71" s="463" t="s">
        <v>1119</v>
      </c>
      <c r="B71" s="568" t="s">
        <v>1120</v>
      </c>
      <c r="C71" s="568"/>
      <c r="D71" s="568"/>
      <c r="E71" s="568"/>
      <c r="F71" s="568"/>
      <c r="G71" s="464">
        <v>616</v>
      </c>
      <c r="H71" s="457">
        <v>12405</v>
      </c>
      <c r="I71" s="458">
        <v>737.5</v>
      </c>
      <c r="J71" s="459"/>
    </row>
    <row r="72" spans="1:10" ht="12.75">
      <c r="A72" s="463" t="s">
        <v>1121</v>
      </c>
      <c r="B72" s="568" t="s">
        <v>1122</v>
      </c>
      <c r="C72" s="568"/>
      <c r="D72" s="568"/>
      <c r="E72" s="568"/>
      <c r="F72" s="568"/>
      <c r="G72" s="464">
        <v>617</v>
      </c>
      <c r="H72" s="457">
        <v>12406</v>
      </c>
      <c r="I72" s="458"/>
      <c r="J72" s="459"/>
    </row>
    <row r="73" spans="1:10" ht="12.75">
      <c r="A73" s="463" t="s">
        <v>1123</v>
      </c>
      <c r="B73" s="571" t="s">
        <v>1124</v>
      </c>
      <c r="C73" s="571" t="s">
        <v>1097</v>
      </c>
      <c r="D73" s="571"/>
      <c r="E73" s="571"/>
      <c r="F73" s="571"/>
      <c r="G73" s="464">
        <v>618</v>
      </c>
      <c r="H73" s="457">
        <v>12407</v>
      </c>
      <c r="I73" s="458">
        <v>917.6</v>
      </c>
      <c r="J73" s="459"/>
    </row>
    <row r="74" spans="1:10" ht="12.75">
      <c r="A74" s="463" t="s">
        <v>1125</v>
      </c>
      <c r="B74" s="571" t="s">
        <v>1126</v>
      </c>
      <c r="C74" s="571"/>
      <c r="D74" s="571"/>
      <c r="E74" s="571"/>
      <c r="F74" s="571"/>
      <c r="G74" s="464">
        <v>623</v>
      </c>
      <c r="H74" s="457">
        <v>12408</v>
      </c>
      <c r="I74" s="458"/>
      <c r="J74" s="459"/>
    </row>
    <row r="75" spans="1:10" ht="12.75">
      <c r="A75" s="463" t="s">
        <v>1127</v>
      </c>
      <c r="B75" s="571" t="s">
        <v>1128</v>
      </c>
      <c r="C75" s="571"/>
      <c r="D75" s="571"/>
      <c r="E75" s="571"/>
      <c r="F75" s="571"/>
      <c r="G75" s="464">
        <v>624</v>
      </c>
      <c r="H75" s="457">
        <v>12409</v>
      </c>
      <c r="I75" s="458"/>
      <c r="J75" s="459"/>
    </row>
    <row r="76" spans="1:10" ht="12.75">
      <c r="A76" s="463" t="s">
        <v>1129</v>
      </c>
      <c r="B76" s="571" t="s">
        <v>1130</v>
      </c>
      <c r="C76" s="571"/>
      <c r="D76" s="571"/>
      <c r="E76" s="571"/>
      <c r="F76" s="571"/>
      <c r="G76" s="464">
        <v>625</v>
      </c>
      <c r="H76" s="457">
        <v>12410</v>
      </c>
      <c r="I76" s="458">
        <v>608</v>
      </c>
      <c r="J76" s="459"/>
    </row>
    <row r="77" spans="1:10" ht="12.75">
      <c r="A77" s="463" t="s">
        <v>1131</v>
      </c>
      <c r="B77" s="571" t="s">
        <v>1132</v>
      </c>
      <c r="C77" s="571"/>
      <c r="D77" s="571"/>
      <c r="E77" s="571"/>
      <c r="F77" s="571"/>
      <c r="G77" s="464">
        <v>626</v>
      </c>
      <c r="H77" s="457">
        <v>12411</v>
      </c>
      <c r="I77" s="458">
        <v>885</v>
      </c>
      <c r="J77" s="459"/>
    </row>
    <row r="78" spans="1:10" ht="12.75">
      <c r="A78" s="467" t="s">
        <v>1133</v>
      </c>
      <c r="B78" s="571" t="s">
        <v>1134</v>
      </c>
      <c r="C78" s="571"/>
      <c r="D78" s="571"/>
      <c r="E78" s="571"/>
      <c r="F78" s="571"/>
      <c r="G78" s="464">
        <v>627</v>
      </c>
      <c r="H78" s="457">
        <v>12412</v>
      </c>
      <c r="I78" s="458">
        <v>5919</v>
      </c>
      <c r="J78" s="459"/>
    </row>
    <row r="79" spans="1:10" ht="12.75">
      <c r="A79" s="463"/>
      <c r="B79" s="573" t="s">
        <v>1135</v>
      </c>
      <c r="C79" s="573"/>
      <c r="D79" s="573"/>
      <c r="E79" s="573"/>
      <c r="F79" s="573"/>
      <c r="G79" s="464">
        <v>6271</v>
      </c>
      <c r="H79" s="464">
        <v>124121</v>
      </c>
      <c r="I79" s="458">
        <v>2594</v>
      </c>
      <c r="J79" s="459"/>
    </row>
    <row r="80" spans="1:10" ht="12.75">
      <c r="A80" s="463"/>
      <c r="B80" s="573" t="s">
        <v>1136</v>
      </c>
      <c r="C80" s="573"/>
      <c r="D80" s="573"/>
      <c r="E80" s="573"/>
      <c r="F80" s="573"/>
      <c r="G80" s="464">
        <v>6272</v>
      </c>
      <c r="H80" s="464">
        <v>124122</v>
      </c>
      <c r="I80" s="458">
        <v>3325</v>
      </c>
      <c r="J80" s="459"/>
    </row>
    <row r="81" spans="1:10" ht="12.75">
      <c r="A81" s="463" t="s">
        <v>1137</v>
      </c>
      <c r="B81" s="571" t="s">
        <v>1138</v>
      </c>
      <c r="C81" s="571"/>
      <c r="D81" s="571"/>
      <c r="E81" s="571"/>
      <c r="F81" s="571"/>
      <c r="G81" s="464">
        <v>628</v>
      </c>
      <c r="H81" s="464">
        <v>12413</v>
      </c>
      <c r="I81" s="458">
        <v>133.3</v>
      </c>
      <c r="J81" s="459"/>
    </row>
    <row r="82" spans="1:10" ht="12.75">
      <c r="A82" s="461">
        <v>5</v>
      </c>
      <c r="B82" s="574" t="s">
        <v>1139</v>
      </c>
      <c r="C82" s="571"/>
      <c r="D82" s="571"/>
      <c r="E82" s="571"/>
      <c r="F82" s="571"/>
      <c r="G82" s="468">
        <v>63</v>
      </c>
      <c r="H82" s="468">
        <v>12500</v>
      </c>
      <c r="I82" s="458">
        <f>SUM(I83:I85)</f>
        <v>460</v>
      </c>
      <c r="J82" s="459"/>
    </row>
    <row r="83" spans="1:10" ht="12.75">
      <c r="A83" s="463" t="s">
        <v>1068</v>
      </c>
      <c r="B83" s="571" t="s">
        <v>1140</v>
      </c>
      <c r="C83" s="571"/>
      <c r="D83" s="571"/>
      <c r="E83" s="571"/>
      <c r="F83" s="571"/>
      <c r="G83" s="464">
        <v>632</v>
      </c>
      <c r="H83" s="464">
        <v>12501</v>
      </c>
      <c r="I83" s="458">
        <v>15.1</v>
      </c>
      <c r="J83" s="459"/>
    </row>
    <row r="84" spans="1:10" ht="12.75">
      <c r="A84" s="463" t="s">
        <v>1077</v>
      </c>
      <c r="B84" s="571" t="s">
        <v>1141</v>
      </c>
      <c r="C84" s="571"/>
      <c r="D84" s="571"/>
      <c r="E84" s="571"/>
      <c r="F84" s="571"/>
      <c r="G84" s="464">
        <v>633</v>
      </c>
      <c r="H84" s="464">
        <v>12502</v>
      </c>
      <c r="I84" s="458">
        <v>325.7</v>
      </c>
      <c r="J84" s="459"/>
    </row>
    <row r="85" spans="1:10" ht="12.75">
      <c r="A85" s="463" t="s">
        <v>1079</v>
      </c>
      <c r="B85" s="571" t="s">
        <v>1142</v>
      </c>
      <c r="C85" s="571"/>
      <c r="D85" s="571"/>
      <c r="E85" s="571"/>
      <c r="F85" s="571"/>
      <c r="G85" s="464">
        <v>634</v>
      </c>
      <c r="H85" s="464">
        <v>12503</v>
      </c>
      <c r="I85" s="458">
        <v>119.2</v>
      </c>
      <c r="J85" s="459"/>
    </row>
    <row r="86" spans="1:10" ht="12.75">
      <c r="A86" s="463" t="s">
        <v>1117</v>
      </c>
      <c r="B86" s="571" t="s">
        <v>1143</v>
      </c>
      <c r="C86" s="571"/>
      <c r="D86" s="571"/>
      <c r="E86" s="571"/>
      <c r="F86" s="571"/>
      <c r="G86" s="464" t="s">
        <v>1144</v>
      </c>
      <c r="H86" s="464">
        <v>12504</v>
      </c>
      <c r="I86" s="458"/>
      <c r="J86" s="459"/>
    </row>
    <row r="87" spans="1:10" ht="12.75">
      <c r="A87" s="461" t="s">
        <v>1145</v>
      </c>
      <c r="B87" s="572" t="s">
        <v>1146</v>
      </c>
      <c r="C87" s="572"/>
      <c r="D87" s="572"/>
      <c r="E87" s="572"/>
      <c r="F87" s="572"/>
      <c r="G87" s="464"/>
      <c r="H87" s="464">
        <v>12600</v>
      </c>
      <c r="I87" s="458"/>
      <c r="J87" s="459"/>
    </row>
    <row r="88" spans="1:10" ht="12.75">
      <c r="A88" s="469"/>
      <c r="B88" s="470" t="s">
        <v>1147</v>
      </c>
      <c r="C88" s="127"/>
      <c r="D88" s="127"/>
      <c r="E88" s="127"/>
      <c r="F88" s="127"/>
      <c r="G88" s="127"/>
      <c r="H88" s="127"/>
      <c r="I88" s="471" t="s">
        <v>1065</v>
      </c>
      <c r="J88" s="472" t="s">
        <v>1066</v>
      </c>
    </row>
    <row r="89" spans="1:10" ht="12.75">
      <c r="A89" s="473">
        <v>1</v>
      </c>
      <c r="B89" s="567" t="s">
        <v>1148</v>
      </c>
      <c r="C89" s="567"/>
      <c r="D89" s="567"/>
      <c r="E89" s="567"/>
      <c r="F89" s="567"/>
      <c r="G89" s="468"/>
      <c r="H89" s="468">
        <v>14000</v>
      </c>
      <c r="I89" s="458">
        <v>14</v>
      </c>
      <c r="J89" s="459"/>
    </row>
    <row r="90" spans="1:10" ht="12.75">
      <c r="A90" s="473">
        <v>2</v>
      </c>
      <c r="B90" s="567" t="s">
        <v>1149</v>
      </c>
      <c r="C90" s="567"/>
      <c r="D90" s="567"/>
      <c r="E90" s="567"/>
      <c r="F90" s="567"/>
      <c r="G90" s="468"/>
      <c r="H90" s="468">
        <v>15000</v>
      </c>
      <c r="I90" s="458">
        <f>SUM(I91:I94)</f>
        <v>5907</v>
      </c>
      <c r="J90" s="459"/>
    </row>
    <row r="91" spans="1:10" ht="12.75">
      <c r="A91" s="474" t="s">
        <v>1068</v>
      </c>
      <c r="B91" s="568" t="s">
        <v>1150</v>
      </c>
      <c r="C91" s="568"/>
      <c r="D91" s="568"/>
      <c r="E91" s="568"/>
      <c r="F91" s="568"/>
      <c r="G91" s="468"/>
      <c r="H91" s="464">
        <v>15001</v>
      </c>
      <c r="I91" s="458">
        <v>5907</v>
      </c>
      <c r="J91" s="459"/>
    </row>
    <row r="92" spans="1:10" ht="12.75">
      <c r="A92" s="474"/>
      <c r="B92" s="569" t="s">
        <v>1151</v>
      </c>
      <c r="C92" s="569"/>
      <c r="D92" s="569"/>
      <c r="E92" s="569"/>
      <c r="F92" s="569"/>
      <c r="G92" s="468"/>
      <c r="H92" s="464">
        <v>150011</v>
      </c>
      <c r="I92" s="458"/>
      <c r="J92" s="459"/>
    </row>
    <row r="93" spans="1:10" ht="12.75">
      <c r="A93" s="475" t="s">
        <v>1077</v>
      </c>
      <c r="B93" s="568" t="s">
        <v>1152</v>
      </c>
      <c r="C93" s="568"/>
      <c r="D93" s="568"/>
      <c r="E93" s="568"/>
      <c r="F93" s="568"/>
      <c r="G93" s="468"/>
      <c r="H93" s="464">
        <v>15002</v>
      </c>
      <c r="I93" s="458"/>
      <c r="J93" s="459"/>
    </row>
    <row r="94" spans="1:10" ht="13.5" thickBot="1">
      <c r="A94" s="476"/>
      <c r="B94" s="570" t="s">
        <v>1153</v>
      </c>
      <c r="C94" s="570"/>
      <c r="D94" s="570"/>
      <c r="E94" s="570"/>
      <c r="F94" s="570"/>
      <c r="G94" s="477"/>
      <c r="H94" s="478">
        <v>150021</v>
      </c>
      <c r="I94" s="479"/>
      <c r="J94" s="480"/>
    </row>
    <row r="95" spans="1:10" ht="12.75">
      <c r="A95" s="96"/>
      <c r="B95" s="96"/>
      <c r="C95" s="96"/>
      <c r="D95" s="96"/>
      <c r="E95" s="96"/>
      <c r="F95" s="96"/>
      <c r="G95" s="96"/>
      <c r="H95" s="96"/>
      <c r="J95" s="481"/>
    </row>
    <row r="96" spans="1:10" ht="15.75">
      <c r="A96" s="85"/>
      <c r="B96" s="85"/>
      <c r="C96" s="85"/>
      <c r="D96" s="85"/>
      <c r="E96" s="85"/>
      <c r="F96" s="85"/>
      <c r="G96" s="85"/>
      <c r="H96" s="85"/>
      <c r="I96" s="482" t="s">
        <v>1058</v>
      </c>
      <c r="J96" s="483"/>
    </row>
    <row r="97" spans="1:10" ht="15.75">
      <c r="A97" s="85"/>
      <c r="B97" s="85"/>
      <c r="C97" s="85"/>
      <c r="D97" s="85"/>
      <c r="E97" s="85"/>
      <c r="F97" s="85"/>
      <c r="G97" s="85"/>
      <c r="H97" s="85"/>
      <c r="I97" s="445" t="s">
        <v>1091</v>
      </c>
      <c r="J97" s="483"/>
    </row>
    <row r="98" spans="1:10" ht="15.75">
      <c r="A98" s="85"/>
      <c r="B98" s="85"/>
      <c r="C98" s="85"/>
      <c r="D98" s="85"/>
      <c r="E98" s="85"/>
      <c r="F98" s="85"/>
      <c r="G98" s="85"/>
      <c r="H98" s="85"/>
      <c r="I98" s="69"/>
      <c r="J98" s="483"/>
    </row>
    <row r="99" spans="1:10" ht="15.75">
      <c r="A99" s="85"/>
      <c r="B99" s="85"/>
      <c r="C99" s="85"/>
      <c r="D99" s="85"/>
      <c r="E99" s="85"/>
      <c r="F99" s="85"/>
      <c r="G99" s="85"/>
      <c r="H99" s="85"/>
      <c r="I99" s="69"/>
      <c r="J99" s="483"/>
    </row>
    <row r="100" spans="1:10" ht="15.75">
      <c r="A100" s="85"/>
      <c r="B100" s="484"/>
      <c r="C100" s="85"/>
      <c r="D100" s="85"/>
      <c r="E100" s="85"/>
      <c r="F100" s="85"/>
      <c r="G100" s="85"/>
      <c r="H100" s="85"/>
      <c r="I100" s="69"/>
      <c r="J100" s="483"/>
    </row>
    <row r="101" spans="1:10" ht="12.75">
      <c r="A101" s="85"/>
      <c r="B101" s="484"/>
      <c r="C101" s="85"/>
      <c r="D101" s="85"/>
      <c r="E101" s="85"/>
      <c r="F101" s="85"/>
      <c r="G101" s="85"/>
      <c r="H101" s="85"/>
      <c r="I101" s="69"/>
      <c r="J101" s="85"/>
    </row>
    <row r="102" spans="1:10" ht="12.75">
      <c r="A102" s="85"/>
      <c r="B102" s="484"/>
      <c r="C102" s="85"/>
      <c r="D102" s="85"/>
      <c r="E102" s="85"/>
      <c r="F102" s="85"/>
      <c r="G102" s="85"/>
      <c r="H102" s="85"/>
      <c r="I102" s="69"/>
      <c r="J102" s="85"/>
    </row>
    <row r="103" spans="1:10" ht="12.75">
      <c r="A103" s="85"/>
      <c r="B103" s="484"/>
      <c r="C103" s="85"/>
      <c r="D103" s="85"/>
      <c r="E103" s="85"/>
      <c r="F103" s="85"/>
      <c r="G103" s="85"/>
      <c r="H103" s="85"/>
      <c r="I103" s="69"/>
      <c r="J103" s="85"/>
    </row>
    <row r="104" spans="1:10" ht="12.75">
      <c r="A104" s="85"/>
      <c r="B104" s="85"/>
      <c r="C104" s="85"/>
      <c r="D104" s="85"/>
      <c r="E104" s="85"/>
      <c r="F104" s="85"/>
      <c r="G104" s="85"/>
      <c r="H104" s="85"/>
      <c r="I104" s="69"/>
      <c r="J104" s="85"/>
    </row>
    <row r="105" spans="1:10" ht="12.75">
      <c r="A105" s="85"/>
      <c r="B105" s="85"/>
      <c r="C105" s="85"/>
      <c r="D105" s="85"/>
      <c r="E105" s="85"/>
      <c r="F105" s="85"/>
      <c r="G105" s="85"/>
      <c r="H105" s="85"/>
      <c r="I105" s="69"/>
      <c r="J105" s="85"/>
    </row>
    <row r="106" spans="1:10" ht="12.75">
      <c r="A106" s="85"/>
      <c r="B106" s="85"/>
      <c r="C106" s="85"/>
      <c r="D106" s="85"/>
      <c r="E106" s="85"/>
      <c r="F106" s="85"/>
      <c r="G106" s="85"/>
      <c r="H106" s="85"/>
      <c r="I106" s="69"/>
      <c r="J106" s="85"/>
    </row>
    <row r="107" spans="1:10" ht="12.75">
      <c r="A107" s="85"/>
      <c r="B107" s="85"/>
      <c r="C107" s="85"/>
      <c r="D107" s="85"/>
      <c r="E107" s="85"/>
      <c r="F107" s="85"/>
      <c r="G107" s="85"/>
      <c r="H107" s="85"/>
      <c r="I107" s="69"/>
      <c r="J107" s="85"/>
    </row>
    <row r="108" spans="1:10" ht="12.75">
      <c r="A108" s="85"/>
      <c r="B108" s="85"/>
      <c r="C108" s="85"/>
      <c r="D108" s="85"/>
      <c r="E108" s="85"/>
      <c r="F108" s="85"/>
      <c r="G108" s="85"/>
      <c r="H108" s="85"/>
      <c r="I108" s="69"/>
      <c r="J108" s="85"/>
    </row>
    <row r="109" spans="1:10" ht="12.75">
      <c r="A109" s="85"/>
      <c r="B109" s="85"/>
      <c r="C109" s="85"/>
      <c r="D109" s="85"/>
      <c r="E109" s="85"/>
      <c r="F109" s="85"/>
      <c r="G109" s="85"/>
      <c r="H109" s="85"/>
      <c r="I109" s="69"/>
      <c r="J109" s="85"/>
    </row>
    <row r="110" spans="1:10" ht="12.75">
      <c r="A110" s="85"/>
      <c r="B110" s="85"/>
      <c r="C110" s="85"/>
      <c r="D110" s="85"/>
      <c r="E110" s="85"/>
      <c r="F110" s="85"/>
      <c r="G110" s="85"/>
      <c r="H110" s="85"/>
      <c r="I110" s="69"/>
      <c r="J110" s="85"/>
    </row>
    <row r="111" spans="1:10" ht="12.75">
      <c r="A111" s="85"/>
      <c r="B111" s="85"/>
      <c r="C111" s="85"/>
      <c r="D111" s="85"/>
      <c r="E111" s="85"/>
      <c r="F111" s="85"/>
      <c r="G111" s="85"/>
      <c r="H111" s="85"/>
      <c r="I111" s="69"/>
      <c r="J111" s="85"/>
    </row>
    <row r="112" spans="1:10" ht="12.75">
      <c r="A112" s="85"/>
      <c r="B112" s="85"/>
      <c r="C112" s="85"/>
      <c r="D112" s="85"/>
      <c r="E112" s="85"/>
      <c r="F112" s="85"/>
      <c r="G112" s="85"/>
      <c r="H112" s="85"/>
      <c r="I112" s="69"/>
      <c r="J112" s="85"/>
    </row>
    <row r="113" spans="1:10" ht="12.75">
      <c r="A113" s="85"/>
      <c r="B113" s="85"/>
      <c r="C113" s="85"/>
      <c r="D113" s="85"/>
      <c r="E113" s="85"/>
      <c r="F113" s="85"/>
      <c r="G113" s="85"/>
      <c r="H113" s="85"/>
      <c r="I113" s="69"/>
      <c r="J113" s="85"/>
    </row>
    <row r="114" spans="1:10" ht="12.75">
      <c r="A114" s="85"/>
      <c r="B114" s="85"/>
      <c r="C114" s="85"/>
      <c r="D114" s="85"/>
      <c r="E114" s="85"/>
      <c r="F114" s="85"/>
      <c r="G114" s="85"/>
      <c r="H114" s="85"/>
      <c r="I114" s="69"/>
      <c r="J114" s="85"/>
    </row>
    <row r="115" spans="1:10" ht="12.75">
      <c r="A115" s="85"/>
      <c r="B115" s="85"/>
      <c r="C115" s="85"/>
      <c r="D115" s="85"/>
      <c r="E115" s="85"/>
      <c r="F115" s="85"/>
      <c r="G115" s="85"/>
      <c r="H115" s="85"/>
      <c r="I115" s="69"/>
      <c r="J115" s="85"/>
    </row>
    <row r="116" spans="1:10" ht="12.75">
      <c r="A116" s="85"/>
      <c r="B116" s="85"/>
      <c r="C116" s="85"/>
      <c r="D116" s="85"/>
      <c r="E116" s="85"/>
      <c r="F116" s="85"/>
      <c r="G116" s="85"/>
      <c r="H116" s="85"/>
      <c r="I116" s="69"/>
      <c r="J116" s="85"/>
    </row>
    <row r="117" spans="1:10" ht="12.75">
      <c r="A117" s="85"/>
      <c r="B117" s="85"/>
      <c r="C117" s="85"/>
      <c r="D117" s="85"/>
      <c r="E117" s="85"/>
      <c r="F117" s="85"/>
      <c r="G117" s="85"/>
      <c r="H117" s="85"/>
      <c r="I117" s="69"/>
      <c r="J117" s="85"/>
    </row>
    <row r="118" spans="1:10" ht="12.75">
      <c r="A118" s="85"/>
      <c r="B118" s="85"/>
      <c r="C118" s="85"/>
      <c r="D118" s="85"/>
      <c r="E118" s="85"/>
      <c r="F118" s="85"/>
      <c r="G118" s="85"/>
      <c r="H118" s="85"/>
      <c r="I118" s="69"/>
      <c r="J118" s="85"/>
    </row>
    <row r="119" spans="1:10" ht="12.75">
      <c r="A119" s="85"/>
      <c r="B119" s="85"/>
      <c r="C119" s="85"/>
      <c r="D119" s="85"/>
      <c r="E119" s="85"/>
      <c r="F119" s="85"/>
      <c r="G119" s="85"/>
      <c r="H119" s="85"/>
      <c r="I119" s="69"/>
      <c r="J119" s="85"/>
    </row>
    <row r="120" spans="1:10" ht="12.75">
      <c r="A120" s="85"/>
      <c r="B120" s="85"/>
      <c r="C120" s="85"/>
      <c r="D120" s="85"/>
      <c r="E120" s="85"/>
      <c r="F120" s="85"/>
      <c r="G120" s="85"/>
      <c r="H120" s="85"/>
      <c r="I120" s="69"/>
      <c r="J120" s="85"/>
    </row>
    <row r="121" spans="1:10" ht="12.75">
      <c r="A121" s="85"/>
      <c r="B121" s="85"/>
      <c r="C121" s="85"/>
      <c r="D121" s="85"/>
      <c r="E121" s="85"/>
      <c r="F121" s="85"/>
      <c r="G121" s="85"/>
      <c r="H121" s="85"/>
      <c r="I121" s="69"/>
      <c r="J121" s="85"/>
    </row>
    <row r="122" spans="1:10" ht="12.75">
      <c r="A122" s="85"/>
      <c r="B122" s="85"/>
      <c r="C122" s="85"/>
      <c r="D122" s="85"/>
      <c r="E122" s="85"/>
      <c r="F122" s="85"/>
      <c r="G122" s="85"/>
      <c r="H122" s="85"/>
      <c r="I122" s="69"/>
      <c r="J122" s="85"/>
    </row>
    <row r="123" spans="1:10" ht="12.75">
      <c r="A123" s="85"/>
      <c r="B123" s="85"/>
      <c r="C123" s="85"/>
      <c r="D123" s="85"/>
      <c r="E123" s="85"/>
      <c r="F123" s="85"/>
      <c r="G123" s="85"/>
      <c r="H123" s="85"/>
      <c r="I123" s="69"/>
      <c r="J123" s="85"/>
    </row>
    <row r="124" spans="1:10" ht="12.75">
      <c r="A124" s="85"/>
      <c r="B124" s="85"/>
      <c r="C124" s="85"/>
      <c r="D124" s="85"/>
      <c r="E124" s="85"/>
      <c r="F124" s="85"/>
      <c r="G124" s="85"/>
      <c r="H124" s="85"/>
      <c r="I124" s="69"/>
      <c r="J124" s="85"/>
    </row>
    <row r="125" spans="1:10" ht="12.75">
      <c r="A125" s="85"/>
      <c r="B125" s="85"/>
      <c r="C125" s="85"/>
      <c r="D125" s="85"/>
      <c r="E125" s="85"/>
      <c r="F125" s="85"/>
      <c r="G125" s="85"/>
      <c r="H125" s="85"/>
      <c r="I125" s="69"/>
      <c r="J125" s="85"/>
    </row>
    <row r="126" spans="1:10" ht="12.75">
      <c r="A126" s="85"/>
      <c r="B126" s="85"/>
      <c r="C126" s="85"/>
      <c r="D126" s="85"/>
      <c r="E126" s="85"/>
      <c r="F126" s="85"/>
      <c r="G126" s="85"/>
      <c r="H126" s="85"/>
      <c r="I126" s="69"/>
      <c r="J126" s="85"/>
    </row>
    <row r="127" spans="1:10" ht="12.75">
      <c r="A127" s="85"/>
      <c r="B127" s="85"/>
      <c r="C127" s="85"/>
      <c r="D127" s="85"/>
      <c r="E127" s="85"/>
      <c r="F127" s="85"/>
      <c r="G127" s="85"/>
      <c r="H127" s="85"/>
      <c r="I127" s="69"/>
      <c r="J127" s="85"/>
    </row>
    <row r="128" spans="1:10" ht="12.75">
      <c r="A128" s="85"/>
      <c r="B128" s="85"/>
      <c r="C128" s="85"/>
      <c r="D128" s="85"/>
      <c r="E128" s="85"/>
      <c r="F128" s="85"/>
      <c r="G128" s="85"/>
      <c r="H128" s="85"/>
      <c r="I128" s="69"/>
      <c r="J128" s="85"/>
    </row>
    <row r="129" spans="1:10" ht="12.75">
      <c r="A129" s="85"/>
      <c r="B129" s="85"/>
      <c r="C129" s="85"/>
      <c r="D129" s="85"/>
      <c r="E129" s="85"/>
      <c r="F129" s="85"/>
      <c r="G129" s="85"/>
      <c r="H129" s="85"/>
      <c r="I129" s="69"/>
      <c r="J129" s="85"/>
    </row>
    <row r="130" spans="1:10" ht="12.75">
      <c r="A130" s="85"/>
      <c r="B130" s="85"/>
      <c r="C130" s="85"/>
      <c r="D130" s="85"/>
      <c r="E130" s="85"/>
      <c r="F130" s="85"/>
      <c r="G130" s="85"/>
      <c r="H130" s="85"/>
      <c r="I130" s="69"/>
      <c r="J130" s="85"/>
    </row>
    <row r="131" spans="1:10" ht="12.75">
      <c r="A131" s="85"/>
      <c r="B131" s="85"/>
      <c r="C131" s="85"/>
      <c r="D131" s="85"/>
      <c r="E131" s="85"/>
      <c r="F131" s="85"/>
      <c r="G131" s="85"/>
      <c r="H131" s="85"/>
      <c r="I131" s="69"/>
      <c r="J131" s="85"/>
    </row>
    <row r="132" spans="1:10" ht="12.75">
      <c r="A132" s="85"/>
      <c r="B132" s="85"/>
      <c r="C132" s="85"/>
      <c r="D132" s="85"/>
      <c r="E132" s="85"/>
      <c r="F132" s="85"/>
      <c r="G132" s="85"/>
      <c r="H132" s="85"/>
      <c r="I132" s="69"/>
      <c r="J132" s="85"/>
    </row>
    <row r="133" spans="1:10" ht="12.75">
      <c r="A133" s="85"/>
      <c r="B133" s="85"/>
      <c r="C133" s="85"/>
      <c r="D133" s="85"/>
      <c r="E133" s="85"/>
      <c r="F133" s="85"/>
      <c r="G133" s="85"/>
      <c r="H133" s="85"/>
      <c r="I133" s="69"/>
      <c r="J133" s="85"/>
    </row>
    <row r="134" spans="1:10" ht="12.75">
      <c r="A134" s="85"/>
      <c r="B134" s="85"/>
      <c r="C134" s="85"/>
      <c r="D134" s="85"/>
      <c r="E134" s="85"/>
      <c r="F134" s="85"/>
      <c r="G134" s="85"/>
      <c r="H134" s="85"/>
      <c r="I134" s="69"/>
      <c r="J134" s="85"/>
    </row>
    <row r="135" spans="1:10" ht="12.75">
      <c r="A135" s="85"/>
      <c r="B135" s="85"/>
      <c r="C135" s="85"/>
      <c r="D135" s="85"/>
      <c r="E135" s="85"/>
      <c r="F135" s="85"/>
      <c r="G135" s="85"/>
      <c r="H135" s="85"/>
      <c r="I135" s="69"/>
      <c r="J135" s="85"/>
    </row>
    <row r="136" spans="1:10" ht="12.75">
      <c r="A136" s="85"/>
      <c r="B136" s="85"/>
      <c r="C136" s="85"/>
      <c r="D136" s="85"/>
      <c r="E136" s="85"/>
      <c r="F136" s="85"/>
      <c r="G136" s="85"/>
      <c r="H136" s="85"/>
      <c r="I136" s="69"/>
      <c r="J136" s="85"/>
    </row>
    <row r="137" spans="1:10" ht="12.75">
      <c r="A137" s="85"/>
      <c r="B137" s="85"/>
      <c r="C137" s="85"/>
      <c r="D137" s="85"/>
      <c r="E137" s="85"/>
      <c r="F137" s="85"/>
      <c r="G137" s="85"/>
      <c r="H137" s="85"/>
      <c r="I137" s="69"/>
      <c r="J137" s="85"/>
    </row>
    <row r="138" spans="1:10" ht="12.75">
      <c r="A138" s="85"/>
      <c r="B138" s="85"/>
      <c r="C138" s="85"/>
      <c r="D138" s="85"/>
      <c r="E138" s="85"/>
      <c r="F138" s="85"/>
      <c r="G138" s="85"/>
      <c r="H138" s="85"/>
      <c r="I138" s="69"/>
      <c r="J138" s="85"/>
    </row>
    <row r="139" spans="1:10" ht="12.75">
      <c r="A139" s="85"/>
      <c r="B139" s="85"/>
      <c r="C139" s="85"/>
      <c r="D139" s="85"/>
      <c r="E139" s="85"/>
      <c r="F139" s="85"/>
      <c r="G139" s="85"/>
      <c r="H139" s="85"/>
      <c r="I139" s="69"/>
      <c r="J139" s="85"/>
    </row>
    <row r="140" spans="1:10" ht="12.75">
      <c r="A140" s="85"/>
      <c r="B140" s="85"/>
      <c r="C140" s="85"/>
      <c r="D140" s="85"/>
      <c r="E140" s="85"/>
      <c r="F140" s="85"/>
      <c r="G140" s="85"/>
      <c r="H140" s="85"/>
      <c r="I140" s="69"/>
      <c r="J140" s="85"/>
    </row>
    <row r="141" spans="1:10" ht="12.75">
      <c r="A141" s="85"/>
      <c r="B141" s="85"/>
      <c r="C141" s="85"/>
      <c r="D141" s="85"/>
      <c r="E141" s="85"/>
      <c r="F141" s="85"/>
      <c r="G141" s="85"/>
      <c r="H141" s="85"/>
      <c r="I141" s="69"/>
      <c r="J141" s="85"/>
    </row>
    <row r="142" spans="1:10" ht="12.75">
      <c r="A142" s="85"/>
      <c r="B142" s="85"/>
      <c r="C142" s="85"/>
      <c r="D142" s="85"/>
      <c r="E142" s="85"/>
      <c r="F142" s="85"/>
      <c r="G142" s="85"/>
      <c r="H142" s="85"/>
      <c r="I142" s="69"/>
      <c r="J142" s="85"/>
    </row>
    <row r="143" spans="1:10" ht="12.75">
      <c r="A143" s="85"/>
      <c r="B143" s="85"/>
      <c r="C143" s="85"/>
      <c r="D143" s="85"/>
      <c r="E143" s="85"/>
      <c r="F143" s="85"/>
      <c r="G143" s="85"/>
      <c r="H143" s="85"/>
      <c r="I143" s="69"/>
      <c r="J143" s="85"/>
    </row>
    <row r="144" spans="1:10" ht="12.75">
      <c r="A144" s="85"/>
      <c r="B144" s="85"/>
      <c r="C144" s="85"/>
      <c r="D144" s="85"/>
      <c r="E144" s="85"/>
      <c r="F144" s="85"/>
      <c r="G144" s="85"/>
      <c r="H144" s="85"/>
      <c r="I144" s="69"/>
      <c r="J144" s="85"/>
    </row>
    <row r="145" spans="1:10" ht="12.75">
      <c r="A145" s="85"/>
      <c r="B145" s="85"/>
      <c r="C145" s="85"/>
      <c r="D145" s="85"/>
      <c r="E145" s="85"/>
      <c r="F145" s="85"/>
      <c r="G145" s="85"/>
      <c r="H145" s="85"/>
      <c r="I145" s="69"/>
      <c r="J145" s="85"/>
    </row>
    <row r="146" spans="1:10" ht="12.75">
      <c r="A146" s="85"/>
      <c r="B146" s="85"/>
      <c r="C146" s="85"/>
      <c r="D146" s="85"/>
      <c r="E146" s="85"/>
      <c r="F146" s="85"/>
      <c r="G146" s="85"/>
      <c r="H146" s="85"/>
      <c r="I146" s="69"/>
      <c r="J146" s="85"/>
    </row>
    <row r="147" spans="1:10" ht="12.75">
      <c r="A147" s="85"/>
      <c r="B147" s="85"/>
      <c r="C147" s="85"/>
      <c r="D147" s="85"/>
      <c r="E147" s="85"/>
      <c r="F147" s="85"/>
      <c r="G147" s="85"/>
      <c r="H147" s="85"/>
      <c r="I147" s="69"/>
      <c r="J147" s="85"/>
    </row>
    <row r="148" spans="1:10" ht="12.75">
      <c r="A148" s="85"/>
      <c r="B148" s="85"/>
      <c r="C148" s="85"/>
      <c r="D148" s="85"/>
      <c r="E148" s="85"/>
      <c r="F148" s="85"/>
      <c r="G148" s="85"/>
      <c r="H148" s="85"/>
      <c r="I148" s="69"/>
      <c r="J148" s="85"/>
    </row>
    <row r="149" spans="1:10" ht="12.75">
      <c r="A149" s="85"/>
      <c r="B149" s="85"/>
      <c r="C149" s="85"/>
      <c r="D149" s="85"/>
      <c r="E149" s="85"/>
      <c r="F149" s="85"/>
      <c r="G149" s="85"/>
      <c r="H149" s="85"/>
      <c r="I149" s="69"/>
      <c r="J149" s="85"/>
    </row>
    <row r="150" spans="1:10" ht="12.75">
      <c r="A150" s="85"/>
      <c r="B150" s="85"/>
      <c r="C150" s="85"/>
      <c r="D150" s="85"/>
      <c r="E150" s="85"/>
      <c r="F150" s="85"/>
      <c r="G150" s="85"/>
      <c r="H150" s="85"/>
      <c r="I150" s="69"/>
      <c r="J150" s="85"/>
    </row>
    <row r="151" spans="1:10" ht="12.75">
      <c r="A151" s="85"/>
      <c r="B151" s="85"/>
      <c r="C151" s="85"/>
      <c r="D151" s="85"/>
      <c r="E151" s="85"/>
      <c r="F151" s="85"/>
      <c r="G151" s="85"/>
      <c r="H151" s="85"/>
      <c r="I151" s="69"/>
      <c r="J151" s="85"/>
    </row>
    <row r="152" spans="1:10" ht="12.75">
      <c r="A152" s="85"/>
      <c r="B152" s="85"/>
      <c r="C152" s="85"/>
      <c r="D152" s="85"/>
      <c r="E152" s="85"/>
      <c r="F152" s="85"/>
      <c r="G152" s="85"/>
      <c r="H152" s="85"/>
      <c r="I152" s="69"/>
      <c r="J152" s="85"/>
    </row>
    <row r="153" spans="1:10" ht="12.75">
      <c r="A153" s="85"/>
      <c r="B153" s="85"/>
      <c r="C153" s="85"/>
      <c r="D153" s="85"/>
      <c r="E153" s="85"/>
      <c r="F153" s="85"/>
      <c r="G153" s="85"/>
      <c r="H153" s="85"/>
      <c r="I153" s="69"/>
      <c r="J153" s="85"/>
    </row>
    <row r="154" spans="1:10" ht="12.75">
      <c r="A154" s="85"/>
      <c r="B154" s="85"/>
      <c r="C154" s="85"/>
      <c r="D154" s="85"/>
      <c r="E154" s="85"/>
      <c r="F154" s="85"/>
      <c r="G154" s="85"/>
      <c r="H154" s="85"/>
      <c r="I154" s="69"/>
      <c r="J154" s="85"/>
    </row>
    <row r="155" spans="1:10" ht="12.75">
      <c r="A155" s="85"/>
      <c r="B155" s="85"/>
      <c r="C155" s="85"/>
      <c r="D155" s="85"/>
      <c r="E155" s="85"/>
      <c r="F155" s="85"/>
      <c r="G155" s="85"/>
      <c r="H155" s="85"/>
      <c r="I155" s="69"/>
      <c r="J155" s="85"/>
    </row>
    <row r="156" spans="1:10" ht="12.75">
      <c r="A156" s="85"/>
      <c r="B156" s="85"/>
      <c r="C156" s="85"/>
      <c r="D156" s="85"/>
      <c r="E156" s="85"/>
      <c r="F156" s="85"/>
      <c r="G156" s="85"/>
      <c r="H156" s="85"/>
      <c r="I156" s="69"/>
      <c r="J156" s="85"/>
    </row>
    <row r="157" spans="1:10" ht="12.75">
      <c r="A157" s="85"/>
      <c r="B157" s="85"/>
      <c r="C157" s="85"/>
      <c r="D157" s="85"/>
      <c r="E157" s="85"/>
      <c r="F157" s="85"/>
      <c r="G157" s="85"/>
      <c r="H157" s="85"/>
      <c r="I157" s="69"/>
      <c r="J157" s="85"/>
    </row>
    <row r="158" spans="1:10" ht="12.75">
      <c r="A158" s="85"/>
      <c r="B158" s="85"/>
      <c r="C158" s="85"/>
      <c r="D158" s="85"/>
      <c r="E158" s="85"/>
      <c r="F158" s="85"/>
      <c r="G158" s="85"/>
      <c r="H158" s="85"/>
      <c r="I158" s="69"/>
      <c r="J158" s="85"/>
    </row>
    <row r="159" spans="1:10" ht="12.75">
      <c r="A159" s="85"/>
      <c r="B159" s="85"/>
      <c r="C159" s="85"/>
      <c r="D159" s="85"/>
      <c r="E159" s="85"/>
      <c r="F159" s="85"/>
      <c r="G159" s="85"/>
      <c r="H159" s="85"/>
      <c r="I159" s="69"/>
      <c r="J159" s="85"/>
    </row>
    <row r="160" spans="1:10" ht="12.75">
      <c r="A160" s="85"/>
      <c r="B160" s="85"/>
      <c r="C160" s="85"/>
      <c r="D160" s="85"/>
      <c r="E160" s="85"/>
      <c r="F160" s="85"/>
      <c r="G160" s="85"/>
      <c r="H160" s="85"/>
      <c r="I160" s="69"/>
      <c r="J160" s="85"/>
    </row>
    <row r="161" spans="1:10" ht="12.75">
      <c r="A161" s="85"/>
      <c r="B161" s="85"/>
      <c r="C161" s="85"/>
      <c r="D161" s="85"/>
      <c r="E161" s="85"/>
      <c r="F161" s="85"/>
      <c r="G161" s="85"/>
      <c r="H161" s="85"/>
      <c r="I161" s="69"/>
      <c r="J161" s="85"/>
    </row>
    <row r="162" spans="1:10" ht="12.75">
      <c r="A162" s="85"/>
      <c r="B162" s="85"/>
      <c r="C162" s="85"/>
      <c r="D162" s="85"/>
      <c r="E162" s="85"/>
      <c r="F162" s="85"/>
      <c r="G162" s="85"/>
      <c r="H162" s="85"/>
      <c r="I162" s="69"/>
      <c r="J162" s="85"/>
    </row>
    <row r="163" spans="1:10" ht="12.75">
      <c r="A163" s="85"/>
      <c r="B163" s="85"/>
      <c r="C163" s="85"/>
      <c r="D163" s="85"/>
      <c r="E163" s="85"/>
      <c r="F163" s="85"/>
      <c r="G163" s="85"/>
      <c r="H163" s="85"/>
      <c r="I163" s="69"/>
      <c r="J163" s="85"/>
    </row>
    <row r="164" spans="1:10" ht="12.75">
      <c r="A164" s="85"/>
      <c r="B164" s="85"/>
      <c r="C164" s="85"/>
      <c r="D164" s="85"/>
      <c r="E164" s="85"/>
      <c r="F164" s="85"/>
      <c r="G164" s="85"/>
      <c r="H164" s="85"/>
      <c r="I164" s="69"/>
      <c r="J164" s="85"/>
    </row>
    <row r="165" spans="1:10" ht="12.75">
      <c r="A165" s="85"/>
      <c r="B165" s="85"/>
      <c r="C165" s="85"/>
      <c r="D165" s="85"/>
      <c r="E165" s="85"/>
      <c r="F165" s="85"/>
      <c r="G165" s="85"/>
      <c r="H165" s="85"/>
      <c r="I165" s="69"/>
      <c r="J165" s="85"/>
    </row>
    <row r="166" spans="1:10" ht="12.75">
      <c r="A166" s="85"/>
      <c r="B166" s="85"/>
      <c r="C166" s="85"/>
      <c r="D166" s="85"/>
      <c r="E166" s="85"/>
      <c r="F166" s="85"/>
      <c r="G166" s="85"/>
      <c r="H166" s="85"/>
      <c r="I166" s="69"/>
      <c r="J166" s="85"/>
    </row>
    <row r="167" spans="1:10" ht="12.75">
      <c r="A167" s="85"/>
      <c r="B167" s="85"/>
      <c r="C167" s="85"/>
      <c r="D167" s="85"/>
      <c r="E167" s="85"/>
      <c r="F167" s="85"/>
      <c r="G167" s="85"/>
      <c r="H167" s="85"/>
      <c r="I167" s="69"/>
      <c r="J167" s="85"/>
    </row>
    <row r="168" spans="1:10" ht="12.75">
      <c r="A168" s="85"/>
      <c r="B168" s="85"/>
      <c r="C168" s="85"/>
      <c r="D168" s="85"/>
      <c r="E168" s="85"/>
      <c r="F168" s="85"/>
      <c r="G168" s="85"/>
      <c r="H168" s="85"/>
      <c r="I168" s="69"/>
      <c r="J168" s="85"/>
    </row>
    <row r="169" spans="1:10" ht="12.75">
      <c r="A169" s="85"/>
      <c r="B169" s="85"/>
      <c r="C169" s="85"/>
      <c r="D169" s="85"/>
      <c r="E169" s="85"/>
      <c r="F169" s="85"/>
      <c r="G169" s="85"/>
      <c r="H169" s="85"/>
      <c r="I169" s="69"/>
      <c r="J169" s="85"/>
    </row>
    <row r="170" spans="1:10" ht="12.75">
      <c r="A170" s="85"/>
      <c r="B170" s="85"/>
      <c r="C170" s="85"/>
      <c r="D170" s="85"/>
      <c r="E170" s="85"/>
      <c r="F170" s="85"/>
      <c r="G170" s="85"/>
      <c r="H170" s="85"/>
      <c r="I170" s="69"/>
      <c r="J170" s="85"/>
    </row>
    <row r="171" spans="1:10" ht="12.75">
      <c r="A171" s="85"/>
      <c r="B171" s="85"/>
      <c r="C171" s="85"/>
      <c r="D171" s="85"/>
      <c r="E171" s="85"/>
      <c r="F171" s="85"/>
      <c r="G171" s="85"/>
      <c r="H171" s="85"/>
      <c r="I171" s="69"/>
      <c r="J171" s="85"/>
    </row>
    <row r="172" spans="1:10" ht="12.75">
      <c r="A172" s="85"/>
      <c r="B172" s="85"/>
      <c r="C172" s="85"/>
      <c r="D172" s="85"/>
      <c r="E172" s="85"/>
      <c r="F172" s="85"/>
      <c r="G172" s="85"/>
      <c r="H172" s="85"/>
      <c r="I172" s="69"/>
      <c r="J172" s="85"/>
    </row>
    <row r="173" spans="1:10" ht="12.75">
      <c r="A173" s="85"/>
      <c r="B173" s="85"/>
      <c r="C173" s="85"/>
      <c r="D173" s="85"/>
      <c r="E173" s="85"/>
      <c r="F173" s="85"/>
      <c r="G173" s="85"/>
      <c r="H173" s="85"/>
      <c r="I173" s="69"/>
      <c r="J173" s="85"/>
    </row>
    <row r="174" spans="1:10" ht="12.75">
      <c r="A174" s="85"/>
      <c r="B174" s="85"/>
      <c r="C174" s="85"/>
      <c r="D174" s="85"/>
      <c r="E174" s="85"/>
      <c r="F174" s="85"/>
      <c r="G174" s="85"/>
      <c r="H174" s="85"/>
      <c r="I174" s="69"/>
      <c r="J174" s="85"/>
    </row>
    <row r="175" spans="1:10" ht="12.75">
      <c r="A175" s="85"/>
      <c r="B175" s="85"/>
      <c r="C175" s="85"/>
      <c r="D175" s="85"/>
      <c r="E175" s="85"/>
      <c r="F175" s="85"/>
      <c r="G175" s="85"/>
      <c r="H175" s="85"/>
      <c r="I175" s="69"/>
      <c r="J175" s="85"/>
    </row>
    <row r="176" spans="1:10" ht="12.75">
      <c r="A176" s="85"/>
      <c r="B176" s="85"/>
      <c r="C176" s="85"/>
      <c r="D176" s="85"/>
      <c r="E176" s="85"/>
      <c r="F176" s="85"/>
      <c r="G176" s="85"/>
      <c r="H176" s="85"/>
      <c r="I176" s="69"/>
      <c r="J176" s="85"/>
    </row>
    <row r="177" spans="1:10" ht="12.75">
      <c r="A177" s="85"/>
      <c r="B177" s="85"/>
      <c r="C177" s="85"/>
      <c r="D177" s="85"/>
      <c r="E177" s="85"/>
      <c r="F177" s="85"/>
      <c r="G177" s="85"/>
      <c r="H177" s="85"/>
      <c r="I177" s="69"/>
      <c r="J177" s="85"/>
    </row>
    <row r="178" spans="1:10" ht="12.75">
      <c r="A178" s="85"/>
      <c r="B178" s="85"/>
      <c r="C178" s="85"/>
      <c r="D178" s="85"/>
      <c r="E178" s="85"/>
      <c r="F178" s="85"/>
      <c r="G178" s="85"/>
      <c r="H178" s="85"/>
      <c r="I178" s="69"/>
      <c r="J178" s="85"/>
    </row>
    <row r="179" spans="1:10" ht="12.75">
      <c r="A179" s="85"/>
      <c r="B179" s="85"/>
      <c r="C179" s="85"/>
      <c r="D179" s="85"/>
      <c r="E179" s="85"/>
      <c r="F179" s="85"/>
      <c r="G179" s="85"/>
      <c r="H179" s="85"/>
      <c r="I179" s="69"/>
      <c r="J179" s="85"/>
    </row>
    <row r="180" spans="1:10" ht="12.75">
      <c r="A180" s="85"/>
      <c r="B180" s="85"/>
      <c r="C180" s="85"/>
      <c r="D180" s="85"/>
      <c r="E180" s="85"/>
      <c r="F180" s="85"/>
      <c r="G180" s="85"/>
      <c r="H180" s="85"/>
      <c r="I180" s="69"/>
      <c r="J180" s="85"/>
    </row>
    <row r="181" spans="1:10" ht="12.75">
      <c r="A181" s="85"/>
      <c r="B181" s="85"/>
      <c r="C181" s="85"/>
      <c r="D181" s="85"/>
      <c r="E181" s="85"/>
      <c r="F181" s="85"/>
      <c r="G181" s="85"/>
      <c r="H181" s="85"/>
      <c r="I181" s="69"/>
      <c r="J181" s="85"/>
    </row>
    <row r="182" spans="1:10" ht="12.75">
      <c r="A182" s="85"/>
      <c r="B182" s="85"/>
      <c r="C182" s="85"/>
      <c r="D182" s="85"/>
      <c r="E182" s="85"/>
      <c r="F182" s="85"/>
      <c r="G182" s="85"/>
      <c r="H182" s="85"/>
      <c r="I182" s="69"/>
      <c r="J182" s="85"/>
    </row>
    <row r="183" spans="1:10" ht="12.75">
      <c r="A183" s="85"/>
      <c r="B183" s="85"/>
      <c r="C183" s="85"/>
      <c r="D183" s="85"/>
      <c r="E183" s="85"/>
      <c r="F183" s="85"/>
      <c r="G183" s="85"/>
      <c r="H183" s="85"/>
      <c r="I183" s="69"/>
      <c r="J183" s="85"/>
    </row>
    <row r="184" spans="1:10" ht="12.75">
      <c r="A184" s="85"/>
      <c r="B184" s="85"/>
      <c r="C184" s="85"/>
      <c r="D184" s="85"/>
      <c r="E184" s="85"/>
      <c r="F184" s="85"/>
      <c r="G184" s="85"/>
      <c r="H184" s="85"/>
      <c r="I184" s="69"/>
      <c r="J184" s="85"/>
    </row>
    <row r="185" spans="1:10" ht="12.75">
      <c r="A185" s="85"/>
      <c r="B185" s="85"/>
      <c r="C185" s="85"/>
      <c r="D185" s="85"/>
      <c r="E185" s="85"/>
      <c r="F185" s="85"/>
      <c r="G185" s="85"/>
      <c r="H185" s="85"/>
      <c r="I185" s="69"/>
      <c r="J185" s="85"/>
    </row>
    <row r="186" spans="1:10" ht="12.75">
      <c r="A186" s="85"/>
      <c r="B186" s="85"/>
      <c r="C186" s="85"/>
      <c r="D186" s="85"/>
      <c r="E186" s="85"/>
      <c r="F186" s="85"/>
      <c r="G186" s="85"/>
      <c r="H186" s="85"/>
      <c r="I186" s="69"/>
      <c r="J186" s="85"/>
    </row>
    <row r="187" spans="1:10" ht="12.75">
      <c r="A187" s="85"/>
      <c r="B187" s="85"/>
      <c r="C187" s="85"/>
      <c r="D187" s="85"/>
      <c r="E187" s="85"/>
      <c r="F187" s="85"/>
      <c r="G187" s="85"/>
      <c r="H187" s="85"/>
      <c r="I187" s="69"/>
      <c r="J187" s="85"/>
    </row>
  </sheetData>
  <sheetProtection/>
  <mergeCells count="5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54:J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89:F89"/>
    <mergeCell ref="B77:F77"/>
    <mergeCell ref="B78:F78"/>
    <mergeCell ref="B79:F79"/>
    <mergeCell ref="B80:F80"/>
    <mergeCell ref="B81:F81"/>
    <mergeCell ref="B82:F82"/>
    <mergeCell ref="B90:F90"/>
    <mergeCell ref="B91:F91"/>
    <mergeCell ref="B92:F92"/>
    <mergeCell ref="B93:F93"/>
    <mergeCell ref="B94:F94"/>
    <mergeCell ref="B83:F83"/>
    <mergeCell ref="B84:F84"/>
    <mergeCell ref="B85:F85"/>
    <mergeCell ref="B86:F86"/>
    <mergeCell ref="B87:F8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73">
      <selection activeCell="H16" sqref="H16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3.8515625" style="0" customWidth="1"/>
    <col min="4" max="4" width="23.8515625" style="0" customWidth="1"/>
  </cols>
  <sheetData>
    <row r="1" ht="12.75">
      <c r="B1" s="386" t="s">
        <v>1154</v>
      </c>
    </row>
    <row r="2" ht="12.75">
      <c r="B2" s="386" t="s">
        <v>1155</v>
      </c>
    </row>
    <row r="3" spans="2:4" ht="12.75">
      <c r="B3" s="386"/>
      <c r="D3" s="164" t="s">
        <v>1156</v>
      </c>
    </row>
    <row r="5" spans="1:4" ht="12.75">
      <c r="A5" s="123"/>
      <c r="B5" s="123"/>
      <c r="C5" s="435" t="s">
        <v>898</v>
      </c>
      <c r="D5" s="435" t="s">
        <v>1157</v>
      </c>
    </row>
    <row r="6" spans="1:4" ht="12.75">
      <c r="A6" s="123">
        <v>1</v>
      </c>
      <c r="B6" s="435" t="s">
        <v>1158</v>
      </c>
      <c r="C6" s="181" t="s">
        <v>1159</v>
      </c>
      <c r="D6" s="181"/>
    </row>
    <row r="7" spans="1:4" ht="12.75">
      <c r="A7" s="123">
        <v>2</v>
      </c>
      <c r="B7" s="435" t="s">
        <v>1158</v>
      </c>
      <c r="C7" s="181" t="s">
        <v>1160</v>
      </c>
      <c r="D7" s="123"/>
    </row>
    <row r="8" spans="1:4" ht="12.75">
      <c r="A8" s="123">
        <v>3</v>
      </c>
      <c r="B8" s="435" t="s">
        <v>1158</v>
      </c>
      <c r="C8" s="181" t="s">
        <v>1161</v>
      </c>
      <c r="D8" s="123"/>
    </row>
    <row r="9" spans="1:4" ht="12.75">
      <c r="A9" s="123">
        <v>4</v>
      </c>
      <c r="B9" s="435" t="s">
        <v>1158</v>
      </c>
      <c r="C9" s="181" t="s">
        <v>1162</v>
      </c>
      <c r="D9" s="123"/>
    </row>
    <row r="10" spans="1:4" ht="12.75">
      <c r="A10" s="123">
        <v>5</v>
      </c>
      <c r="B10" s="435" t="s">
        <v>1158</v>
      </c>
      <c r="C10" s="181" t="s">
        <v>1163</v>
      </c>
      <c r="D10" s="123">
        <v>20632359</v>
      </c>
    </row>
    <row r="11" spans="1:4" ht="12.75">
      <c r="A11" s="123">
        <v>6</v>
      </c>
      <c r="B11" s="435" t="s">
        <v>1158</v>
      </c>
      <c r="C11" s="181" t="s">
        <v>1164</v>
      </c>
      <c r="D11" s="123"/>
    </row>
    <row r="12" spans="1:4" ht="12.75">
      <c r="A12" s="123">
        <v>7</v>
      </c>
      <c r="B12" s="435" t="s">
        <v>1158</v>
      </c>
      <c r="C12" s="181" t="s">
        <v>1165</v>
      </c>
      <c r="D12" s="123"/>
    </row>
    <row r="13" spans="1:4" ht="12.75">
      <c r="A13" s="123">
        <v>8</v>
      </c>
      <c r="B13" s="435" t="s">
        <v>1158</v>
      </c>
      <c r="C13" s="181" t="s">
        <v>1166</v>
      </c>
      <c r="D13" s="123"/>
    </row>
    <row r="14" spans="1:4" ht="12.75">
      <c r="A14" s="435" t="s">
        <v>6</v>
      </c>
      <c r="B14" s="435"/>
      <c r="C14" s="435" t="s">
        <v>1167</v>
      </c>
      <c r="D14" s="435">
        <f>SUM(D6:D13)</f>
        <v>20632359</v>
      </c>
    </row>
    <row r="15" spans="1:4" ht="12.75">
      <c r="A15" s="123">
        <v>9</v>
      </c>
      <c r="B15" s="435" t="s">
        <v>1168</v>
      </c>
      <c r="C15" s="181" t="s">
        <v>1169</v>
      </c>
      <c r="D15" s="123"/>
    </row>
    <row r="16" spans="1:4" ht="12.75">
      <c r="A16" s="123">
        <v>10</v>
      </c>
      <c r="B16" s="435" t="s">
        <v>1168</v>
      </c>
      <c r="C16" s="181" t="s">
        <v>1170</v>
      </c>
      <c r="D16" s="181"/>
    </row>
    <row r="17" spans="1:4" ht="12.75">
      <c r="A17" s="123">
        <v>11</v>
      </c>
      <c r="B17" s="435" t="s">
        <v>1168</v>
      </c>
      <c r="C17" s="181" t="s">
        <v>1171</v>
      </c>
      <c r="D17" s="123">
        <v>8899285</v>
      </c>
    </row>
    <row r="18" spans="1:4" ht="12.75">
      <c r="A18" s="435" t="s">
        <v>7</v>
      </c>
      <c r="B18" s="435"/>
      <c r="C18" s="435" t="s">
        <v>1172</v>
      </c>
      <c r="D18" s="435">
        <f>SUM(D15:D17)</f>
        <v>8899285</v>
      </c>
    </row>
    <row r="19" spans="1:4" ht="12.75">
      <c r="A19" s="123">
        <v>12</v>
      </c>
      <c r="B19" s="435" t="s">
        <v>1173</v>
      </c>
      <c r="C19" s="181" t="s">
        <v>1174</v>
      </c>
      <c r="D19" s="123"/>
    </row>
    <row r="20" spans="1:4" ht="12.75">
      <c r="A20" s="123">
        <v>13</v>
      </c>
      <c r="B20" s="435" t="s">
        <v>1173</v>
      </c>
      <c r="C20" s="181" t="s">
        <v>1175</v>
      </c>
      <c r="D20" s="123"/>
    </row>
    <row r="21" spans="1:4" ht="12.75">
      <c r="A21" s="123">
        <v>14</v>
      </c>
      <c r="B21" s="435" t="s">
        <v>1173</v>
      </c>
      <c r="C21" s="181" t="s">
        <v>1176</v>
      </c>
      <c r="D21" s="123"/>
    </row>
    <row r="22" spans="1:4" ht="12.75">
      <c r="A22" s="123">
        <v>15</v>
      </c>
      <c r="B22" s="435" t="s">
        <v>1173</v>
      </c>
      <c r="C22" s="181" t="s">
        <v>1177</v>
      </c>
      <c r="D22" s="123"/>
    </row>
    <row r="23" spans="1:4" ht="12.75">
      <c r="A23" s="123">
        <v>16</v>
      </c>
      <c r="B23" s="435" t="s">
        <v>1173</v>
      </c>
      <c r="C23" s="181" t="s">
        <v>1178</v>
      </c>
      <c r="D23" s="123"/>
    </row>
    <row r="24" spans="1:4" ht="12.75">
      <c r="A24" s="123">
        <v>17</v>
      </c>
      <c r="B24" s="435" t="s">
        <v>1173</v>
      </c>
      <c r="C24" s="181" t="s">
        <v>1179</v>
      </c>
      <c r="D24" s="123"/>
    </row>
    <row r="25" spans="1:4" ht="12.75">
      <c r="A25" s="123">
        <v>18</v>
      </c>
      <c r="B25" s="435" t="s">
        <v>1173</v>
      </c>
      <c r="C25" s="181" t="s">
        <v>1180</v>
      </c>
      <c r="D25" s="123"/>
    </row>
    <row r="26" spans="1:4" ht="12.75">
      <c r="A26" s="123">
        <v>19</v>
      </c>
      <c r="B26" s="435" t="s">
        <v>1173</v>
      </c>
      <c r="C26" s="181" t="s">
        <v>1181</v>
      </c>
      <c r="D26" s="123">
        <v>82579490</v>
      </c>
    </row>
    <row r="27" spans="1:4" ht="12.75">
      <c r="A27" s="435" t="s">
        <v>80</v>
      </c>
      <c r="B27" s="435"/>
      <c r="C27" s="435" t="s">
        <v>1182</v>
      </c>
      <c r="D27" s="435">
        <f>SUM(D19:D26)</f>
        <v>82579490</v>
      </c>
    </row>
    <row r="28" spans="1:4" ht="12.75">
      <c r="A28" s="123">
        <v>20</v>
      </c>
      <c r="B28" s="435" t="s">
        <v>1183</v>
      </c>
      <c r="C28" s="181" t="s">
        <v>1184</v>
      </c>
      <c r="D28" s="123">
        <v>779410</v>
      </c>
    </row>
    <row r="29" spans="1:4" ht="12.75">
      <c r="A29" s="123">
        <v>21</v>
      </c>
      <c r="B29" s="435" t="s">
        <v>1183</v>
      </c>
      <c r="C29" s="181" t="s">
        <v>1185</v>
      </c>
      <c r="D29" s="181"/>
    </row>
    <row r="30" spans="1:4" ht="12.75">
      <c r="A30" s="123">
        <v>22</v>
      </c>
      <c r="B30" s="435" t="s">
        <v>1183</v>
      </c>
      <c r="C30" s="181" t="s">
        <v>1186</v>
      </c>
      <c r="D30" s="181"/>
    </row>
    <row r="31" spans="1:4" ht="12.75">
      <c r="A31" s="123">
        <v>23</v>
      </c>
      <c r="B31" s="435" t="s">
        <v>1183</v>
      </c>
      <c r="C31" s="181" t="s">
        <v>1187</v>
      </c>
      <c r="D31" s="123"/>
    </row>
    <row r="32" spans="1:4" ht="12.75">
      <c r="A32" s="435" t="s">
        <v>268</v>
      </c>
      <c r="B32" s="435"/>
      <c r="C32" s="435" t="s">
        <v>1188</v>
      </c>
      <c r="D32" s="435">
        <f>SUM(D28:D31)</f>
        <v>779410</v>
      </c>
    </row>
    <row r="33" spans="1:4" ht="12.75">
      <c r="A33" s="123">
        <v>24</v>
      </c>
      <c r="B33" s="435" t="s">
        <v>1189</v>
      </c>
      <c r="C33" s="181" t="s">
        <v>1190</v>
      </c>
      <c r="D33" s="123"/>
    </row>
    <row r="34" spans="1:4" ht="12.75">
      <c r="A34" s="123">
        <v>25</v>
      </c>
      <c r="B34" s="435" t="s">
        <v>1189</v>
      </c>
      <c r="C34" s="181" t="s">
        <v>1191</v>
      </c>
      <c r="D34" s="123"/>
    </row>
    <row r="35" spans="1:4" ht="12.75">
      <c r="A35" s="123">
        <v>26</v>
      </c>
      <c r="B35" s="435" t="s">
        <v>1189</v>
      </c>
      <c r="C35" s="181" t="s">
        <v>1192</v>
      </c>
      <c r="D35" s="123"/>
    </row>
    <row r="36" spans="1:4" ht="12.75">
      <c r="A36" s="123">
        <v>27</v>
      </c>
      <c r="B36" s="435" t="s">
        <v>1189</v>
      </c>
      <c r="C36" s="181" t="s">
        <v>1193</v>
      </c>
      <c r="D36" s="123"/>
    </row>
    <row r="37" spans="1:4" ht="12.75">
      <c r="A37" s="123">
        <v>28</v>
      </c>
      <c r="B37" s="435" t="s">
        <v>1189</v>
      </c>
      <c r="C37" s="181" t="s">
        <v>1194</v>
      </c>
      <c r="D37" s="181"/>
    </row>
    <row r="38" spans="1:4" ht="12.75">
      <c r="A38" s="123">
        <v>29</v>
      </c>
      <c r="B38" s="435" t="s">
        <v>1189</v>
      </c>
      <c r="C38" s="485" t="s">
        <v>1195</v>
      </c>
      <c r="D38" s="123"/>
    </row>
    <row r="39" spans="1:4" ht="12.75">
      <c r="A39" s="123">
        <v>30</v>
      </c>
      <c r="B39" s="435" t="s">
        <v>1189</v>
      </c>
      <c r="C39" s="181" t="s">
        <v>1196</v>
      </c>
      <c r="D39" s="123"/>
    </row>
    <row r="40" spans="1:4" ht="12.75">
      <c r="A40" s="123">
        <v>31</v>
      </c>
      <c r="B40" s="435" t="s">
        <v>1189</v>
      </c>
      <c r="C40" s="181" t="s">
        <v>1197</v>
      </c>
      <c r="D40" s="123"/>
    </row>
    <row r="41" spans="1:4" ht="12.75">
      <c r="A41" s="123">
        <v>32</v>
      </c>
      <c r="B41" s="435" t="s">
        <v>1189</v>
      </c>
      <c r="C41" s="181" t="s">
        <v>1198</v>
      </c>
      <c r="D41" s="123"/>
    </row>
    <row r="42" spans="1:4" ht="12.75">
      <c r="A42" s="123">
        <v>33</v>
      </c>
      <c r="B42" s="435" t="s">
        <v>1189</v>
      </c>
      <c r="C42" s="181" t="s">
        <v>1199</v>
      </c>
      <c r="D42" s="123"/>
    </row>
    <row r="43" spans="1:4" ht="12.75">
      <c r="A43" s="486">
        <v>34</v>
      </c>
      <c r="B43" s="435" t="s">
        <v>1189</v>
      </c>
      <c r="C43" s="181" t="s">
        <v>1200</v>
      </c>
      <c r="D43" s="123">
        <v>400000</v>
      </c>
    </row>
    <row r="44" spans="1:4" ht="12.75">
      <c r="A44" s="435" t="s">
        <v>286</v>
      </c>
      <c r="B44" s="123"/>
      <c r="C44" s="435" t="s">
        <v>1201</v>
      </c>
      <c r="D44" s="435">
        <f>SUM(D33:D43)</f>
        <v>400000</v>
      </c>
    </row>
    <row r="45" spans="1:4" ht="12.75">
      <c r="A45" s="123"/>
      <c r="B45" s="123"/>
      <c r="C45" s="435" t="s">
        <v>1202</v>
      </c>
      <c r="D45" s="487">
        <f>D14+D18+D27+D32+D43</f>
        <v>113290544</v>
      </c>
    </row>
    <row r="48" spans="2:4" ht="12.75">
      <c r="B48" s="488" t="s">
        <v>1203</v>
      </c>
      <c r="C48" s="395"/>
      <c r="D48" s="435" t="s">
        <v>1204</v>
      </c>
    </row>
    <row r="49" spans="2:4" ht="12.75">
      <c r="B49" s="489"/>
      <c r="C49" s="490"/>
      <c r="D49" s="490"/>
    </row>
    <row r="50" spans="2:4" ht="12.75">
      <c r="B50" s="303" t="s">
        <v>1205</v>
      </c>
      <c r="C50" s="303"/>
      <c r="D50" s="123">
        <v>9</v>
      </c>
    </row>
    <row r="51" spans="2:4" ht="12.75">
      <c r="B51" s="123" t="s">
        <v>1206</v>
      </c>
      <c r="C51" s="123"/>
      <c r="D51" s="123">
        <v>1</v>
      </c>
    </row>
    <row r="52" spans="2:4" ht="12.75">
      <c r="B52" s="123" t="s">
        <v>1207</v>
      </c>
      <c r="C52" s="123"/>
      <c r="D52" s="123">
        <v>3</v>
      </c>
    </row>
    <row r="53" spans="2:4" ht="12.75">
      <c r="B53" s="123" t="s">
        <v>1208</v>
      </c>
      <c r="C53" s="123"/>
      <c r="D53" s="123"/>
    </row>
    <row r="54" spans="2:4" ht="12.75">
      <c r="B54" s="491" t="s">
        <v>1209</v>
      </c>
      <c r="C54" s="395"/>
      <c r="D54" s="123"/>
    </row>
    <row r="55" spans="2:4" ht="12.75">
      <c r="B55" s="492"/>
      <c r="C55" s="493" t="s">
        <v>221</v>
      </c>
      <c r="D55" s="493"/>
    </row>
    <row r="57" ht="12.75">
      <c r="D57" s="164" t="s">
        <v>1058</v>
      </c>
    </row>
    <row r="58" ht="12.75">
      <c r="D58" s="85" t="s">
        <v>1210</v>
      </c>
    </row>
    <row r="59" ht="12.75">
      <c r="B59" s="164" t="s">
        <v>1211</v>
      </c>
    </row>
    <row r="61" ht="12.75">
      <c r="B61" s="164"/>
    </row>
    <row r="62" spans="1:4" ht="12.75">
      <c r="A62" s="164"/>
      <c r="B62" s="164"/>
      <c r="C62" s="164"/>
      <c r="D62" s="164"/>
    </row>
    <row r="63" spans="1:4" ht="12.75">
      <c r="A63" s="164"/>
      <c r="B63" s="164"/>
      <c r="C63" s="164"/>
      <c r="D63" s="164"/>
    </row>
    <row r="64" spans="2:4" ht="12.75">
      <c r="B64" s="164"/>
      <c r="C64" s="164"/>
      <c r="D64" s="164"/>
    </row>
    <row r="65" spans="2:4" ht="12.75">
      <c r="B65" s="164"/>
      <c r="C65" s="164"/>
      <c r="D65" s="164"/>
    </row>
    <row r="66" spans="1:2" ht="12.75">
      <c r="A66" s="164"/>
      <c r="B66" s="16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2"/>
  <sheetViews>
    <sheetView zoomScalePageLayoutView="0" workbookViewId="0" topLeftCell="A1">
      <selection activeCell="J1" sqref="J1:K16384"/>
    </sheetView>
  </sheetViews>
  <sheetFormatPr defaultColWidth="9.140625" defaultRowHeight="12.75"/>
  <cols>
    <col min="1" max="1" width="4.281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  <col min="10" max="10" width="10.140625" style="0" bestFit="1" customWidth="1"/>
  </cols>
  <sheetData>
    <row r="1" ht="17.25" customHeight="1"/>
    <row r="2" spans="2:8" s="29" customFormat="1" ht="18">
      <c r="B2" s="46" t="s">
        <v>372</v>
      </c>
      <c r="C2" s="47"/>
      <c r="D2" s="47"/>
      <c r="E2" s="48"/>
      <c r="G2" s="499" t="s">
        <v>280</v>
      </c>
      <c r="H2" s="499"/>
    </row>
    <row r="3" spans="2:8" s="29" customFormat="1" ht="9" customHeight="1">
      <c r="B3" s="46"/>
      <c r="C3" s="47"/>
      <c r="D3" s="47"/>
      <c r="E3" s="48"/>
      <c r="G3" s="64"/>
      <c r="H3" s="64"/>
    </row>
    <row r="4" spans="2:8" s="29" customFormat="1" ht="18" customHeight="1">
      <c r="B4" s="500" t="s">
        <v>403</v>
      </c>
      <c r="C4" s="500"/>
      <c r="D4" s="500"/>
      <c r="E4" s="500"/>
      <c r="F4" s="500"/>
      <c r="G4" s="500"/>
      <c r="H4" s="500"/>
    </row>
    <row r="5" ht="6.75" customHeight="1"/>
    <row r="6" spans="2:8" ht="18.75" customHeight="1">
      <c r="B6" s="504" t="s">
        <v>5</v>
      </c>
      <c r="C6" s="506" t="s">
        <v>17</v>
      </c>
      <c r="D6" s="507"/>
      <c r="E6" s="508"/>
      <c r="F6" s="504" t="s">
        <v>18</v>
      </c>
      <c r="G6" s="43" t="s">
        <v>19</v>
      </c>
      <c r="H6" s="43" t="s">
        <v>19</v>
      </c>
    </row>
    <row r="7" spans="2:8" ht="18" customHeight="1">
      <c r="B7" s="505"/>
      <c r="C7" s="509"/>
      <c r="D7" s="510"/>
      <c r="E7" s="511"/>
      <c r="F7" s="505"/>
      <c r="G7" s="44" t="s">
        <v>20</v>
      </c>
      <c r="H7" s="45" t="s">
        <v>21</v>
      </c>
    </row>
    <row r="8" spans="2:8" s="29" customFormat="1" ht="19.5" customHeight="1">
      <c r="B8" s="49" t="s">
        <v>6</v>
      </c>
      <c r="C8" s="501" t="s">
        <v>22</v>
      </c>
      <c r="D8" s="502"/>
      <c r="E8" s="503"/>
      <c r="F8" s="28"/>
      <c r="G8" s="187">
        <f>G9+G12+G15+G20+G27+G28+G29</f>
        <v>126762189.19680773</v>
      </c>
      <c r="H8" s="187">
        <f>H9+H12+H15+H20+H27+H28+H29</f>
        <v>96417347</v>
      </c>
    </row>
    <row r="9" spans="2:10" s="29" customFormat="1" ht="15" customHeight="1">
      <c r="B9" s="30"/>
      <c r="C9" s="32">
        <v>1</v>
      </c>
      <c r="D9" s="33" t="s">
        <v>23</v>
      </c>
      <c r="E9" s="34"/>
      <c r="F9" s="31"/>
      <c r="G9" s="192">
        <f>SUM(G10:G11)</f>
        <v>18793178</v>
      </c>
      <c r="H9" s="186">
        <f>H10+H11</f>
        <v>7434351</v>
      </c>
      <c r="J9" s="22"/>
    </row>
    <row r="10" spans="2:8" s="29" customFormat="1" ht="15" customHeight="1">
      <c r="B10" s="30"/>
      <c r="C10" s="32"/>
      <c r="D10" s="51" t="s">
        <v>25</v>
      </c>
      <c r="E10" s="37" t="s">
        <v>66</v>
      </c>
      <c r="F10" s="31"/>
      <c r="G10" s="186">
        <f>14660853</f>
        <v>14660853</v>
      </c>
      <c r="H10" s="186">
        <v>302526</v>
      </c>
    </row>
    <row r="11" spans="2:8" s="29" customFormat="1" ht="15" customHeight="1">
      <c r="B11" s="30"/>
      <c r="C11" s="32"/>
      <c r="D11" s="51" t="s">
        <v>26</v>
      </c>
      <c r="E11" s="37" t="s">
        <v>67</v>
      </c>
      <c r="F11" s="31"/>
      <c r="G11" s="186">
        <f>4290338-162364+4351</f>
        <v>4132325</v>
      </c>
      <c r="H11" s="186">
        <f>7294189-162364</f>
        <v>7131825</v>
      </c>
    </row>
    <row r="12" spans="2:8" s="29" customFormat="1" ht="15" customHeight="1">
      <c r="B12" s="30"/>
      <c r="C12" s="32">
        <v>2</v>
      </c>
      <c r="D12" s="33" t="s">
        <v>24</v>
      </c>
      <c r="E12" s="34"/>
      <c r="F12" s="31"/>
      <c r="G12" s="186"/>
      <c r="H12" s="186"/>
    </row>
    <row r="13" spans="2:8" s="29" customFormat="1" ht="15" customHeight="1">
      <c r="B13" s="30"/>
      <c r="C13" s="35"/>
      <c r="D13" s="36" t="s">
        <v>25</v>
      </c>
      <c r="E13" s="37" t="s">
        <v>27</v>
      </c>
      <c r="F13" s="31"/>
      <c r="G13" s="186"/>
      <c r="H13" s="186"/>
    </row>
    <row r="14" spans="2:8" s="29" customFormat="1" ht="15" customHeight="1">
      <c r="B14" s="30"/>
      <c r="C14" s="35"/>
      <c r="D14" s="36" t="s">
        <v>26</v>
      </c>
      <c r="E14" s="37" t="s">
        <v>28</v>
      </c>
      <c r="F14" s="31"/>
      <c r="G14" s="186"/>
      <c r="H14" s="186"/>
    </row>
    <row r="15" spans="2:10" s="29" customFormat="1" ht="15" customHeight="1">
      <c r="B15" s="30"/>
      <c r="C15" s="32">
        <v>3</v>
      </c>
      <c r="D15" s="33" t="s">
        <v>29</v>
      </c>
      <c r="E15" s="34"/>
      <c r="F15" s="31"/>
      <c r="G15" s="187">
        <f>SUM(G16:G19)</f>
        <v>35862701</v>
      </c>
      <c r="H15" s="187">
        <f>H16+H17</f>
        <v>37808107</v>
      </c>
      <c r="J15" s="22"/>
    </row>
    <row r="16" spans="2:8" s="29" customFormat="1" ht="15" customHeight="1">
      <c r="B16" s="30"/>
      <c r="C16" s="35"/>
      <c r="D16" s="36" t="s">
        <v>25</v>
      </c>
      <c r="E16" s="37" t="s">
        <v>33</v>
      </c>
      <c r="F16" s="31"/>
      <c r="G16" s="186">
        <f>44675542-10679142</f>
        <v>33996400</v>
      </c>
      <c r="H16" s="186">
        <v>36308257</v>
      </c>
    </row>
    <row r="17" spans="2:8" s="29" customFormat="1" ht="15" customHeight="1">
      <c r="B17" s="30"/>
      <c r="C17" s="35"/>
      <c r="D17" s="36" t="s">
        <v>26</v>
      </c>
      <c r="E17" s="37" t="s">
        <v>408</v>
      </c>
      <c r="F17" s="31"/>
      <c r="G17" s="186">
        <v>1599025</v>
      </c>
      <c r="H17" s="186">
        <f>1337486+162364</f>
        <v>1499850</v>
      </c>
    </row>
    <row r="18" spans="2:8" s="29" customFormat="1" ht="15" customHeight="1">
      <c r="B18" s="30"/>
      <c r="C18" s="35"/>
      <c r="D18" s="36" t="s">
        <v>30</v>
      </c>
      <c r="E18" s="37" t="s">
        <v>409</v>
      </c>
      <c r="F18" s="31"/>
      <c r="G18" s="194">
        <v>0</v>
      </c>
      <c r="H18" s="186"/>
    </row>
    <row r="19" spans="2:8" s="29" customFormat="1" ht="15" customHeight="1">
      <c r="B19" s="30"/>
      <c r="C19" s="35"/>
      <c r="D19" s="36" t="s">
        <v>31</v>
      </c>
      <c r="E19" s="37" t="s">
        <v>410</v>
      </c>
      <c r="F19" s="31"/>
      <c r="G19" s="186">
        <f>127728+139548</f>
        <v>267276</v>
      </c>
      <c r="H19" s="186"/>
    </row>
    <row r="20" spans="2:10" s="29" customFormat="1" ht="15" customHeight="1">
      <c r="B20" s="30"/>
      <c r="C20" s="32">
        <v>4</v>
      </c>
      <c r="D20" s="33" t="s">
        <v>34</v>
      </c>
      <c r="E20" s="34"/>
      <c r="F20" s="31"/>
      <c r="G20" s="187">
        <f>SUM(G21:G26)</f>
        <v>72106310.19680773</v>
      </c>
      <c r="H20" s="187">
        <f>SUM(H21:H26)</f>
        <v>51174889</v>
      </c>
      <c r="J20" s="22"/>
    </row>
    <row r="21" spans="2:10" s="29" customFormat="1" ht="15" customHeight="1">
      <c r="B21" s="30"/>
      <c r="C21" s="35"/>
      <c r="D21" s="36" t="s">
        <v>25</v>
      </c>
      <c r="E21" s="37" t="s">
        <v>314</v>
      </c>
      <c r="F21" s="31"/>
      <c r="G21" s="186">
        <v>30850229</v>
      </c>
      <c r="H21" s="186">
        <v>28756949</v>
      </c>
      <c r="J21" s="22"/>
    </row>
    <row r="22" spans="2:10" s="29" customFormat="1" ht="15" customHeight="1">
      <c r="B22" s="30"/>
      <c r="C22" s="35"/>
      <c r="D22" s="36" t="s">
        <v>26</v>
      </c>
      <c r="E22" s="37" t="s">
        <v>36</v>
      </c>
      <c r="F22" s="31"/>
      <c r="G22" s="186"/>
      <c r="H22" s="186"/>
      <c r="J22" s="22"/>
    </row>
    <row r="23" spans="2:10" s="29" customFormat="1" ht="15" customHeight="1">
      <c r="B23" s="30"/>
      <c r="C23" s="35"/>
      <c r="D23" s="36" t="s">
        <v>30</v>
      </c>
      <c r="E23" s="37" t="s">
        <v>37</v>
      </c>
      <c r="F23" s="31"/>
      <c r="G23" s="186">
        <f>'IVENTARET E DYQANIT'!F46+'IVENTARET E FABRIKES'!F319</f>
        <v>16985235.3</v>
      </c>
      <c r="H23" s="186">
        <v>9256678</v>
      </c>
      <c r="J23" s="22"/>
    </row>
    <row r="24" spans="2:13" s="29" customFormat="1" ht="15" customHeight="1">
      <c r="B24" s="30"/>
      <c r="C24" s="35"/>
      <c r="D24" s="36" t="s">
        <v>31</v>
      </c>
      <c r="E24" s="37" t="s">
        <v>38</v>
      </c>
      <c r="F24" s="31"/>
      <c r="G24" s="194">
        <f>'IVENTARET E DYQANIT'!F200+'IVENTARET E FABRIKES'!F236</f>
        <v>14737569.896807732</v>
      </c>
      <c r="H24" s="186">
        <f>9632892-187</f>
        <v>9632705</v>
      </c>
      <c r="J24" s="22"/>
      <c r="K24" s="22"/>
      <c r="M24" s="22"/>
    </row>
    <row r="25" spans="2:13" s="29" customFormat="1" ht="15" customHeight="1">
      <c r="B25" s="30"/>
      <c r="C25" s="35"/>
      <c r="D25" s="36" t="s">
        <v>32</v>
      </c>
      <c r="E25" s="37" t="s">
        <v>405</v>
      </c>
      <c r="F25" s="31"/>
      <c r="G25" s="194">
        <f>8331626+752350</f>
        <v>9083976</v>
      </c>
      <c r="H25" s="186">
        <v>3528557</v>
      </c>
      <c r="J25" s="22"/>
      <c r="K25" s="22"/>
      <c r="M25" s="22"/>
    </row>
    <row r="26" spans="2:8" s="29" customFormat="1" ht="15" customHeight="1">
      <c r="B26" s="30"/>
      <c r="C26" s="35"/>
      <c r="D26" s="191" t="s">
        <v>296</v>
      </c>
      <c r="E26" s="37" t="s">
        <v>404</v>
      </c>
      <c r="F26" s="31"/>
      <c r="G26" s="186">
        <f>65615+383685</f>
        <v>449300</v>
      </c>
      <c r="H26" s="186"/>
    </row>
    <row r="27" spans="2:8" s="29" customFormat="1" ht="15" customHeight="1">
      <c r="B27" s="30"/>
      <c r="C27" s="32">
        <v>5</v>
      </c>
      <c r="D27" s="33" t="s">
        <v>40</v>
      </c>
      <c r="E27" s="34"/>
      <c r="F27" s="31"/>
      <c r="G27" s="186"/>
      <c r="H27" s="186"/>
    </row>
    <row r="28" spans="2:11" s="29" customFormat="1" ht="15" customHeight="1">
      <c r="B28" s="30"/>
      <c r="C28" s="32">
        <v>6</v>
      </c>
      <c r="D28" s="33" t="s">
        <v>41</v>
      </c>
      <c r="E28" s="34"/>
      <c r="F28" s="31"/>
      <c r="G28" s="186"/>
      <c r="H28" s="186"/>
      <c r="K28" s="22"/>
    </row>
    <row r="29" spans="2:8" s="29" customFormat="1" ht="15" customHeight="1">
      <c r="B29" s="30"/>
      <c r="C29" s="32">
        <v>7</v>
      </c>
      <c r="D29" s="33" t="s">
        <v>42</v>
      </c>
      <c r="E29" s="34"/>
      <c r="F29" s="31"/>
      <c r="G29" s="186"/>
      <c r="H29" s="186"/>
    </row>
    <row r="30" spans="2:8" s="29" customFormat="1" ht="19.5" customHeight="1">
      <c r="B30" s="50" t="s">
        <v>7</v>
      </c>
      <c r="C30" s="501" t="s">
        <v>43</v>
      </c>
      <c r="D30" s="502"/>
      <c r="E30" s="503"/>
      <c r="F30" s="31"/>
      <c r="G30" s="187">
        <f>G36+G43</f>
        <v>54184108</v>
      </c>
      <c r="H30" s="187">
        <f>H31+H36+H42+H43+H47+H48</f>
        <v>45380478</v>
      </c>
    </row>
    <row r="31" spans="2:8" s="29" customFormat="1" ht="15" customHeight="1">
      <c r="B31" s="30"/>
      <c r="C31" s="32">
        <v>1</v>
      </c>
      <c r="D31" s="33" t="s">
        <v>44</v>
      </c>
      <c r="E31" s="34"/>
      <c r="F31" s="31"/>
      <c r="G31" s="186"/>
      <c r="H31" s="186"/>
    </row>
    <row r="32" spans="2:8" s="29" customFormat="1" ht="15" customHeight="1">
      <c r="B32" s="30"/>
      <c r="C32" s="35"/>
      <c r="D32" s="36" t="s">
        <v>45</v>
      </c>
      <c r="E32" s="37" t="s">
        <v>51</v>
      </c>
      <c r="F32" s="31"/>
      <c r="G32" s="186"/>
      <c r="H32" s="186"/>
    </row>
    <row r="33" spans="2:8" s="29" customFormat="1" ht="15" customHeight="1">
      <c r="B33" s="30"/>
      <c r="C33" s="35"/>
      <c r="D33" s="36" t="s">
        <v>26</v>
      </c>
      <c r="E33" s="37" t="s">
        <v>52</v>
      </c>
      <c r="F33" s="31"/>
      <c r="G33" s="186"/>
      <c r="H33" s="186"/>
    </row>
    <row r="34" spans="2:8" s="29" customFormat="1" ht="15" customHeight="1">
      <c r="B34" s="30"/>
      <c r="C34" s="35"/>
      <c r="D34" s="36" t="s">
        <v>30</v>
      </c>
      <c r="E34" s="37" t="s">
        <v>53</v>
      </c>
      <c r="F34" s="31"/>
      <c r="G34" s="186"/>
      <c r="H34" s="186"/>
    </row>
    <row r="35" spans="2:8" s="29" customFormat="1" ht="15" customHeight="1">
      <c r="B35" s="30"/>
      <c r="C35" s="35"/>
      <c r="D35" s="36" t="s">
        <v>31</v>
      </c>
      <c r="E35" s="37" t="s">
        <v>54</v>
      </c>
      <c r="F35" s="31"/>
      <c r="G35" s="186"/>
      <c r="H35" s="186"/>
    </row>
    <row r="36" spans="2:8" s="29" customFormat="1" ht="15" customHeight="1">
      <c r="B36" s="30"/>
      <c r="C36" s="32">
        <v>2</v>
      </c>
      <c r="D36" s="33" t="s">
        <v>46</v>
      </c>
      <c r="E36" s="38"/>
      <c r="F36" s="31"/>
      <c r="G36" s="187">
        <f>SUM(G37:G41)</f>
        <v>54107117</v>
      </c>
      <c r="H36" s="187">
        <f>H37+H38+H39+H40</f>
        <v>45277819</v>
      </c>
    </row>
    <row r="37" spans="2:8" s="29" customFormat="1" ht="15" customHeight="1">
      <c r="B37" s="30"/>
      <c r="C37" s="35"/>
      <c r="D37" s="36" t="s">
        <v>25</v>
      </c>
      <c r="E37" s="37" t="s">
        <v>55</v>
      </c>
      <c r="F37" s="31"/>
      <c r="G37" s="186">
        <v>1000000</v>
      </c>
      <c r="H37" s="186">
        <v>1000000</v>
      </c>
    </row>
    <row r="38" spans="2:8" s="29" customFormat="1" ht="15" customHeight="1">
      <c r="B38" s="30"/>
      <c r="C38" s="35"/>
      <c r="D38" s="36" t="s">
        <v>26</v>
      </c>
      <c r="E38" s="37" t="s">
        <v>8</v>
      </c>
      <c r="F38" s="31"/>
      <c r="G38" s="186">
        <v>27915506</v>
      </c>
      <c r="H38" s="186">
        <v>26277530</v>
      </c>
    </row>
    <row r="39" spans="2:8" s="29" customFormat="1" ht="15" customHeight="1">
      <c r="B39" s="30"/>
      <c r="C39" s="35"/>
      <c r="D39" s="36" t="s">
        <v>30</v>
      </c>
      <c r="E39" s="37" t="s">
        <v>56</v>
      </c>
      <c r="F39" s="31"/>
      <c r="G39" s="186">
        <v>17042753</v>
      </c>
      <c r="H39" s="186">
        <v>16721353</v>
      </c>
    </row>
    <row r="40" spans="2:8" s="29" customFormat="1" ht="15" customHeight="1">
      <c r="B40" s="30"/>
      <c r="C40" s="35"/>
      <c r="D40" s="36" t="s">
        <v>31</v>
      </c>
      <c r="E40" s="37" t="s">
        <v>59</v>
      </c>
      <c r="F40" s="31"/>
      <c r="G40" s="186">
        <v>1628865</v>
      </c>
      <c r="H40" s="186">
        <v>1278936</v>
      </c>
    </row>
    <row r="41" spans="2:8" s="29" customFormat="1" ht="15" customHeight="1">
      <c r="B41" s="30"/>
      <c r="C41" s="35"/>
      <c r="D41" s="51" t="s">
        <v>32</v>
      </c>
      <c r="E41" s="37" t="s">
        <v>406</v>
      </c>
      <c r="F41" s="31"/>
      <c r="G41" s="186">
        <f>2709400+3225678+584915</f>
        <v>6519993</v>
      </c>
      <c r="H41" s="186"/>
    </row>
    <row r="42" spans="2:8" s="29" customFormat="1" ht="15" customHeight="1">
      <c r="B42" s="30"/>
      <c r="C42" s="32">
        <v>3</v>
      </c>
      <c r="D42" s="33" t="s">
        <v>47</v>
      </c>
      <c r="E42" s="34"/>
      <c r="F42" s="31"/>
      <c r="G42" s="21"/>
      <c r="H42" s="21"/>
    </row>
    <row r="43" spans="2:8" s="29" customFormat="1" ht="15" customHeight="1">
      <c r="B43" s="30"/>
      <c r="C43" s="32">
        <v>4</v>
      </c>
      <c r="D43" s="33" t="s">
        <v>48</v>
      </c>
      <c r="E43" s="34"/>
      <c r="F43" s="31"/>
      <c r="G43" s="193">
        <f>SUM(G44:G46)</f>
        <v>76991</v>
      </c>
      <c r="H43" s="193">
        <f>H44+H45+H46</f>
        <v>102659</v>
      </c>
    </row>
    <row r="44" spans="2:8" s="29" customFormat="1" ht="15" customHeight="1">
      <c r="B44" s="30"/>
      <c r="C44" s="35"/>
      <c r="D44" s="36" t="s">
        <v>25</v>
      </c>
      <c r="E44" s="37" t="s">
        <v>57</v>
      </c>
      <c r="F44" s="31"/>
      <c r="G44" s="21"/>
      <c r="H44" s="21"/>
    </row>
    <row r="45" spans="2:8" s="29" customFormat="1" ht="15" customHeight="1">
      <c r="B45" s="30"/>
      <c r="C45" s="35"/>
      <c r="D45" s="36" t="s">
        <v>26</v>
      </c>
      <c r="E45" s="37" t="s">
        <v>58</v>
      </c>
      <c r="F45" s="31"/>
      <c r="G45" s="21"/>
      <c r="H45" s="21"/>
    </row>
    <row r="46" spans="2:8" s="29" customFormat="1" ht="15" customHeight="1">
      <c r="B46" s="30"/>
      <c r="C46" s="35"/>
      <c r="D46" s="36" t="s">
        <v>30</v>
      </c>
      <c r="E46" s="37" t="s">
        <v>60</v>
      </c>
      <c r="F46" s="31"/>
      <c r="G46" s="21">
        <v>76991</v>
      </c>
      <c r="H46" s="21">
        <v>102659</v>
      </c>
    </row>
    <row r="47" spans="2:8" s="29" customFormat="1" ht="15" customHeight="1">
      <c r="B47" s="30"/>
      <c r="C47" s="32">
        <v>5</v>
      </c>
      <c r="D47" s="33" t="s">
        <v>49</v>
      </c>
      <c r="E47" s="34"/>
      <c r="F47" s="31"/>
      <c r="G47" s="21"/>
      <c r="H47" s="21"/>
    </row>
    <row r="48" spans="2:8" s="29" customFormat="1" ht="15" customHeight="1">
      <c r="B48" s="30"/>
      <c r="C48" s="32">
        <v>6</v>
      </c>
      <c r="D48" s="33" t="s">
        <v>50</v>
      </c>
      <c r="E48" s="34"/>
      <c r="F48" s="31"/>
      <c r="G48" s="21"/>
      <c r="H48" s="21"/>
    </row>
    <row r="49" spans="2:8" s="29" customFormat="1" ht="35.25" customHeight="1">
      <c r="B49" s="31"/>
      <c r="C49" s="501" t="s">
        <v>97</v>
      </c>
      <c r="D49" s="502"/>
      <c r="E49" s="503"/>
      <c r="F49" s="31"/>
      <c r="G49" s="193">
        <f>G9+G15+G20+G36+G43-2</f>
        <v>180946295.19680774</v>
      </c>
      <c r="H49" s="193">
        <f>H8+H30</f>
        <v>141797825</v>
      </c>
    </row>
    <row r="50" spans="2:8" s="29" customFormat="1" ht="15.75" customHeight="1">
      <c r="B50" s="40"/>
      <c r="C50" s="40"/>
      <c r="D50" s="40"/>
      <c r="E50" s="40"/>
      <c r="F50" s="41"/>
      <c r="H50" s="42"/>
    </row>
    <row r="51" spans="2:8" s="29" customFormat="1" ht="15.75" customHeight="1">
      <c r="B51" s="40"/>
      <c r="C51" s="40"/>
      <c r="D51" s="40"/>
      <c r="E51" s="40"/>
      <c r="F51" s="41"/>
      <c r="G51" s="42"/>
      <c r="H51" s="42"/>
    </row>
    <row r="52" ht="12.75">
      <c r="G52" s="42">
        <f>G49-Pasivet!G41</f>
        <v>3.639680802822113</v>
      </c>
    </row>
  </sheetData>
  <sheetProtection/>
  <mergeCells count="8">
    <mergeCell ref="G2:H2"/>
    <mergeCell ref="B4:H4"/>
    <mergeCell ref="C30:E30"/>
    <mergeCell ref="C49:E49"/>
    <mergeCell ref="F6:F7"/>
    <mergeCell ref="C6:E7"/>
    <mergeCell ref="B6:B7"/>
    <mergeCell ref="C8:E8"/>
  </mergeCells>
  <printOptions horizontalCentered="1" verticalCentered="1"/>
  <pageMargins left="0" right="0" top="0.17" bottom="0" header="0.37" footer="0.27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2"/>
  <sheetViews>
    <sheetView zoomScalePageLayoutView="0" workbookViewId="0" topLeftCell="A34">
      <selection activeCell="G18" sqref="G18"/>
    </sheetView>
  </sheetViews>
  <sheetFormatPr defaultColWidth="9.140625" defaultRowHeight="12.75"/>
  <cols>
    <col min="1" max="1" width="2.0039062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6" width="8.28125" style="0" customWidth="1"/>
    <col min="7" max="8" width="15.7109375" style="18" customWidth="1"/>
    <col min="9" max="9" width="1.421875" style="0" customWidth="1"/>
  </cols>
  <sheetData>
    <row r="1" ht="12.75"/>
    <row r="2" spans="2:8" s="29" customFormat="1" ht="18">
      <c r="B2" s="46" t="s">
        <v>371</v>
      </c>
      <c r="C2" s="47"/>
      <c r="D2" s="47"/>
      <c r="E2" s="48"/>
      <c r="G2" s="499" t="s">
        <v>281</v>
      </c>
      <c r="H2" s="499"/>
    </row>
    <row r="3" spans="2:8" s="29" customFormat="1" ht="6" customHeight="1">
      <c r="B3" s="46"/>
      <c r="C3" s="47"/>
      <c r="D3" s="47"/>
      <c r="E3" s="48"/>
      <c r="G3" s="64"/>
      <c r="H3" s="64"/>
    </row>
    <row r="4" spans="2:8" s="29" customFormat="1" ht="18" customHeight="1">
      <c r="B4" s="500" t="s">
        <v>403</v>
      </c>
      <c r="C4" s="500"/>
      <c r="D4" s="500"/>
      <c r="E4" s="500"/>
      <c r="F4" s="500"/>
      <c r="G4" s="500"/>
      <c r="H4" s="500"/>
    </row>
    <row r="5" ht="6.75" customHeight="1"/>
    <row r="6" spans="2:8" s="29" customFormat="1" ht="15.75" customHeight="1">
      <c r="B6" s="504" t="s">
        <v>5</v>
      </c>
      <c r="C6" s="506" t="s">
        <v>92</v>
      </c>
      <c r="D6" s="507"/>
      <c r="E6" s="508"/>
      <c r="F6" s="504" t="s">
        <v>18</v>
      </c>
      <c r="G6" s="43" t="s">
        <v>19</v>
      </c>
      <c r="H6" s="43" t="s">
        <v>19</v>
      </c>
    </row>
    <row r="7" spans="2:8" s="29" customFormat="1" ht="15.75" customHeight="1">
      <c r="B7" s="505"/>
      <c r="C7" s="509"/>
      <c r="D7" s="510"/>
      <c r="E7" s="511"/>
      <c r="F7" s="505"/>
      <c r="G7" s="44" t="s">
        <v>20</v>
      </c>
      <c r="H7" s="45" t="s">
        <v>21</v>
      </c>
    </row>
    <row r="8" spans="2:8" s="29" customFormat="1" ht="24.75" customHeight="1">
      <c r="B8" s="50" t="s">
        <v>6</v>
      </c>
      <c r="C8" s="501" t="s">
        <v>93</v>
      </c>
      <c r="D8" s="502"/>
      <c r="E8" s="503"/>
      <c r="F8" s="31"/>
      <c r="G8" s="193">
        <f>G10+G14</f>
        <v>91981915</v>
      </c>
      <c r="H8" s="193">
        <f>H9+H10+H14+H20+H21</f>
        <v>83681434</v>
      </c>
    </row>
    <row r="9" spans="2:8" s="29" customFormat="1" ht="15.75" customHeight="1">
      <c r="B9" s="30"/>
      <c r="C9" s="32">
        <v>1</v>
      </c>
      <c r="D9" s="33" t="s">
        <v>61</v>
      </c>
      <c r="E9" s="34"/>
      <c r="F9" s="31"/>
      <c r="G9" s="186"/>
      <c r="H9" s="186"/>
    </row>
    <row r="10" spans="2:8" s="29" customFormat="1" ht="15.75" customHeight="1">
      <c r="B10" s="30"/>
      <c r="C10" s="32">
        <v>2</v>
      </c>
      <c r="D10" s="33" t="s">
        <v>62</v>
      </c>
      <c r="E10" s="34"/>
      <c r="F10" s="31"/>
      <c r="G10" s="187">
        <f>SUM(G11:G13)</f>
        <v>0</v>
      </c>
      <c r="H10" s="186">
        <f>H11+H12+H13</f>
        <v>0</v>
      </c>
    </row>
    <row r="11" spans="2:8" s="29" customFormat="1" ht="15.75" customHeight="1">
      <c r="B11" s="30"/>
      <c r="C11" s="35"/>
      <c r="D11" s="36" t="s">
        <v>25</v>
      </c>
      <c r="E11" s="37" t="s">
        <v>71</v>
      </c>
      <c r="F11" s="31"/>
      <c r="G11" s="186">
        <f>18-18</f>
        <v>0</v>
      </c>
      <c r="H11" s="186"/>
    </row>
    <row r="12" spans="2:8" s="29" customFormat="1" ht="15.75" customHeight="1">
      <c r="B12" s="30"/>
      <c r="C12" s="35"/>
      <c r="D12" s="36" t="s">
        <v>26</v>
      </c>
      <c r="E12" s="37" t="s">
        <v>68</v>
      </c>
      <c r="F12" s="31"/>
      <c r="G12" s="186"/>
      <c r="H12" s="186"/>
    </row>
    <row r="13" spans="2:8" s="29" customFormat="1" ht="15.75" customHeight="1">
      <c r="B13" s="30"/>
      <c r="C13" s="35"/>
      <c r="D13" s="36" t="s">
        <v>30</v>
      </c>
      <c r="E13" s="37" t="s">
        <v>69</v>
      </c>
      <c r="F13" s="31"/>
      <c r="G13" s="186"/>
      <c r="H13" s="186"/>
    </row>
    <row r="14" spans="2:8" s="29" customFormat="1" ht="15.75" customHeight="1">
      <c r="B14" s="30"/>
      <c r="C14" s="32">
        <v>3</v>
      </c>
      <c r="D14" s="33" t="s">
        <v>63</v>
      </c>
      <c r="E14" s="34"/>
      <c r="F14" s="31"/>
      <c r="G14" s="187">
        <f>SUM(G15:G19)</f>
        <v>91981915</v>
      </c>
      <c r="H14" s="187">
        <f>H15+H16+H17+H18+H19</f>
        <v>83681434</v>
      </c>
    </row>
    <row r="15" spans="2:8" s="29" customFormat="1" ht="15.75" customHeight="1">
      <c r="B15" s="30"/>
      <c r="C15" s="35"/>
      <c r="D15" s="36" t="s">
        <v>25</v>
      </c>
      <c r="E15" s="37" t="s">
        <v>72</v>
      </c>
      <c r="F15" s="31"/>
      <c r="G15" s="186">
        <f>101277717-10679142+18</f>
        <v>90598593</v>
      </c>
      <c r="H15" s="186">
        <v>81947566</v>
      </c>
    </row>
    <row r="16" spans="2:8" s="29" customFormat="1" ht="15.75" customHeight="1">
      <c r="B16" s="30"/>
      <c r="C16" s="35"/>
      <c r="D16" s="36" t="s">
        <v>26</v>
      </c>
      <c r="E16" s="37" t="s">
        <v>123</v>
      </c>
      <c r="F16" s="31"/>
      <c r="G16" s="186">
        <v>246413</v>
      </c>
      <c r="H16" s="186">
        <v>428477</v>
      </c>
    </row>
    <row r="17" spans="2:8" s="29" customFormat="1" ht="15.75" customHeight="1">
      <c r="B17" s="30"/>
      <c r="C17" s="35"/>
      <c r="D17" s="36" t="s">
        <v>30</v>
      </c>
      <c r="E17" s="37" t="s">
        <v>73</v>
      </c>
      <c r="F17" s="31"/>
      <c r="G17" s="186">
        <f>136338+43446</f>
        <v>179784</v>
      </c>
      <c r="H17" s="186">
        <f>88046+217345</f>
        <v>305391</v>
      </c>
    </row>
    <row r="18" spans="2:8" s="29" customFormat="1" ht="15.75" customHeight="1">
      <c r="B18" s="30"/>
      <c r="C18" s="35"/>
      <c r="D18" s="36" t="s">
        <v>31</v>
      </c>
      <c r="E18" s="37" t="s">
        <v>74</v>
      </c>
      <c r="F18" s="31"/>
      <c r="G18" s="186">
        <v>957125</v>
      </c>
      <c r="H18" s="186">
        <v>1000000</v>
      </c>
    </row>
    <row r="19" spans="2:8" s="29" customFormat="1" ht="15.75" customHeight="1">
      <c r="B19" s="30"/>
      <c r="C19" s="35"/>
      <c r="D19" s="36" t="s">
        <v>32</v>
      </c>
      <c r="E19" s="37" t="s">
        <v>75</v>
      </c>
      <c r="F19" s="31"/>
      <c r="G19" s="186"/>
      <c r="H19" s="186"/>
    </row>
    <row r="20" spans="2:8" s="29" customFormat="1" ht="15.75" customHeight="1">
      <c r="B20" s="30"/>
      <c r="C20" s="32">
        <v>4</v>
      </c>
      <c r="D20" s="33" t="s">
        <v>64</v>
      </c>
      <c r="E20" s="34"/>
      <c r="F20" s="31"/>
      <c r="G20" s="186"/>
      <c r="H20" s="186"/>
    </row>
    <row r="21" spans="2:8" s="29" customFormat="1" ht="15.75" customHeight="1">
      <c r="B21" s="30"/>
      <c r="C21" s="32">
        <v>5</v>
      </c>
      <c r="D21" s="33" t="s">
        <v>65</v>
      </c>
      <c r="E21" s="34"/>
      <c r="F21" s="31"/>
      <c r="G21" s="186"/>
      <c r="H21" s="186"/>
    </row>
    <row r="22" spans="2:8" s="29" customFormat="1" ht="24.75" customHeight="1">
      <c r="B22" s="50" t="s">
        <v>7</v>
      </c>
      <c r="C22" s="501" t="s">
        <v>94</v>
      </c>
      <c r="D22" s="502"/>
      <c r="E22" s="503"/>
      <c r="F22" s="31"/>
      <c r="G22" s="187">
        <f>G23+G26</f>
        <v>51982345</v>
      </c>
      <c r="H22" s="187">
        <f>H23+H26+H27+H28</f>
        <v>32204690</v>
      </c>
    </row>
    <row r="23" spans="2:8" s="29" customFormat="1" ht="15.75" customHeight="1">
      <c r="B23" s="30"/>
      <c r="C23" s="32">
        <v>1</v>
      </c>
      <c r="D23" s="33" t="s">
        <v>76</v>
      </c>
      <c r="E23" s="38"/>
      <c r="F23" s="31"/>
      <c r="G23" s="187">
        <f>SUM(G24)</f>
        <v>50911345</v>
      </c>
      <c r="H23" s="186">
        <f>H24+H25</f>
        <v>31286690</v>
      </c>
    </row>
    <row r="24" spans="2:8" s="29" customFormat="1" ht="15.75" customHeight="1">
      <c r="B24" s="30"/>
      <c r="C24" s="35"/>
      <c r="D24" s="36" t="s">
        <v>25</v>
      </c>
      <c r="E24" s="37" t="s">
        <v>77</v>
      </c>
      <c r="F24" s="31"/>
      <c r="G24" s="186">
        <v>50911345</v>
      </c>
      <c r="H24" s="186">
        <v>31286690</v>
      </c>
    </row>
    <row r="25" spans="2:8" s="29" customFormat="1" ht="15.75" customHeight="1">
      <c r="B25" s="30"/>
      <c r="C25" s="35"/>
      <c r="D25" s="36" t="s">
        <v>26</v>
      </c>
      <c r="E25" s="37" t="s">
        <v>69</v>
      </c>
      <c r="F25" s="31"/>
      <c r="G25" s="186"/>
      <c r="H25" s="186"/>
    </row>
    <row r="26" spans="2:8" s="29" customFormat="1" ht="15.75" customHeight="1">
      <c r="B26" s="30"/>
      <c r="C26" s="32">
        <v>2</v>
      </c>
      <c r="D26" s="33" t="s">
        <v>78</v>
      </c>
      <c r="E26" s="34"/>
      <c r="F26" s="31"/>
      <c r="G26" s="187">
        <v>1071000</v>
      </c>
      <c r="H26" s="187">
        <v>918000</v>
      </c>
    </row>
    <row r="27" spans="2:8" s="29" customFormat="1" ht="15.75" customHeight="1">
      <c r="B27" s="30"/>
      <c r="C27" s="32">
        <v>3</v>
      </c>
      <c r="D27" s="33" t="s">
        <v>64</v>
      </c>
      <c r="E27" s="34"/>
      <c r="F27" s="31"/>
      <c r="G27" s="186"/>
      <c r="H27" s="186"/>
    </row>
    <row r="28" spans="2:8" s="29" customFormat="1" ht="15.75" customHeight="1">
      <c r="B28" s="30"/>
      <c r="C28" s="32">
        <v>4</v>
      </c>
      <c r="D28" s="33" t="s">
        <v>79</v>
      </c>
      <c r="E28" s="34"/>
      <c r="F28" s="31"/>
      <c r="G28" s="186"/>
      <c r="H28" s="186"/>
    </row>
    <row r="29" spans="2:8" s="29" customFormat="1" ht="24.75" customHeight="1">
      <c r="B29" s="30"/>
      <c r="C29" s="501" t="s">
        <v>96</v>
      </c>
      <c r="D29" s="502"/>
      <c r="E29" s="503"/>
      <c r="F29" s="31"/>
      <c r="G29" s="187">
        <f>G26+G23+G14+G10</f>
        <v>143964260</v>
      </c>
      <c r="H29" s="187">
        <f>H8+H22</f>
        <v>115886124</v>
      </c>
    </row>
    <row r="30" spans="2:8" s="29" customFormat="1" ht="24.75" customHeight="1">
      <c r="B30" s="50" t="s">
        <v>80</v>
      </c>
      <c r="C30" s="501" t="s">
        <v>81</v>
      </c>
      <c r="D30" s="502"/>
      <c r="E30" s="503"/>
      <c r="F30" s="31"/>
      <c r="G30" s="187">
        <f>G33+G37+G39+G40</f>
        <v>36982031.557126954</v>
      </c>
      <c r="H30" s="187">
        <f>H31+H32+H33+H34+H35+H36+H37+H38+H39+H40</f>
        <v>25911701</v>
      </c>
    </row>
    <row r="31" spans="2:8" s="29" customFormat="1" ht="15.75" customHeight="1">
      <c r="B31" s="30"/>
      <c r="C31" s="32">
        <v>1</v>
      </c>
      <c r="D31" s="33" t="s">
        <v>82</v>
      </c>
      <c r="E31" s="34"/>
      <c r="F31" s="31"/>
      <c r="G31" s="186"/>
      <c r="H31" s="186"/>
    </row>
    <row r="32" spans="2:8" s="29" customFormat="1" ht="15.75" customHeight="1">
      <c r="B32" s="30"/>
      <c r="C32" s="55">
        <v>2</v>
      </c>
      <c r="D32" s="33" t="s">
        <v>83</v>
      </c>
      <c r="E32" s="34"/>
      <c r="F32" s="31"/>
      <c r="G32" s="186"/>
      <c r="H32" s="186"/>
    </row>
    <row r="33" spans="2:8" s="29" customFormat="1" ht="15.75" customHeight="1">
      <c r="B33" s="30"/>
      <c r="C33" s="32">
        <v>3</v>
      </c>
      <c r="D33" s="33" t="s">
        <v>84</v>
      </c>
      <c r="E33" s="34"/>
      <c r="F33" s="31"/>
      <c r="G33" s="186">
        <v>17678009</v>
      </c>
      <c r="H33" s="186">
        <v>17678009</v>
      </c>
    </row>
    <row r="34" spans="2:8" s="29" customFormat="1" ht="15.75" customHeight="1">
      <c r="B34" s="30"/>
      <c r="C34" s="55">
        <v>4</v>
      </c>
      <c r="D34" s="33" t="s">
        <v>85</v>
      </c>
      <c r="E34" s="34"/>
      <c r="F34" s="31"/>
      <c r="G34" s="186"/>
      <c r="H34" s="186"/>
    </row>
    <row r="35" spans="2:8" s="29" customFormat="1" ht="15.75" customHeight="1">
      <c r="B35" s="30"/>
      <c r="C35" s="32">
        <v>5</v>
      </c>
      <c r="D35" s="33" t="s">
        <v>86</v>
      </c>
      <c r="E35" s="34"/>
      <c r="F35" s="31"/>
      <c r="G35" s="186"/>
      <c r="H35" s="186"/>
    </row>
    <row r="36" spans="2:8" s="29" customFormat="1" ht="15.75" customHeight="1">
      <c r="B36" s="30"/>
      <c r="C36" s="55">
        <v>6</v>
      </c>
      <c r="D36" s="33" t="s">
        <v>87</v>
      </c>
      <c r="E36" s="34"/>
      <c r="F36" s="31"/>
      <c r="G36" s="186"/>
      <c r="H36" s="186"/>
    </row>
    <row r="37" spans="2:8" s="29" customFormat="1" ht="15.75" customHeight="1">
      <c r="B37" s="30"/>
      <c r="C37" s="32">
        <v>7</v>
      </c>
      <c r="D37" s="33" t="s">
        <v>88</v>
      </c>
      <c r="E37" s="34"/>
      <c r="F37" s="31"/>
      <c r="G37" s="186">
        <v>249080</v>
      </c>
      <c r="H37" s="186">
        <v>249080</v>
      </c>
    </row>
    <row r="38" spans="2:8" s="29" customFormat="1" ht="15.75" customHeight="1">
      <c r="B38" s="30"/>
      <c r="C38" s="55">
        <v>8</v>
      </c>
      <c r="D38" s="33" t="s">
        <v>89</v>
      </c>
      <c r="E38" s="34"/>
      <c r="F38" s="31"/>
      <c r="G38" s="186"/>
      <c r="H38" s="186"/>
    </row>
    <row r="39" spans="2:8" s="29" customFormat="1" ht="15.75" customHeight="1">
      <c r="B39" s="30"/>
      <c r="C39" s="32">
        <v>9</v>
      </c>
      <c r="D39" s="33" t="s">
        <v>90</v>
      </c>
      <c r="E39" s="34"/>
      <c r="F39" s="31"/>
      <c r="G39" s="186">
        <v>7984612</v>
      </c>
      <c r="H39" s="186"/>
    </row>
    <row r="40" spans="2:8" s="29" customFormat="1" ht="15.75" customHeight="1">
      <c r="B40" s="30"/>
      <c r="C40" s="55">
        <v>10</v>
      </c>
      <c r="D40" s="33" t="s">
        <v>91</v>
      </c>
      <c r="E40" s="34"/>
      <c r="F40" s="31"/>
      <c r="G40" s="186">
        <f>'Ardh.Shpenz.1'!F37</f>
        <v>11070330.557126954</v>
      </c>
      <c r="H40" s="186">
        <v>7984612</v>
      </c>
    </row>
    <row r="41" spans="2:8" s="29" customFormat="1" ht="24.75" customHeight="1">
      <c r="B41" s="30"/>
      <c r="C41" s="501" t="s">
        <v>95</v>
      </c>
      <c r="D41" s="502"/>
      <c r="E41" s="503"/>
      <c r="F41" s="31"/>
      <c r="G41" s="187">
        <f>G30+G29</f>
        <v>180946291.55712694</v>
      </c>
      <c r="H41" s="187">
        <f>H8+H22+H30</f>
        <v>141797825</v>
      </c>
    </row>
    <row r="42" spans="2:8" s="29" customFormat="1" ht="15.75" customHeight="1">
      <c r="B42" s="40"/>
      <c r="C42" s="40"/>
      <c r="D42" s="56"/>
      <c r="E42" s="41"/>
      <c r="F42" s="41"/>
      <c r="G42" s="42"/>
      <c r="H42" s="42"/>
    </row>
    <row r="43" spans="2:8" s="29" customFormat="1" ht="15.75" customHeight="1">
      <c r="B43" s="40"/>
      <c r="C43" s="40"/>
      <c r="D43" s="56"/>
      <c r="E43" s="41"/>
      <c r="F43" s="41"/>
      <c r="G43" s="42"/>
      <c r="H43" s="42"/>
    </row>
    <row r="44" spans="2:8" s="29" customFormat="1" ht="15.75" customHeight="1">
      <c r="B44" s="40"/>
      <c r="C44" s="40"/>
      <c r="D44" s="56"/>
      <c r="E44" s="41"/>
      <c r="F44" s="41"/>
      <c r="G44" s="42"/>
      <c r="H44" s="42"/>
    </row>
    <row r="45" spans="2:8" s="29" customFormat="1" ht="15.75" customHeight="1">
      <c r="B45" s="40"/>
      <c r="C45" s="40"/>
      <c r="D45" s="56"/>
      <c r="E45" s="41"/>
      <c r="F45" s="41"/>
      <c r="G45" s="42"/>
      <c r="H45" s="42"/>
    </row>
    <row r="46" spans="2:8" s="29" customFormat="1" ht="15.75" customHeight="1">
      <c r="B46" s="40"/>
      <c r="C46" s="40"/>
      <c r="D46" s="56"/>
      <c r="E46" s="41"/>
      <c r="F46" s="41"/>
      <c r="G46" s="42"/>
      <c r="H46" s="42"/>
    </row>
    <row r="47" spans="2:8" s="29" customFormat="1" ht="15.75" customHeight="1">
      <c r="B47" s="40"/>
      <c r="C47" s="40"/>
      <c r="D47" s="56"/>
      <c r="E47" s="41"/>
      <c r="F47" s="41"/>
      <c r="G47" s="42"/>
      <c r="H47" s="42"/>
    </row>
    <row r="48" spans="2:8" s="29" customFormat="1" ht="15.75" customHeight="1">
      <c r="B48" s="40"/>
      <c r="C48" s="40"/>
      <c r="D48" s="56"/>
      <c r="E48" s="41"/>
      <c r="F48" s="41"/>
      <c r="G48" s="42"/>
      <c r="H48" s="42"/>
    </row>
    <row r="49" spans="2:8" s="29" customFormat="1" ht="15.75" customHeight="1">
      <c r="B49" s="40"/>
      <c r="C49" s="40"/>
      <c r="D49" s="56"/>
      <c r="E49" s="41"/>
      <c r="F49" s="41"/>
      <c r="G49" s="42"/>
      <c r="H49" s="42"/>
    </row>
    <row r="50" spans="2:8" s="29" customFormat="1" ht="15.75" customHeight="1">
      <c r="B50" s="40"/>
      <c r="C50" s="40"/>
      <c r="D50" s="56"/>
      <c r="E50" s="41"/>
      <c r="F50" s="41"/>
      <c r="G50" s="42"/>
      <c r="H50" s="42"/>
    </row>
    <row r="51" spans="2:8" s="29" customFormat="1" ht="15.75" customHeight="1">
      <c r="B51" s="40"/>
      <c r="C51" s="40"/>
      <c r="D51" s="40"/>
      <c r="E51" s="40"/>
      <c r="F51" s="41"/>
      <c r="G51" s="42"/>
      <c r="H51" s="42"/>
    </row>
    <row r="52" spans="2:8" ht="12.75">
      <c r="B52" s="10"/>
      <c r="C52" s="10"/>
      <c r="D52" s="39"/>
      <c r="E52" s="5"/>
      <c r="F52" s="5"/>
      <c r="G52" s="20"/>
      <c r="H52" s="20"/>
    </row>
  </sheetData>
  <sheetProtection/>
  <mergeCells count="10">
    <mergeCell ref="G2:H2"/>
    <mergeCell ref="B4:H4"/>
    <mergeCell ref="C29:E29"/>
    <mergeCell ref="C8:E8"/>
    <mergeCell ref="F6:F7"/>
    <mergeCell ref="C41:E41"/>
    <mergeCell ref="B6:B7"/>
    <mergeCell ref="C6:E7"/>
    <mergeCell ref="C22:E22"/>
    <mergeCell ref="C30:E30"/>
  </mergeCells>
  <printOptions horizontalCentered="1" verticalCentered="1"/>
  <pageMargins left="0" right="0" top="0" bottom="0" header="0.511811023622047" footer="0.511811023622047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J56"/>
  <sheetViews>
    <sheetView zoomScalePageLayoutView="0" workbookViewId="0" topLeftCell="B1">
      <selection activeCell="E47" sqref="E47"/>
    </sheetView>
  </sheetViews>
  <sheetFormatPr defaultColWidth="9.140625" defaultRowHeight="12.75"/>
  <cols>
    <col min="1" max="1" width="0.9921875" style="0" customWidth="1"/>
    <col min="2" max="3" width="3.7109375" style="19" customWidth="1"/>
    <col min="4" max="4" width="2.7109375" style="19" customWidth="1"/>
    <col min="5" max="5" width="56.8515625" style="0" customWidth="1"/>
    <col min="6" max="6" width="14.8515625" style="18" customWidth="1"/>
    <col min="7" max="7" width="14.00390625" style="18" customWidth="1"/>
    <col min="8" max="8" width="1.421875" style="0" customWidth="1"/>
    <col min="9" max="9" width="11.7109375" style="0" bestFit="1" customWidth="1"/>
    <col min="10" max="10" width="10.140625" style="0" bestFit="1" customWidth="1"/>
  </cols>
  <sheetData>
    <row r="2" spans="2:7" s="29" customFormat="1" ht="18">
      <c r="B2" s="46" t="s">
        <v>388</v>
      </c>
      <c r="C2" s="46"/>
      <c r="D2" s="47"/>
      <c r="E2" s="48"/>
      <c r="F2" s="64" t="s">
        <v>282</v>
      </c>
      <c r="G2" s="22"/>
    </row>
    <row r="3" spans="2:7" s="29" customFormat="1" ht="9" customHeight="1">
      <c r="B3" s="46"/>
      <c r="C3" s="46"/>
      <c r="D3" s="47"/>
      <c r="E3" s="48"/>
      <c r="F3" s="64"/>
      <c r="G3" s="22"/>
    </row>
    <row r="4" spans="2:7" s="29" customFormat="1" ht="16.5" customHeight="1">
      <c r="B4" s="512" t="s">
        <v>398</v>
      </c>
      <c r="C4" s="512"/>
      <c r="D4" s="512"/>
      <c r="E4" s="512"/>
      <c r="F4" s="512"/>
      <c r="G4" s="512"/>
    </row>
    <row r="5" ht="6.75" customHeight="1"/>
    <row r="6" spans="2:7" s="29" customFormat="1" ht="15.75" customHeight="1">
      <c r="B6" s="504" t="s">
        <v>5</v>
      </c>
      <c r="C6" s="506"/>
      <c r="D6" s="507"/>
      <c r="E6" s="508"/>
      <c r="F6" s="271" t="s">
        <v>19</v>
      </c>
      <c r="G6" s="271" t="s">
        <v>19</v>
      </c>
    </row>
    <row r="7" spans="2:7" s="29" customFormat="1" ht="15.75" customHeight="1">
      <c r="B7" s="505"/>
      <c r="C7" s="509"/>
      <c r="D7" s="510"/>
      <c r="E7" s="511"/>
      <c r="F7" s="272" t="s">
        <v>20</v>
      </c>
      <c r="G7" s="273" t="s">
        <v>21</v>
      </c>
    </row>
    <row r="8" spans="2:7" s="251" customFormat="1" ht="15.75" customHeight="1">
      <c r="B8" s="250"/>
      <c r="C8" s="275" t="s">
        <v>399</v>
      </c>
      <c r="D8" s="225"/>
      <c r="E8" s="225"/>
      <c r="F8" s="186">
        <f>82579490+19485879+1146480</f>
        <v>103211849</v>
      </c>
      <c r="G8" s="186">
        <v>83498098</v>
      </c>
    </row>
    <row r="9" spans="2:9" s="251" customFormat="1" ht="15.75" customHeight="1">
      <c r="B9" s="250"/>
      <c r="C9" s="275" t="s">
        <v>400</v>
      </c>
      <c r="D9" s="225"/>
      <c r="E9" s="225"/>
      <c r="F9" s="186">
        <f>400000+779410</f>
        <v>1179410</v>
      </c>
      <c r="G9" s="186"/>
      <c r="I9" s="252"/>
    </row>
    <row r="10" spans="2:9" s="251" customFormat="1" ht="15.75" customHeight="1">
      <c r="B10" s="250"/>
      <c r="C10" s="275" t="s">
        <v>401</v>
      </c>
      <c r="D10" s="225"/>
      <c r="E10" s="225"/>
      <c r="F10" s="186">
        <f>2964207</f>
        <v>2964207</v>
      </c>
      <c r="G10" s="186"/>
      <c r="I10" s="252"/>
    </row>
    <row r="11" spans="2:7" s="251" customFormat="1" ht="15.75" customHeight="1">
      <c r="B11" s="250"/>
      <c r="C11" s="275" t="s">
        <v>402</v>
      </c>
      <c r="D11" s="225"/>
      <c r="E11" s="225"/>
      <c r="F11" s="186">
        <f>2709400+3225678</f>
        <v>5935078</v>
      </c>
      <c r="G11" s="186"/>
    </row>
    <row r="12" spans="2:7" s="29" customFormat="1" ht="15.75" customHeight="1">
      <c r="B12" s="30"/>
      <c r="C12" s="276" t="s">
        <v>98</v>
      </c>
      <c r="D12" s="31"/>
      <c r="E12" s="31"/>
      <c r="F12" s="21"/>
      <c r="G12" s="21"/>
    </row>
    <row r="13" spans="2:9" s="29" customFormat="1" ht="15.75" customHeight="1">
      <c r="B13" s="504"/>
      <c r="C13" s="52"/>
      <c r="D13" s="59" t="s">
        <v>99</v>
      </c>
      <c r="F13" s="189">
        <f>Aktivet!G23-Aktivet!H23</f>
        <v>7728557.300000001</v>
      </c>
      <c r="G13" s="189">
        <v>-2128472</v>
      </c>
      <c r="I13" s="22"/>
    </row>
    <row r="14" spans="2:9" s="29" customFormat="1" ht="15.75" customHeight="1">
      <c r="B14" s="505"/>
      <c r="C14" s="53"/>
      <c r="D14" s="60" t="s">
        <v>100</v>
      </c>
      <c r="E14" s="28"/>
      <c r="F14" s="190"/>
      <c r="G14" s="190"/>
      <c r="I14" s="22"/>
    </row>
    <row r="15" spans="2:7" s="29" customFormat="1" ht="15.75" customHeight="1">
      <c r="B15" s="504"/>
      <c r="C15" s="52"/>
      <c r="D15" s="59" t="s">
        <v>101</v>
      </c>
      <c r="F15" s="189"/>
      <c r="G15" s="189"/>
    </row>
    <row r="16" spans="2:7" s="29" customFormat="1" ht="15.75" customHeight="1">
      <c r="B16" s="505"/>
      <c r="C16" s="53"/>
      <c r="D16" s="60" t="s">
        <v>102</v>
      </c>
      <c r="E16" s="28"/>
      <c r="F16" s="190"/>
      <c r="G16" s="190"/>
    </row>
    <row r="17" spans="2:7" s="29" customFormat="1" ht="15.75" customHeight="1">
      <c r="B17" s="30"/>
      <c r="C17" s="35"/>
      <c r="D17" s="34" t="s">
        <v>103</v>
      </c>
      <c r="E17" s="31"/>
      <c r="F17" s="187">
        <f>-(Aktivet!H21+Aktivet!H24+79319807-Aktivet!G21-Aktivet!G24)</f>
        <v>-72121662.10319227</v>
      </c>
      <c r="G17" s="193">
        <v>-50297031</v>
      </c>
    </row>
    <row r="18" spans="2:9" s="29" customFormat="1" ht="15.75" customHeight="1">
      <c r="B18" s="30"/>
      <c r="C18" s="35"/>
      <c r="D18" s="172" t="s">
        <v>407</v>
      </c>
      <c r="E18" s="31"/>
      <c r="F18" s="187">
        <f>-(3528557+13912512-9083976)</f>
        <v>-8357093</v>
      </c>
      <c r="G18" s="193"/>
      <c r="I18" s="22"/>
    </row>
    <row r="19" spans="2:7" s="29" customFormat="1" ht="15.75" customHeight="1">
      <c r="B19" s="30"/>
      <c r="C19" s="35"/>
      <c r="D19" s="34" t="s">
        <v>104</v>
      </c>
      <c r="F19" s="187">
        <f>-11020881-394300-104202-3449.8+584915</f>
        <v>-10937917.8</v>
      </c>
      <c r="G19" s="193">
        <v>-7573133</v>
      </c>
    </row>
    <row r="20" spans="2:9" s="29" customFormat="1" ht="15.75" customHeight="1">
      <c r="B20" s="30"/>
      <c r="C20" s="35"/>
      <c r="D20" s="61" t="s">
        <v>105</v>
      </c>
      <c r="E20" s="34"/>
      <c r="F20" s="192">
        <f>F21+F22</f>
        <v>-4746735</v>
      </c>
      <c r="G20" s="193">
        <v>-3692268</v>
      </c>
      <c r="I20" s="22"/>
    </row>
    <row r="21" spans="2:9" s="29" customFormat="1" ht="15.75" customHeight="1">
      <c r="B21" s="30"/>
      <c r="C21" s="35"/>
      <c r="D21" s="61"/>
      <c r="E21" s="37" t="s">
        <v>106</v>
      </c>
      <c r="F21" s="274">
        <f>-4086670</f>
        <v>-4086670</v>
      </c>
      <c r="G21" s="21">
        <v>-3125002</v>
      </c>
      <c r="I21" s="22"/>
    </row>
    <row r="22" spans="2:9" s="29" customFormat="1" ht="15.75" customHeight="1">
      <c r="B22" s="30"/>
      <c r="C22" s="35"/>
      <c r="D22" s="61"/>
      <c r="E22" s="37" t="s">
        <v>107</v>
      </c>
      <c r="F22" s="274">
        <f>-660065</f>
        <v>-660065</v>
      </c>
      <c r="G22" s="21">
        <v>-567266</v>
      </c>
      <c r="I22" s="22"/>
    </row>
    <row r="23" spans="2:7" s="29" customFormat="1" ht="15.75" customHeight="1">
      <c r="B23" s="30"/>
      <c r="C23" s="35"/>
      <c r="D23" s="61"/>
      <c r="E23" s="37" t="s">
        <v>108</v>
      </c>
      <c r="F23" s="21"/>
      <c r="G23" s="21"/>
    </row>
    <row r="24" spans="2:7" s="29" customFormat="1" ht="15.75" customHeight="1">
      <c r="B24" s="30"/>
      <c r="C24" s="35"/>
      <c r="D24" s="61" t="s">
        <v>109</v>
      </c>
      <c r="E24" s="34"/>
      <c r="F24" s="274">
        <f>-5240814</f>
        <v>-5240814</v>
      </c>
      <c r="G24" s="274">
        <v>-4511029</v>
      </c>
    </row>
    <row r="25" spans="2:10" s="29" customFormat="1" ht="15.75" customHeight="1">
      <c r="B25" s="30"/>
      <c r="C25" s="57" t="s">
        <v>110</v>
      </c>
      <c r="D25" s="61"/>
      <c r="E25" s="34"/>
      <c r="F25" s="193">
        <f>SUM(F8:F24)+4746735</f>
        <v>19614879.396807726</v>
      </c>
      <c r="G25" s="193">
        <v>15296165</v>
      </c>
      <c r="I25" s="22"/>
      <c r="J25" s="22"/>
    </row>
    <row r="26" spans="2:7" s="29" customFormat="1" ht="15.75" customHeight="1">
      <c r="B26" s="30"/>
      <c r="C26" s="35"/>
      <c r="D26" s="61" t="s">
        <v>111</v>
      </c>
      <c r="E26" s="34"/>
      <c r="F26" s="21"/>
      <c r="G26" s="21"/>
    </row>
    <row r="27" spans="2:9" s="29" customFormat="1" ht="15.75" customHeight="1">
      <c r="B27" s="30"/>
      <c r="C27" s="35"/>
      <c r="D27" s="61" t="s">
        <v>275</v>
      </c>
      <c r="E27" s="34"/>
      <c r="F27" s="21"/>
      <c r="G27" s="21"/>
      <c r="I27" s="22"/>
    </row>
    <row r="28" spans="2:7" s="29" customFormat="1" ht="15.75" customHeight="1">
      <c r="B28" s="30"/>
      <c r="C28" s="35"/>
      <c r="D28" s="61" t="s">
        <v>112</v>
      </c>
      <c r="E28" s="34"/>
      <c r="F28" s="21"/>
      <c r="G28" s="21"/>
    </row>
    <row r="29" spans="2:7" s="29" customFormat="1" ht="15.75" customHeight="1">
      <c r="B29" s="30"/>
      <c r="C29" s="35"/>
      <c r="D29" s="61"/>
      <c r="E29" s="37" t="s">
        <v>113</v>
      </c>
      <c r="F29" s="21"/>
      <c r="G29" s="21"/>
    </row>
    <row r="30" spans="2:7" s="29" customFormat="1" ht="15.75" customHeight="1">
      <c r="B30" s="30"/>
      <c r="C30" s="35"/>
      <c r="D30" s="61"/>
      <c r="E30" s="37" t="s">
        <v>114</v>
      </c>
      <c r="F30" s="21">
        <f>-4052562</f>
        <v>-4052562</v>
      </c>
      <c r="G30" s="21">
        <v>-4034851</v>
      </c>
    </row>
    <row r="31" spans="2:9" s="29" customFormat="1" ht="15.75" customHeight="1">
      <c r="B31" s="30"/>
      <c r="C31" s="35"/>
      <c r="D31" s="61"/>
      <c r="E31" s="37" t="s">
        <v>115</v>
      </c>
      <c r="F31" s="21">
        <f>-3171646+18443</f>
        <v>-3153203</v>
      </c>
      <c r="G31" s="21">
        <v>-2326853</v>
      </c>
      <c r="I31" s="22"/>
    </row>
    <row r="32" spans="2:7" s="29" customFormat="1" ht="15.75" customHeight="1">
      <c r="B32" s="30"/>
      <c r="C32" s="35"/>
      <c r="D32" s="61"/>
      <c r="E32" s="37" t="s">
        <v>116</v>
      </c>
      <c r="F32" s="21">
        <v>46000</v>
      </c>
      <c r="G32" s="21">
        <v>120</v>
      </c>
    </row>
    <row r="33" spans="2:9" s="29" customFormat="1" ht="27.75" customHeight="1">
      <c r="B33" s="30"/>
      <c r="C33" s="501" t="s">
        <v>117</v>
      </c>
      <c r="D33" s="502"/>
      <c r="E33" s="503"/>
      <c r="F33" s="195">
        <f>SUM(F30:F32)</f>
        <v>-7159765</v>
      </c>
      <c r="G33" s="193">
        <v>-6361584</v>
      </c>
      <c r="I33" s="22"/>
    </row>
    <row r="34" spans="2:9" s="29" customFormat="1" ht="15.75" customHeight="1">
      <c r="B34" s="30"/>
      <c r="E34" s="34" t="s">
        <v>278</v>
      </c>
      <c r="F34" s="21">
        <v>1392724</v>
      </c>
      <c r="G34" s="21">
        <v>565106</v>
      </c>
      <c r="I34" s="22"/>
    </row>
    <row r="35" spans="2:9" s="29" customFormat="1" ht="15.75" customHeight="1">
      <c r="B35" s="30"/>
      <c r="C35" s="57" t="s">
        <v>118</v>
      </c>
      <c r="D35" s="61"/>
      <c r="E35" s="34"/>
      <c r="F35" s="193">
        <f>F8+F9+F10+F11+F13+F17+F18+F19+F21+F22+F24+F33+F34</f>
        <v>13847838.396807726</v>
      </c>
      <c r="G35" s="193">
        <v>9499687</v>
      </c>
      <c r="I35" s="22"/>
    </row>
    <row r="36" spans="2:10" s="29" customFormat="1" ht="15.75" customHeight="1">
      <c r="B36" s="30"/>
      <c r="C36" s="62"/>
      <c r="D36" s="61" t="s">
        <v>119</v>
      </c>
      <c r="E36" s="34"/>
      <c r="F36" s="21">
        <f>F35*0.1</f>
        <v>1384783.8396807727</v>
      </c>
      <c r="G36" s="21">
        <v>949968.7000000001</v>
      </c>
      <c r="J36" s="22"/>
    </row>
    <row r="37" spans="2:7" s="29" customFormat="1" ht="15.75" customHeight="1">
      <c r="B37" s="30"/>
      <c r="C37" s="57" t="s">
        <v>120</v>
      </c>
      <c r="D37" s="61"/>
      <c r="E37" s="34"/>
      <c r="F37" s="193">
        <f>F35-F36-F34</f>
        <v>11070330.557126954</v>
      </c>
      <c r="G37" s="193">
        <v>7984612.300000001</v>
      </c>
    </row>
    <row r="38" spans="2:7" s="29" customFormat="1" ht="15.75" customHeight="1">
      <c r="B38" s="30"/>
      <c r="C38" s="53"/>
      <c r="D38" s="63" t="s">
        <v>121</v>
      </c>
      <c r="E38" s="34"/>
      <c r="F38" s="21"/>
      <c r="G38" s="21"/>
    </row>
    <row r="39" spans="2:7" s="29" customFormat="1" ht="15.75" customHeight="1">
      <c r="B39" s="30"/>
      <c r="C39" s="53"/>
      <c r="D39" s="63"/>
      <c r="E39" s="34"/>
      <c r="F39" s="21"/>
      <c r="G39" s="21"/>
    </row>
    <row r="40" spans="2:7" s="29" customFormat="1" ht="15.75" customHeight="1">
      <c r="B40" s="30"/>
      <c r="C40" s="53"/>
      <c r="D40" s="63" t="s">
        <v>122</v>
      </c>
      <c r="E40" s="34"/>
      <c r="F40" s="21"/>
      <c r="G40" s="21"/>
    </row>
    <row r="41" spans="2:7" s="29" customFormat="1" ht="15.75" customHeight="1">
      <c r="B41" s="30"/>
      <c r="C41" s="53"/>
      <c r="D41" s="63"/>
      <c r="E41" s="34"/>
      <c r="F41" s="21"/>
      <c r="G41" s="21"/>
    </row>
    <row r="42" spans="2:7" s="29" customFormat="1" ht="15.75" customHeight="1">
      <c r="B42" s="30"/>
      <c r="C42" s="53"/>
      <c r="D42" s="63"/>
      <c r="E42" s="34"/>
      <c r="F42" s="21"/>
      <c r="G42" s="21"/>
    </row>
    <row r="43" spans="2:7" s="29" customFormat="1" ht="15.75" customHeight="1">
      <c r="B43" s="30"/>
      <c r="C43" s="53"/>
      <c r="D43" s="63"/>
      <c r="E43" s="34"/>
      <c r="F43" s="31"/>
      <c r="G43" s="21"/>
    </row>
    <row r="44" spans="2:7" s="29" customFormat="1" ht="15.75" customHeight="1">
      <c r="B44" s="30"/>
      <c r="C44" s="53"/>
      <c r="D44" s="63"/>
      <c r="E44" s="34"/>
      <c r="F44" s="31"/>
      <c r="G44" s="21"/>
    </row>
    <row r="45" spans="2:7" s="29" customFormat="1" ht="24.75" customHeight="1">
      <c r="B45" s="30"/>
      <c r="C45" s="35"/>
      <c r="D45" s="502"/>
      <c r="E45" s="503"/>
      <c r="F45" s="31"/>
      <c r="G45" s="21"/>
    </row>
    <row r="46" spans="2:7" s="29" customFormat="1" ht="15.75" customHeight="1">
      <c r="B46" s="40"/>
      <c r="C46" s="40"/>
      <c r="D46" s="40"/>
      <c r="E46" s="41"/>
      <c r="G46" s="42"/>
    </row>
    <row r="47" spans="2:7" s="29" customFormat="1" ht="15.75" customHeight="1">
      <c r="B47" s="40"/>
      <c r="C47" s="40"/>
      <c r="D47" s="40"/>
      <c r="E47" s="41"/>
      <c r="G47" s="42"/>
    </row>
    <row r="48" spans="2:7" s="29" customFormat="1" ht="15.75" customHeight="1">
      <c r="B48" s="40"/>
      <c r="C48" s="40"/>
      <c r="D48" s="40"/>
      <c r="E48" s="41"/>
      <c r="G48" s="42"/>
    </row>
    <row r="49" spans="2:7" s="29" customFormat="1" ht="15.75" customHeight="1">
      <c r="B49" s="40"/>
      <c r="C49" s="40"/>
      <c r="D49" s="40"/>
      <c r="E49" s="41"/>
      <c r="G49" s="42"/>
    </row>
    <row r="50" spans="2:7" s="29" customFormat="1" ht="15.75" customHeight="1">
      <c r="B50" s="40"/>
      <c r="C50" s="40"/>
      <c r="D50" s="40"/>
      <c r="E50" s="41"/>
      <c r="F50" s="42"/>
      <c r="G50" s="42"/>
    </row>
    <row r="51" spans="2:7" s="29" customFormat="1" ht="15.75" customHeight="1">
      <c r="B51" s="40"/>
      <c r="C51" s="40"/>
      <c r="D51" s="40"/>
      <c r="E51" s="41"/>
      <c r="F51" s="312"/>
      <c r="G51" s="42"/>
    </row>
    <row r="52" spans="2:7" s="29" customFormat="1" ht="15.75" customHeight="1">
      <c r="B52" s="40"/>
      <c r="C52" s="40"/>
      <c r="D52" s="40"/>
      <c r="E52" s="41"/>
      <c r="F52" s="42"/>
      <c r="G52" s="42"/>
    </row>
    <row r="53" spans="2:7" s="29" customFormat="1" ht="15.75" customHeight="1">
      <c r="B53" s="40"/>
      <c r="C53" s="40"/>
      <c r="D53" s="40"/>
      <c r="E53" s="41"/>
      <c r="F53" s="42"/>
      <c r="G53" s="42"/>
    </row>
    <row r="54" spans="2:7" s="29" customFormat="1" ht="15.75" customHeight="1">
      <c r="B54" s="40"/>
      <c r="C54" s="40"/>
      <c r="D54" s="40"/>
      <c r="E54" s="41"/>
      <c r="F54" s="222"/>
      <c r="G54" s="42"/>
    </row>
    <row r="55" spans="2:7" s="29" customFormat="1" ht="15.75" customHeight="1">
      <c r="B55" s="40"/>
      <c r="C55" s="40"/>
      <c r="D55" s="40"/>
      <c r="E55" s="40"/>
      <c r="F55" s="42"/>
      <c r="G55" s="42"/>
    </row>
    <row r="56" spans="2:7" ht="12.75">
      <c r="B56" s="10"/>
      <c r="C56" s="10"/>
      <c r="D56" s="10"/>
      <c r="E56" s="5"/>
      <c r="F56" s="20"/>
      <c r="G56" s="20"/>
    </row>
  </sheetData>
  <sheetProtection/>
  <mergeCells count="7">
    <mergeCell ref="D45:E45"/>
    <mergeCell ref="B4:G4"/>
    <mergeCell ref="B13:B14"/>
    <mergeCell ref="B15:B16"/>
    <mergeCell ref="C33:E33"/>
    <mergeCell ref="C6:E7"/>
    <mergeCell ref="B6:B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1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5.28125" style="0" customWidth="1"/>
    <col min="2" max="3" width="3.7109375" style="19" customWidth="1"/>
    <col min="4" max="4" width="2.7109375" style="19" customWidth="1"/>
    <col min="5" max="5" width="50.28125" style="0" customWidth="1"/>
    <col min="6" max="6" width="15.28125" style="18" customWidth="1"/>
    <col min="7" max="7" width="13.7109375" style="18" customWidth="1"/>
    <col min="8" max="8" width="1.421875" style="0" customWidth="1"/>
    <col min="9" max="9" width="10.7109375" style="0" bestFit="1" customWidth="1"/>
    <col min="10" max="10" width="10.140625" style="0" bestFit="1" customWidth="1"/>
  </cols>
  <sheetData>
    <row r="1" ht="12.75"/>
    <row r="2" spans="2:7" s="29" customFormat="1" ht="18">
      <c r="B2" s="46" t="s">
        <v>321</v>
      </c>
      <c r="C2" s="46"/>
      <c r="D2" s="47"/>
      <c r="E2" s="48" t="s">
        <v>326</v>
      </c>
      <c r="F2" s="67"/>
      <c r="G2" s="67"/>
    </row>
    <row r="3" spans="2:7" s="29" customFormat="1" ht="18">
      <c r="B3" s="46"/>
      <c r="C3" s="46"/>
      <c r="D3" s="47"/>
      <c r="E3" s="48"/>
      <c r="F3" s="67"/>
      <c r="G3" s="87" t="s">
        <v>283</v>
      </c>
    </row>
    <row r="4" spans="2:7" s="29" customFormat="1" ht="8.25" customHeight="1">
      <c r="B4" s="46"/>
      <c r="C4" s="46"/>
      <c r="D4" s="47"/>
      <c r="E4" s="48"/>
      <c r="F4" s="64"/>
      <c r="G4" s="22"/>
    </row>
    <row r="5" spans="2:7" s="29" customFormat="1" ht="18" customHeight="1">
      <c r="B5" s="512" t="s">
        <v>842</v>
      </c>
      <c r="C5" s="512"/>
      <c r="D5" s="512"/>
      <c r="E5" s="512"/>
      <c r="F5" s="512"/>
      <c r="G5" s="512"/>
    </row>
    <row r="6" ht="6.75" customHeight="1"/>
    <row r="7" spans="2:7" s="29" customFormat="1" ht="15.75" customHeight="1">
      <c r="B7" s="504" t="s">
        <v>5</v>
      </c>
      <c r="C7" s="506"/>
      <c r="D7" s="507"/>
      <c r="E7" s="508"/>
      <c r="F7" s="43" t="s">
        <v>19</v>
      </c>
      <c r="G7" s="43" t="s">
        <v>19</v>
      </c>
    </row>
    <row r="8" spans="2:7" s="29" customFormat="1" ht="15.75" customHeight="1">
      <c r="B8" s="505"/>
      <c r="C8" s="509"/>
      <c r="D8" s="510"/>
      <c r="E8" s="511"/>
      <c r="F8" s="44" t="s">
        <v>20</v>
      </c>
      <c r="G8" s="45" t="s">
        <v>21</v>
      </c>
    </row>
    <row r="9" spans="2:7" s="29" customFormat="1" ht="15.75" customHeight="1">
      <c r="B9" s="30" t="s">
        <v>6</v>
      </c>
      <c r="C9" s="65" t="s">
        <v>149</v>
      </c>
      <c r="D9" s="66"/>
      <c r="E9" s="38"/>
      <c r="F9" s="186"/>
      <c r="G9" s="21"/>
    </row>
    <row r="10" spans="2:7" s="29" customFormat="1" ht="15.75" customHeight="1">
      <c r="B10" s="30" t="s">
        <v>26</v>
      </c>
      <c r="C10" s="65"/>
      <c r="D10" s="86" t="s">
        <v>150</v>
      </c>
      <c r="E10" s="38"/>
      <c r="F10" s="186">
        <v>127466367.8</v>
      </c>
      <c r="G10" s="186">
        <v>99915511</v>
      </c>
    </row>
    <row r="11" spans="2:7" s="29" customFormat="1" ht="15.75" customHeight="1">
      <c r="B11" s="30" t="s">
        <v>30</v>
      </c>
      <c r="C11" s="65"/>
      <c r="D11" s="86" t="s">
        <v>151</v>
      </c>
      <c r="E11" s="38"/>
      <c r="F11" s="186">
        <f>-113206149</f>
        <v>-113206149</v>
      </c>
      <c r="G11" s="186">
        <v>-56186441</v>
      </c>
    </row>
    <row r="12" spans="2:7" s="29" customFormat="1" ht="15.75" customHeight="1">
      <c r="B12" s="30" t="s">
        <v>31</v>
      </c>
      <c r="C12" s="65"/>
      <c r="D12" s="86" t="s">
        <v>152</v>
      </c>
      <c r="E12" s="38"/>
      <c r="F12" s="186"/>
      <c r="G12" s="186"/>
    </row>
    <row r="13" spans="2:10" s="29" customFormat="1" ht="15.75" customHeight="1">
      <c r="B13" s="30" t="s">
        <v>32</v>
      </c>
      <c r="C13" s="65"/>
      <c r="D13" s="86" t="s">
        <v>140</v>
      </c>
      <c r="E13" s="38"/>
      <c r="F13" s="186">
        <f>-4054003</f>
        <v>-4054003</v>
      </c>
      <c r="G13" s="186">
        <v>-4034851</v>
      </c>
      <c r="J13" s="22"/>
    </row>
    <row r="14" spans="2:7" s="29" customFormat="1" ht="15.75" customHeight="1">
      <c r="B14" s="30" t="s">
        <v>296</v>
      </c>
      <c r="C14" s="65"/>
      <c r="D14" s="86" t="s">
        <v>141</v>
      </c>
      <c r="E14" s="38"/>
      <c r="F14" s="186">
        <v>-1341334</v>
      </c>
      <c r="G14" s="186">
        <v>-732624</v>
      </c>
    </row>
    <row r="15" spans="2:9" s="29" customFormat="1" ht="15.75" customHeight="1">
      <c r="B15" s="30"/>
      <c r="D15" s="29" t="s">
        <v>327</v>
      </c>
      <c r="F15" s="186">
        <f>-16475661+1341334</f>
        <v>-15134327</v>
      </c>
      <c r="G15" s="186">
        <v>-10983483</v>
      </c>
      <c r="I15" s="22"/>
    </row>
    <row r="16" spans="2:10" s="29" customFormat="1" ht="15.75" customHeight="1">
      <c r="B16" s="30"/>
      <c r="C16" s="65"/>
      <c r="D16" s="183" t="s">
        <v>153</v>
      </c>
      <c r="E16" s="184"/>
      <c r="F16" s="187">
        <f>SUM(F10:F15)</f>
        <v>-6269445.200000003</v>
      </c>
      <c r="G16" s="187">
        <v>27978112</v>
      </c>
      <c r="I16" s="22"/>
      <c r="J16" s="22"/>
    </row>
    <row r="17" spans="2:10" s="29" customFormat="1" ht="15.75" customHeight="1">
      <c r="B17" s="30"/>
      <c r="C17" s="66" t="s">
        <v>142</v>
      </c>
      <c r="E17" s="38"/>
      <c r="F17" s="186"/>
      <c r="G17" s="186"/>
      <c r="I17" s="22"/>
      <c r="J17" s="188"/>
    </row>
    <row r="18" spans="2:10" s="29" customFormat="1" ht="15.75" customHeight="1">
      <c r="B18" s="30" t="s">
        <v>297</v>
      </c>
      <c r="C18" s="65"/>
      <c r="D18" s="86" t="s">
        <v>154</v>
      </c>
      <c r="E18" s="38"/>
      <c r="F18" s="186"/>
      <c r="G18" s="186"/>
      <c r="J18" s="22"/>
    </row>
    <row r="19" spans="2:7" s="29" customFormat="1" ht="15.75" customHeight="1">
      <c r="B19" s="30" t="s">
        <v>298</v>
      </c>
      <c r="C19" s="65"/>
      <c r="D19" s="86" t="s">
        <v>840</v>
      </c>
      <c r="E19" s="38"/>
      <c r="F19" s="186">
        <f>-765000</f>
        <v>-765000</v>
      </c>
      <c r="G19" s="186">
        <v>-12357202</v>
      </c>
    </row>
    <row r="20" spans="2:7" s="29" customFormat="1" ht="15.75" customHeight="1">
      <c r="B20" s="30" t="s">
        <v>299</v>
      </c>
      <c r="C20" s="65"/>
      <c r="D20" s="86" t="s">
        <v>155</v>
      </c>
      <c r="E20" s="38"/>
      <c r="F20" s="186"/>
      <c r="G20" s="186"/>
    </row>
    <row r="21" spans="2:9" s="29" customFormat="1" ht="15.75" customHeight="1">
      <c r="B21" s="30" t="s">
        <v>300</v>
      </c>
      <c r="C21" s="65"/>
      <c r="D21" s="86" t="s">
        <v>143</v>
      </c>
      <c r="E21" s="38"/>
      <c r="F21" s="186">
        <v>33025</v>
      </c>
      <c r="G21" s="186">
        <v>931</v>
      </c>
      <c r="I21" s="22"/>
    </row>
    <row r="22" spans="2:7" s="29" customFormat="1" ht="15.75" customHeight="1">
      <c r="B22" s="30" t="s">
        <v>301</v>
      </c>
      <c r="C22" s="65"/>
      <c r="D22" s="86" t="s">
        <v>144</v>
      </c>
      <c r="E22" s="38"/>
      <c r="F22" s="186"/>
      <c r="G22" s="186"/>
    </row>
    <row r="23" spans="2:7" s="29" customFormat="1" ht="15.75" customHeight="1">
      <c r="B23" s="30"/>
      <c r="C23" s="65"/>
      <c r="D23" s="183" t="s">
        <v>156</v>
      </c>
      <c r="E23" s="38"/>
      <c r="F23" s="187">
        <f>SUM(F19:F22)</f>
        <v>-731975</v>
      </c>
      <c r="G23" s="187">
        <v>-12356271</v>
      </c>
    </row>
    <row r="24" spans="2:7" s="29" customFormat="1" ht="15.75" customHeight="1">
      <c r="B24" s="30"/>
      <c r="C24" s="65"/>
      <c r="D24" s="66"/>
      <c r="E24" s="38"/>
      <c r="F24" s="186"/>
      <c r="G24" s="186"/>
    </row>
    <row r="25" spans="2:7" s="29" customFormat="1" ht="15.75" customHeight="1">
      <c r="B25" s="30"/>
      <c r="C25" s="66" t="s">
        <v>157</v>
      </c>
      <c r="E25" s="38"/>
      <c r="F25" s="186"/>
      <c r="G25" s="186"/>
    </row>
    <row r="26" spans="2:7" s="29" customFormat="1" ht="15.75" customHeight="1">
      <c r="B26" s="30" t="s">
        <v>302</v>
      </c>
      <c r="C26" s="65"/>
      <c r="D26" s="86" t="s">
        <v>145</v>
      </c>
      <c r="E26" s="38"/>
      <c r="F26" s="186"/>
      <c r="G26" s="186"/>
    </row>
    <row r="27" spans="2:10" s="29" customFormat="1" ht="15.75" customHeight="1">
      <c r="B27" s="30" t="s">
        <v>303</v>
      </c>
      <c r="C27" s="65"/>
      <c r="D27" s="86" t="s">
        <v>328</v>
      </c>
      <c r="E27" s="172" t="s">
        <v>329</v>
      </c>
      <c r="F27" s="225">
        <v>18370263</v>
      </c>
      <c r="G27" s="225">
        <v>41062450</v>
      </c>
      <c r="J27" s="22"/>
    </row>
    <row r="28" spans="2:10" s="29" customFormat="1" ht="15.75" customHeight="1">
      <c r="B28" s="30" t="s">
        <v>304</v>
      </c>
      <c r="C28" s="65"/>
      <c r="D28" s="513" t="s">
        <v>330</v>
      </c>
      <c r="E28" s="514"/>
      <c r="F28" s="194">
        <f>-11338</f>
        <v>-11338</v>
      </c>
      <c r="G28" s="186">
        <v>-56218901</v>
      </c>
      <c r="I28" s="22"/>
      <c r="J28" s="22"/>
    </row>
    <row r="29" spans="2:7" s="29" customFormat="1" ht="15.75" customHeight="1">
      <c r="B29" s="30" t="s">
        <v>292</v>
      </c>
      <c r="C29" s="57"/>
      <c r="D29" s="58" t="s">
        <v>158</v>
      </c>
      <c r="E29" s="34"/>
      <c r="F29" s="186">
        <v>-42875</v>
      </c>
      <c r="G29" s="186"/>
    </row>
    <row r="30" spans="2:10" s="29" customFormat="1" ht="15.75" customHeight="1">
      <c r="B30" s="30"/>
      <c r="C30" s="30"/>
      <c r="D30" s="185" t="s">
        <v>159</v>
      </c>
      <c r="E30" s="171"/>
      <c r="F30" s="187">
        <f>SUM(F26:F29)</f>
        <v>18316050</v>
      </c>
      <c r="G30" s="187">
        <v>-15156451</v>
      </c>
      <c r="I30" s="22"/>
      <c r="J30" s="22"/>
    </row>
    <row r="31" spans="2:10" s="29" customFormat="1" ht="15.75" customHeight="1">
      <c r="B31" s="30"/>
      <c r="C31" s="30"/>
      <c r="D31" s="185"/>
      <c r="E31" s="171"/>
      <c r="F31" s="187"/>
      <c r="G31" s="187"/>
      <c r="I31" s="22"/>
      <c r="J31" s="22"/>
    </row>
    <row r="32" spans="2:7" s="29" customFormat="1" ht="15.75" customHeight="1">
      <c r="B32" s="30"/>
      <c r="C32" s="30"/>
      <c r="D32" s="224" t="s">
        <v>841</v>
      </c>
      <c r="E32" s="31"/>
      <c r="F32" s="186">
        <v>46000</v>
      </c>
      <c r="G32" s="186"/>
    </row>
    <row r="33" spans="2:10" s="29" customFormat="1" ht="15.75" customHeight="1">
      <c r="B33" s="30"/>
      <c r="C33" s="30"/>
      <c r="D33" s="171" t="s">
        <v>146</v>
      </c>
      <c r="E33" s="31"/>
      <c r="F33" s="187">
        <f>F35-F34</f>
        <v>11358826</v>
      </c>
      <c r="G33" s="187">
        <v>465390</v>
      </c>
      <c r="I33" s="22"/>
      <c r="J33" s="22"/>
    </row>
    <row r="34" spans="2:9" s="29" customFormat="1" ht="15.75" customHeight="1">
      <c r="B34" s="30"/>
      <c r="C34" s="30"/>
      <c r="D34" s="173" t="s">
        <v>147</v>
      </c>
      <c r="E34" s="173"/>
      <c r="F34" s="186">
        <v>7434352</v>
      </c>
      <c r="G34" s="186">
        <v>6968962</v>
      </c>
      <c r="I34" s="22"/>
    </row>
    <row r="35" spans="2:10" s="29" customFormat="1" ht="15.75" customHeight="1">
      <c r="B35" s="30"/>
      <c r="C35" s="30"/>
      <c r="D35" s="173" t="s">
        <v>148</v>
      </c>
      <c r="E35" s="173"/>
      <c r="F35" s="21">
        <f>Aktivet!G9</f>
        <v>18793178</v>
      </c>
      <c r="G35" s="21">
        <v>7434352</v>
      </c>
      <c r="J35" s="22"/>
    </row>
    <row r="36" spans="2:7" s="29" customFormat="1" ht="15.75" customHeight="1">
      <c r="B36" s="40"/>
      <c r="C36" s="40"/>
      <c r="D36" s="40"/>
      <c r="E36" s="41"/>
      <c r="F36" s="42"/>
      <c r="G36" s="42"/>
    </row>
    <row r="37" spans="2:7" s="29" customFormat="1" ht="15.75" customHeight="1">
      <c r="B37" s="40"/>
      <c r="C37" s="40"/>
      <c r="D37" s="40"/>
      <c r="E37" s="41"/>
      <c r="F37" s="42"/>
      <c r="G37" s="42"/>
    </row>
    <row r="38" spans="2:7" s="29" customFormat="1" ht="15.75" customHeight="1">
      <c r="B38" s="40"/>
      <c r="C38" s="40"/>
      <c r="D38" s="40"/>
      <c r="E38" s="41"/>
      <c r="F38" s="42"/>
      <c r="G38" s="42"/>
    </row>
    <row r="39" spans="2:7" s="29" customFormat="1" ht="15.75" customHeight="1">
      <c r="B39" s="40"/>
      <c r="C39" s="40"/>
      <c r="D39" s="40"/>
      <c r="E39" s="41"/>
      <c r="F39" s="42"/>
      <c r="G39" s="42"/>
    </row>
    <row r="40" spans="2:10" s="29" customFormat="1" ht="15.75" customHeight="1">
      <c r="B40" s="40"/>
      <c r="C40" s="40"/>
      <c r="D40" s="40"/>
      <c r="E40" s="40"/>
      <c r="F40" s="42"/>
      <c r="G40" s="42"/>
      <c r="J40" s="22"/>
    </row>
    <row r="41" spans="2:7" ht="12.75">
      <c r="B41" s="10"/>
      <c r="C41" s="10"/>
      <c r="D41" s="10"/>
      <c r="E41" s="5"/>
      <c r="F41" s="20"/>
      <c r="G41" s="20"/>
    </row>
  </sheetData>
  <sheetProtection/>
  <mergeCells count="4">
    <mergeCell ref="B5:G5"/>
    <mergeCell ref="C7:E8"/>
    <mergeCell ref="B7:B8"/>
    <mergeCell ref="D28:E28"/>
  </mergeCells>
  <printOptions horizontalCentered="1" verticalCentered="1"/>
  <pageMargins left="0.25" right="0.25" top="0.25" bottom="0.25" header="0.27" footer="0.261811024"/>
  <pageSetup horizontalDpi="300" verticalDpi="3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6">
      <selection activeCell="J17" sqref="J17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46" t="s">
        <v>370</v>
      </c>
    </row>
    <row r="3" ht="6.75" customHeight="1"/>
    <row r="4" spans="1:8" ht="25.5" customHeight="1">
      <c r="A4" s="515" t="s">
        <v>845</v>
      </c>
      <c r="B4" s="516"/>
      <c r="C4" s="516"/>
      <c r="D4" s="516"/>
      <c r="E4" s="516"/>
      <c r="F4" s="516"/>
      <c r="G4" s="516"/>
      <c r="H4" s="516"/>
    </row>
    <row r="5" ht="6.75" customHeight="1"/>
    <row r="6" spans="2:7" ht="12.75" customHeight="1">
      <c r="B6" s="81" t="s">
        <v>131</v>
      </c>
      <c r="G6" s="68" t="s">
        <v>279</v>
      </c>
    </row>
    <row r="7" spans="1:8" ht="6.75" customHeight="1" thickBot="1">
      <c r="A7" s="281"/>
      <c r="B7" s="281"/>
      <c r="C7" s="281"/>
      <c r="D7" s="281"/>
      <c r="E7" s="281"/>
      <c r="F7" s="281"/>
      <c r="G7" s="281"/>
      <c r="H7" s="281"/>
    </row>
    <row r="8" spans="1:8" s="69" customFormat="1" ht="24.75" customHeight="1" thickTop="1">
      <c r="A8" s="517"/>
      <c r="B8" s="518"/>
      <c r="C8" s="278" t="s">
        <v>84</v>
      </c>
      <c r="D8" s="278" t="s">
        <v>85</v>
      </c>
      <c r="E8" s="279" t="s">
        <v>133</v>
      </c>
      <c r="F8" s="279" t="s">
        <v>132</v>
      </c>
      <c r="G8" s="278" t="s">
        <v>134</v>
      </c>
      <c r="H8" s="280" t="s">
        <v>125</v>
      </c>
    </row>
    <row r="9" spans="1:8" s="74" customFormat="1" ht="30" customHeight="1">
      <c r="A9" s="70" t="s">
        <v>6</v>
      </c>
      <c r="B9" s="236" t="s">
        <v>310</v>
      </c>
      <c r="C9" s="72">
        <v>4869174</v>
      </c>
      <c r="D9" s="72"/>
      <c r="E9" s="72"/>
      <c r="F9" s="72">
        <v>249080</v>
      </c>
      <c r="G9" s="72">
        <v>12808835</v>
      </c>
      <c r="H9" s="73">
        <f>SUM(C9:G9)</f>
        <v>17927089</v>
      </c>
    </row>
    <row r="10" spans="1:8" s="74" customFormat="1" ht="19.5" customHeight="1">
      <c r="A10" s="70">
        <v>1</v>
      </c>
      <c r="B10" s="71" t="s">
        <v>126</v>
      </c>
      <c r="C10" s="72"/>
      <c r="D10" s="72"/>
      <c r="E10" s="72"/>
      <c r="F10" s="72"/>
      <c r="G10" s="72"/>
      <c r="H10" s="73">
        <f aca="true" t="shared" si="0" ref="H10:H15">SUM(C10:G10)</f>
        <v>0</v>
      </c>
    </row>
    <row r="11" spans="1:8" s="74" customFormat="1" ht="19.5" customHeight="1">
      <c r="A11" s="70">
        <v>2</v>
      </c>
      <c r="B11" s="71" t="s">
        <v>124</v>
      </c>
      <c r="C11" s="72"/>
      <c r="D11" s="72"/>
      <c r="E11" s="72"/>
      <c r="F11" s="72"/>
      <c r="G11" s="72"/>
      <c r="H11" s="73">
        <f t="shared" si="0"/>
        <v>0</v>
      </c>
    </row>
    <row r="12" spans="1:8" s="74" customFormat="1" ht="19.5" customHeight="1">
      <c r="A12" s="78">
        <v>3</v>
      </c>
      <c r="B12" s="75" t="s">
        <v>129</v>
      </c>
      <c r="C12" s="76"/>
      <c r="D12" s="76"/>
      <c r="E12" s="76"/>
      <c r="F12" s="76"/>
      <c r="G12" s="76">
        <f>Pasivet!H40</f>
        <v>7984612</v>
      </c>
      <c r="H12" s="73">
        <f>SUM(C12:G12)</f>
        <v>7984612</v>
      </c>
    </row>
    <row r="13" spans="1:8" s="74" customFormat="1" ht="19.5" customHeight="1">
      <c r="A13" s="78">
        <v>4</v>
      </c>
      <c r="B13" s="75" t="s">
        <v>127</v>
      </c>
      <c r="C13" s="76"/>
      <c r="D13" s="76"/>
      <c r="E13" s="76"/>
      <c r="F13" s="76"/>
      <c r="G13" s="76"/>
      <c r="H13" s="73">
        <f t="shared" si="0"/>
        <v>0</v>
      </c>
    </row>
    <row r="14" spans="1:8" s="74" customFormat="1" ht="19.5" customHeight="1">
      <c r="A14" s="78">
        <v>5</v>
      </c>
      <c r="B14" s="75" t="s">
        <v>135</v>
      </c>
      <c r="C14" s="76"/>
      <c r="D14" s="76"/>
      <c r="E14" s="76"/>
      <c r="F14" s="76"/>
      <c r="G14" s="76"/>
      <c r="H14" s="73">
        <f t="shared" si="0"/>
        <v>0</v>
      </c>
    </row>
    <row r="15" spans="1:8" s="74" customFormat="1" ht="19.5" customHeight="1">
      <c r="A15" s="78">
        <v>6</v>
      </c>
      <c r="B15" s="75" t="s">
        <v>136</v>
      </c>
      <c r="C15" s="76"/>
      <c r="D15" s="76"/>
      <c r="E15" s="76"/>
      <c r="F15" s="76"/>
      <c r="G15" s="76"/>
      <c r="H15" s="73">
        <f t="shared" si="0"/>
        <v>0</v>
      </c>
    </row>
    <row r="16" spans="1:8" s="74" customFormat="1" ht="30" customHeight="1">
      <c r="A16" s="70" t="s">
        <v>7</v>
      </c>
      <c r="B16" s="236" t="s">
        <v>311</v>
      </c>
      <c r="C16" s="76">
        <v>17678009</v>
      </c>
      <c r="D16" s="76">
        <f>SUM(D9:D15)</f>
        <v>0</v>
      </c>
      <c r="E16" s="76">
        <f>SUM(E9:E15)</f>
        <v>0</v>
      </c>
      <c r="F16" s="76">
        <f>SUM(F9:F15)</f>
        <v>249080</v>
      </c>
      <c r="G16" s="76">
        <f>SUM(G9:G15)</f>
        <v>20793447</v>
      </c>
      <c r="H16" s="73">
        <f>SUM(H9:H15)</f>
        <v>25911701</v>
      </c>
    </row>
    <row r="17" spans="1:8" s="74" customFormat="1" ht="19.5" customHeight="1">
      <c r="A17" s="70">
        <v>1</v>
      </c>
      <c r="B17" s="75" t="s">
        <v>129</v>
      </c>
      <c r="C17" s="76"/>
      <c r="D17" s="76"/>
      <c r="E17" s="76"/>
      <c r="F17" s="76"/>
      <c r="G17" s="76">
        <f>Pasivet!G40</f>
        <v>11070330.557126954</v>
      </c>
      <c r="H17" s="77">
        <f>SUM(G17)</f>
        <v>11070330.557126954</v>
      </c>
    </row>
    <row r="18" spans="1:8" s="74" customFormat="1" ht="19.5" customHeight="1">
      <c r="A18" s="70">
        <v>2</v>
      </c>
      <c r="B18" s="75" t="s">
        <v>127</v>
      </c>
      <c r="C18" s="76"/>
      <c r="D18" s="76"/>
      <c r="E18" s="76"/>
      <c r="F18" s="76"/>
      <c r="G18" s="76"/>
      <c r="H18" s="77"/>
    </row>
    <row r="19" spans="1:8" s="74" customFormat="1" ht="19.5" customHeight="1">
      <c r="A19" s="70">
        <v>3</v>
      </c>
      <c r="B19" s="75" t="s">
        <v>137</v>
      </c>
      <c r="C19" s="76"/>
      <c r="D19" s="76"/>
      <c r="E19" s="76"/>
      <c r="F19" s="76"/>
      <c r="G19" s="76"/>
      <c r="H19" s="77">
        <f>SUM(C19:G19)</f>
        <v>0</v>
      </c>
    </row>
    <row r="20" spans="1:8" s="74" customFormat="1" ht="19.5" customHeight="1">
      <c r="A20" s="70">
        <v>4</v>
      </c>
      <c r="B20" s="75" t="s">
        <v>130</v>
      </c>
      <c r="C20" s="76"/>
      <c r="D20" s="76"/>
      <c r="E20" s="76"/>
      <c r="F20" s="76"/>
      <c r="G20" s="76"/>
      <c r="H20" s="77"/>
    </row>
    <row r="21" spans="1:8" s="74" customFormat="1" ht="30" customHeight="1" thickBot="1">
      <c r="A21" s="79" t="s">
        <v>80</v>
      </c>
      <c r="B21" s="237" t="s">
        <v>847</v>
      </c>
      <c r="C21" s="80">
        <f>SUM(C16:C20)+G16</f>
        <v>38471456</v>
      </c>
      <c r="D21" s="80">
        <f>SUM(D16:D20)</f>
        <v>0</v>
      </c>
      <c r="E21" s="80">
        <f>SUM(E16:E20)</f>
        <v>0</v>
      </c>
      <c r="F21" s="80">
        <f>SUM(F16:F20)</f>
        <v>249080</v>
      </c>
      <c r="G21" s="80">
        <f>SUM(G16:G20)-G16</f>
        <v>11070330.557126954</v>
      </c>
      <c r="H21" s="277">
        <f>SUM(H16:H20)</f>
        <v>36982031.557126954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28">
      <selection activeCell="J54" sqref="J54"/>
    </sheetView>
  </sheetViews>
  <sheetFormatPr defaultColWidth="4.7109375" defaultRowHeight="12.75"/>
  <cols>
    <col min="1" max="1" width="4.8515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29" customFormat="1" ht="33" customHeight="1">
      <c r="B3" s="519" t="s">
        <v>308</v>
      </c>
      <c r="C3" s="520"/>
      <c r="D3" s="520"/>
      <c r="E3" s="521"/>
    </row>
    <row r="4" spans="2:5" s="96" customFormat="1" ht="12.75">
      <c r="B4" s="92"/>
      <c r="C4" s="93" t="s">
        <v>161</v>
      </c>
      <c r="D4" s="94"/>
      <c r="E4" s="95"/>
    </row>
    <row r="5" spans="2:5" s="96" customFormat="1" ht="11.25">
      <c r="B5" s="92"/>
      <c r="C5" s="97"/>
      <c r="D5" s="98" t="s">
        <v>162</v>
      </c>
      <c r="E5" s="95"/>
    </row>
    <row r="6" spans="2:5" s="96" customFormat="1" ht="11.25">
      <c r="B6" s="92"/>
      <c r="C6" s="97"/>
      <c r="D6" s="98" t="s">
        <v>163</v>
      </c>
      <c r="E6" s="95"/>
    </row>
    <row r="7" spans="2:5" s="96" customFormat="1" ht="11.25">
      <c r="B7" s="92"/>
      <c r="C7" s="97" t="s">
        <v>164</v>
      </c>
      <c r="D7" s="99"/>
      <c r="E7" s="95"/>
    </row>
    <row r="8" spans="2:5" s="96" customFormat="1" ht="11.25">
      <c r="B8" s="92"/>
      <c r="C8" s="97"/>
      <c r="D8" s="98" t="s">
        <v>165</v>
      </c>
      <c r="E8" s="95"/>
    </row>
    <row r="9" spans="2:5" s="96" customFormat="1" ht="11.25">
      <c r="B9" s="92"/>
      <c r="C9" s="100"/>
      <c r="D9" s="98" t="s">
        <v>166</v>
      </c>
      <c r="E9" s="95"/>
    </row>
    <row r="10" spans="2:5" s="96" customFormat="1" ht="11.25">
      <c r="B10" s="92"/>
      <c r="C10" s="101"/>
      <c r="D10" s="102" t="s">
        <v>167</v>
      </c>
      <c r="E10" s="95"/>
    </row>
    <row r="11" spans="2:5" ht="5.25" customHeight="1">
      <c r="B11" s="4"/>
      <c r="C11" s="5"/>
      <c r="D11" s="5"/>
      <c r="E11" s="6"/>
    </row>
    <row r="12" spans="2:5" ht="15.75">
      <c r="B12" s="4"/>
      <c r="C12" s="103" t="s">
        <v>168</v>
      </c>
      <c r="D12" s="104" t="s">
        <v>169</v>
      </c>
      <c r="E12" s="6"/>
    </row>
    <row r="13" spans="2:5" ht="6" customHeight="1">
      <c r="B13" s="4"/>
      <c r="C13" s="105"/>
      <c r="E13" s="6"/>
    </row>
    <row r="14" spans="2:5" ht="12.75">
      <c r="B14" s="4"/>
      <c r="C14" s="106">
        <v>1</v>
      </c>
      <c r="D14" s="107" t="s">
        <v>170</v>
      </c>
      <c r="E14" s="6"/>
    </row>
    <row r="15" spans="2:5" ht="12.75">
      <c r="B15" s="4"/>
      <c r="C15" s="106">
        <v>2</v>
      </c>
      <c r="D15" t="s">
        <v>315</v>
      </c>
      <c r="E15" s="6"/>
    </row>
    <row r="16" spans="2:5" ht="12.75">
      <c r="B16" s="4"/>
      <c r="C16" s="109">
        <v>3</v>
      </c>
      <c r="D16" s="108" t="s">
        <v>171</v>
      </c>
      <c r="E16" s="6"/>
    </row>
    <row r="17" spans="2:5" s="108" customFormat="1" ht="12.75">
      <c r="B17" s="110"/>
      <c r="C17" s="109">
        <v>4</v>
      </c>
      <c r="D17" s="109" t="s">
        <v>172</v>
      </c>
      <c r="E17" s="111"/>
    </row>
    <row r="18" spans="2:5" s="108" customFormat="1" ht="12.75">
      <c r="B18" s="110"/>
      <c r="C18" s="109"/>
      <c r="D18" s="107" t="s">
        <v>173</v>
      </c>
      <c r="E18" s="111"/>
    </row>
    <row r="19" spans="2:5" s="108" customFormat="1" ht="12.75">
      <c r="B19" s="110"/>
      <c r="C19" s="109" t="s">
        <v>174</v>
      </c>
      <c r="D19" s="109"/>
      <c r="E19" s="111"/>
    </row>
    <row r="20" spans="2:5" s="108" customFormat="1" ht="12.75">
      <c r="B20" s="110"/>
      <c r="C20" s="109"/>
      <c r="D20" s="107" t="s">
        <v>175</v>
      </c>
      <c r="E20" s="111"/>
    </row>
    <row r="21" spans="2:5" s="108" customFormat="1" ht="12.75">
      <c r="B21" s="110"/>
      <c r="C21" s="109" t="s">
        <v>176</v>
      </c>
      <c r="D21" s="109"/>
      <c r="E21" s="111"/>
    </row>
    <row r="22" spans="2:5" s="108" customFormat="1" ht="12.75">
      <c r="B22" s="110"/>
      <c r="C22" s="109"/>
      <c r="D22" s="107" t="s">
        <v>177</v>
      </c>
      <c r="E22" s="111"/>
    </row>
    <row r="23" spans="2:5" s="108" customFormat="1" ht="12.75">
      <c r="B23" s="110"/>
      <c r="C23" s="109" t="s">
        <v>178</v>
      </c>
      <c r="D23" s="109"/>
      <c r="E23" s="111"/>
    </row>
    <row r="24" spans="2:5" s="108" customFormat="1" ht="12.75">
      <c r="B24" s="110"/>
      <c r="C24" s="109"/>
      <c r="D24" s="109" t="s">
        <v>179</v>
      </c>
      <c r="E24" s="111"/>
    </row>
    <row r="25" spans="2:5" s="108" customFormat="1" ht="12.75">
      <c r="B25" s="110"/>
      <c r="C25" s="109" t="s">
        <v>180</v>
      </c>
      <c r="D25" s="109"/>
      <c r="E25" s="111"/>
    </row>
    <row r="26" spans="2:5" s="108" customFormat="1" ht="12.75">
      <c r="B26" s="110"/>
      <c r="C26" s="107" t="s">
        <v>181</v>
      </c>
      <c r="D26" s="109"/>
      <c r="E26" s="111"/>
    </row>
    <row r="27" spans="2:5" s="108" customFormat="1" ht="12.75">
      <c r="B27" s="110"/>
      <c r="C27" s="109"/>
      <c r="D27" s="109" t="s">
        <v>182</v>
      </c>
      <c r="E27" s="111"/>
    </row>
    <row r="28" spans="2:5" s="108" customFormat="1" ht="12.75">
      <c r="B28" s="110"/>
      <c r="C28" s="107" t="s">
        <v>183</v>
      </c>
      <c r="D28" s="109"/>
      <c r="E28" s="111"/>
    </row>
    <row r="29" spans="2:5" s="108" customFormat="1" ht="12.75">
      <c r="B29" s="110"/>
      <c r="C29" s="109"/>
      <c r="D29" s="109" t="s">
        <v>184</v>
      </c>
      <c r="E29" s="111"/>
    </row>
    <row r="30" spans="2:5" s="108" customFormat="1" ht="12.75">
      <c r="B30" s="110"/>
      <c r="C30" s="107" t="s">
        <v>185</v>
      </c>
      <c r="D30" s="109"/>
      <c r="E30" s="111"/>
    </row>
    <row r="31" spans="2:5" s="108" customFormat="1" ht="12.75">
      <c r="B31" s="110"/>
      <c r="C31" s="109" t="s">
        <v>186</v>
      </c>
      <c r="D31" s="109" t="s">
        <v>187</v>
      </c>
      <c r="E31" s="111"/>
    </row>
    <row r="32" spans="2:5" s="108" customFormat="1" ht="12.75">
      <c r="B32" s="110"/>
      <c r="C32" s="109"/>
      <c r="D32" s="107" t="s">
        <v>188</v>
      </c>
      <c r="E32" s="111"/>
    </row>
    <row r="33" spans="2:5" s="108" customFormat="1" ht="12.75">
      <c r="B33" s="110"/>
      <c r="C33" s="109"/>
      <c r="D33" s="107" t="s">
        <v>189</v>
      </c>
      <c r="E33" s="111"/>
    </row>
    <row r="34" spans="2:5" s="108" customFormat="1" ht="12.75">
      <c r="B34" s="110"/>
      <c r="C34" s="109"/>
      <c r="D34" s="107" t="s">
        <v>190</v>
      </c>
      <c r="E34" s="111"/>
    </row>
    <row r="35" spans="2:5" s="108" customFormat="1" ht="12.75">
      <c r="B35" s="110"/>
      <c r="C35" s="109"/>
      <c r="D35" s="107" t="s">
        <v>191</v>
      </c>
      <c r="E35" s="111"/>
    </row>
    <row r="36" spans="2:5" s="108" customFormat="1" ht="12.75">
      <c r="B36" s="110"/>
      <c r="C36" s="109"/>
      <c r="D36" s="107" t="s">
        <v>192</v>
      </c>
      <c r="E36" s="111"/>
    </row>
    <row r="37" spans="2:5" s="108" customFormat="1" ht="12.75">
      <c r="B37" s="110"/>
      <c r="C37" s="109"/>
      <c r="D37" s="107" t="s">
        <v>193</v>
      </c>
      <c r="E37" s="111"/>
    </row>
    <row r="38" spans="2:5" s="108" customFormat="1" ht="6" customHeight="1">
      <c r="B38" s="110"/>
      <c r="C38" s="109"/>
      <c r="D38" s="109"/>
      <c r="E38" s="111"/>
    </row>
    <row r="39" spans="2:5" s="108" customFormat="1" ht="15.75">
      <c r="B39" s="110"/>
      <c r="C39" s="103" t="s">
        <v>194</v>
      </c>
      <c r="D39" s="104" t="s">
        <v>195</v>
      </c>
      <c r="E39" s="111"/>
    </row>
    <row r="40" spans="2:5" s="108" customFormat="1" ht="4.5" customHeight="1">
      <c r="B40" s="110"/>
      <c r="C40" s="109"/>
      <c r="D40" s="109"/>
      <c r="E40" s="111"/>
    </row>
    <row r="41" spans="2:5" s="108" customFormat="1" ht="12.75">
      <c r="B41" s="110"/>
      <c r="C41" s="109"/>
      <c r="D41" s="107" t="s">
        <v>196</v>
      </c>
      <c r="E41" s="111"/>
    </row>
    <row r="42" spans="2:5" s="108" customFormat="1" ht="12.75">
      <c r="B42" s="110"/>
      <c r="C42" s="109" t="s">
        <v>197</v>
      </c>
      <c r="D42" s="109"/>
      <c r="E42" s="111"/>
    </row>
    <row r="43" spans="2:5" s="108" customFormat="1" ht="12.75">
      <c r="B43" s="110"/>
      <c r="C43" s="109"/>
      <c r="D43" s="109" t="s">
        <v>198</v>
      </c>
      <c r="E43" s="111"/>
    </row>
    <row r="44" spans="2:5" s="108" customFormat="1" ht="12.75">
      <c r="B44" s="110"/>
      <c r="C44" s="109" t="s">
        <v>199</v>
      </c>
      <c r="D44" s="109"/>
      <c r="E44" s="111"/>
    </row>
    <row r="45" spans="2:5" s="108" customFormat="1" ht="12.75">
      <c r="B45" s="110"/>
      <c r="C45" s="109"/>
      <c r="D45" s="109" t="s">
        <v>200</v>
      </c>
      <c r="E45" s="111"/>
    </row>
    <row r="46" spans="2:5" s="108" customFormat="1" ht="12.75">
      <c r="B46" s="110"/>
      <c r="C46" s="109" t="s">
        <v>201</v>
      </c>
      <c r="D46" s="109"/>
      <c r="E46" s="111"/>
    </row>
    <row r="47" spans="2:5" s="108" customFormat="1" ht="12.75">
      <c r="B47" s="110"/>
      <c r="C47" s="109"/>
      <c r="D47" s="109" t="s">
        <v>202</v>
      </c>
      <c r="E47" s="111"/>
    </row>
    <row r="48" spans="2:5" s="108" customFormat="1" ht="12.75">
      <c r="B48" s="110"/>
      <c r="C48" s="109" t="s">
        <v>203</v>
      </c>
      <c r="D48" s="109"/>
      <c r="E48" s="111"/>
    </row>
    <row r="49" spans="2:5" s="108" customFormat="1" ht="12.75">
      <c r="B49" s="110"/>
      <c r="D49" s="108" t="s">
        <v>204</v>
      </c>
      <c r="E49" s="111"/>
    </row>
    <row r="50" spans="2:5" s="108" customFormat="1" ht="12.75">
      <c r="B50" s="110"/>
      <c r="C50" s="108" t="s">
        <v>205</v>
      </c>
      <c r="E50" s="111"/>
    </row>
    <row r="51" spans="2:5" s="108" customFormat="1" ht="12.75">
      <c r="B51" s="110"/>
      <c r="C51" s="108" t="s">
        <v>206</v>
      </c>
      <c r="E51" s="111"/>
    </row>
    <row r="52" spans="2:5" s="108" customFormat="1" ht="12.75">
      <c r="B52" s="110"/>
      <c r="C52" s="108" t="s">
        <v>207</v>
      </c>
      <c r="D52" s="109"/>
      <c r="E52" s="111"/>
    </row>
    <row r="53" spans="2:5" s="108" customFormat="1" ht="12.75">
      <c r="B53" s="110"/>
      <c r="C53" s="109"/>
      <c r="D53" s="85" t="s">
        <v>846</v>
      </c>
      <c r="E53" s="111"/>
    </row>
    <row r="54" spans="2:5" s="108" customFormat="1" ht="12.75">
      <c r="B54" s="110"/>
      <c r="C54" s="109"/>
      <c r="D54" s="83" t="s">
        <v>389</v>
      </c>
      <c r="E54" s="111"/>
    </row>
    <row r="55" spans="2:5" s="85" customFormat="1" ht="12.75">
      <c r="B55" s="82"/>
      <c r="C55" s="83"/>
      <c r="D55" s="83" t="s">
        <v>390</v>
      </c>
      <c r="E55" s="84"/>
    </row>
    <row r="56" spans="2:5" ht="12.75">
      <c r="B56" s="4"/>
      <c r="C56" s="108"/>
      <c r="D56" s="108" t="s">
        <v>208</v>
      </c>
      <c r="E56" s="6"/>
    </row>
    <row r="57" spans="2:5" ht="12.75">
      <c r="B57" s="4"/>
      <c r="C57" s="85" t="s">
        <v>391</v>
      </c>
      <c r="D57" s="108"/>
      <c r="E57" s="6"/>
    </row>
    <row r="58" spans="2:5" ht="12.75">
      <c r="B58" s="4"/>
      <c r="C58" s="108"/>
      <c r="D58" s="108"/>
      <c r="E58" s="6"/>
    </row>
    <row r="59" spans="2:5" ht="12.75">
      <c r="B59" s="4"/>
      <c r="C59" s="108"/>
      <c r="D59" s="108"/>
      <c r="E59" s="6"/>
    </row>
    <row r="60" spans="2:5" ht="12.75">
      <c r="B60" s="4"/>
      <c r="C60" s="108"/>
      <c r="D60" s="108"/>
      <c r="E60" s="88">
        <v>1</v>
      </c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/>
  <pageMargins left="0.17" right="0.16" top="0.31" bottom="0.29" header="0.27" footer="0.2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04"/>
  <sheetViews>
    <sheetView zoomScalePageLayoutView="0" workbookViewId="0" topLeftCell="B72">
      <selection activeCell="I113" sqref="I113"/>
    </sheetView>
  </sheetViews>
  <sheetFormatPr defaultColWidth="9.140625" defaultRowHeight="12.75"/>
  <cols>
    <col min="1" max="1" width="9.7109375" style="0" hidden="1" customWidth="1"/>
    <col min="2" max="2" width="3.7109375" style="0" customWidth="1"/>
    <col min="3" max="3" width="3.421875" style="19" customWidth="1"/>
    <col min="4" max="4" width="2.00390625" style="0" customWidth="1"/>
    <col min="5" max="5" width="3.421875" style="0" customWidth="1"/>
    <col min="6" max="6" width="15.421875" style="0" customWidth="1"/>
    <col min="7" max="7" width="10.140625" style="0" customWidth="1"/>
    <col min="8" max="9" width="8.7109375" style="0" customWidth="1"/>
    <col min="10" max="10" width="16.8515625" style="0" customWidth="1"/>
    <col min="11" max="11" width="11.00390625" style="0" customWidth="1"/>
    <col min="12" max="12" width="11.8515625" style="0" customWidth="1"/>
    <col min="13" max="13" width="10.421875" style="0" customWidth="1"/>
    <col min="14" max="14" width="3.421875" style="0" customWidth="1"/>
    <col min="15" max="15" width="2.140625" style="0" customWidth="1"/>
    <col min="16" max="16" width="10.140625" style="0" bestFit="1" customWidth="1"/>
  </cols>
  <sheetData>
    <row r="2" spans="2:14" ht="12.75">
      <c r="B2" s="1"/>
      <c r="C2" s="11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9" customFormat="1" ht="33" customHeight="1">
      <c r="B4" s="519" t="s">
        <v>308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1"/>
    </row>
    <row r="5" spans="2:14" s="29" customFormat="1" ht="12.75" customHeight="1"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2:14" ht="15.75">
      <c r="B6" s="4"/>
      <c r="C6" s="10"/>
      <c r="D6" s="551" t="s">
        <v>210</v>
      </c>
      <c r="E6" s="551"/>
      <c r="F6" s="113" t="s">
        <v>211</v>
      </c>
      <c r="G6" s="5"/>
      <c r="H6" s="5"/>
      <c r="I6" s="5"/>
      <c r="J6" s="5"/>
      <c r="K6" s="114"/>
      <c r="L6" s="114"/>
      <c r="M6" s="5"/>
      <c r="N6" s="6"/>
    </row>
    <row r="7" spans="2:14" ht="12.75">
      <c r="B7" s="4"/>
      <c r="C7" s="10"/>
      <c r="D7" s="5"/>
      <c r="E7" s="5"/>
      <c r="F7" s="5"/>
      <c r="G7" s="5"/>
      <c r="H7" s="5"/>
      <c r="I7" s="5"/>
      <c r="J7" s="5"/>
      <c r="K7" s="114"/>
      <c r="L7" s="114"/>
      <c r="M7" s="5"/>
      <c r="N7" s="6"/>
    </row>
    <row r="8" spans="2:14" ht="12.75">
      <c r="B8" s="4"/>
      <c r="C8" s="10"/>
      <c r="D8" s="5"/>
      <c r="E8" s="115" t="s">
        <v>6</v>
      </c>
      <c r="F8" s="116" t="s">
        <v>212</v>
      </c>
      <c r="G8" s="116"/>
      <c r="H8" s="117"/>
      <c r="I8" s="5"/>
      <c r="J8" s="5"/>
      <c r="K8" s="5"/>
      <c r="L8" s="5"/>
      <c r="M8" s="5"/>
      <c r="N8" s="6"/>
    </row>
    <row r="9" spans="2:14" ht="12.75">
      <c r="B9" s="4"/>
      <c r="C9" s="10"/>
      <c r="D9" s="5"/>
      <c r="E9" s="115"/>
      <c r="F9" s="116"/>
      <c r="G9" s="116"/>
      <c r="H9" s="117"/>
      <c r="I9" s="5"/>
      <c r="J9" s="5"/>
      <c r="K9" s="5"/>
      <c r="L9" s="5"/>
      <c r="M9" s="5"/>
      <c r="N9" s="6"/>
    </row>
    <row r="10" spans="2:14" ht="12.75">
      <c r="B10" s="110"/>
      <c r="C10" s="118"/>
      <c r="D10" s="109"/>
      <c r="E10" s="119">
        <v>1</v>
      </c>
      <c r="F10" s="120" t="s">
        <v>23</v>
      </c>
      <c r="G10" s="121"/>
      <c r="H10" s="5"/>
      <c r="I10" s="5"/>
      <c r="J10" s="5"/>
      <c r="K10" s="5"/>
      <c r="L10" s="5"/>
      <c r="M10" s="5"/>
      <c r="N10" s="6"/>
    </row>
    <row r="11" spans="2:14" ht="12.75">
      <c r="B11" s="4"/>
      <c r="C11" s="10">
        <v>3</v>
      </c>
      <c r="D11" s="5"/>
      <c r="E11" s="5"/>
      <c r="F11" s="10" t="s">
        <v>66</v>
      </c>
      <c r="G11" s="114"/>
      <c r="H11" s="114"/>
      <c r="I11" s="114"/>
      <c r="J11" s="114"/>
      <c r="K11" s="114"/>
      <c r="L11" s="114"/>
      <c r="M11" s="5"/>
      <c r="N11" s="6"/>
    </row>
    <row r="12" spans="2:14" ht="12.75">
      <c r="B12" s="4"/>
      <c r="C12" s="10"/>
      <c r="D12" s="5"/>
      <c r="E12" s="538" t="s">
        <v>5</v>
      </c>
      <c r="F12" s="538" t="s">
        <v>213</v>
      </c>
      <c r="G12" s="538"/>
      <c r="H12" s="538" t="s">
        <v>214</v>
      </c>
      <c r="I12" s="538" t="s">
        <v>215</v>
      </c>
      <c r="J12" s="538"/>
      <c r="K12" s="262" t="s">
        <v>216</v>
      </c>
      <c r="L12" s="262" t="s">
        <v>217</v>
      </c>
      <c r="M12" s="262" t="s">
        <v>216</v>
      </c>
      <c r="N12" s="6"/>
    </row>
    <row r="13" spans="2:14" ht="12.75">
      <c r="B13" s="4"/>
      <c r="C13" s="10"/>
      <c r="D13" s="5"/>
      <c r="E13" s="538"/>
      <c r="F13" s="538"/>
      <c r="G13" s="538"/>
      <c r="H13" s="538"/>
      <c r="I13" s="538"/>
      <c r="J13" s="538"/>
      <c r="K13" s="262" t="s">
        <v>218</v>
      </c>
      <c r="L13" s="262" t="s">
        <v>219</v>
      </c>
      <c r="M13" s="262" t="s">
        <v>220</v>
      </c>
      <c r="N13" s="6"/>
    </row>
    <row r="14" spans="2:14" ht="12.75">
      <c r="B14" s="4"/>
      <c r="C14" s="10"/>
      <c r="D14" s="5"/>
      <c r="E14" s="300"/>
      <c r="F14" s="554"/>
      <c r="G14" s="555"/>
      <c r="H14" s="301"/>
      <c r="I14" s="552"/>
      <c r="J14" s="553"/>
      <c r="K14" s="301"/>
      <c r="L14" s="301"/>
      <c r="M14" s="303"/>
      <c r="N14" s="6"/>
    </row>
    <row r="15" spans="2:14" ht="12.75">
      <c r="B15" s="4"/>
      <c r="C15" s="10"/>
      <c r="D15" s="5"/>
      <c r="E15" s="123"/>
      <c r="F15" s="526" t="s">
        <v>333</v>
      </c>
      <c r="G15" s="534"/>
      <c r="H15" s="122" t="s">
        <v>220</v>
      </c>
      <c r="I15" s="535" t="s">
        <v>331</v>
      </c>
      <c r="J15" s="536"/>
      <c r="K15" s="123"/>
      <c r="L15" s="123"/>
      <c r="M15" s="123">
        <v>298529.8</v>
      </c>
      <c r="N15" s="6"/>
    </row>
    <row r="16" spans="2:14" ht="12.75">
      <c r="B16" s="4"/>
      <c r="C16" s="10"/>
      <c r="D16" s="5"/>
      <c r="E16" s="123"/>
      <c r="F16" s="526" t="s">
        <v>334</v>
      </c>
      <c r="G16" s="534"/>
      <c r="H16" s="122" t="s">
        <v>220</v>
      </c>
      <c r="I16" s="535" t="s">
        <v>332</v>
      </c>
      <c r="J16" s="536"/>
      <c r="K16" s="123"/>
      <c r="L16" s="123"/>
      <c r="M16" s="123">
        <v>13799677.58</v>
      </c>
      <c r="N16" s="6"/>
    </row>
    <row r="17" spans="2:14" ht="12.75">
      <c r="B17" s="4"/>
      <c r="C17" s="10"/>
      <c r="D17" s="5"/>
      <c r="E17" s="123"/>
      <c r="F17" s="526" t="s">
        <v>335</v>
      </c>
      <c r="G17" s="534"/>
      <c r="H17" s="122" t="s">
        <v>318</v>
      </c>
      <c r="I17" s="535" t="s">
        <v>337</v>
      </c>
      <c r="J17" s="536"/>
      <c r="K17" s="123">
        <v>52.38</v>
      </c>
      <c r="L17" s="123">
        <v>138.77</v>
      </c>
      <c r="M17" s="123">
        <f>K17*L17</f>
        <v>7268.772600000001</v>
      </c>
      <c r="N17" s="6"/>
    </row>
    <row r="18" spans="2:14" ht="12.75">
      <c r="B18" s="4"/>
      <c r="C18" s="10"/>
      <c r="D18" s="5"/>
      <c r="E18" s="123"/>
      <c r="F18" s="526" t="s">
        <v>336</v>
      </c>
      <c r="G18" s="534"/>
      <c r="H18" s="174" t="s">
        <v>318</v>
      </c>
      <c r="I18" s="535" t="s">
        <v>338</v>
      </c>
      <c r="J18" s="536"/>
      <c r="K18" s="174">
        <v>22.69</v>
      </c>
      <c r="L18" s="174">
        <v>138.77</v>
      </c>
      <c r="M18" s="123">
        <f>K18*L18</f>
        <v>3148.6913000000004</v>
      </c>
      <c r="N18" s="6"/>
    </row>
    <row r="19" spans="2:14" ht="12.75">
      <c r="B19" s="4"/>
      <c r="C19" s="10"/>
      <c r="D19" s="5"/>
      <c r="E19" s="123"/>
      <c r="F19" s="526" t="s">
        <v>339</v>
      </c>
      <c r="G19" s="527"/>
      <c r="H19" s="174" t="s">
        <v>220</v>
      </c>
      <c r="I19" s="528" t="s">
        <v>344</v>
      </c>
      <c r="J19" s="529"/>
      <c r="K19" s="124"/>
      <c r="L19" s="124"/>
      <c r="M19" s="123">
        <v>458997.87</v>
      </c>
      <c r="N19" s="6"/>
    </row>
    <row r="20" spans="2:14" ht="12.75">
      <c r="B20" s="4"/>
      <c r="C20" s="10"/>
      <c r="D20" s="5"/>
      <c r="E20" s="123"/>
      <c r="F20" s="526" t="s">
        <v>340</v>
      </c>
      <c r="G20" s="527"/>
      <c r="H20" s="174" t="s">
        <v>220</v>
      </c>
      <c r="I20" s="530" t="s">
        <v>343</v>
      </c>
      <c r="J20" s="531"/>
      <c r="K20" s="124"/>
      <c r="L20" s="124"/>
      <c r="M20" s="123">
        <v>90893.63</v>
      </c>
      <c r="N20" s="6"/>
    </row>
    <row r="21" spans="2:14" ht="12.75">
      <c r="B21" s="4"/>
      <c r="C21" s="10"/>
      <c r="D21" s="5"/>
      <c r="E21" s="123"/>
      <c r="F21" s="526" t="s">
        <v>341</v>
      </c>
      <c r="G21" s="527"/>
      <c r="H21" s="174" t="s">
        <v>220</v>
      </c>
      <c r="I21" s="532" t="s">
        <v>342</v>
      </c>
      <c r="J21" s="533"/>
      <c r="K21" s="124"/>
      <c r="L21" s="124"/>
      <c r="M21" s="123">
        <v>2336.2</v>
      </c>
      <c r="N21" s="6"/>
    </row>
    <row r="22" spans="2:14" s="29" customFormat="1" ht="21" customHeight="1">
      <c r="B22" s="125"/>
      <c r="C22" s="40"/>
      <c r="D22" s="41"/>
      <c r="E22" s="31"/>
      <c r="F22" s="546" t="s">
        <v>221</v>
      </c>
      <c r="G22" s="547"/>
      <c r="H22" s="547"/>
      <c r="I22" s="547"/>
      <c r="J22" s="547"/>
      <c r="K22" s="547"/>
      <c r="L22" s="548"/>
      <c r="M22" s="31">
        <f>SUM(M14:M21)</f>
        <v>14660852.5439</v>
      </c>
      <c r="N22" s="126"/>
    </row>
    <row r="23" spans="2:14" ht="12.75">
      <c r="B23" s="4"/>
      <c r="C23" s="10">
        <v>4</v>
      </c>
      <c r="D23" s="5"/>
      <c r="E23" s="127"/>
      <c r="F23" s="118" t="s">
        <v>67</v>
      </c>
      <c r="G23" s="127"/>
      <c r="H23" s="127"/>
      <c r="I23" s="127"/>
      <c r="J23" s="127"/>
      <c r="K23" s="127"/>
      <c r="L23" s="127"/>
      <c r="M23" s="5"/>
      <c r="N23" s="6"/>
    </row>
    <row r="24" spans="2:14" ht="12.75">
      <c r="B24" s="4"/>
      <c r="C24" s="10"/>
      <c r="D24" s="5"/>
      <c r="E24" s="538" t="s">
        <v>5</v>
      </c>
      <c r="F24" s="538" t="s">
        <v>222</v>
      </c>
      <c r="G24" s="538"/>
      <c r="H24" s="538"/>
      <c r="I24" s="538"/>
      <c r="J24" s="538"/>
      <c r="K24" s="262" t="s">
        <v>216</v>
      </c>
      <c r="L24" s="262" t="s">
        <v>217</v>
      </c>
      <c r="M24" s="262" t="s">
        <v>216</v>
      </c>
      <c r="N24" s="6"/>
    </row>
    <row r="25" spans="2:14" ht="12.75">
      <c r="B25" s="4"/>
      <c r="C25" s="10"/>
      <c r="D25" s="5"/>
      <c r="E25" s="538"/>
      <c r="F25" s="538"/>
      <c r="G25" s="538"/>
      <c r="H25" s="538"/>
      <c r="I25" s="538"/>
      <c r="J25" s="538"/>
      <c r="K25" s="262" t="s">
        <v>218</v>
      </c>
      <c r="L25" s="262" t="s">
        <v>219</v>
      </c>
      <c r="M25" s="262" t="s">
        <v>220</v>
      </c>
      <c r="N25" s="6"/>
    </row>
    <row r="26" spans="2:14" ht="12.75">
      <c r="B26" s="4"/>
      <c r="C26" s="10"/>
      <c r="D26" s="5"/>
      <c r="E26" s="300"/>
      <c r="F26" s="540" t="s">
        <v>223</v>
      </c>
      <c r="G26" s="541"/>
      <c r="H26" s="541"/>
      <c r="I26" s="541"/>
      <c r="J26" s="542"/>
      <c r="K26" s="301"/>
      <c r="L26" s="301"/>
      <c r="M26" s="302">
        <v>4294551</v>
      </c>
      <c r="N26" s="6"/>
    </row>
    <row r="27" spans="2:14" ht="12.75">
      <c r="B27" s="4"/>
      <c r="C27" s="10"/>
      <c r="D27" s="5"/>
      <c r="E27" s="123"/>
      <c r="F27" s="543" t="s">
        <v>224</v>
      </c>
      <c r="G27" s="544"/>
      <c r="H27" s="544"/>
      <c r="I27" s="544"/>
      <c r="J27" s="545"/>
      <c r="K27" s="123">
        <v>1</v>
      </c>
      <c r="L27" s="123">
        <v>137.88</v>
      </c>
      <c r="M27" s="123">
        <v>139</v>
      </c>
      <c r="N27" s="6"/>
    </row>
    <row r="28" spans="2:14" ht="12.75">
      <c r="B28" s="4"/>
      <c r="C28" s="10"/>
      <c r="D28" s="5"/>
      <c r="E28" s="123"/>
      <c r="F28" s="543"/>
      <c r="G28" s="544"/>
      <c r="H28" s="544"/>
      <c r="I28" s="544"/>
      <c r="J28" s="545"/>
      <c r="K28" s="123"/>
      <c r="L28" s="123"/>
      <c r="M28" s="123"/>
      <c r="N28" s="6"/>
    </row>
    <row r="29" spans="2:14" ht="12.75">
      <c r="B29" s="4"/>
      <c r="C29" s="10"/>
      <c r="D29" s="5"/>
      <c r="E29" s="123"/>
      <c r="F29" s="543"/>
      <c r="G29" s="544"/>
      <c r="H29" s="544"/>
      <c r="I29" s="544"/>
      <c r="J29" s="545"/>
      <c r="K29" s="123"/>
      <c r="L29" s="123"/>
      <c r="M29" s="123"/>
      <c r="N29" s="6"/>
    </row>
    <row r="30" spans="2:14" ht="18" customHeight="1">
      <c r="B30" s="4"/>
      <c r="C30" s="10"/>
      <c r="D30" s="5"/>
      <c r="E30" s="31"/>
      <c r="F30" s="546" t="s">
        <v>221</v>
      </c>
      <c r="G30" s="547"/>
      <c r="H30" s="547"/>
      <c r="I30" s="547"/>
      <c r="J30" s="547"/>
      <c r="K30" s="547"/>
      <c r="L30" s="548"/>
      <c r="M30" s="21">
        <f>SUM(M26:M29)</f>
        <v>4294690</v>
      </c>
      <c r="N30" s="6"/>
    </row>
    <row r="31" spans="2:14" ht="12.75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ht="12.75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">
        <v>5</v>
      </c>
      <c r="D33" s="5"/>
      <c r="E33" s="128">
        <v>2</v>
      </c>
      <c r="F33" s="129" t="s">
        <v>225</v>
      </c>
      <c r="G33" s="130"/>
      <c r="H33" s="5"/>
      <c r="I33" s="5"/>
      <c r="J33" s="5"/>
      <c r="K33" s="5"/>
      <c r="L33" s="5"/>
      <c r="M33" s="5"/>
      <c r="N33" s="6"/>
    </row>
    <row r="34" spans="2:14" ht="12.75">
      <c r="B34" s="4"/>
      <c r="C34" s="10"/>
      <c r="D34" s="5"/>
      <c r="E34" s="5"/>
      <c r="F34" s="5"/>
      <c r="G34" s="5" t="s">
        <v>226</v>
      </c>
      <c r="H34" s="5"/>
      <c r="I34" s="5"/>
      <c r="J34" s="5"/>
      <c r="K34" s="5"/>
      <c r="L34" s="5"/>
      <c r="M34" s="5"/>
      <c r="N34" s="6"/>
    </row>
    <row r="35" spans="2:14" ht="12.75">
      <c r="B35" s="4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10">
        <v>6</v>
      </c>
      <c r="D36" s="5"/>
      <c r="E36" s="128">
        <v>3</v>
      </c>
      <c r="F36" s="129" t="s">
        <v>227</v>
      </c>
      <c r="G36" s="130"/>
      <c r="H36" s="5"/>
      <c r="I36" s="5"/>
      <c r="J36" s="5"/>
      <c r="K36" s="5"/>
      <c r="L36" s="5"/>
      <c r="M36" s="5"/>
      <c r="N36" s="6"/>
    </row>
    <row r="37" spans="2:14" ht="12.75">
      <c r="B37" s="4"/>
      <c r="C37" s="10"/>
      <c r="D37" s="5"/>
      <c r="E37" s="131"/>
      <c r="F37" s="132"/>
      <c r="G37" s="130"/>
      <c r="H37" s="5"/>
      <c r="I37" s="5"/>
      <c r="J37" s="5"/>
      <c r="K37" s="5"/>
      <c r="L37" s="5"/>
      <c r="M37" s="5"/>
      <c r="N37" s="6"/>
    </row>
    <row r="38" spans="2:14" ht="12.75">
      <c r="B38" s="4"/>
      <c r="C38" s="10">
        <v>7</v>
      </c>
      <c r="D38" s="5"/>
      <c r="E38" s="133" t="s">
        <v>228</v>
      </c>
      <c r="F38" s="134" t="s">
        <v>229</v>
      </c>
      <c r="G38" s="5"/>
      <c r="H38" s="5"/>
      <c r="I38" s="5"/>
      <c r="J38" s="5"/>
      <c r="K38" s="5"/>
      <c r="L38" s="5"/>
      <c r="M38" s="5"/>
      <c r="N38" s="6"/>
    </row>
    <row r="39" spans="2:14" ht="12.75">
      <c r="B39" s="4"/>
      <c r="C39" s="10"/>
      <c r="D39" s="5"/>
      <c r="E39" s="5"/>
      <c r="F39" s="537" t="s">
        <v>230</v>
      </c>
      <c r="G39" s="537"/>
      <c r="H39" s="5"/>
      <c r="I39" s="10" t="s">
        <v>5</v>
      </c>
      <c r="J39" s="8">
        <f>SUM(J41:J70)</f>
        <v>126</v>
      </c>
      <c r="K39" s="10" t="s">
        <v>231</v>
      </c>
      <c r="L39" s="175">
        <f>Aktivet!G16</f>
        <v>33996400</v>
      </c>
      <c r="M39" s="5"/>
      <c r="N39" s="6"/>
    </row>
    <row r="40" spans="2:14" ht="12.75">
      <c r="B40" s="4"/>
      <c r="C40" s="10"/>
      <c r="D40" s="5"/>
      <c r="E40" s="5"/>
      <c r="F40" s="537" t="s">
        <v>232</v>
      </c>
      <c r="G40" s="537"/>
      <c r="H40" s="5"/>
      <c r="I40" s="10"/>
      <c r="J40" s="5"/>
      <c r="K40" s="10"/>
      <c r="L40" s="5"/>
      <c r="M40" s="5"/>
      <c r="N40" s="6"/>
    </row>
    <row r="41" spans="2:14" s="85" customFormat="1" ht="12.75">
      <c r="B41" s="82"/>
      <c r="C41" s="136"/>
      <c r="D41" s="83"/>
      <c r="E41" s="83"/>
      <c r="F41" s="83" t="s">
        <v>345</v>
      </c>
      <c r="G41" s="83"/>
      <c r="H41" s="83"/>
      <c r="I41" s="136" t="s">
        <v>5</v>
      </c>
      <c r="J41" s="155">
        <f>21+6</f>
        <v>27</v>
      </c>
      <c r="K41" s="136" t="s">
        <v>231</v>
      </c>
      <c r="L41" s="155">
        <f>11366744+1876885</f>
        <v>13243629</v>
      </c>
      <c r="M41" s="83"/>
      <c r="N41" s="84"/>
    </row>
    <row r="42" spans="2:14" s="85" customFormat="1" ht="12.75">
      <c r="B42" s="82"/>
      <c r="C42" s="136"/>
      <c r="D42" s="83"/>
      <c r="E42" s="83"/>
      <c r="F42" s="83" t="s">
        <v>346</v>
      </c>
      <c r="G42" s="83"/>
      <c r="H42" s="83"/>
      <c r="I42" s="136" t="s">
        <v>5</v>
      </c>
      <c r="J42" s="156">
        <v>2</v>
      </c>
      <c r="K42" s="136" t="s">
        <v>231</v>
      </c>
      <c r="L42" s="156">
        <v>670998</v>
      </c>
      <c r="M42" s="83"/>
      <c r="N42" s="84"/>
    </row>
    <row r="43" spans="2:14" s="85" customFormat="1" ht="12.75">
      <c r="B43" s="82"/>
      <c r="C43" s="136"/>
      <c r="D43" s="83"/>
      <c r="E43" s="83"/>
      <c r="F43" s="83" t="s">
        <v>347</v>
      </c>
      <c r="G43" s="83"/>
      <c r="H43" s="83"/>
      <c r="I43" s="136" t="s">
        <v>5</v>
      </c>
      <c r="J43" s="156">
        <v>9</v>
      </c>
      <c r="K43" s="136" t="s">
        <v>231</v>
      </c>
      <c r="L43" s="156">
        <v>4972836</v>
      </c>
      <c r="M43" s="83"/>
      <c r="N43" s="84"/>
    </row>
    <row r="44" spans="2:14" s="242" customFormat="1" ht="12.75">
      <c r="B44" s="238"/>
      <c r="C44" s="239"/>
      <c r="D44" s="240"/>
      <c r="E44" s="240"/>
      <c r="F44" s="169" t="s">
        <v>348</v>
      </c>
      <c r="G44" s="83"/>
      <c r="H44" s="83"/>
      <c r="I44" s="136" t="s">
        <v>5</v>
      </c>
      <c r="J44" s="156">
        <v>1</v>
      </c>
      <c r="K44" s="136" t="s">
        <v>231</v>
      </c>
      <c r="L44" s="156">
        <v>300</v>
      </c>
      <c r="M44" s="240"/>
      <c r="N44" s="241"/>
    </row>
    <row r="45" spans="2:14" s="242" customFormat="1" ht="12.75">
      <c r="B45" s="238"/>
      <c r="C45" s="239"/>
      <c r="D45" s="240"/>
      <c r="E45" s="240"/>
      <c r="F45" s="169" t="s">
        <v>851</v>
      </c>
      <c r="G45" s="83"/>
      <c r="H45" s="83"/>
      <c r="I45" s="136" t="s">
        <v>5</v>
      </c>
      <c r="J45" s="156">
        <v>2</v>
      </c>
      <c r="K45" s="136" t="s">
        <v>231</v>
      </c>
      <c r="L45" s="156">
        <v>115956</v>
      </c>
      <c r="M45" s="240"/>
      <c r="N45" s="241"/>
    </row>
    <row r="46" spans="2:14" s="242" customFormat="1" ht="12.75">
      <c r="B46" s="238"/>
      <c r="C46" s="239"/>
      <c r="D46" s="240"/>
      <c r="E46" s="240"/>
      <c r="F46" s="169" t="s">
        <v>857</v>
      </c>
      <c r="G46" s="83"/>
      <c r="H46" s="83"/>
      <c r="I46" s="136" t="s">
        <v>5</v>
      </c>
      <c r="J46" s="156">
        <v>1</v>
      </c>
      <c r="K46" s="136" t="s">
        <v>231</v>
      </c>
      <c r="L46" s="156">
        <v>64</v>
      </c>
      <c r="M46" s="240"/>
      <c r="N46" s="241"/>
    </row>
    <row r="47" spans="2:14" s="85" customFormat="1" ht="12.75">
      <c r="B47" s="82"/>
      <c r="C47" s="136"/>
      <c r="D47" s="83"/>
      <c r="E47" s="83"/>
      <c r="F47" s="169" t="s">
        <v>349</v>
      </c>
      <c r="G47" s="83"/>
      <c r="H47" s="83"/>
      <c r="I47" s="136" t="s">
        <v>5</v>
      </c>
      <c r="J47" s="156">
        <v>1</v>
      </c>
      <c r="K47" s="136" t="s">
        <v>231</v>
      </c>
      <c r="L47" s="156">
        <v>575040</v>
      </c>
      <c r="M47" s="83"/>
      <c r="N47" s="84"/>
    </row>
    <row r="48" spans="2:14" s="242" customFormat="1" ht="12.75">
      <c r="B48" s="238"/>
      <c r="C48" s="239"/>
      <c r="D48" s="240"/>
      <c r="E48" s="240"/>
      <c r="F48" s="169" t="s">
        <v>350</v>
      </c>
      <c r="G48" s="83"/>
      <c r="H48" s="83"/>
      <c r="I48" s="136" t="s">
        <v>5</v>
      </c>
      <c r="J48" s="156">
        <v>1</v>
      </c>
      <c r="K48" s="136" t="s">
        <v>231</v>
      </c>
      <c r="L48" s="156">
        <v>970</v>
      </c>
      <c r="M48" s="240"/>
      <c r="N48" s="241"/>
    </row>
    <row r="49" spans="2:14" s="242" customFormat="1" ht="12.75">
      <c r="B49" s="238"/>
      <c r="C49" s="239"/>
      <c r="D49" s="240"/>
      <c r="E49" s="240"/>
      <c r="F49" s="169" t="s">
        <v>357</v>
      </c>
      <c r="G49" s="83"/>
      <c r="H49" s="83"/>
      <c r="I49" s="136" t="s">
        <v>5</v>
      </c>
      <c r="J49" s="156">
        <v>41</v>
      </c>
      <c r="K49" s="136" t="s">
        <v>231</v>
      </c>
      <c r="L49" s="156">
        <v>267508</v>
      </c>
      <c r="M49" s="240"/>
      <c r="N49" s="241"/>
    </row>
    <row r="50" spans="2:14" s="85" customFormat="1" ht="12.75">
      <c r="B50" s="82"/>
      <c r="C50" s="136"/>
      <c r="D50" s="83"/>
      <c r="E50" s="83"/>
      <c r="F50" s="169" t="s">
        <v>848</v>
      </c>
      <c r="G50" s="83"/>
      <c r="H50" s="83"/>
      <c r="I50" s="136" t="s">
        <v>5</v>
      </c>
      <c r="J50" s="156">
        <v>1</v>
      </c>
      <c r="K50" s="136" t="s">
        <v>231</v>
      </c>
      <c r="L50" s="156">
        <v>500249</v>
      </c>
      <c r="M50" s="83"/>
      <c r="N50" s="84"/>
    </row>
    <row r="51" spans="2:14" s="85" customFormat="1" ht="12.75">
      <c r="B51" s="82"/>
      <c r="C51" s="136"/>
      <c r="D51" s="83"/>
      <c r="E51" s="83"/>
      <c r="F51" s="169" t="s">
        <v>351</v>
      </c>
      <c r="G51" s="83"/>
      <c r="H51" s="83"/>
      <c r="I51" s="136" t="s">
        <v>5</v>
      </c>
      <c r="J51" s="156">
        <v>2</v>
      </c>
      <c r="K51" s="136" t="s">
        <v>231</v>
      </c>
      <c r="L51" s="156">
        <v>610032</v>
      </c>
      <c r="M51" s="83"/>
      <c r="N51" s="84"/>
    </row>
    <row r="52" spans="2:14" s="85" customFormat="1" ht="12.75">
      <c r="B52" s="82"/>
      <c r="C52" s="136"/>
      <c r="D52" s="83"/>
      <c r="E52" s="83"/>
      <c r="F52" s="169" t="s">
        <v>850</v>
      </c>
      <c r="G52" s="83"/>
      <c r="H52" s="83"/>
      <c r="I52" s="136" t="s">
        <v>5</v>
      </c>
      <c r="J52" s="156">
        <v>1</v>
      </c>
      <c r="K52" s="136" t="s">
        <v>231</v>
      </c>
      <c r="L52" s="156">
        <v>271650</v>
      </c>
      <c r="M52" s="83"/>
      <c r="N52" s="84"/>
    </row>
    <row r="53" spans="2:14" s="242" customFormat="1" ht="12.75">
      <c r="B53" s="238"/>
      <c r="C53" s="239"/>
      <c r="D53" s="240"/>
      <c r="E53" s="240"/>
      <c r="F53" s="169" t="s">
        <v>855</v>
      </c>
      <c r="G53" s="83"/>
      <c r="H53" s="83"/>
      <c r="I53" s="136" t="s">
        <v>5</v>
      </c>
      <c r="J53" s="156">
        <v>1</v>
      </c>
      <c r="K53" s="136" t="s">
        <v>231</v>
      </c>
      <c r="L53" s="156">
        <v>1200</v>
      </c>
      <c r="M53" s="240"/>
      <c r="N53" s="241"/>
    </row>
    <row r="54" spans="2:14" s="85" customFormat="1" ht="12.75">
      <c r="B54" s="82"/>
      <c r="C54" s="136"/>
      <c r="D54" s="83"/>
      <c r="E54" s="83"/>
      <c r="F54" s="169" t="s">
        <v>352</v>
      </c>
      <c r="G54" s="83"/>
      <c r="H54" s="83"/>
      <c r="I54" s="136" t="s">
        <v>5</v>
      </c>
      <c r="J54" s="156">
        <v>1</v>
      </c>
      <c r="K54" s="136" t="s">
        <v>231</v>
      </c>
      <c r="L54" s="156">
        <v>432600</v>
      </c>
      <c r="M54" s="83"/>
      <c r="N54" s="84"/>
    </row>
    <row r="55" spans="2:14" s="242" customFormat="1" ht="12.75">
      <c r="B55" s="238"/>
      <c r="C55" s="239"/>
      <c r="D55" s="240"/>
      <c r="E55" s="240"/>
      <c r="F55" s="169" t="s">
        <v>856</v>
      </c>
      <c r="G55" s="83"/>
      <c r="H55" s="83"/>
      <c r="I55" s="136" t="s">
        <v>5</v>
      </c>
      <c r="J55" s="156">
        <v>1</v>
      </c>
      <c r="K55" s="136" t="s">
        <v>231</v>
      </c>
      <c r="L55" s="156">
        <v>217</v>
      </c>
      <c r="M55" s="240"/>
      <c r="N55" s="241"/>
    </row>
    <row r="56" spans="2:14" s="85" customFormat="1" ht="12.75">
      <c r="B56" s="82"/>
      <c r="C56" s="136"/>
      <c r="D56" s="83"/>
      <c r="E56" s="83"/>
      <c r="F56" s="169" t="s">
        <v>353</v>
      </c>
      <c r="G56" s="83"/>
      <c r="H56" s="83"/>
      <c r="I56" s="136" t="s">
        <v>5</v>
      </c>
      <c r="J56" s="156">
        <v>4</v>
      </c>
      <c r="K56" s="136" t="s">
        <v>231</v>
      </c>
      <c r="L56" s="156">
        <v>1045362</v>
      </c>
      <c r="M56" s="83"/>
      <c r="N56" s="84"/>
    </row>
    <row r="57" spans="2:14" s="242" customFormat="1" ht="12.75">
      <c r="B57" s="238"/>
      <c r="C57" s="239"/>
      <c r="D57" s="240"/>
      <c r="E57" s="240"/>
      <c r="F57" s="169" t="s">
        <v>853</v>
      </c>
      <c r="G57" s="83"/>
      <c r="H57" s="83"/>
      <c r="I57" s="136" t="s">
        <v>5</v>
      </c>
      <c r="J57" s="156">
        <v>1</v>
      </c>
      <c r="K57" s="136" t="s">
        <v>231</v>
      </c>
      <c r="L57" s="156">
        <v>70128</v>
      </c>
      <c r="M57" s="240"/>
      <c r="N57" s="241"/>
    </row>
    <row r="58" spans="2:14" s="242" customFormat="1" ht="12.75">
      <c r="B58" s="238"/>
      <c r="C58" s="239"/>
      <c r="D58" s="240"/>
      <c r="E58" s="240"/>
      <c r="F58" s="169" t="s">
        <v>854</v>
      </c>
      <c r="G58" s="83"/>
      <c r="H58" s="83"/>
      <c r="I58" s="136" t="s">
        <v>5</v>
      </c>
      <c r="J58" s="156">
        <v>1</v>
      </c>
      <c r="K58" s="136" t="s">
        <v>231</v>
      </c>
      <c r="L58" s="156">
        <v>14220</v>
      </c>
      <c r="M58" s="240"/>
      <c r="N58" s="241"/>
    </row>
    <row r="59" spans="2:14" s="85" customFormat="1" ht="12.75">
      <c r="B59" s="82"/>
      <c r="C59" s="136"/>
      <c r="D59" s="83"/>
      <c r="E59" s="83"/>
      <c r="F59" s="169" t="s">
        <v>354</v>
      </c>
      <c r="G59" s="83"/>
      <c r="H59" s="83"/>
      <c r="I59" s="136" t="s">
        <v>5</v>
      </c>
      <c r="J59" s="156">
        <v>1</v>
      </c>
      <c r="K59" s="136" t="s">
        <v>231</v>
      </c>
      <c r="L59" s="156">
        <v>747276</v>
      </c>
      <c r="M59" s="83"/>
      <c r="N59" s="84"/>
    </row>
    <row r="60" spans="2:14" s="242" customFormat="1" ht="12.75">
      <c r="B60" s="238"/>
      <c r="C60" s="239"/>
      <c r="D60" s="240"/>
      <c r="E60" s="240"/>
      <c r="F60" s="169" t="s">
        <v>355</v>
      </c>
      <c r="G60" s="83"/>
      <c r="H60" s="83"/>
      <c r="I60" s="136" t="s">
        <v>5</v>
      </c>
      <c r="J60" s="156">
        <v>1</v>
      </c>
      <c r="K60" s="136" t="s">
        <v>231</v>
      </c>
      <c r="L60" s="156">
        <v>784</v>
      </c>
      <c r="M60" s="240"/>
      <c r="N60" s="241"/>
    </row>
    <row r="61" spans="2:14" s="85" customFormat="1" ht="12.75">
      <c r="B61" s="82"/>
      <c r="C61" s="136"/>
      <c r="D61" s="83"/>
      <c r="E61" s="83"/>
      <c r="F61" s="169" t="s">
        <v>858</v>
      </c>
      <c r="G61" s="83"/>
      <c r="H61" s="83"/>
      <c r="I61" s="136" t="s">
        <v>5</v>
      </c>
      <c r="J61" s="156">
        <v>7</v>
      </c>
      <c r="K61" s="136" t="s">
        <v>231</v>
      </c>
      <c r="L61" s="156">
        <v>2760648</v>
      </c>
      <c r="M61" s="83"/>
      <c r="N61" s="84"/>
    </row>
    <row r="62" spans="2:14" s="242" customFormat="1" ht="12.75">
      <c r="B62" s="238"/>
      <c r="C62" s="239"/>
      <c r="D62" s="240"/>
      <c r="E62" s="240"/>
      <c r="F62" s="169" t="s">
        <v>356</v>
      </c>
      <c r="G62" s="83"/>
      <c r="H62" s="83"/>
      <c r="I62" s="136" t="s">
        <v>5</v>
      </c>
      <c r="J62" s="156">
        <v>1</v>
      </c>
      <c r="K62" s="136" t="s">
        <v>231</v>
      </c>
      <c r="L62" s="156">
        <v>86952</v>
      </c>
      <c r="M62" s="240"/>
      <c r="N62" s="241"/>
    </row>
    <row r="63" spans="2:14" s="242" customFormat="1" ht="12.75">
      <c r="B63" s="238"/>
      <c r="C63" s="239"/>
      <c r="D63" s="240"/>
      <c r="E63" s="240"/>
      <c r="F63" s="169" t="s">
        <v>852</v>
      </c>
      <c r="G63" s="83"/>
      <c r="H63" s="83"/>
      <c r="I63" s="136" t="s">
        <v>5</v>
      </c>
      <c r="J63" s="156">
        <v>1</v>
      </c>
      <c r="K63" s="136" t="s">
        <v>231</v>
      </c>
      <c r="L63" s="244">
        <v>97968</v>
      </c>
      <c r="M63" s="240"/>
      <c r="N63" s="241"/>
    </row>
    <row r="64" spans="2:14" s="85" customFormat="1" ht="12.75">
      <c r="B64" s="82"/>
      <c r="C64" s="136"/>
      <c r="D64" s="83"/>
      <c r="E64" s="83"/>
      <c r="F64" s="169" t="s">
        <v>358</v>
      </c>
      <c r="G64" s="83"/>
      <c r="H64" s="83"/>
      <c r="I64" s="136" t="s">
        <v>5</v>
      </c>
      <c r="J64" s="156">
        <v>10</v>
      </c>
      <c r="K64" s="136" t="s">
        <v>231</v>
      </c>
      <c r="L64" s="243">
        <v>5634302</v>
      </c>
      <c r="M64" s="83"/>
      <c r="N64" s="84"/>
    </row>
    <row r="65" spans="2:14" s="85" customFormat="1" ht="12.75">
      <c r="B65" s="82"/>
      <c r="C65" s="136"/>
      <c r="D65" s="83"/>
      <c r="E65" s="83"/>
      <c r="F65" s="169" t="s">
        <v>359</v>
      </c>
      <c r="G65" s="83"/>
      <c r="H65" s="83"/>
      <c r="I65" s="136" t="s">
        <v>5</v>
      </c>
      <c r="J65" s="156">
        <v>3</v>
      </c>
      <c r="K65" s="136" t="s">
        <v>231</v>
      </c>
      <c r="L65" s="244">
        <v>1442112</v>
      </c>
      <c r="M65" s="83"/>
      <c r="N65" s="84"/>
    </row>
    <row r="66" spans="2:14" s="85" customFormat="1" ht="12.75">
      <c r="B66" s="82"/>
      <c r="C66" s="136"/>
      <c r="D66" s="83"/>
      <c r="E66" s="83"/>
      <c r="F66" s="169" t="s">
        <v>360</v>
      </c>
      <c r="G66" s="83"/>
      <c r="H66" s="83"/>
      <c r="I66" s="136" t="s">
        <v>5</v>
      </c>
      <c r="J66" s="156">
        <v>1</v>
      </c>
      <c r="K66" s="136" t="s">
        <v>231</v>
      </c>
      <c r="L66" s="244">
        <v>87750</v>
      </c>
      <c r="M66" s="83"/>
      <c r="N66" s="84"/>
    </row>
    <row r="67" spans="2:14" s="85" customFormat="1" ht="12.75">
      <c r="B67" s="82"/>
      <c r="C67" s="136"/>
      <c r="D67" s="83"/>
      <c r="E67" s="83"/>
      <c r="F67" s="169" t="s">
        <v>849</v>
      </c>
      <c r="G67" s="83"/>
      <c r="H67" s="83"/>
      <c r="I67" s="136" t="s">
        <v>5</v>
      </c>
      <c r="J67" s="156">
        <v>1</v>
      </c>
      <c r="K67" s="136" t="s">
        <v>231</v>
      </c>
      <c r="L67" s="244">
        <v>355400</v>
      </c>
      <c r="M67" s="83"/>
      <c r="N67" s="84"/>
    </row>
    <row r="68" spans="2:14" s="242" customFormat="1" ht="12.75">
      <c r="B68" s="238"/>
      <c r="C68" s="239"/>
      <c r="D68" s="240"/>
      <c r="E68" s="240"/>
      <c r="F68" s="169" t="s">
        <v>363</v>
      </c>
      <c r="G68" s="83"/>
      <c r="H68" s="83"/>
      <c r="I68" s="136"/>
      <c r="J68" s="156"/>
      <c r="K68" s="136"/>
      <c r="L68" s="244">
        <v>77</v>
      </c>
      <c r="M68" s="240"/>
      <c r="N68" s="241"/>
    </row>
    <row r="69" spans="2:14" s="242" customFormat="1" ht="12.75">
      <c r="B69" s="238"/>
      <c r="C69" s="239"/>
      <c r="D69" s="240"/>
      <c r="E69" s="240"/>
      <c r="F69" s="169" t="s">
        <v>361</v>
      </c>
      <c r="G69" s="83"/>
      <c r="H69" s="83"/>
      <c r="I69" s="136" t="s">
        <v>5</v>
      </c>
      <c r="J69" s="244">
        <v>1</v>
      </c>
      <c r="K69" s="136" t="s">
        <v>231</v>
      </c>
      <c r="L69" s="244">
        <v>-36</v>
      </c>
      <c r="M69" s="240"/>
      <c r="N69" s="241"/>
    </row>
    <row r="70" spans="2:14" s="242" customFormat="1" ht="12.75">
      <c r="B70" s="238"/>
      <c r="C70" s="239"/>
      <c r="D70" s="240"/>
      <c r="E70" s="240"/>
      <c r="F70" s="169" t="s">
        <v>362</v>
      </c>
      <c r="G70" s="83"/>
      <c r="H70" s="83"/>
      <c r="I70" s="136" t="s">
        <v>5</v>
      </c>
      <c r="J70" s="244">
        <v>1</v>
      </c>
      <c r="K70" s="136" t="s">
        <v>231</v>
      </c>
      <c r="L70" s="244">
        <v>-9792</v>
      </c>
      <c r="M70" s="240"/>
      <c r="N70" s="241"/>
    </row>
    <row r="71" spans="2:14" ht="12.75">
      <c r="B71" s="4"/>
      <c r="C71" s="10"/>
      <c r="D71" s="5"/>
      <c r="E71" s="5"/>
      <c r="F71" s="148" t="s">
        <v>125</v>
      </c>
      <c r="G71" s="137"/>
      <c r="H71" s="137"/>
      <c r="I71" s="176"/>
      <c r="J71" s="148"/>
      <c r="K71" s="176"/>
      <c r="L71" s="148">
        <f>SUM(L41:L70)</f>
        <v>33996400</v>
      </c>
      <c r="M71" s="20">
        <f>L71-L39</f>
        <v>0</v>
      </c>
      <c r="N71" s="6"/>
    </row>
    <row r="72" spans="2:14" ht="12.75">
      <c r="B72" s="4"/>
      <c r="C72" s="10"/>
      <c r="D72" s="5"/>
      <c r="E72" s="5"/>
      <c r="F72" s="135"/>
      <c r="G72" s="5"/>
      <c r="H72" s="5"/>
      <c r="I72" s="10"/>
      <c r="J72" s="135"/>
      <c r="K72" s="10"/>
      <c r="L72" s="135"/>
      <c r="M72" s="5"/>
      <c r="N72" s="6"/>
    </row>
    <row r="73" spans="2:14" s="242" customFormat="1" ht="12.75">
      <c r="B73" s="238"/>
      <c r="C73" s="136">
        <v>8</v>
      </c>
      <c r="D73" s="83"/>
      <c r="E73" s="131" t="s">
        <v>228</v>
      </c>
      <c r="F73" s="177" t="s">
        <v>233</v>
      </c>
      <c r="G73" s="137"/>
      <c r="H73" s="137"/>
      <c r="I73" s="176"/>
      <c r="J73" s="137"/>
      <c r="K73" s="176"/>
      <c r="L73" s="290">
        <f>SUM(L74:L76)</f>
        <v>1866300</v>
      </c>
      <c r="M73" s="240"/>
      <c r="N73" s="241"/>
    </row>
    <row r="74" spans="2:14" s="242" customFormat="1" ht="12.75">
      <c r="B74" s="238"/>
      <c r="C74" s="239"/>
      <c r="D74" s="240"/>
      <c r="E74" s="245"/>
      <c r="F74" s="178" t="s">
        <v>364</v>
      </c>
      <c r="G74" s="83"/>
      <c r="H74" s="137"/>
      <c r="I74" s="176"/>
      <c r="J74" s="137"/>
      <c r="K74" s="176"/>
      <c r="L74" s="288">
        <v>139548</v>
      </c>
      <c r="M74" s="240"/>
      <c r="N74" s="241"/>
    </row>
    <row r="75" spans="2:17" s="242" customFormat="1" ht="12.75">
      <c r="B75" s="238"/>
      <c r="C75" s="239"/>
      <c r="D75" s="240"/>
      <c r="E75" s="245"/>
      <c r="F75" s="178" t="s">
        <v>365</v>
      </c>
      <c r="G75" s="137"/>
      <c r="H75" s="137"/>
      <c r="I75" s="176"/>
      <c r="J75" s="137"/>
      <c r="K75" s="176"/>
      <c r="L75" s="288">
        <v>1599024</v>
      </c>
      <c r="M75" s="240"/>
      <c r="N75" s="241"/>
      <c r="Q75" s="246"/>
    </row>
    <row r="76" spans="2:14" s="242" customFormat="1" ht="12.75">
      <c r="B76" s="238"/>
      <c r="C76" s="239"/>
      <c r="D76" s="240"/>
      <c r="E76" s="245"/>
      <c r="F76" s="178" t="s">
        <v>366</v>
      </c>
      <c r="G76" s="83"/>
      <c r="H76" s="83"/>
      <c r="I76" s="136"/>
      <c r="J76" s="83"/>
      <c r="K76" s="136"/>
      <c r="L76" s="288">
        <v>127728</v>
      </c>
      <c r="M76" s="240"/>
      <c r="N76" s="241"/>
    </row>
    <row r="77" spans="2:17" ht="12.75">
      <c r="B77" s="4"/>
      <c r="C77" s="10"/>
      <c r="D77" s="5"/>
      <c r="E77" s="5"/>
      <c r="F77" s="5"/>
      <c r="G77" s="5"/>
      <c r="H77" s="5"/>
      <c r="I77" s="5"/>
      <c r="J77" s="5"/>
      <c r="K77" s="5"/>
      <c r="L77" s="5"/>
      <c r="M77" s="5"/>
      <c r="N77" s="6"/>
      <c r="Q77" s="18"/>
    </row>
    <row r="78" spans="2:14" s="85" customFormat="1" ht="12.75">
      <c r="B78" s="82"/>
      <c r="C78" s="136">
        <v>9</v>
      </c>
      <c r="D78" s="83"/>
      <c r="E78" s="131" t="s">
        <v>228</v>
      </c>
      <c r="F78" s="178" t="s">
        <v>319</v>
      </c>
      <c r="G78" s="83"/>
      <c r="H78" s="549"/>
      <c r="I78" s="549"/>
      <c r="J78" s="83"/>
      <c r="K78" s="83">
        <v>15045</v>
      </c>
      <c r="L78" s="83" t="s">
        <v>220</v>
      </c>
      <c r="M78" s="83"/>
      <c r="N78" s="84"/>
    </row>
    <row r="79" spans="2:14" s="85" customFormat="1" ht="15">
      <c r="B79" s="82"/>
      <c r="C79" s="136"/>
      <c r="D79" s="83"/>
      <c r="G79" s="83"/>
      <c r="H79" s="13"/>
      <c r="I79" s="13"/>
      <c r="J79" s="13"/>
      <c r="K79" s="10"/>
      <c r="L79" s="5"/>
      <c r="M79" s="83"/>
      <c r="N79" s="84"/>
    </row>
    <row r="80" spans="2:14" s="85" customFormat="1" ht="15">
      <c r="B80" s="82"/>
      <c r="C80" s="136">
        <v>10</v>
      </c>
      <c r="D80" s="83"/>
      <c r="E80" s="133" t="s">
        <v>228</v>
      </c>
      <c r="F80" s="178" t="s">
        <v>316</v>
      </c>
      <c r="G80" s="13"/>
      <c r="H80" s="13"/>
      <c r="I80" s="13"/>
      <c r="J80" s="13"/>
      <c r="K80" s="166">
        <v>1599024</v>
      </c>
      <c r="L80" s="298" t="s">
        <v>220</v>
      </c>
      <c r="M80" s="83"/>
      <c r="N80" s="84"/>
    </row>
    <row r="81" spans="2:14" ht="12.75">
      <c r="B81" s="82"/>
      <c r="C81" s="136"/>
      <c r="D81" s="83"/>
      <c r="E81" s="83"/>
      <c r="F81" s="137"/>
      <c r="G81" s="137"/>
      <c r="H81" s="137"/>
      <c r="I81" s="137"/>
      <c r="J81" s="137"/>
      <c r="K81" s="136"/>
      <c r="L81" s="299"/>
      <c r="M81" s="83"/>
      <c r="N81" s="84"/>
    </row>
    <row r="82" spans="2:14" ht="12.75">
      <c r="B82" s="82"/>
      <c r="C82" s="131">
        <v>11</v>
      </c>
      <c r="D82" s="138"/>
      <c r="E82" s="133" t="s">
        <v>228</v>
      </c>
      <c r="F82" s="134" t="s">
        <v>234</v>
      </c>
      <c r="G82" s="116"/>
      <c r="H82" s="117"/>
      <c r="I82" s="5"/>
      <c r="K82" s="10">
        <v>957125</v>
      </c>
      <c r="L82" s="298" t="s">
        <v>220</v>
      </c>
      <c r="M82" s="83"/>
      <c r="N82" s="84"/>
    </row>
    <row r="83" spans="2:14" ht="12.75">
      <c r="B83" s="82"/>
      <c r="C83" s="118"/>
      <c r="D83" s="109"/>
      <c r="F83" s="134"/>
      <c r="G83" s="121"/>
      <c r="H83" s="5"/>
      <c r="I83" s="5"/>
      <c r="K83" s="10"/>
      <c r="L83" s="5"/>
      <c r="M83" s="83"/>
      <c r="N83" s="84"/>
    </row>
    <row r="84" spans="2:14" ht="12.75">
      <c r="B84" s="82"/>
      <c r="C84" s="10">
        <v>12</v>
      </c>
      <c r="D84" s="5"/>
      <c r="E84" s="133" t="s">
        <v>228</v>
      </c>
      <c r="F84" s="134"/>
      <c r="G84" s="114"/>
      <c r="H84" s="114"/>
      <c r="I84" s="114"/>
      <c r="K84" s="10" t="s">
        <v>235</v>
      </c>
      <c r="L84" s="114"/>
      <c r="M84" s="83"/>
      <c r="N84" s="84"/>
    </row>
    <row r="85" spans="2:14" ht="12.75">
      <c r="B85" s="82"/>
      <c r="C85" s="10"/>
      <c r="D85" s="5"/>
      <c r="F85" s="41"/>
      <c r="G85" s="41"/>
      <c r="H85" s="41"/>
      <c r="I85" s="41"/>
      <c r="K85" s="10"/>
      <c r="L85" s="10"/>
      <c r="M85" s="83"/>
      <c r="N85" s="84"/>
    </row>
    <row r="86" spans="2:14" ht="12.75">
      <c r="B86" s="82"/>
      <c r="C86" s="10">
        <v>13</v>
      </c>
      <c r="D86" s="5"/>
      <c r="E86" s="133" t="s">
        <v>228</v>
      </c>
      <c r="F86" s="41"/>
      <c r="G86" s="41"/>
      <c r="H86" s="41"/>
      <c r="I86" s="41"/>
      <c r="K86" s="10" t="s">
        <v>235</v>
      </c>
      <c r="L86" s="10"/>
      <c r="M86" s="83"/>
      <c r="N86" s="84"/>
    </row>
    <row r="87" spans="2:14" ht="12.75">
      <c r="B87" s="82"/>
      <c r="C87" s="10"/>
      <c r="D87" s="5"/>
      <c r="F87" s="139"/>
      <c r="G87" s="139"/>
      <c r="H87" s="114"/>
      <c r="I87" s="114"/>
      <c r="K87" s="10"/>
      <c r="L87" s="114"/>
      <c r="M87" s="83"/>
      <c r="N87" s="84"/>
    </row>
    <row r="88" spans="2:14" ht="12.75">
      <c r="B88" s="82"/>
      <c r="C88" s="10">
        <v>14</v>
      </c>
      <c r="D88" s="5"/>
      <c r="E88" s="115">
        <v>4</v>
      </c>
      <c r="F88" s="140" t="s">
        <v>34</v>
      </c>
      <c r="G88" s="139"/>
      <c r="H88" s="114"/>
      <c r="I88" s="114"/>
      <c r="K88" s="179">
        <f>SUM(K90:K102)</f>
        <v>72106310.19680773</v>
      </c>
      <c r="L88" s="298" t="s">
        <v>220</v>
      </c>
      <c r="M88" s="83"/>
      <c r="N88" s="84"/>
    </row>
    <row r="89" spans="2:14" ht="12.75">
      <c r="B89" s="82"/>
      <c r="C89" s="10"/>
      <c r="D89" s="5"/>
      <c r="E89" s="5"/>
      <c r="F89" s="139"/>
      <c r="G89" s="139"/>
      <c r="H89" s="114"/>
      <c r="I89" s="114"/>
      <c r="K89" s="10"/>
      <c r="L89" s="5"/>
      <c r="M89" s="83"/>
      <c r="N89" s="84"/>
    </row>
    <row r="90" spans="2:14" ht="12.75">
      <c r="B90" s="82"/>
      <c r="C90" s="10">
        <v>15</v>
      </c>
      <c r="D90" s="5"/>
      <c r="E90" s="109" t="s">
        <v>228</v>
      </c>
      <c r="F90" s="141" t="s">
        <v>35</v>
      </c>
      <c r="G90" s="139"/>
      <c r="H90" s="114"/>
      <c r="I90" s="114"/>
      <c r="K90" s="165">
        <f>Aktivet!G21</f>
        <v>30850229</v>
      </c>
      <c r="L90" s="83" t="s">
        <v>220</v>
      </c>
      <c r="M90" s="83"/>
      <c r="N90" s="84"/>
    </row>
    <row r="91" spans="2:14" ht="12.75">
      <c r="B91" s="82"/>
      <c r="D91" s="5"/>
      <c r="E91" s="108"/>
      <c r="F91" s="142"/>
      <c r="G91" s="139"/>
      <c r="H91" s="114"/>
      <c r="I91" s="114"/>
      <c r="K91" s="10"/>
      <c r="L91" s="143"/>
      <c r="M91" s="83"/>
      <c r="N91" s="84"/>
    </row>
    <row r="92" spans="2:14" ht="12.75">
      <c r="B92" s="82"/>
      <c r="C92" s="10">
        <v>16</v>
      </c>
      <c r="D92" s="41"/>
      <c r="E92" s="109" t="s">
        <v>228</v>
      </c>
      <c r="F92" s="167" t="s">
        <v>859</v>
      </c>
      <c r="G92" s="144"/>
      <c r="H92" s="144"/>
      <c r="I92" s="144"/>
      <c r="K92" s="165">
        <v>9083976</v>
      </c>
      <c r="L92" s="168" t="s">
        <v>220</v>
      </c>
      <c r="M92" s="83"/>
      <c r="N92" s="84"/>
    </row>
    <row r="93" spans="2:14" ht="12.75">
      <c r="B93" s="82"/>
      <c r="D93" s="5"/>
      <c r="E93" s="108"/>
      <c r="F93" s="142"/>
      <c r="G93" s="127"/>
      <c r="H93" s="127"/>
      <c r="I93" s="127"/>
      <c r="K93" s="10"/>
      <c r="L93" s="127"/>
      <c r="M93" s="83"/>
      <c r="N93" s="84"/>
    </row>
    <row r="94" spans="2:14" ht="12.75">
      <c r="B94" s="82"/>
      <c r="C94" s="40">
        <v>17</v>
      </c>
      <c r="D94" s="5"/>
      <c r="E94" s="121" t="s">
        <v>228</v>
      </c>
      <c r="F94" s="145" t="s">
        <v>36</v>
      </c>
      <c r="G94" s="127"/>
      <c r="H94" s="127"/>
      <c r="I94" s="127"/>
      <c r="L94" s="226" t="s">
        <v>235</v>
      </c>
      <c r="M94" s="83"/>
      <c r="N94" s="84"/>
    </row>
    <row r="95" spans="2:14" ht="12.75">
      <c r="B95" s="82"/>
      <c r="C95" s="10"/>
      <c r="D95" s="5"/>
      <c r="E95" s="108"/>
      <c r="F95" s="142"/>
      <c r="G95" s="41"/>
      <c r="H95" s="41"/>
      <c r="I95" s="41"/>
      <c r="K95" s="10"/>
      <c r="L95" s="10"/>
      <c r="M95" s="83"/>
      <c r="N95" s="84"/>
    </row>
    <row r="96" spans="2:14" ht="12.75">
      <c r="B96" s="82"/>
      <c r="C96" s="10">
        <v>18</v>
      </c>
      <c r="D96" s="5"/>
      <c r="E96" s="109" t="s">
        <v>228</v>
      </c>
      <c r="F96" s="146" t="s">
        <v>236</v>
      </c>
      <c r="G96" s="41"/>
      <c r="H96" s="41"/>
      <c r="I96" s="41"/>
      <c r="K96" s="165">
        <f>Aktivet!G23</f>
        <v>16985235.3</v>
      </c>
      <c r="L96" s="247" t="s">
        <v>220</v>
      </c>
      <c r="M96" s="83"/>
      <c r="N96" s="84"/>
    </row>
    <row r="97" spans="2:14" ht="12.75">
      <c r="B97" s="82"/>
      <c r="C97" s="10"/>
      <c r="D97" s="5"/>
      <c r="E97" s="108"/>
      <c r="F97" s="142"/>
      <c r="G97" s="139"/>
      <c r="H97" s="139"/>
      <c r="I97" s="139"/>
      <c r="K97" s="10"/>
      <c r="L97" s="114"/>
      <c r="M97" s="83"/>
      <c r="N97" s="84"/>
    </row>
    <row r="98" spans="2:14" ht="12.75">
      <c r="B98" s="82"/>
      <c r="C98" s="10">
        <v>19</v>
      </c>
      <c r="D98" s="5"/>
      <c r="E98" s="109" t="s">
        <v>228</v>
      </c>
      <c r="F98" s="147" t="s">
        <v>38</v>
      </c>
      <c r="G98" s="139"/>
      <c r="H98" s="139"/>
      <c r="I98" s="139"/>
      <c r="K98" s="165">
        <f>Aktivet!G24</f>
        <v>14737569.896807732</v>
      </c>
      <c r="L98" s="5" t="s">
        <v>220</v>
      </c>
      <c r="M98" s="83"/>
      <c r="N98" s="84"/>
    </row>
    <row r="99" spans="2:14" ht="12.75">
      <c r="B99" s="82"/>
      <c r="C99" s="10"/>
      <c r="D99" s="5"/>
      <c r="E99" s="108"/>
      <c r="F99" s="142"/>
      <c r="G99" s="139"/>
      <c r="H99" s="139"/>
      <c r="I99" s="139"/>
      <c r="K99" s="10"/>
      <c r="L99" s="5"/>
      <c r="M99" s="83"/>
      <c r="N99" s="84"/>
    </row>
    <row r="100" spans="2:14" ht="12.75">
      <c r="B100" s="82"/>
      <c r="C100" s="10">
        <v>20</v>
      </c>
      <c r="D100" s="5"/>
      <c r="E100" s="121" t="s">
        <v>228</v>
      </c>
      <c r="F100" s="178" t="s">
        <v>39</v>
      </c>
      <c r="G100" s="180"/>
      <c r="H100" s="139"/>
      <c r="I100" s="139"/>
      <c r="L100" s="226" t="s">
        <v>235</v>
      </c>
      <c r="M100" s="83"/>
      <c r="N100" s="84"/>
    </row>
    <row r="101" spans="2:14" ht="12.75">
      <c r="B101" s="82"/>
      <c r="C101" s="10"/>
      <c r="D101" s="5"/>
      <c r="E101" s="108"/>
      <c r="F101" s="142"/>
      <c r="G101" s="144"/>
      <c r="H101" s="144"/>
      <c r="I101" s="144"/>
      <c r="K101" s="10"/>
      <c r="L101" s="144"/>
      <c r="M101" s="83"/>
      <c r="N101" s="84"/>
    </row>
    <row r="102" spans="2:14" ht="12.75">
      <c r="B102" s="82"/>
      <c r="C102" s="10">
        <v>21</v>
      </c>
      <c r="D102" s="5"/>
      <c r="E102" s="121" t="s">
        <v>228</v>
      </c>
      <c r="F102" s="134" t="s">
        <v>322</v>
      </c>
      <c r="G102" s="5"/>
      <c r="H102" s="5"/>
      <c r="I102" s="5"/>
      <c r="K102" s="165">
        <f>Aktivet!G26</f>
        <v>449300</v>
      </c>
      <c r="L102" s="5" t="s">
        <v>220</v>
      </c>
      <c r="M102" s="83"/>
      <c r="N102" s="84"/>
    </row>
    <row r="103" spans="2:14" ht="12.75">
      <c r="B103" s="82"/>
      <c r="C103" s="10"/>
      <c r="D103" s="5"/>
      <c r="E103" s="131"/>
      <c r="F103" s="132"/>
      <c r="G103" s="130"/>
      <c r="H103" s="5"/>
      <c r="I103" s="5"/>
      <c r="K103" s="10"/>
      <c r="L103" s="5"/>
      <c r="M103" s="83"/>
      <c r="N103" s="84"/>
    </row>
    <row r="104" spans="2:14" ht="12.75">
      <c r="B104" s="82"/>
      <c r="C104" s="10">
        <v>22</v>
      </c>
      <c r="D104" s="5"/>
      <c r="E104" s="115">
        <v>5</v>
      </c>
      <c r="F104" s="140" t="s">
        <v>237</v>
      </c>
      <c r="G104" s="121"/>
      <c r="H104" s="5"/>
      <c r="I104" s="5"/>
      <c r="L104" s="10" t="s">
        <v>235</v>
      </c>
      <c r="M104" s="83"/>
      <c r="N104" s="84"/>
    </row>
    <row r="105" spans="2:14" ht="12.75">
      <c r="B105" s="82"/>
      <c r="C105" s="10"/>
      <c r="D105" s="5"/>
      <c r="E105" s="5"/>
      <c r="F105" s="5"/>
      <c r="G105" s="5"/>
      <c r="H105" s="5"/>
      <c r="I105" s="5"/>
      <c r="L105" s="10"/>
      <c r="M105" s="83"/>
      <c r="N105" s="84"/>
    </row>
    <row r="106" spans="2:14" ht="12.75">
      <c r="B106" s="82"/>
      <c r="C106" s="10">
        <v>23</v>
      </c>
      <c r="D106" s="5"/>
      <c r="E106" s="115">
        <v>6</v>
      </c>
      <c r="F106" s="140" t="s">
        <v>238</v>
      </c>
      <c r="G106" s="121"/>
      <c r="H106" s="5"/>
      <c r="I106" s="5"/>
      <c r="L106" s="10" t="s">
        <v>235</v>
      </c>
      <c r="M106" s="83"/>
      <c r="N106" s="84"/>
    </row>
    <row r="107" spans="2:14" ht="12.75">
      <c r="B107" s="82"/>
      <c r="C107" s="10"/>
      <c r="D107" s="5"/>
      <c r="H107" s="5"/>
      <c r="I107" s="5"/>
      <c r="L107" s="10"/>
      <c r="M107" s="83"/>
      <c r="N107" s="84"/>
    </row>
    <row r="108" spans="2:14" ht="12.75">
      <c r="B108" s="82"/>
      <c r="C108" s="10">
        <v>24</v>
      </c>
      <c r="D108" s="5"/>
      <c r="E108" s="115">
        <v>7</v>
      </c>
      <c r="F108" s="140" t="s">
        <v>42</v>
      </c>
      <c r="G108" s="121"/>
      <c r="H108" s="5"/>
      <c r="I108" s="5"/>
      <c r="L108" s="10" t="s">
        <v>235</v>
      </c>
      <c r="M108" s="83"/>
      <c r="N108" s="84"/>
    </row>
    <row r="109" spans="2:14" ht="12.75">
      <c r="B109" s="82"/>
      <c r="C109" s="10"/>
      <c r="H109" s="5"/>
      <c r="I109" s="10"/>
      <c r="L109" s="10"/>
      <c r="M109" s="83"/>
      <c r="N109" s="84"/>
    </row>
    <row r="110" spans="2:14" ht="12.75">
      <c r="B110" s="82"/>
      <c r="C110" s="10">
        <v>25</v>
      </c>
      <c r="D110" s="5"/>
      <c r="E110" s="133" t="s">
        <v>228</v>
      </c>
      <c r="F110" s="121" t="s">
        <v>239</v>
      </c>
      <c r="H110" s="5"/>
      <c r="I110" s="10"/>
      <c r="L110" s="10" t="s">
        <v>235</v>
      </c>
      <c r="M110" s="83"/>
      <c r="N110" s="84"/>
    </row>
    <row r="111" spans="2:14" ht="12.75">
      <c r="B111" s="82"/>
      <c r="D111" s="5"/>
      <c r="E111" s="5"/>
      <c r="F111" s="5"/>
      <c r="G111" s="5"/>
      <c r="H111" s="5"/>
      <c r="I111" s="10"/>
      <c r="L111" s="10"/>
      <c r="M111" s="83"/>
      <c r="N111" s="84"/>
    </row>
    <row r="112" spans="2:14" ht="12.75">
      <c r="B112" s="82"/>
      <c r="C112" s="19">
        <v>26</v>
      </c>
      <c r="D112" s="5"/>
      <c r="E112" s="133" t="s">
        <v>228</v>
      </c>
      <c r="F112" s="5"/>
      <c r="G112" s="5"/>
      <c r="H112" s="5"/>
      <c r="I112" s="10"/>
      <c r="L112" s="10" t="s">
        <v>235</v>
      </c>
      <c r="M112" s="83"/>
      <c r="N112" s="84"/>
    </row>
    <row r="113" spans="2:14" ht="12.75">
      <c r="B113" s="82"/>
      <c r="C113" s="10"/>
      <c r="D113" s="5"/>
      <c r="F113" s="121"/>
      <c r="G113" s="5"/>
      <c r="H113" s="5"/>
      <c r="I113" s="10"/>
      <c r="K113" s="10"/>
      <c r="L113" s="5"/>
      <c r="M113" s="83"/>
      <c r="N113" s="84"/>
    </row>
    <row r="114" spans="2:14" ht="12.75">
      <c r="B114" s="82"/>
      <c r="C114" s="10">
        <v>27</v>
      </c>
      <c r="D114" s="5"/>
      <c r="E114" s="137" t="s">
        <v>7</v>
      </c>
      <c r="F114" s="137" t="s">
        <v>240</v>
      </c>
      <c r="G114" s="5"/>
      <c r="H114" s="5"/>
      <c r="I114" s="10"/>
      <c r="K114" s="10"/>
      <c r="L114" s="5"/>
      <c r="M114" s="83"/>
      <c r="N114" s="84"/>
    </row>
    <row r="115" spans="2:14" ht="12.75">
      <c r="B115" s="82"/>
      <c r="C115" s="10"/>
      <c r="D115" s="5"/>
      <c r="E115" s="5"/>
      <c r="F115" s="139"/>
      <c r="G115" s="139"/>
      <c r="H115" s="5"/>
      <c r="I115" s="10"/>
      <c r="K115" s="10"/>
      <c r="L115" s="5"/>
      <c r="M115" s="83"/>
      <c r="N115" s="84"/>
    </row>
    <row r="116" spans="2:14" ht="12.75">
      <c r="B116" s="82"/>
      <c r="C116" s="10">
        <v>28</v>
      </c>
      <c r="D116" s="5"/>
      <c r="E116" s="137">
        <v>1</v>
      </c>
      <c r="F116" s="148" t="s">
        <v>44</v>
      </c>
      <c r="G116" s="5"/>
      <c r="H116" s="5"/>
      <c r="I116" s="10"/>
      <c r="K116" s="10" t="s">
        <v>235</v>
      </c>
      <c r="L116" s="5"/>
      <c r="M116" s="83"/>
      <c r="N116" s="84"/>
    </row>
    <row r="117" spans="2:14" ht="12.75">
      <c r="B117" s="82"/>
      <c r="C117" s="10"/>
      <c r="D117" s="5"/>
      <c r="E117" s="137"/>
      <c r="F117" s="148"/>
      <c r="G117" s="5"/>
      <c r="H117" s="5"/>
      <c r="I117" s="10"/>
      <c r="K117" s="10"/>
      <c r="L117" s="5"/>
      <c r="M117" s="83"/>
      <c r="N117" s="84"/>
    </row>
    <row r="118" spans="2:14" ht="12.75">
      <c r="B118" s="82"/>
      <c r="C118" s="10">
        <v>29</v>
      </c>
      <c r="D118" s="5"/>
      <c r="E118" s="137">
        <v>2</v>
      </c>
      <c r="F118" s="137" t="s">
        <v>46</v>
      </c>
      <c r="G118" s="5"/>
      <c r="H118" s="5"/>
      <c r="I118" s="5"/>
      <c r="K118" s="10">
        <f>M130</f>
        <v>54107116</v>
      </c>
      <c r="L118" s="5"/>
      <c r="M118" s="83"/>
      <c r="N118" s="84"/>
    </row>
    <row r="119" spans="2:14" ht="12.75">
      <c r="B119" s="82"/>
      <c r="C119" s="10"/>
      <c r="D119" s="5"/>
      <c r="E119" s="5"/>
      <c r="F119" s="5"/>
      <c r="G119" s="5"/>
      <c r="H119" s="5"/>
      <c r="I119" s="5"/>
      <c r="J119" s="5"/>
      <c r="K119" s="5"/>
      <c r="L119" s="5"/>
      <c r="M119" s="83"/>
      <c r="N119" s="84"/>
    </row>
    <row r="120" spans="2:14" s="242" customFormat="1" ht="12.75">
      <c r="B120" s="238"/>
      <c r="C120" s="136"/>
      <c r="D120" s="83"/>
      <c r="E120" s="83"/>
      <c r="F120" s="83"/>
      <c r="G120" s="83" t="s">
        <v>241</v>
      </c>
      <c r="H120" s="83"/>
      <c r="I120" s="83"/>
      <c r="J120" s="83"/>
      <c r="K120" s="83"/>
      <c r="L120" s="83"/>
      <c r="M120" s="83"/>
      <c r="N120" s="241"/>
    </row>
    <row r="121" spans="2:14" s="242" customFormat="1" ht="12.75">
      <c r="B121" s="238"/>
      <c r="C121" s="136"/>
      <c r="D121" s="83"/>
      <c r="E121" s="522" t="s">
        <v>5</v>
      </c>
      <c r="F121" s="522" t="s">
        <v>128</v>
      </c>
      <c r="G121" s="523" t="s">
        <v>242</v>
      </c>
      <c r="H121" s="524"/>
      <c r="I121" s="525"/>
      <c r="J121" s="523" t="s">
        <v>243</v>
      </c>
      <c r="K121" s="524"/>
      <c r="L121" s="524"/>
      <c r="M121" s="550" t="s">
        <v>246</v>
      </c>
      <c r="N121" s="241"/>
    </row>
    <row r="122" spans="2:14" s="242" customFormat="1" ht="12.75">
      <c r="B122" s="238"/>
      <c r="C122" s="136"/>
      <c r="D122" s="83"/>
      <c r="E122" s="522"/>
      <c r="F122" s="522"/>
      <c r="G122" s="149" t="s">
        <v>244</v>
      </c>
      <c r="H122" s="149" t="s">
        <v>323</v>
      </c>
      <c r="I122" s="85" t="s">
        <v>324</v>
      </c>
      <c r="J122" s="149" t="s">
        <v>246</v>
      </c>
      <c r="K122" s="149" t="s">
        <v>244</v>
      </c>
      <c r="L122" s="261" t="s">
        <v>245</v>
      </c>
      <c r="M122" s="550"/>
      <c r="N122" s="241"/>
    </row>
    <row r="123" spans="2:14" s="242" customFormat="1" ht="12.75">
      <c r="B123" s="238"/>
      <c r="C123" s="136">
        <v>30</v>
      </c>
      <c r="D123" s="83"/>
      <c r="E123" s="150"/>
      <c r="F123" s="85" t="s">
        <v>55</v>
      </c>
      <c r="G123" s="282">
        <v>1000000</v>
      </c>
      <c r="H123" s="282"/>
      <c r="I123" s="282"/>
      <c r="J123" s="282"/>
      <c r="K123" s="282">
        <v>1000000</v>
      </c>
      <c r="L123" s="282"/>
      <c r="M123" s="297">
        <f>G123+H123-I123-L123</f>
        <v>1000000</v>
      </c>
      <c r="N123" s="241"/>
    </row>
    <row r="124" spans="2:14" s="242" customFormat="1" ht="12.75">
      <c r="B124" s="238"/>
      <c r="C124" s="136">
        <v>31</v>
      </c>
      <c r="D124" s="83"/>
      <c r="E124" s="150"/>
      <c r="F124" s="181" t="s">
        <v>8</v>
      </c>
      <c r="G124" s="282">
        <v>26277530</v>
      </c>
      <c r="H124" s="283">
        <v>2964207</v>
      </c>
      <c r="I124" s="282">
        <v>1326231</v>
      </c>
      <c r="J124" s="282">
        <v>32846912</v>
      </c>
      <c r="K124" s="282"/>
      <c r="L124" s="282">
        <v>1642344</v>
      </c>
      <c r="M124" s="282">
        <f aca="true" t="shared" si="0" ref="M124:M129">G124+H124-I124</f>
        <v>27915506</v>
      </c>
      <c r="N124" s="241"/>
    </row>
    <row r="125" spans="2:14" s="242" customFormat="1" ht="12.75">
      <c r="B125" s="238"/>
      <c r="C125" s="136">
        <v>32</v>
      </c>
      <c r="D125" s="83"/>
      <c r="E125" s="150"/>
      <c r="F125" s="181" t="s">
        <v>247</v>
      </c>
      <c r="G125" s="284">
        <v>9319450</v>
      </c>
      <c r="H125" s="282">
        <v>2942810</v>
      </c>
      <c r="I125" s="282">
        <v>2141031</v>
      </c>
      <c r="J125" s="284">
        <v>9990025</v>
      </c>
      <c r="K125" s="282">
        <v>12149871</v>
      </c>
      <c r="L125" s="282">
        <v>2563666</v>
      </c>
      <c r="M125" s="282">
        <f t="shared" si="0"/>
        <v>10121229</v>
      </c>
      <c r="N125" s="241"/>
    </row>
    <row r="126" spans="2:14" s="242" customFormat="1" ht="12.75">
      <c r="B126" s="238"/>
      <c r="C126" s="136"/>
      <c r="D126" s="83"/>
      <c r="E126" s="150"/>
      <c r="F126" s="181" t="s">
        <v>367</v>
      </c>
      <c r="G126" s="284">
        <v>7401903</v>
      </c>
      <c r="H126" s="282">
        <v>1000000</v>
      </c>
      <c r="I126" s="282">
        <v>1480380</v>
      </c>
      <c r="J126" s="284"/>
      <c r="K126" s="282"/>
      <c r="L126" s="282"/>
      <c r="M126" s="282">
        <f t="shared" si="0"/>
        <v>6921523</v>
      </c>
      <c r="N126" s="241"/>
    </row>
    <row r="127" spans="2:14" s="242" customFormat="1" ht="12.75">
      <c r="B127" s="238"/>
      <c r="C127" s="136"/>
      <c r="D127" s="83"/>
      <c r="E127" s="150"/>
      <c r="F127" s="181" t="s">
        <v>368</v>
      </c>
      <c r="G127" s="284">
        <v>58249</v>
      </c>
      <c r="H127" s="282">
        <v>20833</v>
      </c>
      <c r="I127" s="282">
        <v>16304</v>
      </c>
      <c r="J127" s="284"/>
      <c r="K127" s="282">
        <v>59488</v>
      </c>
      <c r="L127" s="282">
        <v>1237</v>
      </c>
      <c r="M127" s="282">
        <f t="shared" si="0"/>
        <v>62778</v>
      </c>
      <c r="N127" s="241"/>
    </row>
    <row r="128" spans="2:14" s="242" customFormat="1" ht="12.75">
      <c r="B128" s="238"/>
      <c r="C128" s="136">
        <v>33</v>
      </c>
      <c r="D128" s="83"/>
      <c r="E128" s="181"/>
      <c r="F128" s="181" t="s">
        <v>248</v>
      </c>
      <c r="G128" s="284">
        <f>1183423+37264</f>
        <v>1220687</v>
      </c>
      <c r="H128" s="282">
        <f>423600+173000</f>
        <v>596600</v>
      </c>
      <c r="I128" s="282">
        <f>236688+14512</f>
        <v>251200</v>
      </c>
      <c r="J128" s="284">
        <v>2032955</v>
      </c>
      <c r="K128" s="282">
        <v>43000</v>
      </c>
      <c r="L128" s="282">
        <v>301598</v>
      </c>
      <c r="M128" s="282">
        <f t="shared" si="0"/>
        <v>1566087</v>
      </c>
      <c r="N128" s="241"/>
    </row>
    <row r="129" spans="2:14" s="242" customFormat="1" ht="12.75">
      <c r="B129" s="238"/>
      <c r="C129" s="136"/>
      <c r="D129" s="83"/>
      <c r="E129" s="181"/>
      <c r="F129" s="181" t="s">
        <v>912</v>
      </c>
      <c r="G129" s="284"/>
      <c r="H129" s="282">
        <f>5935078+584915</f>
        <v>6519993</v>
      </c>
      <c r="I129" s="282"/>
      <c r="J129" s="284"/>
      <c r="K129" s="282"/>
      <c r="L129" s="282"/>
      <c r="M129" s="282">
        <f t="shared" si="0"/>
        <v>6519993</v>
      </c>
      <c r="N129" s="241"/>
    </row>
    <row r="130" spans="2:14" s="242" customFormat="1" ht="12.75">
      <c r="B130" s="238"/>
      <c r="C130" s="136"/>
      <c r="D130" s="83"/>
      <c r="E130" s="181"/>
      <c r="F130" s="181" t="s">
        <v>125</v>
      </c>
      <c r="G130" s="282">
        <f>SUM(G123:G129)</f>
        <v>45277819</v>
      </c>
      <c r="H130" s="282">
        <f aca="true" t="shared" si="1" ref="H130:M130">SUM(H123:H129)</f>
        <v>14044443</v>
      </c>
      <c r="I130" s="282">
        <f t="shared" si="1"/>
        <v>5215146</v>
      </c>
      <c r="J130" s="282">
        <f t="shared" si="1"/>
        <v>44869892</v>
      </c>
      <c r="K130" s="282">
        <f t="shared" si="1"/>
        <v>13252359</v>
      </c>
      <c r="L130" s="282">
        <f t="shared" si="1"/>
        <v>4508845</v>
      </c>
      <c r="M130" s="282">
        <f t="shared" si="1"/>
        <v>54107116</v>
      </c>
      <c r="N130" s="241"/>
    </row>
    <row r="131" spans="2:14" ht="12.75">
      <c r="B131" s="82"/>
      <c r="C131" s="136"/>
      <c r="D131" s="83"/>
      <c r="E131" s="83"/>
      <c r="F131" s="137"/>
      <c r="G131" s="137"/>
      <c r="H131" s="137"/>
      <c r="I131" s="137"/>
      <c r="J131" s="137"/>
      <c r="K131" s="136"/>
      <c r="L131" s="137"/>
      <c r="M131" s="169"/>
      <c r="N131" s="84"/>
    </row>
    <row r="132" spans="2:14" ht="12.75">
      <c r="B132" s="82"/>
      <c r="C132" s="136"/>
      <c r="D132" s="83"/>
      <c r="E132" s="83"/>
      <c r="F132" s="137"/>
      <c r="G132" s="137"/>
      <c r="H132" s="137"/>
      <c r="I132" s="137"/>
      <c r="J132" s="137"/>
      <c r="K132" s="136"/>
      <c r="L132" s="137"/>
      <c r="M132" s="83"/>
      <c r="N132" s="84"/>
    </row>
    <row r="133" spans="2:14" ht="12.75">
      <c r="B133" s="82"/>
      <c r="C133" s="136">
        <v>34</v>
      </c>
      <c r="D133" s="83"/>
      <c r="E133" s="137">
        <v>3</v>
      </c>
      <c r="F133" s="137" t="s">
        <v>47</v>
      </c>
      <c r="G133" s="83"/>
      <c r="H133" s="83"/>
      <c r="I133" s="83"/>
      <c r="J133" s="85"/>
      <c r="K133" s="83" t="s">
        <v>235</v>
      </c>
      <c r="L133" s="137"/>
      <c r="M133" s="83"/>
      <c r="N133" s="84"/>
    </row>
    <row r="134" spans="2:14" ht="12.75">
      <c r="B134" s="82"/>
      <c r="C134" s="136"/>
      <c r="D134" s="83"/>
      <c r="E134" s="137"/>
      <c r="F134" s="137"/>
      <c r="G134" s="83"/>
      <c r="H134" s="83"/>
      <c r="I134" s="83"/>
      <c r="J134" s="85"/>
      <c r="K134" s="83"/>
      <c r="L134" s="137"/>
      <c r="M134" s="83"/>
      <c r="N134" s="84"/>
    </row>
    <row r="135" spans="2:14" ht="12.75">
      <c r="B135" s="82"/>
      <c r="C135" s="136">
        <v>35</v>
      </c>
      <c r="D135" s="83"/>
      <c r="E135" s="137">
        <v>4</v>
      </c>
      <c r="F135" s="137" t="s">
        <v>48</v>
      </c>
      <c r="G135" s="83"/>
      <c r="H135" s="83"/>
      <c r="I135" s="83"/>
      <c r="J135" s="85"/>
      <c r="K135" s="83">
        <v>76991</v>
      </c>
      <c r="L135" s="137"/>
      <c r="M135" s="83"/>
      <c r="N135" s="84"/>
    </row>
    <row r="136" spans="2:14" ht="12.75">
      <c r="B136" s="82"/>
      <c r="C136" s="136"/>
      <c r="D136" s="83"/>
      <c r="E136" s="83"/>
      <c r="F136" s="83"/>
      <c r="G136" s="83" t="s">
        <v>241</v>
      </c>
      <c r="H136" s="83"/>
      <c r="I136" s="83"/>
      <c r="J136" s="83"/>
      <c r="K136" s="83"/>
      <c r="L136" s="83"/>
      <c r="M136" s="83"/>
      <c r="N136" s="84"/>
    </row>
    <row r="137" spans="2:14" ht="12.75">
      <c r="B137" s="82"/>
      <c r="C137" s="136"/>
      <c r="D137" s="83"/>
      <c r="E137" s="522" t="s">
        <v>5</v>
      </c>
      <c r="F137" s="522" t="s">
        <v>128</v>
      </c>
      <c r="G137" s="523" t="s">
        <v>242</v>
      </c>
      <c r="H137" s="524"/>
      <c r="I137" s="525"/>
      <c r="J137" s="523" t="s">
        <v>243</v>
      </c>
      <c r="K137" s="524"/>
      <c r="L137" s="525"/>
      <c r="M137" s="550" t="s">
        <v>246</v>
      </c>
      <c r="N137" s="84"/>
    </row>
    <row r="138" spans="2:14" ht="12.75">
      <c r="B138" s="82"/>
      <c r="C138" s="136"/>
      <c r="D138" s="83"/>
      <c r="E138" s="522"/>
      <c r="F138" s="522"/>
      <c r="G138" s="149" t="s">
        <v>244</v>
      </c>
      <c r="H138" s="149" t="s">
        <v>323</v>
      </c>
      <c r="I138" s="181" t="s">
        <v>324</v>
      </c>
      <c r="J138" s="149" t="s">
        <v>246</v>
      </c>
      <c r="K138" s="149" t="s">
        <v>244</v>
      </c>
      <c r="L138" s="149" t="s">
        <v>245</v>
      </c>
      <c r="M138" s="550"/>
      <c r="N138" s="84"/>
    </row>
    <row r="139" spans="2:14" ht="12.75">
      <c r="B139" s="82"/>
      <c r="C139" s="136"/>
      <c r="D139" s="83"/>
      <c r="E139" s="170"/>
      <c r="F139" s="170" t="s">
        <v>369</v>
      </c>
      <c r="G139" s="149">
        <v>102659</v>
      </c>
      <c r="H139" s="149">
        <v>0</v>
      </c>
      <c r="I139" s="181">
        <v>25668</v>
      </c>
      <c r="J139" s="149"/>
      <c r="K139" s="149"/>
      <c r="L139" s="149"/>
      <c r="M139" s="149">
        <f>G139+H139-I139</f>
        <v>76991</v>
      </c>
      <c r="N139" s="84"/>
    </row>
    <row r="140" spans="2:14" ht="12.75">
      <c r="B140" s="82"/>
      <c r="C140" s="136"/>
      <c r="D140" s="83"/>
      <c r="E140" s="137"/>
      <c r="F140" s="137"/>
      <c r="G140" s="83"/>
      <c r="H140" s="83"/>
      <c r="I140" s="83"/>
      <c r="J140" s="85"/>
      <c r="K140" s="83"/>
      <c r="L140" s="137"/>
      <c r="M140" s="83"/>
      <c r="N140" s="84"/>
    </row>
    <row r="141" spans="2:14" s="242" customFormat="1" ht="15">
      <c r="B141" s="238"/>
      <c r="C141" s="136">
        <v>36</v>
      </c>
      <c r="D141" s="83"/>
      <c r="E141" s="137">
        <v>5</v>
      </c>
      <c r="F141" s="137" t="s">
        <v>49</v>
      </c>
      <c r="G141" s="83"/>
      <c r="H141" s="13"/>
      <c r="I141" s="13"/>
      <c r="J141" s="85"/>
      <c r="L141" s="83" t="s">
        <v>235</v>
      </c>
      <c r="M141" s="240"/>
      <c r="N141" s="241"/>
    </row>
    <row r="142" spans="2:14" ht="15">
      <c r="B142" s="82"/>
      <c r="C142" s="10"/>
      <c r="D142" s="83"/>
      <c r="E142" s="137"/>
      <c r="F142" s="137"/>
      <c r="G142" s="83"/>
      <c r="H142" s="13"/>
      <c r="I142" s="13"/>
      <c r="L142" s="83"/>
      <c r="M142" s="83"/>
      <c r="N142" s="84"/>
    </row>
    <row r="143" spans="2:14" s="242" customFormat="1" ht="15">
      <c r="B143" s="238"/>
      <c r="C143" s="136">
        <v>37</v>
      </c>
      <c r="D143" s="83"/>
      <c r="E143" s="137">
        <v>6</v>
      </c>
      <c r="F143" s="137" t="s">
        <v>50</v>
      </c>
      <c r="G143" s="13"/>
      <c r="H143" s="13"/>
      <c r="I143" s="248"/>
      <c r="L143" s="83" t="s">
        <v>235</v>
      </c>
      <c r="M143" s="240"/>
      <c r="N143" s="241"/>
    </row>
    <row r="144" spans="2:14" ht="15">
      <c r="B144" s="82"/>
      <c r="C144" s="136"/>
      <c r="D144" s="83"/>
      <c r="E144" s="137"/>
      <c r="F144" s="137"/>
      <c r="G144" s="13"/>
      <c r="H144" s="13"/>
      <c r="I144" s="13"/>
      <c r="J144" s="83"/>
      <c r="K144" s="136"/>
      <c r="L144" s="137"/>
      <c r="M144" s="83"/>
      <c r="N144" s="84"/>
    </row>
    <row r="145" spans="2:14" ht="12.75">
      <c r="B145" s="82"/>
      <c r="C145" s="136"/>
      <c r="D145" s="109"/>
      <c r="E145" s="151" t="s">
        <v>6</v>
      </c>
      <c r="F145" s="116" t="s">
        <v>249</v>
      </c>
      <c r="G145" s="116"/>
      <c r="H145" s="152"/>
      <c r="I145" s="152"/>
      <c r="J145" s="83"/>
      <c r="K145" s="136"/>
      <c r="L145" s="137"/>
      <c r="M145" s="83"/>
      <c r="N145" s="84"/>
    </row>
    <row r="146" spans="2:14" ht="12.75">
      <c r="B146" s="82"/>
      <c r="C146" s="136"/>
      <c r="D146" s="109"/>
      <c r="E146" s="151"/>
      <c r="F146" s="116"/>
      <c r="G146" s="116"/>
      <c r="H146" s="152"/>
      <c r="I146" s="152"/>
      <c r="J146" s="83"/>
      <c r="K146" s="136"/>
      <c r="L146" s="137"/>
      <c r="M146" s="83"/>
      <c r="N146" s="84"/>
    </row>
    <row r="147" spans="2:14" ht="12.75">
      <c r="B147" s="82"/>
      <c r="C147" s="136">
        <v>40</v>
      </c>
      <c r="D147" s="109"/>
      <c r="E147" s="115">
        <v>1</v>
      </c>
      <c r="F147" s="140" t="s">
        <v>61</v>
      </c>
      <c r="G147" s="121"/>
      <c r="H147" s="153"/>
      <c r="I147" s="153"/>
      <c r="J147" s="5"/>
      <c r="L147" s="83" t="s">
        <v>235</v>
      </c>
      <c r="M147" s="83"/>
      <c r="N147" s="84"/>
    </row>
    <row r="148" spans="2:14" ht="12.75">
      <c r="B148" s="82"/>
      <c r="C148" s="136"/>
      <c r="D148" s="109"/>
      <c r="E148" s="115"/>
      <c r="F148" s="140"/>
      <c r="G148" s="121"/>
      <c r="H148" s="153"/>
      <c r="I148" s="153"/>
      <c r="J148" s="5"/>
      <c r="L148" s="83"/>
      <c r="M148" s="83"/>
      <c r="N148" s="84"/>
    </row>
    <row r="149" spans="2:14" ht="12.75">
      <c r="B149" s="4"/>
      <c r="C149" s="136">
        <v>41</v>
      </c>
      <c r="D149" s="109"/>
      <c r="E149" s="115">
        <v>2</v>
      </c>
      <c r="F149" s="140" t="s">
        <v>62</v>
      </c>
      <c r="G149" s="121"/>
      <c r="H149" s="109"/>
      <c r="I149" s="109"/>
      <c r="J149" s="5"/>
      <c r="L149" s="83" t="s">
        <v>235</v>
      </c>
      <c r="M149" s="5"/>
      <c r="N149" s="6"/>
    </row>
    <row r="150" spans="2:14" ht="12.75">
      <c r="B150" s="4"/>
      <c r="C150" s="136"/>
      <c r="D150" s="109"/>
      <c r="E150" s="115"/>
      <c r="F150" s="140"/>
      <c r="G150" s="121"/>
      <c r="H150" s="109"/>
      <c r="I150" s="109"/>
      <c r="J150" s="5"/>
      <c r="L150" s="83"/>
      <c r="M150" s="5"/>
      <c r="N150" s="6"/>
    </row>
    <row r="151" spans="2:14" ht="12.75">
      <c r="B151" s="4"/>
      <c r="C151" s="136">
        <v>42</v>
      </c>
      <c r="D151" s="109"/>
      <c r="E151" s="133" t="s">
        <v>228</v>
      </c>
      <c r="F151" s="134" t="s">
        <v>250</v>
      </c>
      <c r="G151" s="109"/>
      <c r="H151" s="109"/>
      <c r="I151" s="109"/>
      <c r="J151" s="5"/>
      <c r="L151" s="83" t="s">
        <v>235</v>
      </c>
      <c r="M151" s="5"/>
      <c r="N151" s="6"/>
    </row>
    <row r="152" spans="2:14" ht="12.75">
      <c r="B152" s="4"/>
      <c r="C152" s="136"/>
      <c r="D152" s="109"/>
      <c r="E152" s="133"/>
      <c r="F152" s="134"/>
      <c r="G152" s="109"/>
      <c r="H152" s="109"/>
      <c r="I152" s="109"/>
      <c r="J152" s="5"/>
      <c r="L152" s="83"/>
      <c r="M152" s="5"/>
      <c r="N152" s="6"/>
    </row>
    <row r="153" spans="2:14" ht="12.75">
      <c r="B153" s="4"/>
      <c r="C153" s="136">
        <v>43</v>
      </c>
      <c r="D153" s="109"/>
      <c r="E153" s="133" t="s">
        <v>228</v>
      </c>
      <c r="F153" s="134" t="s">
        <v>251</v>
      </c>
      <c r="G153" s="109"/>
      <c r="H153" s="109"/>
      <c r="I153" s="109"/>
      <c r="J153" s="5"/>
      <c r="L153" s="83" t="s">
        <v>235</v>
      </c>
      <c r="M153" s="5"/>
      <c r="N153" s="6"/>
    </row>
    <row r="154" spans="2:14" ht="12.75">
      <c r="B154" s="4"/>
      <c r="C154" s="136"/>
      <c r="D154" s="109"/>
      <c r="E154" s="133"/>
      <c r="F154" s="134"/>
      <c r="G154" s="109"/>
      <c r="H154" s="109"/>
      <c r="I154" s="109"/>
      <c r="J154" s="5"/>
      <c r="L154" s="83"/>
      <c r="M154" s="5"/>
      <c r="N154" s="6"/>
    </row>
    <row r="155" spans="2:14" ht="12.75">
      <c r="B155" s="4"/>
      <c r="C155" s="136">
        <v>44</v>
      </c>
      <c r="D155" s="109"/>
      <c r="E155" s="115">
        <v>3</v>
      </c>
      <c r="F155" s="140" t="s">
        <v>63</v>
      </c>
      <c r="G155" s="121"/>
      <c r="H155" s="109"/>
      <c r="I155" s="109"/>
      <c r="J155" s="5"/>
      <c r="L155" s="83" t="s">
        <v>235</v>
      </c>
      <c r="M155" s="5"/>
      <c r="N155" s="6"/>
    </row>
    <row r="156" spans="2:14" ht="12.75">
      <c r="B156" s="4"/>
      <c r="C156" s="136"/>
      <c r="D156" s="109"/>
      <c r="E156" s="115"/>
      <c r="F156" s="140"/>
      <c r="G156" s="121"/>
      <c r="H156" s="109"/>
      <c r="I156" s="109"/>
      <c r="J156" s="135"/>
      <c r="K156" s="83"/>
      <c r="L156" s="5"/>
      <c r="M156" s="5"/>
      <c r="N156" s="6"/>
    </row>
    <row r="157" spans="2:14" ht="12.75">
      <c r="B157" s="4"/>
      <c r="C157" s="136">
        <v>45</v>
      </c>
      <c r="D157" s="109"/>
      <c r="E157" s="259" t="s">
        <v>228</v>
      </c>
      <c r="F157" s="177" t="s">
        <v>252</v>
      </c>
      <c r="G157" s="137"/>
      <c r="H157" s="109"/>
      <c r="I157" s="109"/>
      <c r="J157" s="135"/>
      <c r="K157" s="83"/>
      <c r="L157" s="5"/>
      <c r="M157" s="5"/>
      <c r="N157" s="6"/>
    </row>
    <row r="158" spans="2:14" ht="12.75">
      <c r="B158" s="4"/>
      <c r="C158" s="136"/>
      <c r="D158" s="109"/>
      <c r="E158" s="133"/>
      <c r="F158" s="537" t="s">
        <v>230</v>
      </c>
      <c r="G158" s="537"/>
      <c r="H158" s="5"/>
      <c r="I158" s="10"/>
      <c r="J158" s="135"/>
      <c r="K158" s="10" t="s">
        <v>231</v>
      </c>
      <c r="L158" s="290">
        <f>Pasivet!G15</f>
        <v>90598593</v>
      </c>
      <c r="M158" s="5"/>
      <c r="N158" s="6"/>
    </row>
    <row r="159" spans="2:14" ht="12.75">
      <c r="B159" s="4"/>
      <c r="C159" s="136"/>
      <c r="D159" s="109"/>
      <c r="E159" s="133"/>
      <c r="F159" s="537" t="s">
        <v>232</v>
      </c>
      <c r="G159" s="537"/>
      <c r="H159" s="5"/>
      <c r="I159" s="10"/>
      <c r="J159" s="135"/>
      <c r="K159" s="10" t="s">
        <v>231</v>
      </c>
      <c r="L159" s="289"/>
      <c r="M159" s="5"/>
      <c r="N159" s="6"/>
    </row>
    <row r="160" spans="2:14" ht="12.75">
      <c r="B160" s="4"/>
      <c r="C160" s="136"/>
      <c r="D160" s="109"/>
      <c r="E160" s="133"/>
      <c r="F160" s="226" t="s">
        <v>888</v>
      </c>
      <c r="G160" s="226"/>
      <c r="H160" s="5"/>
      <c r="I160" s="10"/>
      <c r="J160" s="135"/>
      <c r="K160" s="10" t="s">
        <v>231</v>
      </c>
      <c r="L160" s="289">
        <v>4123725</v>
      </c>
      <c r="M160" s="5"/>
      <c r="N160" s="6"/>
    </row>
    <row r="161" spans="2:14" s="85" customFormat="1" ht="12.75">
      <c r="B161" s="82"/>
      <c r="C161" s="136"/>
      <c r="D161" s="83"/>
      <c r="E161" s="131"/>
      <c r="F161" s="169" t="s">
        <v>375</v>
      </c>
      <c r="G161" s="83"/>
      <c r="H161" s="83"/>
      <c r="I161" s="136"/>
      <c r="J161" s="169"/>
      <c r="K161" s="10" t="s">
        <v>231</v>
      </c>
      <c r="L161" s="289">
        <v>2635010</v>
      </c>
      <c r="M161" s="83"/>
      <c r="N161" s="84"/>
    </row>
    <row r="162" spans="2:14" ht="12.75">
      <c r="B162" s="4"/>
      <c r="C162" s="136"/>
      <c r="D162" s="109"/>
      <c r="E162" s="133"/>
      <c r="F162" s="85" t="s">
        <v>889</v>
      </c>
      <c r="K162" s="10" t="s">
        <v>231</v>
      </c>
      <c r="L162" s="289">
        <v>2251515</v>
      </c>
      <c r="N162" s="6"/>
    </row>
    <row r="163" spans="2:14" s="85" customFormat="1" ht="12.75">
      <c r="B163" s="82"/>
      <c r="C163" s="136"/>
      <c r="D163" s="83"/>
      <c r="E163" s="131"/>
      <c r="F163" s="539" t="s">
        <v>376</v>
      </c>
      <c r="G163" s="539"/>
      <c r="H163" s="83"/>
      <c r="I163" s="136"/>
      <c r="J163" s="169"/>
      <c r="K163" s="136" t="s">
        <v>231</v>
      </c>
      <c r="L163" s="289">
        <v>1547520</v>
      </c>
      <c r="M163" s="83"/>
      <c r="N163" s="84"/>
    </row>
    <row r="164" spans="2:14" s="85" customFormat="1" ht="12.75">
      <c r="B164" s="82"/>
      <c r="C164" s="136"/>
      <c r="D164" s="83"/>
      <c r="E164" s="131"/>
      <c r="F164" s="258" t="s">
        <v>890</v>
      </c>
      <c r="G164" s="258"/>
      <c r="H164" s="83"/>
      <c r="I164" s="136"/>
      <c r="J164" s="169"/>
      <c r="K164" s="136" t="s">
        <v>231</v>
      </c>
      <c r="L164" s="289">
        <v>715920</v>
      </c>
      <c r="M164" s="83"/>
      <c r="N164" s="84"/>
    </row>
    <row r="165" spans="2:14" s="85" customFormat="1" ht="12.75">
      <c r="B165" s="82"/>
      <c r="C165" s="136"/>
      <c r="D165" s="83"/>
      <c r="E165" s="131"/>
      <c r="F165" s="258" t="s">
        <v>891</v>
      </c>
      <c r="G165" s="258"/>
      <c r="H165" s="83"/>
      <c r="I165" s="136"/>
      <c r="J165" s="169"/>
      <c r="K165" s="136" t="s">
        <v>231</v>
      </c>
      <c r="L165" s="289">
        <v>219603</v>
      </c>
      <c r="M165" s="83"/>
      <c r="N165" s="84"/>
    </row>
    <row r="166" spans="2:14" s="85" customFormat="1" ht="13.5" customHeight="1">
      <c r="B166" s="82"/>
      <c r="C166" s="136"/>
      <c r="D166" s="83"/>
      <c r="E166" s="131"/>
      <c r="F166" s="178" t="s">
        <v>381</v>
      </c>
      <c r="G166" s="83"/>
      <c r="H166" s="83"/>
      <c r="I166" s="83"/>
      <c r="J166" s="83"/>
      <c r="K166" s="136" t="s">
        <v>231</v>
      </c>
      <c r="L166" s="285">
        <v>-650077.5</v>
      </c>
      <c r="M166" s="83"/>
      <c r="N166" s="84"/>
    </row>
    <row r="167" spans="2:14" s="85" customFormat="1" ht="13.5" customHeight="1">
      <c r="B167" s="82"/>
      <c r="C167" s="136"/>
      <c r="D167" s="83"/>
      <c r="E167" s="131"/>
      <c r="F167" s="178" t="s">
        <v>892</v>
      </c>
      <c r="G167" s="83"/>
      <c r="H167" s="83"/>
      <c r="I167" s="83"/>
      <c r="J167" s="83"/>
      <c r="K167" s="136" t="s">
        <v>231</v>
      </c>
      <c r="L167" s="285">
        <v>1126863</v>
      </c>
      <c r="M167" s="83"/>
      <c r="N167" s="84"/>
    </row>
    <row r="168" spans="2:14" s="164" customFormat="1" ht="12.75">
      <c r="B168" s="254"/>
      <c r="C168" s="176"/>
      <c r="D168" s="137"/>
      <c r="E168" s="259"/>
      <c r="F168" s="169" t="s">
        <v>378</v>
      </c>
      <c r="G168" s="137"/>
      <c r="H168" s="137"/>
      <c r="I168" s="176"/>
      <c r="J168" s="137"/>
      <c r="K168" s="136" t="s">
        <v>231</v>
      </c>
      <c r="L168" s="285">
        <v>79510</v>
      </c>
      <c r="M168" s="137"/>
      <c r="N168" s="255"/>
    </row>
    <row r="169" spans="2:14" ht="12.75">
      <c r="B169" s="4"/>
      <c r="C169" s="10"/>
      <c r="F169" s="83" t="s">
        <v>373</v>
      </c>
      <c r="G169" s="83"/>
      <c r="H169" s="83"/>
      <c r="I169" s="136"/>
      <c r="J169" s="169"/>
      <c r="K169" s="136" t="s">
        <v>231</v>
      </c>
      <c r="L169" s="289">
        <v>59975203</v>
      </c>
      <c r="M169" s="5"/>
      <c r="N169" s="6"/>
    </row>
    <row r="170" spans="2:14" ht="12.75">
      <c r="B170" s="4"/>
      <c r="C170" s="136"/>
      <c r="D170" s="109"/>
      <c r="E170" s="133"/>
      <c r="F170" s="83" t="s">
        <v>374</v>
      </c>
      <c r="G170" s="83"/>
      <c r="H170" s="83"/>
      <c r="I170" s="136"/>
      <c r="J170" s="169"/>
      <c r="K170" s="136" t="s">
        <v>231</v>
      </c>
      <c r="L170" s="289">
        <v>18858404</v>
      </c>
      <c r="M170" s="5"/>
      <c r="N170" s="6"/>
    </row>
    <row r="171" spans="2:14" ht="12.75">
      <c r="B171" s="4"/>
      <c r="C171" s="10"/>
      <c r="F171" s="85" t="s">
        <v>893</v>
      </c>
      <c r="K171" s="136" t="s">
        <v>231</v>
      </c>
      <c r="L171" s="289">
        <v>-152849</v>
      </c>
      <c r="N171" s="6"/>
    </row>
    <row r="172" spans="2:14" ht="12.75">
      <c r="B172" s="4"/>
      <c r="C172" s="10"/>
      <c r="F172" s="85" t="s">
        <v>894</v>
      </c>
      <c r="K172" s="136" t="s">
        <v>231</v>
      </c>
      <c r="L172" s="289">
        <v>-205581</v>
      </c>
      <c r="N172" s="6"/>
    </row>
    <row r="173" spans="2:14" s="85" customFormat="1" ht="12.75">
      <c r="B173" s="82"/>
      <c r="C173" s="136"/>
      <c r="D173" s="83"/>
      <c r="E173" s="131"/>
      <c r="F173" s="169" t="s">
        <v>377</v>
      </c>
      <c r="G173" s="83"/>
      <c r="H173" s="83"/>
      <c r="I173" s="136"/>
      <c r="J173" s="169"/>
      <c r="K173" s="136" t="s">
        <v>231</v>
      </c>
      <c r="L173" s="289">
        <v>71433</v>
      </c>
      <c r="M173" s="83"/>
      <c r="N173" s="84"/>
    </row>
    <row r="174" spans="2:16" s="85" customFormat="1" ht="12.75">
      <c r="B174" s="82"/>
      <c r="C174" s="136"/>
      <c r="D174" s="83"/>
      <c r="E174" s="131"/>
      <c r="F174" s="169" t="s">
        <v>379</v>
      </c>
      <c r="G174" s="83"/>
      <c r="H174" s="83"/>
      <c r="I174" s="136"/>
      <c r="J174" s="83"/>
      <c r="K174" s="136" t="s">
        <v>231</v>
      </c>
      <c r="L174" s="285">
        <v>488.37</v>
      </c>
      <c r="M174" s="83"/>
      <c r="N174" s="84"/>
      <c r="P174" s="260"/>
    </row>
    <row r="175" spans="2:14" s="85" customFormat="1" ht="13.5" customHeight="1">
      <c r="B175" s="82"/>
      <c r="C175" s="136"/>
      <c r="D175" s="83"/>
      <c r="E175" s="131"/>
      <c r="F175" s="178" t="s">
        <v>380</v>
      </c>
      <c r="G175" s="83"/>
      <c r="H175" s="83"/>
      <c r="I175" s="83"/>
      <c r="J175" s="83"/>
      <c r="K175" s="136" t="s">
        <v>231</v>
      </c>
      <c r="L175" s="285">
        <v>1906.13</v>
      </c>
      <c r="M175" s="83"/>
      <c r="N175" s="84"/>
    </row>
    <row r="176" spans="2:14" ht="12.75">
      <c r="B176" s="4"/>
      <c r="L176" s="289"/>
      <c r="N176" s="6"/>
    </row>
    <row r="177" spans="2:16" ht="13.5" customHeight="1">
      <c r="B177" s="4"/>
      <c r="C177" s="136"/>
      <c r="D177" s="109"/>
      <c r="E177" s="133"/>
      <c r="F177" s="177" t="s">
        <v>125</v>
      </c>
      <c r="G177" s="137"/>
      <c r="H177" s="137"/>
      <c r="I177" s="137"/>
      <c r="J177" s="137"/>
      <c r="K177" s="176" t="s">
        <v>231</v>
      </c>
      <c r="L177" s="291">
        <f>SUM(L160:L176)</f>
        <v>90598593</v>
      </c>
      <c r="M177" s="20"/>
      <c r="N177" s="6"/>
      <c r="P177" s="18"/>
    </row>
    <row r="178" spans="2:14" ht="13.5" customHeight="1">
      <c r="B178" s="4"/>
      <c r="C178" s="136"/>
      <c r="D178" s="109"/>
      <c r="E178" s="133"/>
      <c r="F178" s="178"/>
      <c r="G178" s="109"/>
      <c r="H178" s="109"/>
      <c r="I178" s="109"/>
      <c r="J178" s="5"/>
      <c r="K178" s="83"/>
      <c r="L178" s="285"/>
      <c r="M178" s="5"/>
      <c r="N178" s="6"/>
    </row>
    <row r="179" spans="2:14" ht="12.75">
      <c r="B179" s="4"/>
      <c r="C179" s="136">
        <v>46</v>
      </c>
      <c r="D179" s="109"/>
      <c r="E179" s="133" t="s">
        <v>228</v>
      </c>
      <c r="F179" s="134" t="s">
        <v>253</v>
      </c>
      <c r="G179" s="109"/>
      <c r="H179" s="109"/>
      <c r="I179" s="109"/>
      <c r="J179" s="5"/>
      <c r="K179" s="182" t="s">
        <v>231</v>
      </c>
      <c r="L179" s="288">
        <f>Pasivet!G16</f>
        <v>246413</v>
      </c>
      <c r="M179" s="20"/>
      <c r="N179" s="6"/>
    </row>
    <row r="180" spans="2:14" ht="12.75">
      <c r="B180" s="4"/>
      <c r="C180" s="136"/>
      <c r="D180" s="109"/>
      <c r="E180" s="133"/>
      <c r="F180" s="134"/>
      <c r="G180" s="109"/>
      <c r="H180" s="109"/>
      <c r="I180" s="109"/>
      <c r="J180" s="5"/>
      <c r="K180" s="83"/>
      <c r="L180" s="289"/>
      <c r="M180" s="5"/>
      <c r="N180" s="6"/>
    </row>
    <row r="181" spans="2:14" ht="12.75">
      <c r="B181" s="4"/>
      <c r="C181" s="136">
        <v>47</v>
      </c>
      <c r="D181" s="109"/>
      <c r="E181" s="133" t="s">
        <v>228</v>
      </c>
      <c r="F181" s="134" t="s">
        <v>254</v>
      </c>
      <c r="G181" s="109"/>
      <c r="H181" s="109"/>
      <c r="I181" s="109"/>
      <c r="J181" s="5"/>
      <c r="K181" s="83" t="s">
        <v>231</v>
      </c>
      <c r="L181" s="289">
        <v>107214</v>
      </c>
      <c r="M181" s="5"/>
      <c r="N181" s="6"/>
    </row>
    <row r="182" spans="2:14" ht="12.75">
      <c r="B182" s="4"/>
      <c r="C182" s="136"/>
      <c r="D182" s="109"/>
      <c r="E182" s="133"/>
      <c r="F182" s="134"/>
      <c r="G182" s="109"/>
      <c r="H182" s="109"/>
      <c r="I182" s="109"/>
      <c r="J182" s="5"/>
      <c r="K182" s="83"/>
      <c r="L182" s="289"/>
      <c r="M182" s="5"/>
      <c r="N182" s="6"/>
    </row>
    <row r="183" spans="2:14" ht="12.75">
      <c r="B183" s="4"/>
      <c r="C183" s="136">
        <v>48</v>
      </c>
      <c r="D183" s="109"/>
      <c r="E183" s="133" t="s">
        <v>228</v>
      </c>
      <c r="F183" s="134" t="s">
        <v>255</v>
      </c>
      <c r="G183" s="109"/>
      <c r="H183" s="109"/>
      <c r="I183" s="109"/>
      <c r="J183" s="5"/>
      <c r="K183" s="83" t="s">
        <v>231</v>
      </c>
      <c r="L183" s="289">
        <v>29124</v>
      </c>
      <c r="M183" s="5"/>
      <c r="N183" s="6"/>
    </row>
    <row r="184" spans="2:14" ht="12.75">
      <c r="B184" s="4"/>
      <c r="C184" s="136"/>
      <c r="D184" s="109"/>
      <c r="E184" s="133"/>
      <c r="F184" s="134"/>
      <c r="G184" s="109"/>
      <c r="H184" s="109"/>
      <c r="I184" s="109"/>
      <c r="J184" s="5"/>
      <c r="K184" s="83"/>
      <c r="L184" s="5"/>
      <c r="M184" s="5"/>
      <c r="N184" s="6"/>
    </row>
    <row r="185" spans="2:14" ht="12.75">
      <c r="B185" s="4"/>
      <c r="C185" s="136">
        <v>49</v>
      </c>
      <c r="D185" s="109"/>
      <c r="E185" s="133" t="s">
        <v>228</v>
      </c>
      <c r="F185" s="134" t="s">
        <v>256</v>
      </c>
      <c r="G185" s="109"/>
      <c r="H185" s="109"/>
      <c r="I185" s="109"/>
      <c r="J185" s="5"/>
      <c r="K185" s="83" t="s">
        <v>231</v>
      </c>
      <c r="L185" s="289">
        <v>43446</v>
      </c>
      <c r="M185" s="5"/>
      <c r="N185" s="6"/>
    </row>
    <row r="186" spans="2:14" ht="12.75">
      <c r="B186" s="4"/>
      <c r="C186" s="136"/>
      <c r="D186" s="109"/>
      <c r="E186" s="133"/>
      <c r="F186" s="134"/>
      <c r="G186" s="109"/>
      <c r="H186" s="109"/>
      <c r="I186" s="109"/>
      <c r="J186" s="5"/>
      <c r="K186" s="83"/>
      <c r="L186" s="5"/>
      <c r="M186" s="5"/>
      <c r="N186" s="6"/>
    </row>
    <row r="187" spans="2:14" ht="12.75">
      <c r="B187" s="4"/>
      <c r="C187" s="136">
        <v>50</v>
      </c>
      <c r="D187" s="109"/>
      <c r="E187" s="133" t="s">
        <v>228</v>
      </c>
      <c r="F187" s="134" t="s">
        <v>257</v>
      </c>
      <c r="G187" s="109"/>
      <c r="H187" s="109"/>
      <c r="I187" s="109"/>
      <c r="J187" s="5"/>
      <c r="K187" s="83" t="s">
        <v>295</v>
      </c>
      <c r="L187" s="5"/>
      <c r="M187" s="5"/>
      <c r="N187" s="6"/>
    </row>
    <row r="188" spans="2:14" ht="12.75">
      <c r="B188" s="4"/>
      <c r="C188" s="136"/>
      <c r="D188" s="109"/>
      <c r="E188" s="133"/>
      <c r="F188" s="134"/>
      <c r="G188" s="109"/>
      <c r="H188" s="109"/>
      <c r="I188" s="109"/>
      <c r="J188" s="5"/>
      <c r="K188" s="83"/>
      <c r="L188" s="5"/>
      <c r="M188" s="5"/>
      <c r="N188" s="6"/>
    </row>
    <row r="189" spans="2:14" ht="12.75">
      <c r="B189" s="4"/>
      <c r="C189" s="136">
        <v>51</v>
      </c>
      <c r="D189" s="109"/>
      <c r="E189" s="133" t="s">
        <v>228</v>
      </c>
      <c r="F189" s="134" t="s">
        <v>258</v>
      </c>
      <c r="G189" s="109"/>
      <c r="H189" s="109"/>
      <c r="I189" s="109"/>
      <c r="J189" s="5"/>
      <c r="K189" s="83" t="s">
        <v>235</v>
      </c>
      <c r="L189" s="5"/>
      <c r="M189" s="5"/>
      <c r="N189" s="6"/>
    </row>
    <row r="190" spans="2:14" ht="12.75">
      <c r="B190" s="4"/>
      <c r="C190" s="136"/>
      <c r="D190" s="109"/>
      <c r="E190" s="133"/>
      <c r="F190" s="134"/>
      <c r="G190" s="109"/>
      <c r="H190" s="109"/>
      <c r="I190" s="109"/>
      <c r="J190" s="5"/>
      <c r="K190" s="83"/>
      <c r="L190" s="5"/>
      <c r="M190" s="5"/>
      <c r="N190" s="6"/>
    </row>
    <row r="191" spans="2:14" ht="12.75">
      <c r="B191" s="4"/>
      <c r="C191" s="136">
        <v>52</v>
      </c>
      <c r="D191" s="109"/>
      <c r="E191" s="133" t="s">
        <v>228</v>
      </c>
      <c r="F191" s="178" t="s">
        <v>860</v>
      </c>
      <c r="G191" s="109"/>
      <c r="H191" s="109"/>
      <c r="I191" s="109"/>
      <c r="J191" s="5"/>
      <c r="K191" s="83" t="s">
        <v>231</v>
      </c>
      <c r="L191" s="288">
        <f>Pasivet!G18</f>
        <v>957125</v>
      </c>
      <c r="M191" s="5"/>
      <c r="N191" s="6"/>
    </row>
    <row r="192" spans="2:14" ht="12.75">
      <c r="B192" s="4"/>
      <c r="C192" s="136"/>
      <c r="D192" s="109"/>
      <c r="E192" s="133"/>
      <c r="F192" s="134"/>
      <c r="G192" s="109"/>
      <c r="H192" s="109"/>
      <c r="I192" s="109"/>
      <c r="J192" s="5"/>
      <c r="K192" s="83"/>
      <c r="L192" s="289"/>
      <c r="M192" s="5"/>
      <c r="N192" s="6"/>
    </row>
    <row r="193" spans="2:14" ht="12.75">
      <c r="B193" s="4"/>
      <c r="C193" s="136">
        <v>53</v>
      </c>
      <c r="D193" s="109"/>
      <c r="E193" s="133" t="s">
        <v>228</v>
      </c>
      <c r="F193" s="134" t="s">
        <v>259</v>
      </c>
      <c r="G193" s="109"/>
      <c r="H193" s="109"/>
      <c r="I193" s="109"/>
      <c r="J193" s="5"/>
      <c r="K193" s="83" t="s">
        <v>235</v>
      </c>
      <c r="L193" s="289"/>
      <c r="M193" s="5"/>
      <c r="N193" s="6"/>
    </row>
    <row r="194" spans="2:14" ht="12.75">
      <c r="B194" s="4"/>
      <c r="C194" s="136"/>
      <c r="D194" s="109"/>
      <c r="E194" s="133"/>
      <c r="F194" s="134"/>
      <c r="G194" s="109"/>
      <c r="H194" s="109"/>
      <c r="I194" s="109"/>
      <c r="J194" s="5"/>
      <c r="K194" s="83"/>
      <c r="L194" s="289"/>
      <c r="M194" s="5"/>
      <c r="N194" s="6"/>
    </row>
    <row r="195" spans="2:14" ht="12.75">
      <c r="B195" s="4"/>
      <c r="C195" s="136">
        <v>54</v>
      </c>
      <c r="D195" s="109"/>
      <c r="E195" s="133" t="s">
        <v>228</v>
      </c>
      <c r="F195" s="178" t="s">
        <v>861</v>
      </c>
      <c r="G195" s="109"/>
      <c r="H195" s="109"/>
      <c r="I195" s="109"/>
      <c r="J195" s="5"/>
      <c r="K195" s="83" t="s">
        <v>235</v>
      </c>
      <c r="L195" s="289">
        <v>1071000</v>
      </c>
      <c r="M195" s="5"/>
      <c r="N195" s="6"/>
    </row>
    <row r="196" spans="2:14" ht="12.75">
      <c r="B196" s="4"/>
      <c r="C196" s="136"/>
      <c r="D196" s="109"/>
      <c r="E196" s="133"/>
      <c r="F196" s="134"/>
      <c r="G196" s="109"/>
      <c r="H196" s="109"/>
      <c r="I196" s="109"/>
      <c r="J196" s="5"/>
      <c r="K196" s="83"/>
      <c r="L196" s="289"/>
      <c r="M196" s="5"/>
      <c r="N196" s="6"/>
    </row>
    <row r="197" spans="2:14" ht="12.75">
      <c r="B197" s="4"/>
      <c r="C197" s="136">
        <v>55</v>
      </c>
      <c r="D197" s="109"/>
      <c r="E197" s="115">
        <v>4</v>
      </c>
      <c r="F197" s="140" t="s">
        <v>64</v>
      </c>
      <c r="G197" s="121"/>
      <c r="H197" s="109"/>
      <c r="I197" s="109"/>
      <c r="J197" s="5"/>
      <c r="K197" s="83" t="s">
        <v>235</v>
      </c>
      <c r="L197" s="289"/>
      <c r="M197" s="5"/>
      <c r="N197" s="6"/>
    </row>
    <row r="198" spans="2:14" ht="12.75">
      <c r="B198" s="4"/>
      <c r="C198" s="136"/>
      <c r="D198" s="109"/>
      <c r="E198" s="115"/>
      <c r="F198" s="140"/>
      <c r="G198" s="121"/>
      <c r="H198" s="109"/>
      <c r="I198" s="109"/>
      <c r="J198" s="5"/>
      <c r="K198" s="83"/>
      <c r="L198" s="289"/>
      <c r="M198" s="5"/>
      <c r="N198" s="6"/>
    </row>
    <row r="199" spans="2:14" ht="12.75">
      <c r="B199" s="4"/>
      <c r="C199" s="136">
        <v>56</v>
      </c>
      <c r="D199" s="109"/>
      <c r="E199" s="115">
        <v>5</v>
      </c>
      <c r="F199" s="140" t="s">
        <v>260</v>
      </c>
      <c r="G199" s="121"/>
      <c r="H199" s="109"/>
      <c r="I199" s="109"/>
      <c r="J199" s="5"/>
      <c r="K199" s="83" t="s">
        <v>235</v>
      </c>
      <c r="L199" s="289"/>
      <c r="M199" s="5"/>
      <c r="N199" s="6"/>
    </row>
    <row r="200" spans="2:14" ht="12.75">
      <c r="B200" s="4"/>
      <c r="C200" s="136"/>
      <c r="D200" s="109"/>
      <c r="E200" s="115"/>
      <c r="F200" s="140"/>
      <c r="G200" s="121"/>
      <c r="H200" s="109"/>
      <c r="I200" s="109"/>
      <c r="J200" s="5"/>
      <c r="K200" s="83"/>
      <c r="L200" s="289"/>
      <c r="M200" s="5"/>
      <c r="N200" s="6"/>
    </row>
    <row r="201" spans="2:14" ht="12.75">
      <c r="B201" s="4"/>
      <c r="C201" s="136"/>
      <c r="D201" s="109"/>
      <c r="E201" s="153" t="s">
        <v>7</v>
      </c>
      <c r="F201" s="116" t="s">
        <v>261</v>
      </c>
      <c r="G201" s="116"/>
      <c r="H201" s="109"/>
      <c r="I201" s="109"/>
      <c r="J201" s="5"/>
      <c r="K201" s="83" t="s">
        <v>235</v>
      </c>
      <c r="L201" s="289"/>
      <c r="M201" s="5"/>
      <c r="N201" s="6"/>
    </row>
    <row r="202" spans="2:14" ht="12.75">
      <c r="B202" s="4"/>
      <c r="C202" s="136"/>
      <c r="D202" s="109"/>
      <c r="E202" s="153"/>
      <c r="F202" s="116"/>
      <c r="G202" s="116"/>
      <c r="H202" s="109"/>
      <c r="I202" s="109"/>
      <c r="J202" s="5"/>
      <c r="K202" s="83"/>
      <c r="L202" s="289"/>
      <c r="M202" s="5"/>
      <c r="N202" s="6"/>
    </row>
    <row r="203" spans="2:14" ht="12.75">
      <c r="B203" s="4"/>
      <c r="C203" s="136">
        <v>58</v>
      </c>
      <c r="D203" s="109"/>
      <c r="E203" s="115">
        <v>1</v>
      </c>
      <c r="F203" s="140" t="s">
        <v>76</v>
      </c>
      <c r="G203" s="116"/>
      <c r="H203" s="109"/>
      <c r="I203" s="109"/>
      <c r="J203" s="5"/>
      <c r="K203" s="83" t="s">
        <v>235</v>
      </c>
      <c r="L203" s="289"/>
      <c r="M203" s="5"/>
      <c r="N203" s="6"/>
    </row>
    <row r="204" spans="2:14" ht="12.75">
      <c r="B204" s="4"/>
      <c r="C204" s="136"/>
      <c r="D204" s="109"/>
      <c r="E204" s="115"/>
      <c r="F204" s="140"/>
      <c r="G204" s="116"/>
      <c r="H204" s="109"/>
      <c r="I204" s="109"/>
      <c r="J204" s="5"/>
      <c r="K204" s="83"/>
      <c r="L204" s="289"/>
      <c r="M204" s="5"/>
      <c r="N204" s="6"/>
    </row>
    <row r="205" spans="2:14" ht="12.75">
      <c r="B205" s="4"/>
      <c r="C205" s="136">
        <v>59</v>
      </c>
      <c r="D205" s="109"/>
      <c r="E205" s="133" t="s">
        <v>228</v>
      </c>
      <c r="F205" s="178" t="s">
        <v>887</v>
      </c>
      <c r="G205" s="109"/>
      <c r="H205" s="109"/>
      <c r="I205" s="109"/>
      <c r="J205" s="5"/>
      <c r="K205" s="83" t="s">
        <v>235</v>
      </c>
      <c r="L205" s="289">
        <v>50911345</v>
      </c>
      <c r="M205" s="5"/>
      <c r="N205" s="6"/>
    </row>
    <row r="206" spans="2:14" ht="12.75">
      <c r="B206" s="4"/>
      <c r="C206" s="136"/>
      <c r="D206" s="109"/>
      <c r="E206" s="133"/>
      <c r="F206" s="134"/>
      <c r="G206" s="109"/>
      <c r="H206" s="109"/>
      <c r="I206" s="109"/>
      <c r="J206" s="5"/>
      <c r="K206" s="83"/>
      <c r="L206" s="289"/>
      <c r="M206" s="5"/>
      <c r="N206" s="6"/>
    </row>
    <row r="207" spans="2:14" ht="12.75">
      <c r="B207" s="4"/>
      <c r="C207" s="136">
        <v>60</v>
      </c>
      <c r="D207" s="109"/>
      <c r="E207" s="133" t="s">
        <v>228</v>
      </c>
      <c r="F207" s="134" t="s">
        <v>69</v>
      </c>
      <c r="G207" s="109"/>
      <c r="H207" s="109"/>
      <c r="I207" s="109"/>
      <c r="J207" s="5"/>
      <c r="K207" s="83" t="s">
        <v>235</v>
      </c>
      <c r="L207" s="289"/>
      <c r="M207" s="5"/>
      <c r="N207" s="6"/>
    </row>
    <row r="208" spans="2:14" ht="12.75">
      <c r="B208" s="4"/>
      <c r="C208" s="136"/>
      <c r="D208" s="109"/>
      <c r="E208" s="133"/>
      <c r="F208" s="134"/>
      <c r="G208" s="109"/>
      <c r="H208" s="109"/>
      <c r="I208" s="109"/>
      <c r="J208" s="5"/>
      <c r="K208" s="83"/>
      <c r="L208" s="289"/>
      <c r="M208" s="5"/>
      <c r="N208" s="6"/>
    </row>
    <row r="209" spans="2:14" ht="12.75">
      <c r="B209" s="4"/>
      <c r="C209" s="136">
        <v>61</v>
      </c>
      <c r="D209" s="109"/>
      <c r="E209" s="115">
        <v>2</v>
      </c>
      <c r="F209" s="140" t="s">
        <v>78</v>
      </c>
      <c r="G209" s="121"/>
      <c r="H209" s="109"/>
      <c r="I209" s="109"/>
      <c r="J209" s="5"/>
      <c r="K209" s="83" t="s">
        <v>235</v>
      </c>
      <c r="L209" s="289"/>
      <c r="M209" s="5"/>
      <c r="N209" s="6"/>
    </row>
    <row r="210" spans="2:14" ht="12.75">
      <c r="B210" s="4"/>
      <c r="C210" s="136"/>
      <c r="D210" s="109"/>
      <c r="E210" s="115"/>
      <c r="F210" s="140"/>
      <c r="G210" s="121"/>
      <c r="H210" s="109"/>
      <c r="I210" s="109"/>
      <c r="J210" s="5"/>
      <c r="K210" s="83"/>
      <c r="L210" s="289"/>
      <c r="M210" s="5"/>
      <c r="N210" s="6"/>
    </row>
    <row r="211" spans="2:14" ht="12.75">
      <c r="B211" s="4"/>
      <c r="C211" s="136">
        <v>62</v>
      </c>
      <c r="D211" s="109"/>
      <c r="E211" s="115">
        <v>3</v>
      </c>
      <c r="F211" s="140" t="s">
        <v>64</v>
      </c>
      <c r="G211" s="121"/>
      <c r="H211" s="109"/>
      <c r="I211" s="109"/>
      <c r="J211" s="5"/>
      <c r="K211" s="83" t="s">
        <v>235</v>
      </c>
      <c r="L211" s="289"/>
      <c r="M211" s="5"/>
      <c r="N211" s="6"/>
    </row>
    <row r="212" spans="2:14" ht="12.75">
      <c r="B212" s="4"/>
      <c r="C212" s="136"/>
      <c r="D212" s="109"/>
      <c r="E212" s="115"/>
      <c r="F212" s="140"/>
      <c r="G212" s="121"/>
      <c r="H212" s="109"/>
      <c r="I212" s="109"/>
      <c r="J212" s="5"/>
      <c r="K212" s="83"/>
      <c r="L212" s="289"/>
      <c r="M212" s="5"/>
      <c r="N212" s="6"/>
    </row>
    <row r="213" spans="2:14" ht="12.75">
      <c r="B213" s="4"/>
      <c r="C213" s="136">
        <v>63</v>
      </c>
      <c r="D213" s="109"/>
      <c r="E213" s="115">
        <v>4</v>
      </c>
      <c r="F213" s="140" t="s">
        <v>79</v>
      </c>
      <c r="G213" s="121"/>
      <c r="H213" s="109"/>
      <c r="I213" s="109"/>
      <c r="J213" s="5"/>
      <c r="K213" s="83" t="s">
        <v>235</v>
      </c>
      <c r="L213" s="289"/>
      <c r="M213" s="5"/>
      <c r="N213" s="6"/>
    </row>
    <row r="214" spans="2:14" ht="12.75">
      <c r="B214" s="4"/>
      <c r="C214" s="136"/>
      <c r="D214" s="109"/>
      <c r="E214" s="115"/>
      <c r="F214" s="140"/>
      <c r="G214" s="121"/>
      <c r="H214" s="109"/>
      <c r="I214" s="109"/>
      <c r="J214" s="5"/>
      <c r="K214" s="83"/>
      <c r="L214" s="289"/>
      <c r="M214" s="5"/>
      <c r="N214" s="6"/>
    </row>
    <row r="215" spans="2:14" ht="12.75">
      <c r="B215" s="4"/>
      <c r="C215" s="136"/>
      <c r="D215" s="109"/>
      <c r="E215" s="153" t="s">
        <v>80</v>
      </c>
      <c r="F215" s="116" t="s">
        <v>262</v>
      </c>
      <c r="G215" s="116"/>
      <c r="H215" s="109"/>
      <c r="I215" s="109"/>
      <c r="J215" s="5"/>
      <c r="K215" s="83" t="s">
        <v>235</v>
      </c>
      <c r="L215" s="289"/>
      <c r="M215" s="5"/>
      <c r="N215" s="6"/>
    </row>
    <row r="216" spans="2:14" ht="12.75">
      <c r="B216" s="4"/>
      <c r="C216" s="136"/>
      <c r="D216" s="109"/>
      <c r="E216" s="153"/>
      <c r="F216" s="116"/>
      <c r="G216" s="116"/>
      <c r="H216" s="109"/>
      <c r="I216" s="109"/>
      <c r="J216" s="5"/>
      <c r="K216" s="83"/>
      <c r="L216" s="289"/>
      <c r="M216" s="5"/>
      <c r="N216" s="6"/>
    </row>
    <row r="217" spans="2:14" ht="12.75">
      <c r="B217" s="4"/>
      <c r="C217" s="136">
        <v>66</v>
      </c>
      <c r="D217" s="109"/>
      <c r="E217" s="115">
        <v>1</v>
      </c>
      <c r="F217" s="140" t="s">
        <v>82</v>
      </c>
      <c r="G217" s="121"/>
      <c r="H217" s="109"/>
      <c r="I217" s="109"/>
      <c r="J217" s="5"/>
      <c r="K217" s="83" t="s">
        <v>235</v>
      </c>
      <c r="L217" s="289"/>
      <c r="M217" s="5"/>
      <c r="N217" s="6"/>
    </row>
    <row r="218" spans="2:14" ht="12.75">
      <c r="B218" s="4"/>
      <c r="C218" s="136"/>
      <c r="D218" s="109"/>
      <c r="E218" s="115"/>
      <c r="F218" s="140"/>
      <c r="G218" s="121"/>
      <c r="H218" s="109"/>
      <c r="I218" s="109"/>
      <c r="J218" s="5"/>
      <c r="K218" s="83"/>
      <c r="L218" s="289"/>
      <c r="M218" s="5"/>
      <c r="N218" s="6"/>
    </row>
    <row r="219" spans="2:14" ht="12.75">
      <c r="B219" s="4"/>
      <c r="C219" s="136">
        <v>67</v>
      </c>
      <c r="D219" s="109"/>
      <c r="E219" s="115">
        <v>2</v>
      </c>
      <c r="F219" s="140" t="s">
        <v>83</v>
      </c>
      <c r="G219" s="121"/>
      <c r="H219" s="109"/>
      <c r="I219" s="109"/>
      <c r="J219" s="5"/>
      <c r="K219" s="83" t="s">
        <v>235</v>
      </c>
      <c r="L219" s="289"/>
      <c r="M219" s="5"/>
      <c r="N219" s="6"/>
    </row>
    <row r="220" spans="2:14" ht="12.75">
      <c r="B220" s="4"/>
      <c r="C220" s="136"/>
      <c r="D220" s="109"/>
      <c r="E220" s="115"/>
      <c r="F220" s="140"/>
      <c r="G220" s="121"/>
      <c r="H220" s="109"/>
      <c r="I220" s="109"/>
      <c r="J220" s="5"/>
      <c r="K220" s="83"/>
      <c r="L220" s="289"/>
      <c r="M220" s="5"/>
      <c r="N220" s="6"/>
    </row>
    <row r="221" spans="2:14" ht="12.75">
      <c r="B221" s="4"/>
      <c r="C221" s="136">
        <v>68</v>
      </c>
      <c r="D221" s="109"/>
      <c r="E221" s="115">
        <v>3</v>
      </c>
      <c r="F221" s="140" t="s">
        <v>84</v>
      </c>
      <c r="G221" s="121"/>
      <c r="H221" s="109"/>
      <c r="I221" s="109"/>
      <c r="J221" s="5"/>
      <c r="K221" s="83" t="s">
        <v>231</v>
      </c>
      <c r="L221" s="288">
        <f>Pasivet!G33</f>
        <v>17678009</v>
      </c>
      <c r="M221" s="5"/>
      <c r="N221" s="6"/>
    </row>
    <row r="222" spans="2:14" ht="12.75">
      <c r="B222" s="4"/>
      <c r="C222" s="136"/>
      <c r="D222" s="109"/>
      <c r="E222" s="115"/>
      <c r="F222" s="140"/>
      <c r="G222" s="121"/>
      <c r="H222" s="109"/>
      <c r="I222" s="109"/>
      <c r="J222" s="5"/>
      <c r="K222" s="83"/>
      <c r="L222" s="289"/>
      <c r="M222" s="5"/>
      <c r="N222" s="6"/>
    </row>
    <row r="223" spans="2:14" ht="12.75">
      <c r="B223" s="4"/>
      <c r="C223" s="136">
        <v>69</v>
      </c>
      <c r="D223" s="109"/>
      <c r="E223" s="115">
        <v>4</v>
      </c>
      <c r="F223" s="140" t="s">
        <v>85</v>
      </c>
      <c r="G223" s="121"/>
      <c r="H223" s="109"/>
      <c r="I223" s="109"/>
      <c r="J223" s="5"/>
      <c r="K223" s="83" t="s">
        <v>235</v>
      </c>
      <c r="L223" s="289"/>
      <c r="M223" s="5"/>
      <c r="N223" s="6"/>
    </row>
    <row r="224" spans="2:14" ht="12.75">
      <c r="B224" s="4"/>
      <c r="C224" s="136"/>
      <c r="D224" s="109"/>
      <c r="E224" s="115"/>
      <c r="F224" s="140"/>
      <c r="G224" s="121"/>
      <c r="H224" s="109"/>
      <c r="I224" s="109"/>
      <c r="J224" s="5"/>
      <c r="K224" s="83"/>
      <c r="L224" s="289"/>
      <c r="M224" s="5"/>
      <c r="N224" s="6"/>
    </row>
    <row r="225" spans="2:14" ht="12.75">
      <c r="B225" s="4"/>
      <c r="C225" s="136">
        <v>70</v>
      </c>
      <c r="D225" s="109"/>
      <c r="E225" s="115">
        <v>5</v>
      </c>
      <c r="F225" s="140" t="s">
        <v>263</v>
      </c>
      <c r="G225" s="121"/>
      <c r="H225" s="109"/>
      <c r="I225" s="109"/>
      <c r="J225" s="5"/>
      <c r="K225" s="83" t="s">
        <v>235</v>
      </c>
      <c r="L225" s="289"/>
      <c r="M225" s="5"/>
      <c r="N225" s="6"/>
    </row>
    <row r="226" spans="2:14" ht="12.75">
      <c r="B226" s="4"/>
      <c r="C226" s="136"/>
      <c r="D226" s="109"/>
      <c r="E226" s="115"/>
      <c r="F226" s="140"/>
      <c r="G226" s="121"/>
      <c r="H226" s="109"/>
      <c r="I226" s="109"/>
      <c r="J226" s="5"/>
      <c r="K226" s="83"/>
      <c r="L226" s="289"/>
      <c r="M226" s="5"/>
      <c r="N226" s="6"/>
    </row>
    <row r="227" spans="2:14" ht="12.75">
      <c r="B227" s="4"/>
      <c r="C227" s="136">
        <v>71</v>
      </c>
      <c r="D227" s="109"/>
      <c r="E227" s="115">
        <v>6</v>
      </c>
      <c r="F227" s="140" t="s">
        <v>87</v>
      </c>
      <c r="G227" s="121"/>
      <c r="H227" s="109"/>
      <c r="I227" s="109"/>
      <c r="J227" s="5"/>
      <c r="K227" s="83" t="s">
        <v>235</v>
      </c>
      <c r="L227" s="289"/>
      <c r="M227" s="5"/>
      <c r="N227" s="6"/>
    </row>
    <row r="228" spans="2:14" ht="12.75">
      <c r="B228" s="4"/>
      <c r="C228" s="136"/>
      <c r="D228" s="109"/>
      <c r="E228" s="115"/>
      <c r="F228" s="140"/>
      <c r="G228" s="121"/>
      <c r="H228" s="109"/>
      <c r="I228" s="109"/>
      <c r="J228" s="5"/>
      <c r="K228" s="83"/>
      <c r="L228" s="289"/>
      <c r="M228" s="5"/>
      <c r="N228" s="6"/>
    </row>
    <row r="229" spans="2:14" ht="12.75">
      <c r="B229" s="4"/>
      <c r="C229" s="136">
        <v>72</v>
      </c>
      <c r="D229" s="109"/>
      <c r="E229" s="115">
        <v>7</v>
      </c>
      <c r="F229" s="140" t="s">
        <v>88</v>
      </c>
      <c r="G229" s="121"/>
      <c r="H229" s="109"/>
      <c r="I229" s="109"/>
      <c r="J229" s="5"/>
      <c r="K229" s="83" t="s">
        <v>231</v>
      </c>
      <c r="L229" s="288">
        <f>Pasivet!G37</f>
        <v>249080</v>
      </c>
      <c r="M229" s="5"/>
      <c r="N229" s="6"/>
    </row>
    <row r="230" spans="2:14" ht="12.75">
      <c r="B230" s="4"/>
      <c r="C230" s="136"/>
      <c r="D230" s="109"/>
      <c r="E230" s="115"/>
      <c r="F230" s="140"/>
      <c r="G230" s="121"/>
      <c r="H230" s="109"/>
      <c r="I230" s="109"/>
      <c r="J230" s="5"/>
      <c r="K230" s="83"/>
      <c r="L230" s="289"/>
      <c r="M230" s="5"/>
      <c r="N230" s="6"/>
    </row>
    <row r="231" spans="2:14" ht="12.75">
      <c r="B231" s="4"/>
      <c r="C231" s="136">
        <v>73</v>
      </c>
      <c r="D231" s="109"/>
      <c r="E231" s="115">
        <v>8</v>
      </c>
      <c r="F231" s="140" t="s">
        <v>89</v>
      </c>
      <c r="G231" s="121"/>
      <c r="H231" s="109"/>
      <c r="I231" s="109"/>
      <c r="J231" s="5"/>
      <c r="K231" s="83" t="s">
        <v>235</v>
      </c>
      <c r="L231" s="289"/>
      <c r="M231" s="5"/>
      <c r="N231" s="6"/>
    </row>
    <row r="232" spans="2:14" ht="12.75">
      <c r="B232" s="4"/>
      <c r="C232" s="136"/>
      <c r="D232" s="109"/>
      <c r="E232" s="115"/>
      <c r="F232" s="140"/>
      <c r="G232" s="121"/>
      <c r="H232" s="109"/>
      <c r="I232" s="109"/>
      <c r="J232" s="5"/>
      <c r="K232" s="83"/>
      <c r="L232" s="289"/>
      <c r="M232" s="5"/>
      <c r="N232" s="6"/>
    </row>
    <row r="233" spans="2:14" ht="12.75">
      <c r="B233" s="4"/>
      <c r="C233" s="136">
        <v>74</v>
      </c>
      <c r="D233" s="109"/>
      <c r="E233" s="115">
        <v>9</v>
      </c>
      <c r="F233" s="140" t="s">
        <v>320</v>
      </c>
      <c r="G233" s="121"/>
      <c r="H233" s="109"/>
      <c r="I233" s="109"/>
      <c r="J233" s="5"/>
      <c r="K233" s="83" t="s">
        <v>220</v>
      </c>
      <c r="L233" s="288">
        <f>Pasivet!G39</f>
        <v>7984612</v>
      </c>
      <c r="M233" s="5"/>
      <c r="N233" s="6"/>
    </row>
    <row r="234" spans="2:14" ht="12.75">
      <c r="B234" s="4"/>
      <c r="C234" s="136"/>
      <c r="D234" s="109"/>
      <c r="E234" s="115"/>
      <c r="F234" s="140"/>
      <c r="G234" s="121"/>
      <c r="H234" s="109"/>
      <c r="I234" s="109"/>
      <c r="J234" s="5"/>
      <c r="K234" s="83"/>
      <c r="L234" s="289"/>
      <c r="M234" s="5"/>
      <c r="N234" s="6"/>
    </row>
    <row r="235" spans="2:14" ht="12.75">
      <c r="B235" s="4"/>
      <c r="C235" s="136">
        <v>75</v>
      </c>
      <c r="D235" s="109"/>
      <c r="E235" s="115">
        <v>10</v>
      </c>
      <c r="F235" s="140" t="s">
        <v>91</v>
      </c>
      <c r="G235" s="121"/>
      <c r="H235" s="109"/>
      <c r="I235" s="109"/>
      <c r="J235" s="5"/>
      <c r="K235" s="83"/>
      <c r="L235" s="289"/>
      <c r="M235" s="5"/>
      <c r="N235" s="6"/>
    </row>
    <row r="236" spans="2:14" ht="12.75">
      <c r="B236" s="4"/>
      <c r="C236" s="10"/>
      <c r="D236" s="5"/>
      <c r="E236" s="5"/>
      <c r="F236" s="5"/>
      <c r="G236" s="5"/>
      <c r="H236" s="5"/>
      <c r="I236" s="5"/>
      <c r="J236" s="5"/>
      <c r="K236" s="5"/>
      <c r="L236" s="289"/>
      <c r="M236" s="5"/>
      <c r="N236" s="6"/>
    </row>
    <row r="237" spans="2:14" ht="12.75">
      <c r="B237" s="4"/>
      <c r="C237" s="10"/>
      <c r="D237" s="5"/>
      <c r="E237" s="154" t="s">
        <v>264</v>
      </c>
      <c r="F237" s="114" t="s">
        <v>265</v>
      </c>
      <c r="G237" s="5"/>
      <c r="H237" s="5"/>
      <c r="I237" s="5"/>
      <c r="K237" s="10" t="s">
        <v>231</v>
      </c>
      <c r="L237" s="292">
        <v>11878095</v>
      </c>
      <c r="M237" s="5"/>
      <c r="N237" s="6"/>
    </row>
    <row r="238" spans="2:14" ht="12.75">
      <c r="B238" s="4"/>
      <c r="C238" s="10"/>
      <c r="D238" s="5"/>
      <c r="E238" s="154" t="s">
        <v>264</v>
      </c>
      <c r="F238" s="83" t="s">
        <v>862</v>
      </c>
      <c r="G238" s="5"/>
      <c r="H238" s="5"/>
      <c r="I238" s="5"/>
      <c r="K238" s="10" t="s">
        <v>231</v>
      </c>
      <c r="L238" s="286">
        <v>1392724</v>
      </c>
      <c r="M238" s="5"/>
      <c r="N238" s="6"/>
    </row>
    <row r="239" spans="2:14" ht="12.75">
      <c r="B239" s="4"/>
      <c r="C239" s="10"/>
      <c r="D239" s="5"/>
      <c r="E239" s="154" t="s">
        <v>264</v>
      </c>
      <c r="F239" s="5" t="s">
        <v>266</v>
      </c>
      <c r="G239" s="5"/>
      <c r="H239" s="5"/>
      <c r="I239" s="5"/>
      <c r="K239" s="10" t="s">
        <v>231</v>
      </c>
      <c r="L239" s="293">
        <f>L237+L238</f>
        <v>13270819</v>
      </c>
      <c r="M239" s="5"/>
      <c r="N239" s="6"/>
    </row>
    <row r="240" spans="2:16" ht="12.75">
      <c r="B240" s="4"/>
      <c r="C240" s="10"/>
      <c r="D240" s="5"/>
      <c r="E240" s="154" t="s">
        <v>264</v>
      </c>
      <c r="F240" s="135" t="s">
        <v>267</v>
      </c>
      <c r="G240" s="5"/>
      <c r="H240" s="5"/>
      <c r="I240" s="5"/>
      <c r="K240" s="10" t="s">
        <v>231</v>
      </c>
      <c r="L240" s="286">
        <f>L239*10%</f>
        <v>1327081.9000000001</v>
      </c>
      <c r="M240" s="5"/>
      <c r="N240" s="6"/>
      <c r="P240" s="249">
        <v>1341334</v>
      </c>
    </row>
    <row r="241" spans="2:16" ht="12.75">
      <c r="B241" s="4"/>
      <c r="C241" s="10"/>
      <c r="D241" s="5"/>
      <c r="E241" s="5"/>
      <c r="F241" s="5"/>
      <c r="G241" s="5"/>
      <c r="H241" s="5"/>
      <c r="I241" s="5"/>
      <c r="J241" s="5"/>
      <c r="K241" s="5"/>
      <c r="L241" s="289"/>
      <c r="M241" s="5"/>
      <c r="N241" s="6"/>
      <c r="P241" s="242">
        <f>P240-L240</f>
        <v>14252.09999999986</v>
      </c>
    </row>
    <row r="242" spans="2:14" ht="12.75">
      <c r="B242" s="4"/>
      <c r="C242" s="10"/>
      <c r="D242" s="5"/>
      <c r="E242" s="5"/>
      <c r="F242" s="5"/>
      <c r="G242" s="5"/>
      <c r="H242" s="5"/>
      <c r="I242" s="5"/>
      <c r="J242" s="5"/>
      <c r="K242" s="5"/>
      <c r="L242" s="289"/>
      <c r="M242" s="5"/>
      <c r="N242" s="6"/>
    </row>
    <row r="243" spans="1:15" ht="12.75">
      <c r="A243" s="108"/>
      <c r="B243" s="110"/>
      <c r="C243" s="118"/>
      <c r="D243" s="109"/>
      <c r="E243" s="153" t="s">
        <v>268</v>
      </c>
      <c r="F243" s="116" t="s">
        <v>269</v>
      </c>
      <c r="G243" s="109"/>
      <c r="H243" s="109"/>
      <c r="I243" s="109"/>
      <c r="J243" s="109"/>
      <c r="K243" s="109"/>
      <c r="L243" s="289"/>
      <c r="M243" s="109"/>
      <c r="N243" s="111"/>
      <c r="O243" s="111"/>
    </row>
    <row r="244" spans="1:15" ht="12.75">
      <c r="A244" s="108"/>
      <c r="B244" s="110"/>
      <c r="C244" s="118"/>
      <c r="D244" s="109"/>
      <c r="E244" s="109"/>
      <c r="F244" s="109"/>
      <c r="G244" s="109"/>
      <c r="H244" s="109"/>
      <c r="I244" s="109"/>
      <c r="J244" s="109"/>
      <c r="K244" s="109"/>
      <c r="L244" s="289"/>
      <c r="M244" s="109"/>
      <c r="N244" s="111"/>
      <c r="O244" s="111"/>
    </row>
    <row r="245" spans="1:15" ht="12.75">
      <c r="A245" s="108"/>
      <c r="B245" s="110"/>
      <c r="C245" s="118">
        <v>1</v>
      </c>
      <c r="D245" s="109"/>
      <c r="E245" s="109"/>
      <c r="F245" s="253" t="s">
        <v>864</v>
      </c>
      <c r="G245" s="109"/>
      <c r="H245" s="109"/>
      <c r="I245" s="109"/>
      <c r="J245" s="109"/>
      <c r="K245" s="5" t="s">
        <v>231</v>
      </c>
      <c r="L245" s="288">
        <v>82579490</v>
      </c>
      <c r="M245" s="109"/>
      <c r="N245" s="111"/>
      <c r="O245" s="111"/>
    </row>
    <row r="246" spans="1:15" ht="12.75">
      <c r="A246" s="108"/>
      <c r="B246" s="110"/>
      <c r="C246" s="118"/>
      <c r="D246" s="109"/>
      <c r="E246" s="109"/>
      <c r="F246" s="253"/>
      <c r="G246" s="109"/>
      <c r="H246" s="109"/>
      <c r="I246" s="109"/>
      <c r="J246" s="109"/>
      <c r="K246" s="5"/>
      <c r="L246" s="288"/>
      <c r="M246" s="109"/>
      <c r="N246" s="111"/>
      <c r="O246" s="111"/>
    </row>
    <row r="247" spans="1:15" ht="12.75">
      <c r="A247" s="108"/>
      <c r="B247" s="110"/>
      <c r="C247" s="118">
        <v>2</v>
      </c>
      <c r="D247" s="109"/>
      <c r="E247" s="109"/>
      <c r="F247" s="253" t="s">
        <v>284</v>
      </c>
      <c r="G247" s="109"/>
      <c r="H247" s="109"/>
      <c r="I247" s="109"/>
      <c r="J247" s="109"/>
      <c r="K247" s="5" t="s">
        <v>231</v>
      </c>
      <c r="L247" s="289">
        <v>19485879</v>
      </c>
      <c r="M247" s="109"/>
      <c r="N247" s="111"/>
      <c r="O247" s="111"/>
    </row>
    <row r="248" spans="1:15" ht="12.75">
      <c r="A248" s="108"/>
      <c r="B248" s="110"/>
      <c r="C248" s="118"/>
      <c r="D248" s="109"/>
      <c r="E248" s="109"/>
      <c r="F248" s="253"/>
      <c r="G248" s="109"/>
      <c r="H248" s="109"/>
      <c r="I248" s="109"/>
      <c r="J248" s="109"/>
      <c r="K248" s="109"/>
      <c r="L248" s="289"/>
      <c r="M248" s="109"/>
      <c r="N248" s="111"/>
      <c r="O248" s="111"/>
    </row>
    <row r="249" spans="1:15" ht="12.75">
      <c r="A249" s="108"/>
      <c r="B249" s="110"/>
      <c r="C249" s="118">
        <v>3</v>
      </c>
      <c r="D249" s="109"/>
      <c r="E249" s="109"/>
      <c r="F249" s="253" t="s">
        <v>865</v>
      </c>
      <c r="G249" s="109"/>
      <c r="H249" s="109"/>
      <c r="I249" s="109"/>
      <c r="J249" s="109"/>
      <c r="K249" s="5" t="s">
        <v>231</v>
      </c>
      <c r="L249" s="289">
        <v>1146480</v>
      </c>
      <c r="M249" s="109"/>
      <c r="N249" s="111"/>
      <c r="O249" s="111"/>
    </row>
    <row r="250" spans="1:15" ht="12.75">
      <c r="A250" s="108"/>
      <c r="B250" s="110"/>
      <c r="C250" s="118"/>
      <c r="D250" s="109"/>
      <c r="E250" s="109"/>
      <c r="F250" s="253"/>
      <c r="G250" s="109"/>
      <c r="H250" s="109"/>
      <c r="I250" s="109"/>
      <c r="J250" s="109"/>
      <c r="K250" s="109"/>
      <c r="L250" s="289"/>
      <c r="M250" s="109"/>
      <c r="N250" s="111"/>
      <c r="O250" s="111"/>
    </row>
    <row r="251" spans="1:15" ht="12.75">
      <c r="A251" s="108"/>
      <c r="B251" s="110"/>
      <c r="C251" s="118">
        <v>4</v>
      </c>
      <c r="D251" s="109"/>
      <c r="E251" s="109"/>
      <c r="F251" s="137" t="s">
        <v>863</v>
      </c>
      <c r="G251" s="109"/>
      <c r="H251" s="109"/>
      <c r="I251" s="109"/>
      <c r="J251" s="109"/>
      <c r="K251" s="5" t="s">
        <v>231</v>
      </c>
      <c r="L251" s="288">
        <v>1179410</v>
      </c>
      <c r="M251" s="109"/>
      <c r="N251" s="111"/>
      <c r="O251" s="111"/>
    </row>
    <row r="252" spans="1:15" ht="12.75">
      <c r="A252" s="108"/>
      <c r="B252" s="110"/>
      <c r="C252" s="118"/>
      <c r="D252" s="109"/>
      <c r="E252" s="109"/>
      <c r="F252" s="137"/>
      <c r="G252" s="109"/>
      <c r="H252" s="109"/>
      <c r="I252" s="109"/>
      <c r="J252" s="109"/>
      <c r="K252" s="109"/>
      <c r="L252" s="289"/>
      <c r="M252" s="109"/>
      <c r="N252" s="111"/>
      <c r="O252" s="111"/>
    </row>
    <row r="253" spans="2:15" s="85" customFormat="1" ht="12.75">
      <c r="B253" s="82"/>
      <c r="C253" s="136">
        <v>3</v>
      </c>
      <c r="D253" s="83"/>
      <c r="E253" s="83"/>
      <c r="F253" s="137" t="s">
        <v>866</v>
      </c>
      <c r="G253" s="83"/>
      <c r="H253" s="83"/>
      <c r="I253" s="83"/>
      <c r="J253" s="83"/>
      <c r="K253" s="83" t="s">
        <v>231</v>
      </c>
      <c r="L253" s="290">
        <f>-'Ardh.Shpenz.1'!F17</f>
        <v>72121662.10319227</v>
      </c>
      <c r="M253" s="83"/>
      <c r="N253" s="84"/>
      <c r="O253" s="84"/>
    </row>
    <row r="254" spans="1:15" ht="12.75">
      <c r="A254" s="108"/>
      <c r="B254" s="110"/>
      <c r="C254" s="118"/>
      <c r="D254" s="109"/>
      <c r="E254" s="109"/>
      <c r="F254" s="137"/>
      <c r="G254" s="109"/>
      <c r="H254" s="109"/>
      <c r="I254" s="109"/>
      <c r="J254" s="109"/>
      <c r="K254" s="109"/>
      <c r="L254" s="288"/>
      <c r="M254" s="109"/>
      <c r="N254" s="111"/>
      <c r="O254" s="111"/>
    </row>
    <row r="255" spans="1:15" ht="12.75">
      <c r="A255" s="108"/>
      <c r="B255" s="110"/>
      <c r="C255" s="118"/>
      <c r="D255" s="109"/>
      <c r="E255" s="5" t="s">
        <v>867</v>
      </c>
      <c r="F255" s="137" t="s">
        <v>868</v>
      </c>
      <c r="G255" s="109"/>
      <c r="H255" s="109"/>
      <c r="I255" s="109"/>
      <c r="J255" s="109"/>
      <c r="K255" s="109"/>
      <c r="L255" s="288">
        <v>55542108</v>
      </c>
      <c r="M255" s="109"/>
      <c r="N255" s="111"/>
      <c r="O255" s="111"/>
    </row>
    <row r="256" spans="1:15" ht="12.75">
      <c r="A256" s="108"/>
      <c r="B256" s="110"/>
      <c r="C256" s="118"/>
      <c r="D256" s="109"/>
      <c r="E256" s="109"/>
      <c r="F256" s="137"/>
      <c r="G256" s="109"/>
      <c r="H256" s="109"/>
      <c r="I256" s="109"/>
      <c r="J256" s="109"/>
      <c r="K256" s="109"/>
      <c r="L256" s="288"/>
      <c r="M256" s="109"/>
      <c r="N256" s="111"/>
      <c r="O256" s="111"/>
    </row>
    <row r="257" spans="1:15" ht="12.75">
      <c r="A257" s="108"/>
      <c r="B257" s="110"/>
      <c r="C257" s="118"/>
      <c r="D257" s="109"/>
      <c r="E257" s="5" t="s">
        <v>869</v>
      </c>
      <c r="F257" s="137" t="s">
        <v>870</v>
      </c>
      <c r="G257" s="109"/>
      <c r="H257" s="109"/>
      <c r="I257" s="109"/>
      <c r="J257" s="109"/>
      <c r="K257" s="109"/>
      <c r="L257" s="288">
        <v>16579554</v>
      </c>
      <c r="M257" s="109"/>
      <c r="N257" s="111"/>
      <c r="O257" s="111"/>
    </row>
    <row r="258" spans="1:15" ht="12.75">
      <c r="A258" s="108"/>
      <c r="B258" s="110"/>
      <c r="C258" s="118"/>
      <c r="D258" s="109"/>
      <c r="E258" s="5"/>
      <c r="J258" s="109"/>
      <c r="K258" s="109"/>
      <c r="L258" s="288"/>
      <c r="M258" s="109"/>
      <c r="N258" s="111"/>
      <c r="O258" s="111"/>
    </row>
    <row r="259" spans="1:15" ht="12.75">
      <c r="A259" s="108"/>
      <c r="B259" s="110"/>
      <c r="C259" s="118">
        <v>4</v>
      </c>
      <c r="D259" s="109"/>
      <c r="E259" s="5"/>
      <c r="F259" s="137" t="s">
        <v>104</v>
      </c>
      <c r="G259" s="109"/>
      <c r="H259" s="109"/>
      <c r="I259" s="109"/>
      <c r="J259" s="109"/>
      <c r="K259" s="83" t="s">
        <v>231</v>
      </c>
      <c r="L259" s="287">
        <f>11522833-930-584915</f>
        <v>10936988</v>
      </c>
      <c r="M259" s="109"/>
      <c r="N259" s="111"/>
      <c r="O259" s="111"/>
    </row>
    <row r="260" spans="1:15" ht="12.75">
      <c r="A260" s="108"/>
      <c r="B260" s="110"/>
      <c r="C260" s="118"/>
      <c r="D260" s="109"/>
      <c r="E260" s="5"/>
      <c r="F260" s="137"/>
      <c r="G260" s="109"/>
      <c r="H260" s="109"/>
      <c r="I260" s="109"/>
      <c r="J260" s="109"/>
      <c r="K260" s="109"/>
      <c r="L260" s="288"/>
      <c r="M260" s="109"/>
      <c r="N260" s="111"/>
      <c r="O260" s="111"/>
    </row>
    <row r="261" spans="1:15" ht="12.75">
      <c r="A261" s="108"/>
      <c r="B261" s="110"/>
      <c r="C261" s="118"/>
      <c r="D261" s="109"/>
      <c r="E261" s="83" t="s">
        <v>867</v>
      </c>
      <c r="F261" s="137" t="s">
        <v>872</v>
      </c>
      <c r="G261" s="109"/>
      <c r="J261" s="109"/>
      <c r="K261" s="83" t="s">
        <v>231</v>
      </c>
      <c r="L261" s="288">
        <v>394300</v>
      </c>
      <c r="M261" s="109"/>
      <c r="N261" s="111"/>
      <c r="O261" s="111"/>
    </row>
    <row r="262" spans="1:15" ht="12.75">
      <c r="A262" s="108"/>
      <c r="B262" s="110"/>
      <c r="C262" s="118"/>
      <c r="D262" s="109"/>
      <c r="E262" s="5"/>
      <c r="F262" s="137"/>
      <c r="G262" s="109"/>
      <c r="H262" s="109"/>
      <c r="I262" s="109"/>
      <c r="J262" s="109"/>
      <c r="K262" s="109"/>
      <c r="L262" s="288"/>
      <c r="M262" s="109"/>
      <c r="N262" s="111"/>
      <c r="O262" s="111"/>
    </row>
    <row r="263" spans="1:15" ht="12.75">
      <c r="A263" s="108"/>
      <c r="B263" s="110"/>
      <c r="C263" s="118"/>
      <c r="D263" s="109"/>
      <c r="E263" s="83" t="s">
        <v>869</v>
      </c>
      <c r="F263" s="137" t="s">
        <v>874</v>
      </c>
      <c r="G263" s="109"/>
      <c r="H263" s="109"/>
      <c r="I263" s="109"/>
      <c r="J263" s="109"/>
      <c r="K263" s="83" t="s">
        <v>231</v>
      </c>
      <c r="L263" s="288">
        <v>104202</v>
      </c>
      <c r="M263" s="109"/>
      <c r="N263" s="111"/>
      <c r="O263" s="111"/>
    </row>
    <row r="264" spans="1:15" ht="12.75">
      <c r="A264" s="108"/>
      <c r="B264" s="110"/>
      <c r="C264" s="118"/>
      <c r="D264" s="109"/>
      <c r="E264" s="109"/>
      <c r="F264" s="137"/>
      <c r="G264" s="109"/>
      <c r="H264" s="109"/>
      <c r="I264" s="109"/>
      <c r="J264" s="109"/>
      <c r="K264" s="109"/>
      <c r="L264" s="288"/>
      <c r="M264" s="109"/>
      <c r="N264" s="111"/>
      <c r="O264" s="111"/>
    </row>
    <row r="265" spans="1:15" ht="12.75">
      <c r="A265" s="108"/>
      <c r="B265" s="110"/>
      <c r="C265" s="118"/>
      <c r="D265" s="109"/>
      <c r="E265" s="83" t="s">
        <v>871</v>
      </c>
      <c r="F265" s="137" t="s">
        <v>877</v>
      </c>
      <c r="G265" s="109"/>
      <c r="H265" s="109"/>
      <c r="I265" s="109"/>
      <c r="J265" s="109"/>
      <c r="K265" s="83" t="s">
        <v>231</v>
      </c>
      <c r="L265" s="288">
        <v>2325340</v>
      </c>
      <c r="M265" s="109"/>
      <c r="N265" s="111"/>
      <c r="O265" s="111"/>
    </row>
    <row r="266" spans="1:15" ht="12.75">
      <c r="A266" s="108"/>
      <c r="B266" s="110"/>
      <c r="C266" s="118"/>
      <c r="D266" s="109"/>
      <c r="E266" s="109"/>
      <c r="F266" s="137"/>
      <c r="G266" s="109"/>
      <c r="H266" s="109"/>
      <c r="I266" s="109"/>
      <c r="J266" s="109"/>
      <c r="K266" s="109"/>
      <c r="L266" s="288"/>
      <c r="M266" s="109"/>
      <c r="N266" s="111"/>
      <c r="O266" s="111"/>
    </row>
    <row r="267" spans="1:15" ht="12.75">
      <c r="A267" s="108"/>
      <c r="B267" s="110"/>
      <c r="C267" s="118"/>
      <c r="D267" s="109"/>
      <c r="E267" s="83" t="s">
        <v>873</v>
      </c>
      <c r="F267" s="137" t="s">
        <v>878</v>
      </c>
      <c r="G267" s="109"/>
      <c r="H267" s="109"/>
      <c r="I267" s="109"/>
      <c r="J267" s="109"/>
      <c r="K267" s="83" t="s">
        <v>231</v>
      </c>
      <c r="L267" s="288">
        <v>7648089</v>
      </c>
      <c r="M267" s="109"/>
      <c r="N267" s="111"/>
      <c r="O267" s="111"/>
    </row>
    <row r="268" spans="1:15" ht="12.75">
      <c r="A268" s="108"/>
      <c r="B268" s="110"/>
      <c r="C268" s="118"/>
      <c r="D268" s="109"/>
      <c r="E268" s="109"/>
      <c r="F268" s="137"/>
      <c r="G268" s="109"/>
      <c r="H268" s="109"/>
      <c r="I268" s="109"/>
      <c r="J268" s="109"/>
      <c r="K268" s="109"/>
      <c r="L268" s="288"/>
      <c r="M268" s="109"/>
      <c r="N268" s="111"/>
      <c r="O268" s="111"/>
    </row>
    <row r="269" spans="1:15" ht="12.75">
      <c r="A269" s="108"/>
      <c r="B269" s="110"/>
      <c r="C269" s="118"/>
      <c r="D269" s="109"/>
      <c r="E269" s="83" t="s">
        <v>879</v>
      </c>
      <c r="F269" s="137" t="s">
        <v>880</v>
      </c>
      <c r="G269" s="109"/>
      <c r="H269" s="109"/>
      <c r="I269" s="109"/>
      <c r="J269" s="109"/>
      <c r="K269" s="83" t="s">
        <v>231</v>
      </c>
      <c r="L269" s="288">
        <f>1044972-584915</f>
        <v>460057</v>
      </c>
      <c r="M269" s="109"/>
      <c r="N269" s="111"/>
      <c r="O269" s="111"/>
    </row>
    <row r="270" spans="1:15" ht="12.75">
      <c r="A270" s="108"/>
      <c r="B270" s="110"/>
      <c r="C270" s="118"/>
      <c r="D270" s="109"/>
      <c r="E270" s="109"/>
      <c r="F270" s="137"/>
      <c r="G270" s="109"/>
      <c r="H270" s="109"/>
      <c r="I270" s="109"/>
      <c r="J270" s="109"/>
      <c r="K270" s="109"/>
      <c r="L270" s="288"/>
      <c r="M270" s="109"/>
      <c r="N270" s="111"/>
      <c r="O270" s="111"/>
    </row>
    <row r="271" spans="1:15" ht="12.75">
      <c r="A271" s="108"/>
      <c r="B271" s="110"/>
      <c r="C271" s="118"/>
      <c r="D271" s="109"/>
      <c r="E271" s="83" t="s">
        <v>881</v>
      </c>
      <c r="F271" s="137" t="s">
        <v>882</v>
      </c>
      <c r="G271" s="109"/>
      <c r="H271" s="109"/>
      <c r="I271" s="109"/>
      <c r="J271" s="109"/>
      <c r="K271" s="83" t="s">
        <v>231</v>
      </c>
      <c r="L271" s="288">
        <v>5000</v>
      </c>
      <c r="M271" s="157"/>
      <c r="N271" s="111"/>
      <c r="O271" s="111"/>
    </row>
    <row r="272" spans="1:15" ht="12.75">
      <c r="A272" s="108"/>
      <c r="B272" s="110"/>
      <c r="C272" s="118"/>
      <c r="D272" s="109"/>
      <c r="E272" s="109"/>
      <c r="F272" s="137"/>
      <c r="G272" s="109"/>
      <c r="H272" s="109"/>
      <c r="I272" s="109"/>
      <c r="J272" s="109"/>
      <c r="K272" s="109"/>
      <c r="L272" s="288"/>
      <c r="M272" s="109"/>
      <c r="N272" s="111"/>
      <c r="O272" s="111"/>
    </row>
    <row r="273" spans="2:15" s="164" customFormat="1" ht="12.75">
      <c r="B273" s="254"/>
      <c r="C273" s="176">
        <v>5</v>
      </c>
      <c r="D273" s="137"/>
      <c r="E273" s="137"/>
      <c r="F273" s="158" t="s">
        <v>317</v>
      </c>
      <c r="G273" s="137"/>
      <c r="H273" s="137"/>
      <c r="I273" s="137"/>
      <c r="J273" s="137"/>
      <c r="K273" s="148" t="s">
        <v>231</v>
      </c>
      <c r="L273" s="290">
        <f>-'Ardh.Shpenz.1'!F21+660065</f>
        <v>4746735</v>
      </c>
      <c r="M273" s="137"/>
      <c r="N273" s="255"/>
      <c r="O273" s="255"/>
    </row>
    <row r="274" spans="1:15" ht="12.75">
      <c r="A274" s="108"/>
      <c r="B274" s="110"/>
      <c r="C274" s="118"/>
      <c r="D274" s="109"/>
      <c r="E274" s="109"/>
      <c r="F274" s="154"/>
      <c r="G274" s="109"/>
      <c r="H274" s="109"/>
      <c r="I274" s="109"/>
      <c r="J274" s="109"/>
      <c r="K274" s="107"/>
      <c r="L274" s="288"/>
      <c r="M274" s="109"/>
      <c r="N274" s="111"/>
      <c r="O274" s="111"/>
    </row>
    <row r="275" spans="1:15" ht="15.75">
      <c r="A275" s="108"/>
      <c r="B275" s="110"/>
      <c r="C275" s="118">
        <v>6</v>
      </c>
      <c r="D275" s="109"/>
      <c r="F275" s="256" t="s">
        <v>325</v>
      </c>
      <c r="G275" s="257"/>
      <c r="H275" s="13"/>
      <c r="I275" s="109"/>
      <c r="J275" s="109"/>
      <c r="K275" s="135" t="s">
        <v>220</v>
      </c>
      <c r="L275" s="288">
        <f>-'Ardh.Shpenz.1'!F24</f>
        <v>5240814</v>
      </c>
      <c r="M275" s="109"/>
      <c r="N275" s="111"/>
      <c r="O275" s="111"/>
    </row>
    <row r="276" spans="1:15" ht="12.75">
      <c r="A276" s="108"/>
      <c r="B276" s="110"/>
      <c r="C276" s="118"/>
      <c r="D276" s="109"/>
      <c r="E276" s="109"/>
      <c r="F276" s="154"/>
      <c r="G276" s="109"/>
      <c r="H276" s="109"/>
      <c r="I276" s="109"/>
      <c r="J276" s="109"/>
      <c r="K276" s="107"/>
      <c r="L276" s="288"/>
      <c r="M276" s="109"/>
      <c r="N276" s="111"/>
      <c r="O276" s="111"/>
    </row>
    <row r="277" spans="1:15" ht="12.75">
      <c r="A277" s="108"/>
      <c r="B277" s="110"/>
      <c r="C277" s="118">
        <v>7</v>
      </c>
      <c r="F277" s="247" t="s">
        <v>883</v>
      </c>
      <c r="G277" s="106"/>
      <c r="H277" s="154"/>
      <c r="J277" s="109"/>
      <c r="K277" s="135" t="s">
        <v>220</v>
      </c>
      <c r="L277" s="288">
        <v>4052562</v>
      </c>
      <c r="M277" s="109"/>
      <c r="N277" s="111"/>
      <c r="O277" s="111"/>
    </row>
    <row r="278" spans="1:15" ht="12.75">
      <c r="A278" s="108"/>
      <c r="B278" s="110"/>
      <c r="C278" s="118"/>
      <c r="D278" s="109"/>
      <c r="E278" s="109"/>
      <c r="F278" s="154"/>
      <c r="G278" s="109"/>
      <c r="H278" s="109"/>
      <c r="I278" s="109"/>
      <c r="J278" s="109"/>
      <c r="K278" s="107"/>
      <c r="L278" s="288"/>
      <c r="M278" s="109"/>
      <c r="N278" s="111"/>
      <c r="O278" s="111"/>
    </row>
    <row r="279" spans="1:15" ht="12.75">
      <c r="A279" s="108"/>
      <c r="B279" s="110"/>
      <c r="C279" s="118">
        <v>8</v>
      </c>
      <c r="D279" s="109"/>
      <c r="E279" s="109"/>
      <c r="F279" s="158" t="s">
        <v>884</v>
      </c>
      <c r="G279" s="109"/>
      <c r="H279" s="109"/>
      <c r="I279" s="109"/>
      <c r="J279" s="109"/>
      <c r="K279" s="135" t="s">
        <v>220</v>
      </c>
      <c r="L279" s="288">
        <v>3153203</v>
      </c>
      <c r="M279" s="109"/>
      <c r="N279" s="111"/>
      <c r="O279" s="111"/>
    </row>
    <row r="280" spans="1:15" ht="12.75">
      <c r="A280" s="108"/>
      <c r="B280" s="110"/>
      <c r="C280" s="118"/>
      <c r="D280" s="109"/>
      <c r="E280" s="109"/>
      <c r="F280" s="154"/>
      <c r="G280" s="109"/>
      <c r="H280" s="109"/>
      <c r="I280" s="109"/>
      <c r="J280" s="109"/>
      <c r="K280" s="107"/>
      <c r="L280" s="288"/>
      <c r="M280" s="109"/>
      <c r="N280" s="111"/>
      <c r="O280" s="111"/>
    </row>
    <row r="281" spans="1:15" ht="12.75">
      <c r="A281" s="108"/>
      <c r="B281" s="110"/>
      <c r="C281" s="118">
        <v>9</v>
      </c>
      <c r="D281" s="109"/>
      <c r="E281" s="109"/>
      <c r="F281" s="158" t="s">
        <v>885</v>
      </c>
      <c r="G281" s="109"/>
      <c r="H281" s="109"/>
      <c r="I281" s="109"/>
      <c r="J281" s="109"/>
      <c r="K281" s="135" t="s">
        <v>220</v>
      </c>
      <c r="L281" s="288">
        <v>46000</v>
      </c>
      <c r="M281" s="109"/>
      <c r="N281" s="111"/>
      <c r="O281" s="111"/>
    </row>
    <row r="282" spans="1:15" ht="12.75">
      <c r="A282" s="108"/>
      <c r="B282" s="110"/>
      <c r="C282" s="118"/>
      <c r="D282" s="109"/>
      <c r="E282" s="109"/>
      <c r="F282" s="154"/>
      <c r="G282" s="109"/>
      <c r="H282" s="109"/>
      <c r="I282" s="109"/>
      <c r="J282" s="109"/>
      <c r="K282" s="107"/>
      <c r="L282" s="288"/>
      <c r="M282" s="109"/>
      <c r="N282" s="111"/>
      <c r="O282" s="111"/>
    </row>
    <row r="283" spans="1:15" ht="12.75">
      <c r="A283" s="108"/>
      <c r="B283" s="110"/>
      <c r="C283" s="118">
        <v>10</v>
      </c>
      <c r="D283" s="109"/>
      <c r="E283" s="137" t="s">
        <v>876</v>
      </c>
      <c r="F283" s="154"/>
      <c r="G283" s="109"/>
      <c r="H283" s="109"/>
      <c r="I283" s="109"/>
      <c r="J283" s="109"/>
      <c r="K283" s="135" t="s">
        <v>220</v>
      </c>
      <c r="L283" s="288">
        <f>1391794+930</f>
        <v>1392724</v>
      </c>
      <c r="M283" s="109"/>
      <c r="N283" s="111"/>
      <c r="O283" s="111"/>
    </row>
    <row r="284" spans="1:15" ht="12.75">
      <c r="A284" s="108"/>
      <c r="B284" s="110"/>
      <c r="D284" s="118"/>
      <c r="E284" s="109"/>
      <c r="F284" s="137"/>
      <c r="G284" s="154" t="s">
        <v>875</v>
      </c>
      <c r="H284" s="109"/>
      <c r="I284" s="109"/>
      <c r="J284" s="109"/>
      <c r="K284" s="107"/>
      <c r="L284" s="288"/>
      <c r="M284" s="109"/>
      <c r="N284" s="111"/>
      <c r="O284" s="111"/>
    </row>
    <row r="285" spans="1:15" ht="12.75">
      <c r="A285" s="108"/>
      <c r="B285" s="110"/>
      <c r="C285" s="118"/>
      <c r="D285" s="109"/>
      <c r="E285" s="109"/>
      <c r="F285" s="154"/>
      <c r="G285" s="109"/>
      <c r="H285" s="109"/>
      <c r="I285" s="109"/>
      <c r="J285" s="109"/>
      <c r="K285" s="107"/>
      <c r="L285" s="288"/>
      <c r="M285" s="109"/>
      <c r="N285" s="111"/>
      <c r="O285" s="111"/>
    </row>
    <row r="286" spans="1:15" ht="12.75">
      <c r="A286" s="108"/>
      <c r="B286" s="110"/>
      <c r="C286" s="118"/>
      <c r="D286" s="109"/>
      <c r="E286" s="137" t="s">
        <v>286</v>
      </c>
      <c r="F286" s="158" t="s">
        <v>287</v>
      </c>
      <c r="G286" s="109"/>
      <c r="H286" s="109"/>
      <c r="I286" s="109"/>
      <c r="J286" s="109"/>
      <c r="K286" s="107"/>
      <c r="L286" s="288"/>
      <c r="M286" s="109"/>
      <c r="N286" s="111"/>
      <c r="O286" s="111"/>
    </row>
    <row r="287" spans="1:15" ht="12.75">
      <c r="A287" s="108"/>
      <c r="B287" s="110"/>
      <c r="C287" s="118"/>
      <c r="D287" s="109"/>
      <c r="E287" s="109"/>
      <c r="F287" s="154"/>
      <c r="G287" s="109"/>
      <c r="H287" s="109"/>
      <c r="I287" s="109"/>
      <c r="J287" s="109"/>
      <c r="K287" s="107"/>
      <c r="L287" s="288"/>
      <c r="M287" s="109"/>
      <c r="N287" s="111"/>
      <c r="O287" s="111"/>
    </row>
    <row r="288" spans="2:15" s="164" customFormat="1" ht="12.75">
      <c r="B288" s="254"/>
      <c r="C288" s="176" t="str">
        <f>'Fluksi M.direkte'!B10</f>
        <v>ii</v>
      </c>
      <c r="D288" s="137"/>
      <c r="E288" s="137" t="s">
        <v>288</v>
      </c>
      <c r="F288" s="154"/>
      <c r="G288" s="137"/>
      <c r="H288" s="137"/>
      <c r="I288" s="137"/>
      <c r="J288" s="137"/>
      <c r="K288" s="148" t="s">
        <v>231</v>
      </c>
      <c r="L288" s="290">
        <f>'Fluksi M.direkte'!F10</f>
        <v>127466367.8</v>
      </c>
      <c r="M288" s="137"/>
      <c r="N288" s="255"/>
      <c r="O288" s="255"/>
    </row>
    <row r="289" spans="1:15" ht="12.75">
      <c r="A289" s="108"/>
      <c r="B289" s="110"/>
      <c r="C289" s="118"/>
      <c r="D289" s="109"/>
      <c r="E289" s="5" t="s">
        <v>886</v>
      </c>
      <c r="F289" s="154"/>
      <c r="G289" s="109"/>
      <c r="H289" s="109"/>
      <c r="I289" s="109"/>
      <c r="J289" s="109"/>
      <c r="K289" s="107"/>
      <c r="L289" s="288">
        <v>102519423</v>
      </c>
      <c r="M289" s="109"/>
      <c r="N289" s="111"/>
      <c r="O289" s="111"/>
    </row>
    <row r="290" spans="1:15" ht="12.75">
      <c r="A290" s="108"/>
      <c r="B290" s="110"/>
      <c r="C290" s="118"/>
      <c r="D290" s="109"/>
      <c r="E290" s="109"/>
      <c r="F290" s="154"/>
      <c r="G290" s="109"/>
      <c r="H290" s="109"/>
      <c r="I290" s="109"/>
      <c r="J290" s="109"/>
      <c r="K290" s="107"/>
      <c r="L290" s="288"/>
      <c r="M290" s="109"/>
      <c r="N290" s="111"/>
      <c r="O290" s="111"/>
    </row>
    <row r="291" spans="1:15" ht="12.75">
      <c r="A291" s="108"/>
      <c r="B291" s="110"/>
      <c r="C291" s="118"/>
      <c r="D291" s="109"/>
      <c r="E291" s="109"/>
      <c r="F291" s="154"/>
      <c r="G291" s="109"/>
      <c r="H291" s="109"/>
      <c r="I291" s="109"/>
      <c r="J291" s="109"/>
      <c r="K291" s="107"/>
      <c r="L291" s="288"/>
      <c r="M291" s="109"/>
      <c r="N291" s="111"/>
      <c r="O291" s="111"/>
    </row>
    <row r="292" spans="1:15" ht="12.75">
      <c r="A292" s="108"/>
      <c r="B292" s="110"/>
      <c r="C292" s="118" t="str">
        <f>'Fluksi M.direkte'!B11</f>
        <v>iii</v>
      </c>
      <c r="D292" s="109"/>
      <c r="E292" s="109" t="s">
        <v>289</v>
      </c>
      <c r="F292" s="154"/>
      <c r="G292" s="109"/>
      <c r="H292" s="109"/>
      <c r="I292" s="109"/>
      <c r="J292" s="109"/>
      <c r="K292" s="107" t="s">
        <v>285</v>
      </c>
      <c r="L292" s="288">
        <v>4141811</v>
      </c>
      <c r="M292" s="109"/>
      <c r="N292" s="111"/>
      <c r="O292" s="111"/>
    </row>
    <row r="293" spans="1:15" ht="12.75">
      <c r="A293" s="108"/>
      <c r="B293" s="110"/>
      <c r="C293" s="118"/>
      <c r="D293" s="109"/>
      <c r="E293" s="109" t="s">
        <v>290</v>
      </c>
      <c r="F293" s="154"/>
      <c r="G293" s="109"/>
      <c r="H293" s="109"/>
      <c r="I293" s="109"/>
      <c r="J293" s="109"/>
      <c r="K293" s="107" t="s">
        <v>285</v>
      </c>
      <c r="L293" s="288">
        <v>1069072</v>
      </c>
      <c r="M293" s="109"/>
      <c r="N293" s="111"/>
      <c r="O293" s="111"/>
    </row>
    <row r="294" spans="1:15" ht="12.75">
      <c r="A294" s="108"/>
      <c r="B294" s="110"/>
      <c r="C294" s="118"/>
      <c r="D294" s="109"/>
      <c r="E294" s="109" t="s">
        <v>291</v>
      </c>
      <c r="F294" s="154"/>
      <c r="G294" s="109"/>
      <c r="H294" s="109"/>
      <c r="I294" s="109"/>
      <c r="J294" s="109"/>
      <c r="K294" s="107" t="s">
        <v>285</v>
      </c>
      <c r="L294" s="288">
        <v>227496</v>
      </c>
      <c r="M294" s="109"/>
      <c r="N294" s="111"/>
      <c r="O294" s="111"/>
    </row>
    <row r="295" spans="1:15" ht="12.75">
      <c r="A295" s="108"/>
      <c r="B295" s="110"/>
      <c r="C295" s="118"/>
      <c r="D295" s="109"/>
      <c r="E295" s="107"/>
      <c r="F295" s="154"/>
      <c r="G295" s="109"/>
      <c r="H295" s="109"/>
      <c r="I295" s="109"/>
      <c r="J295" s="109"/>
      <c r="K295" s="107"/>
      <c r="L295" s="288"/>
      <c r="M295" s="109"/>
      <c r="N295" s="111"/>
      <c r="O295" s="111"/>
    </row>
    <row r="296" spans="1:15" ht="12.75">
      <c r="A296" s="108"/>
      <c r="B296" s="110"/>
      <c r="C296" s="118"/>
      <c r="D296" s="109"/>
      <c r="E296" s="107"/>
      <c r="F296" s="154"/>
      <c r="G296" s="109"/>
      <c r="H296" s="109"/>
      <c r="I296" s="109"/>
      <c r="J296" s="109"/>
      <c r="K296" s="107"/>
      <c r="L296" s="288"/>
      <c r="M296" s="109"/>
      <c r="N296" s="111"/>
      <c r="O296" s="111"/>
    </row>
    <row r="297" spans="2:15" s="242" customFormat="1" ht="12.75">
      <c r="B297" s="238"/>
      <c r="C297" s="136" t="str">
        <f>'Fluksi M.direkte'!B26</f>
        <v>xii</v>
      </c>
      <c r="D297" s="83"/>
      <c r="E297" s="169" t="str">
        <f>'Fluksi M.direkte'!D26</f>
        <v>Të ardhura nga emetimi i kapitalit aksionar</v>
      </c>
      <c r="F297" s="294"/>
      <c r="G297" s="83"/>
      <c r="H297" s="83"/>
      <c r="I297" s="83"/>
      <c r="J297" s="83"/>
      <c r="K297" s="169" t="s">
        <v>285</v>
      </c>
      <c r="L297" s="288"/>
      <c r="M297" s="240"/>
      <c r="N297" s="241"/>
      <c r="O297" s="241"/>
    </row>
    <row r="298" spans="2:15" s="242" customFormat="1" ht="12.75">
      <c r="B298" s="238"/>
      <c r="C298" s="136"/>
      <c r="D298" s="83"/>
      <c r="E298" s="169"/>
      <c r="F298" s="294"/>
      <c r="G298" s="83"/>
      <c r="H298" s="83"/>
      <c r="I298" s="83"/>
      <c r="J298" s="83"/>
      <c r="K298" s="169"/>
      <c r="L298" s="288"/>
      <c r="M298" s="240"/>
      <c r="N298" s="241"/>
      <c r="O298" s="241"/>
    </row>
    <row r="299" spans="2:15" s="242" customFormat="1" ht="12.75">
      <c r="B299" s="238"/>
      <c r="C299" s="136" t="str">
        <f>'Fluksi M.direkte'!B27</f>
        <v>xiii</v>
      </c>
      <c r="D299" s="83"/>
      <c r="E299" s="169" t="str">
        <f>'Fluksi M.direkte'!D27</f>
        <v>Te ardhura nga huamarje afatgjata</v>
      </c>
      <c r="F299" s="294"/>
      <c r="G299" s="83"/>
      <c r="H299" s="83"/>
      <c r="I299" s="83"/>
      <c r="J299" s="83"/>
      <c r="K299" s="169" t="s">
        <v>285</v>
      </c>
      <c r="L299" s="288">
        <f>'Fluksi M.direkte'!F27</f>
        <v>18370263</v>
      </c>
      <c r="M299" s="240"/>
      <c r="N299" s="241"/>
      <c r="O299" s="241"/>
    </row>
    <row r="300" spans="2:15" s="242" customFormat="1" ht="12.75">
      <c r="B300" s="238"/>
      <c r="C300" s="136"/>
      <c r="D300" s="83"/>
      <c r="E300" s="169" t="s">
        <v>293</v>
      </c>
      <c r="F300" s="295" t="s">
        <v>294</v>
      </c>
      <c r="G300" s="83"/>
      <c r="H300" s="83"/>
      <c r="I300" s="83"/>
      <c r="J300" s="83"/>
      <c r="K300" s="169"/>
      <c r="L300" s="288"/>
      <c r="M300" s="240"/>
      <c r="N300" s="241"/>
      <c r="O300" s="241"/>
    </row>
    <row r="301" spans="2:15" s="242" customFormat="1" ht="12.75">
      <c r="B301" s="238"/>
      <c r="C301" s="136"/>
      <c r="D301" s="83"/>
      <c r="E301" s="169" t="s">
        <v>305</v>
      </c>
      <c r="F301" s="294"/>
      <c r="G301" s="83"/>
      <c r="H301" s="83"/>
      <c r="I301" s="83"/>
      <c r="J301" s="83"/>
      <c r="K301" s="296" t="s">
        <v>306</v>
      </c>
      <c r="L301" s="288"/>
      <c r="M301" s="240"/>
      <c r="N301" s="241"/>
      <c r="O301" s="241"/>
    </row>
    <row r="302" spans="2:15" s="242" customFormat="1" ht="12.75">
      <c r="B302" s="238"/>
      <c r="C302" s="136"/>
      <c r="D302" s="83"/>
      <c r="E302" s="169" t="s">
        <v>307</v>
      </c>
      <c r="F302" s="294"/>
      <c r="G302" s="83"/>
      <c r="H302" s="83"/>
      <c r="I302" s="83"/>
      <c r="J302" s="83"/>
      <c r="K302" s="169" t="s">
        <v>306</v>
      </c>
      <c r="L302" s="288"/>
      <c r="M302" s="240"/>
      <c r="N302" s="241"/>
      <c r="O302" s="241"/>
    </row>
    <row r="303" spans="2:15" s="242" customFormat="1" ht="12.75">
      <c r="B303" s="238"/>
      <c r="C303" s="136"/>
      <c r="D303" s="83"/>
      <c r="E303" s="169" t="s">
        <v>312</v>
      </c>
      <c r="F303" s="294"/>
      <c r="G303" s="83"/>
      <c r="H303" s="83"/>
      <c r="I303" s="83"/>
      <c r="J303" s="83"/>
      <c r="K303" s="169" t="s">
        <v>306</v>
      </c>
      <c r="L303" s="288">
        <f>'Ardh.Shpenz.1'!F37</f>
        <v>11070330.557126954</v>
      </c>
      <c r="M303" s="240"/>
      <c r="N303" s="241"/>
      <c r="O303" s="241"/>
    </row>
    <row r="304" spans="1:15" ht="12.75">
      <c r="A304" s="108"/>
      <c r="B304" s="159"/>
      <c r="C304" s="160"/>
      <c r="D304" s="161"/>
      <c r="E304" s="161"/>
      <c r="F304" s="161"/>
      <c r="G304" s="161"/>
      <c r="H304" s="161"/>
      <c r="I304" s="162"/>
      <c r="J304" s="162"/>
      <c r="K304" s="162"/>
      <c r="L304" s="162"/>
      <c r="M304" s="162"/>
      <c r="N304" s="163"/>
      <c r="O304" s="163"/>
    </row>
  </sheetData>
  <sheetProtection/>
  <mergeCells count="46">
    <mergeCell ref="M137:M138"/>
    <mergeCell ref="I14:J14"/>
    <mergeCell ref="F15:G15"/>
    <mergeCell ref="I15:J15"/>
    <mergeCell ref="F22:L22"/>
    <mergeCell ref="F24:J25"/>
    <mergeCell ref="F14:G14"/>
    <mergeCell ref="F16:G16"/>
    <mergeCell ref="I16:J16"/>
    <mergeCell ref="F17:G17"/>
    <mergeCell ref="M121:M122"/>
    <mergeCell ref="B4:N4"/>
    <mergeCell ref="D6:E6"/>
    <mergeCell ref="E12:E13"/>
    <mergeCell ref="F12:G13"/>
    <mergeCell ref="H12:H13"/>
    <mergeCell ref="I12:J13"/>
    <mergeCell ref="E121:E122"/>
    <mergeCell ref="G121:I121"/>
    <mergeCell ref="I17:J17"/>
    <mergeCell ref="F159:G159"/>
    <mergeCell ref="F163:G163"/>
    <mergeCell ref="F26:J26"/>
    <mergeCell ref="F27:J27"/>
    <mergeCell ref="F28:J28"/>
    <mergeCell ref="F29:J29"/>
    <mergeCell ref="F30:L30"/>
    <mergeCell ref="F158:G158"/>
    <mergeCell ref="H78:I78"/>
    <mergeCell ref="F121:F122"/>
    <mergeCell ref="F18:G18"/>
    <mergeCell ref="I18:J18"/>
    <mergeCell ref="J121:L121"/>
    <mergeCell ref="F39:G39"/>
    <mergeCell ref="F40:G40"/>
    <mergeCell ref="E24:E25"/>
    <mergeCell ref="E137:E138"/>
    <mergeCell ref="F137:F138"/>
    <mergeCell ref="G137:I137"/>
    <mergeCell ref="J137:L137"/>
    <mergeCell ref="F19:G19"/>
    <mergeCell ref="F20:G20"/>
    <mergeCell ref="I19:J19"/>
    <mergeCell ref="I20:J20"/>
    <mergeCell ref="F21:G21"/>
    <mergeCell ref="I21:J21"/>
  </mergeCells>
  <printOptions/>
  <pageMargins left="0.25" right="0.16" top="0.41" bottom="0.54" header="0.25" footer="0.34"/>
  <pageSetup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58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14.421875" style="0" customWidth="1"/>
    <col min="2" max="2" width="3.7109375" style="0" customWidth="1"/>
    <col min="3" max="3" width="3.421875" style="19" customWidth="1"/>
    <col min="4" max="4" width="2.00390625" style="0" customWidth="1"/>
    <col min="5" max="5" width="3.421875" style="0" customWidth="1"/>
    <col min="6" max="6" width="13.7109375" style="0" customWidth="1"/>
    <col min="7" max="9" width="8.7109375" style="0" customWidth="1"/>
    <col min="10" max="10" width="7.28125" style="0" customWidth="1"/>
    <col min="11" max="11" width="7.57421875" style="0" customWidth="1"/>
    <col min="12" max="12" width="6.28125" style="0" customWidth="1"/>
    <col min="13" max="13" width="10.421875" style="0" customWidth="1"/>
    <col min="14" max="14" width="5.140625" style="0" customWidth="1"/>
    <col min="15" max="15" width="2.140625" style="0" customWidth="1"/>
  </cols>
  <sheetData>
    <row r="2" spans="2:14" ht="12.75">
      <c r="B2" s="1"/>
      <c r="C2" s="11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2.75">
      <c r="B3" s="4"/>
      <c r="C3" s="10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9" customFormat="1" ht="33" customHeight="1">
      <c r="B4" s="519" t="s">
        <v>274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1"/>
    </row>
    <row r="5" spans="2:14" s="29" customFormat="1" ht="12.75" customHeight="1"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</row>
    <row r="6" spans="2:14" ht="15.75">
      <c r="B6" s="4"/>
      <c r="C6" s="10"/>
      <c r="D6" s="557" t="s">
        <v>270</v>
      </c>
      <c r="E6" s="557"/>
      <c r="F6" s="104" t="s">
        <v>397</v>
      </c>
      <c r="G6" s="5"/>
      <c r="H6" s="5"/>
      <c r="I6" s="5"/>
      <c r="J6" s="5"/>
      <c r="K6" s="5"/>
      <c r="L6" s="5"/>
      <c r="M6" s="5"/>
      <c r="N6" s="6"/>
    </row>
    <row r="7" spans="2:14" ht="12.75">
      <c r="B7" s="4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ht="12.75">
      <c r="B8" s="4"/>
      <c r="C8" s="10"/>
      <c r="D8" s="5"/>
      <c r="E8" s="107"/>
      <c r="F8" s="109" t="s">
        <v>271</v>
      </c>
      <c r="G8" s="5"/>
      <c r="H8" s="5"/>
      <c r="I8" s="5"/>
      <c r="J8" s="5"/>
      <c r="K8" s="5"/>
      <c r="L8" s="5"/>
      <c r="M8" s="5"/>
      <c r="N8" s="6"/>
    </row>
    <row r="9" spans="2:14" ht="12.75">
      <c r="B9" s="4"/>
      <c r="C9" s="10"/>
      <c r="D9" s="5"/>
      <c r="E9" s="109" t="s">
        <v>272</v>
      </c>
      <c r="F9" s="109"/>
      <c r="G9" s="5"/>
      <c r="H9" s="5"/>
      <c r="I9" s="5"/>
      <c r="J9" s="5"/>
      <c r="K9" s="5"/>
      <c r="L9" s="5"/>
      <c r="M9" s="5"/>
      <c r="N9" s="6"/>
    </row>
    <row r="10" spans="2:14" ht="12.75">
      <c r="B10" s="4"/>
      <c r="C10" s="10"/>
      <c r="D10" s="5"/>
      <c r="E10" s="109"/>
      <c r="F10" s="109" t="s">
        <v>273</v>
      </c>
      <c r="G10" s="5"/>
      <c r="H10" s="5"/>
      <c r="I10" s="5"/>
      <c r="J10" s="5"/>
      <c r="K10" s="5"/>
      <c r="L10" s="5"/>
      <c r="M10" s="5"/>
      <c r="N10" s="6"/>
    </row>
    <row r="11" spans="2:14" ht="12.75">
      <c r="B11" s="4"/>
      <c r="C11" s="10"/>
      <c r="D11" s="5"/>
      <c r="E11" s="5" t="s">
        <v>942</v>
      </c>
      <c r="F11" s="109"/>
      <c r="G11" s="5"/>
      <c r="H11" s="5"/>
      <c r="I11" s="5"/>
      <c r="J11" s="5"/>
      <c r="K11" s="5"/>
      <c r="L11" s="5"/>
      <c r="M11" s="5"/>
      <c r="N11" s="6"/>
    </row>
    <row r="12" spans="2:14" ht="12.75">
      <c r="B12" s="4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ht="12.75">
      <c r="B13" s="4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ht="12.75">
      <c r="B14" s="4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ht="12.75">
      <c r="B15" s="4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ht="12.75">
      <c r="B16" s="4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ht="12.75">
      <c r="B17" s="4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 ht="12.75">
      <c r="B18" s="4"/>
      <c r="C18" s="10"/>
      <c r="D18" s="5"/>
      <c r="E18" s="135"/>
      <c r="F18" s="5"/>
      <c r="G18" s="5"/>
      <c r="H18" s="5"/>
      <c r="I18" s="5"/>
      <c r="J18" s="5"/>
      <c r="K18" s="5"/>
      <c r="L18" s="5"/>
      <c r="M18" s="5"/>
      <c r="N18" s="6"/>
    </row>
    <row r="19" spans="2:14" ht="12.75">
      <c r="B19" s="4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 ht="12.75">
      <c r="B20" s="4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ht="12.75">
      <c r="B21" s="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ht="12.75">
      <c r="B22" s="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ht="12.75">
      <c r="B23" s="4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ht="12.75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ht="12.75">
      <c r="B25" s="4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ht="12.75">
      <c r="B26" s="4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 ht="12.75">
      <c r="B27" s="4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ht="12.75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ht="12.75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ht="12.75">
      <c r="B30" s="4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ht="12.75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ht="12.75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ht="12.75">
      <c r="B33" s="4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ht="12.75">
      <c r="B34" s="4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ht="12.75">
      <c r="B35" s="4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ht="12.75">
      <c r="B36" s="4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ht="12.75">
      <c r="B37" s="4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ht="12.75">
      <c r="B38" s="4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ht="12.75">
      <c r="B39" s="4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ht="12.75">
      <c r="B40" s="4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ht="12.75">
      <c r="B41" s="4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12.75">
      <c r="B42" s="4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2:14" ht="12.75">
      <c r="B43" s="4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ht="12.75">
      <c r="B44" s="4"/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ht="12.75">
      <c r="B45" s="4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ht="12.75">
      <c r="B46" s="4"/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2.75">
      <c r="B47" s="4"/>
      <c r="C47" s="10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 ht="15">
      <c r="B48" s="4"/>
      <c r="C48" s="10"/>
      <c r="D48" s="5"/>
      <c r="E48" s="5"/>
      <c r="F48" s="5" t="s">
        <v>392</v>
      </c>
      <c r="G48" s="5"/>
      <c r="H48" s="5"/>
      <c r="I48" s="558" t="s">
        <v>138</v>
      </c>
      <c r="J48" s="558"/>
      <c r="K48" s="558"/>
      <c r="L48" s="558"/>
      <c r="M48" s="558"/>
      <c r="N48" s="6"/>
    </row>
    <row r="49" spans="2:14" ht="15">
      <c r="B49" s="4"/>
      <c r="C49" s="10"/>
      <c r="D49" s="5"/>
      <c r="E49" s="5" t="s">
        <v>396</v>
      </c>
      <c r="F49" s="5"/>
      <c r="G49" s="5"/>
      <c r="H49" s="5"/>
      <c r="I49" s="556" t="s">
        <v>394</v>
      </c>
      <c r="J49" s="556"/>
      <c r="K49" s="556"/>
      <c r="L49" s="556"/>
      <c r="M49" s="556"/>
      <c r="N49" s="6"/>
    </row>
    <row r="50" spans="2:14" ht="12.75">
      <c r="B50" s="4"/>
      <c r="C50" s="10"/>
      <c r="D50" s="5"/>
      <c r="E50" s="5" t="s">
        <v>393</v>
      </c>
      <c r="G50" s="5"/>
      <c r="H50" s="5"/>
      <c r="I50" s="5"/>
      <c r="J50" s="5" t="s">
        <v>395</v>
      </c>
      <c r="K50" s="5"/>
      <c r="L50" s="5"/>
      <c r="M50" s="5"/>
      <c r="N50" s="6"/>
    </row>
    <row r="51" spans="2:14" ht="12.75">
      <c r="B51" s="4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 ht="12.75">
      <c r="B52" s="4"/>
      <c r="C52" s="10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2:14" ht="12.75">
      <c r="B53" s="4"/>
      <c r="C53" s="10"/>
      <c r="D53" s="5"/>
      <c r="E53" s="5"/>
      <c r="F53" s="5"/>
      <c r="G53" s="5"/>
      <c r="H53" s="5"/>
      <c r="N53" s="6"/>
    </row>
    <row r="54" spans="2:14" ht="15">
      <c r="B54" s="4"/>
      <c r="C54" s="10"/>
      <c r="D54" s="5"/>
      <c r="E54" s="5"/>
      <c r="F54" s="13"/>
      <c r="G54" s="5"/>
      <c r="H54" s="5"/>
      <c r="N54" s="6"/>
    </row>
    <row r="55" spans="2:14" ht="12.75">
      <c r="B55" s="4"/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 ht="12.75">
      <c r="B56" s="4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 ht="12.75">
      <c r="B57" s="4"/>
      <c r="C57" s="10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2:14" ht="12.75">
      <c r="B58" s="7"/>
      <c r="C58" s="23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</sheetData>
  <sheetProtection/>
  <mergeCells count="4">
    <mergeCell ref="I49:M49"/>
    <mergeCell ref="B4:N4"/>
    <mergeCell ref="D6:E6"/>
    <mergeCell ref="I48:M4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2011-03-29T07:06:03Z</cp:lastPrinted>
  <dcterms:created xsi:type="dcterms:W3CDTF">2002-02-16T18:16:52Z</dcterms:created>
  <dcterms:modified xsi:type="dcterms:W3CDTF">2011-04-16T14:03:26Z</dcterms:modified>
  <cp:category/>
  <cp:version/>
  <cp:contentType/>
  <cp:contentStatus/>
</cp:coreProperties>
</file>