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1000" activeTab="5"/>
  </bookViews>
  <sheets>
    <sheet name="faq1" sheetId="1" r:id="rId1"/>
    <sheet name="Ardh shpenz alpha" sheetId="2" state="hidden" r:id="rId2"/>
    <sheet name="Bilanci Alpha" sheetId="3" state="hidden" r:id="rId3"/>
    <sheet name="BK" sheetId="4" r:id="rId4"/>
    <sheet name="ardh-shpenz" sheetId="5" r:id="rId5"/>
    <sheet name="cash-flow" sheetId="6" r:id="rId6"/>
    <sheet name="kap vet" sheetId="7" r:id="rId7"/>
    <sheet name="Aq&amp;AM" sheetId="8" r:id="rId8"/>
    <sheet name="aktivet sips udhez" sheetId="9" r:id="rId9"/>
    <sheet name="aneks sips udhe p1.2" sheetId="10" r:id="rId10"/>
    <sheet name="an udh p3" sheetId="11" r:id="rId11"/>
    <sheet name="deklarata" sheetId="12" r:id="rId12"/>
    <sheet name="inv auto" sheetId="13" r:id="rId13"/>
    <sheet name="inv mall" sheetId="14" r:id="rId14"/>
    <sheet name="Sheet3" sheetId="15" state="hidden" r:id="rId15"/>
    <sheet name="tjera" sheetId="16" state="hidden" r:id="rId16"/>
    <sheet name="Sheet1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<sst xmlns="http://schemas.openxmlformats.org/spreadsheetml/2006/main" count="1354" uniqueCount="866">
  <si>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</si>
  <si>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</si>
  <si>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</si>
  <si>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</si>
  <si>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</si>
  <si>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</si>
  <si>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</si>
  <si>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</si>
  <si>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</si>
  <si>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</si>
  <si>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</si>
  <si>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</si>
  <si>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</si>
  <si>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</si>
  <si>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</si>
  <si>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</si>
  <si>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</si>
  <si>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</si>
  <si>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</si>
  <si>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</si>
  <si>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</si>
  <si>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</si>
  <si>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</si>
  <si>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</si>
  <si>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</si>
  <si>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</si>
  <si>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</si>
  <si>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</si>
  <si>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</si>
  <si>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</si>
  <si>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</si>
  <si>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</si>
  <si>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</si>
  <si>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</si>
  <si>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</si>
  <si>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</si>
  <si>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</si>
  <si>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</si>
  <si>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</si>
  <si>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</si>
  <si>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</si>
  <si>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</si>
  <si>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</si>
  <si>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</si>
  <si>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</si>
  <si>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</si>
  <si>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</si>
  <si>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</si>
  <si>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</si>
  <si>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</si>
  <si>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</si>
  <si>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</si>
  <si>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</si>
  <si>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</si>
  <si>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</si>
  <si>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</si>
  <si>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</si>
  <si>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</si>
  <si>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</si>
  <si>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</si>
  <si>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</si>
  <si>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</si>
  <si>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</si>
  <si>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</si>
  <si>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</si>
  <si>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</si>
  <si>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</si>
  <si>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</si>
  <si>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</si>
  <si>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</si>
  <si>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</si>
  <si>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</si>
  <si>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</si>
  <si>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</si>
  <si>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</si>
  <si>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</si>
  <si>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</si>
  <si>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</si>
  <si>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</si>
  <si>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</si>
  <si>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</si>
  <si>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</si>
  <si>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</si>
  <si>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</si>
  <si>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</si>
  <si>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</si>
  <si>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</si>
  <si>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</si>
  <si>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</si>
  <si>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</si>
  <si>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</si>
  <si>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</si>
  <si>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</si>
  <si>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</si>
  <si>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</si>
  <si>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</si>
  <si>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</si>
  <si>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</si>
  <si>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</si>
  <si>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</si>
  <si>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31 Dhjetor 2007</t>
  </si>
  <si>
    <t>Para ne dore</t>
  </si>
  <si>
    <t>Para ne Banka</t>
  </si>
  <si>
    <t>Magazinat</t>
  </si>
  <si>
    <t>Klientet</t>
  </si>
  <si>
    <t>Furnitoret</t>
  </si>
  <si>
    <t>Tatim Page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</si>
  <si>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</si>
  <si>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</si>
  <si>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</si>
  <si>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</si>
  <si>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</si>
  <si>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</si>
  <si>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</si>
  <si>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</si>
  <si>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</si>
  <si>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</si>
  <si>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</si>
  <si>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</si>
  <si>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</si>
  <si>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</si>
  <si>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</si>
  <si>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</si>
  <si>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</si>
  <si>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</si>
  <si>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</si>
  <si>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</si>
  <si>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</si>
  <si>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</si>
  <si>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</si>
  <si>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</si>
  <si>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</si>
  <si>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</si>
  <si>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</si>
  <si>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</si>
  <si>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</si>
  <si>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</si>
  <si>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</si>
  <si>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</si>
  <si>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</si>
  <si>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</si>
  <si>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</si>
  <si>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</si>
  <si>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</si>
  <si>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</si>
  <si>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</si>
  <si>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</si>
  <si>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</si>
  <si>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</si>
  <si>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</si>
  <si>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</si>
  <si>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</si>
  <si>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</si>
  <si>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</si>
  <si>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</si>
  <si>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</si>
  <si>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</si>
  <si>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</si>
  <si>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</si>
  <si>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</si>
  <si>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</si>
  <si>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</si>
  <si>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</si>
  <si>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</si>
  <si>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</si>
  <si>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</si>
  <si>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</si>
  <si>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</si>
  <si>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</si>
  <si>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</si>
  <si>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</si>
  <si>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</si>
  <si>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</si>
  <si>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</si>
  <si>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</si>
  <si>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</si>
  <si>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</si>
  <si>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</si>
  <si>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</si>
  <si>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</si>
  <si>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</si>
  <si>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</si>
  <si>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</si>
  <si>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</si>
  <si>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</si>
  <si>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</si>
  <si>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</si>
  <si>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</si>
  <si>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</si>
  <si>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</si>
  <si>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</si>
  <si>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</si>
  <si>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</si>
  <si>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</si>
  <si>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</si>
  <si>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</si>
  <si>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</si>
  <si>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</si>
  <si>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</si>
  <si>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</si>
  <si>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</si>
  <si>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</si>
  <si>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</si>
  <si>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</si>
  <si>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</si>
  <si>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</si>
  <si>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</si>
  <si>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</si>
  <si>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</si>
  <si>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</si>
  <si>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</si>
  <si>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</si>
  <si>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</si>
  <si>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</si>
  <si>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</si>
  <si>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</si>
  <si>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</si>
  <si>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</si>
  <si>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</si>
  <si>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</si>
  <si>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</si>
  <si>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</si>
  <si>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</si>
  <si>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</si>
  <si>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</si>
  <si>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</si>
  <si>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</si>
  <si>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</si>
  <si>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</si>
  <si>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</si>
  <si>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</si>
  <si>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</si>
  <si>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</si>
  <si>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</si>
  <si>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</si>
  <si>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</si>
  <si>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</si>
  <si>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</si>
  <si>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</si>
  <si>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</si>
  <si>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</si>
  <si>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</si>
  <si>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</si>
  <si>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</si>
  <si>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</si>
  <si>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</si>
  <si>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</si>
  <si>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</si>
  <si>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</si>
  <si>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</si>
  <si>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</si>
  <si>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</si>
  <si>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</si>
  <si>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</si>
  <si>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</si>
  <si>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</si>
  <si>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</si>
  <si>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</si>
  <si>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</si>
  <si>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</si>
  <si>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</si>
  <si>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</si>
  <si>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</si>
  <si>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</si>
  <si>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</si>
  <si>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</si>
  <si>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</si>
  <si>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</si>
  <si>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</si>
  <si>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</si>
  <si>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</si>
  <si>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</si>
  <si>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</si>
  <si>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</si>
  <si>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</si>
  <si>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</si>
  <si>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</si>
  <si>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</si>
  <si>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</si>
  <si>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</si>
  <si>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</si>
  <si>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</si>
  <si>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</si>
  <si>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</si>
  <si>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</si>
  <si>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</si>
  <si>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</si>
  <si>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</si>
  <si>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</si>
  <si>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</si>
  <si>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</si>
  <si>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</si>
  <si>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</si>
  <si>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</si>
  <si>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</si>
  <si>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</si>
  <si>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</si>
  <si>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</si>
  <si>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</si>
  <si>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</si>
  <si>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</si>
  <si>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</si>
  <si>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</si>
  <si>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</si>
  <si>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</si>
  <si>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</si>
  <si>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</si>
  <si>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</si>
  <si>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</si>
  <si>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</si>
  <si>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</si>
  <si>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</si>
  <si>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</si>
  <si>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</si>
  <si>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</si>
  <si>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</si>
  <si>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</si>
  <si>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</si>
  <si>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</si>
  <si>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</si>
  <si>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</si>
  <si>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</si>
  <si>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</si>
  <si>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</si>
  <si>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</si>
  <si>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</si>
  <si>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</si>
  <si>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</si>
  <si>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</si>
  <si>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</si>
  <si>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</si>
  <si>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</si>
  <si>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</si>
  <si>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</si>
  <si>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</si>
  <si>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</si>
  <si>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</si>
  <si>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</si>
  <si>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</si>
  <si>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</si>
  <si>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</si>
  <si>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</si>
  <si>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</si>
  <si>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</si>
  <si>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</si>
  <si>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</si>
  <si>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</si>
  <si>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</si>
  <si>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</si>
  <si>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</si>
  <si>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</si>
  <si>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</si>
  <si>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</si>
  <si>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</si>
  <si>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</si>
  <si>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</si>
  <si>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</si>
  <si>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</si>
  <si>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</si>
  <si>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</si>
  <si>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</si>
  <si>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</si>
  <si>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</si>
  <si>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</si>
  <si>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</si>
  <si>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</si>
  <si>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</si>
  <si>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</si>
  <si>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</si>
  <si>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</si>
  <si>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</si>
  <si>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</si>
  <si>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</si>
  <si>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</si>
  <si>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</si>
  <si>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</si>
  <si>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</si>
  <si>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</si>
  <si>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</si>
  <si>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</si>
  <si>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</si>
  <si>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</si>
  <si>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</si>
  <si>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</si>
  <si>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</si>
  <si>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</si>
  <si>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</si>
  <si>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</si>
  <si>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</si>
  <si>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</si>
  <si>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</si>
  <si>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</si>
  <si>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</si>
  <si>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</si>
  <si>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</si>
  <si>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</si>
  <si>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</si>
  <si>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</si>
  <si>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</si>
  <si>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</si>
  <si>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</si>
  <si>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</si>
  <si>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</si>
  <si>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</si>
  <si>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</si>
  <si>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</si>
  <si>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</si>
  <si>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</si>
  <si>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</si>
  <si>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</si>
  <si>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</si>
  <si>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</si>
  <si>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</si>
  <si>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</si>
  <si>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</si>
  <si>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</si>
  <si>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</si>
  <si>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</si>
  <si>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</si>
  <si>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</si>
  <si>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</si>
  <si>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</si>
  <si>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</si>
  <si>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</si>
  <si>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</si>
  <si>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</si>
  <si>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</si>
  <si>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</si>
  <si>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</si>
  <si>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</si>
  <si>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</si>
  <si>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</si>
  <si>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</si>
  <si>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</si>
  <si>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</si>
  <si>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</si>
  <si>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</si>
  <si>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</si>
  <si>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</si>
  <si>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</si>
  <si>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</si>
  <si>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</si>
  <si>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</si>
  <si>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</si>
  <si>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</si>
  <si>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</si>
  <si>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</si>
  <si>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</si>
  <si>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</si>
  <si>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</si>
  <si>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</si>
  <si>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</si>
  <si>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</si>
  <si>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</si>
  <si>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</si>
  <si>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</si>
  <si>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</si>
  <si>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</si>
  <si>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</si>
  <si>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</si>
  <si>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</si>
  <si>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</si>
  <si>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</si>
  <si>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</si>
  <si>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</si>
  <si>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</si>
  <si>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</si>
  <si>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</si>
  <si>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</si>
  <si>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</si>
  <si>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</si>
  <si>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</si>
  <si>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</si>
  <si>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</si>
  <si>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</si>
  <si>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</si>
  <si>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</si>
  <si>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</si>
  <si>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</si>
  <si>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</si>
  <si>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</si>
  <si>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</si>
  <si>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</si>
  <si>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</si>
  <si>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</si>
  <si>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</si>
  <si>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</si>
  <si>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</si>
  <si>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</si>
  <si>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</si>
  <si>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</si>
  <si>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</si>
  <si>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</si>
  <si>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</si>
  <si>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</si>
  <si>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</si>
  <si>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</si>
  <si>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</si>
  <si>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</si>
  <si>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</si>
  <si>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</si>
  <si>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</si>
  <si>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</si>
  <si>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</si>
  <si>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</si>
  <si>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</si>
  <si>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</si>
  <si>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</si>
  <si>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</si>
  <si>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Intersa Garancie 2009 Bkt</t>
  </si>
  <si>
    <t>Leje Agjensise Spedicionere 2009-2010-2011</t>
  </si>
  <si>
    <t>Interesa Konvertimi Aktive</t>
  </si>
  <si>
    <t>Sigal sha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</si>
  <si>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</si>
  <si>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</si>
  <si>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</si>
  <si>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</si>
  <si>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</si>
  <si>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Bl.energji,avull,uje</t>
  </si>
  <si>
    <t>Qira</t>
  </si>
  <si>
    <t>Mirembajtje dhe riparime</t>
  </si>
  <si>
    <t>Personel nga jashte ndermarjes</t>
  </si>
  <si>
    <t>Reklame, publicitet</t>
  </si>
  <si>
    <t>Shpz.postare e telekom.</t>
  </si>
  <si>
    <t>Te tjera tatime e taksa</t>
  </si>
  <si>
    <t>Penalitete,gjoba,demshperblime</t>
  </si>
  <si>
    <t>Blerje Kancelari dhe shtypshkrime doganore</t>
  </si>
  <si>
    <t>Blerje karburante automjetet</t>
  </si>
  <si>
    <t>Amortizime dhe provizione</t>
  </si>
  <si>
    <t>Amortizimi AQT</t>
  </si>
  <si>
    <t>Shpenzime Siguracione Agjenise doganore dhe te tj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</si>
  <si>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</si>
  <si>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</si>
  <si>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</si>
  <si>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</si>
  <si>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</si>
  <si>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</si>
  <si>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</si>
  <si>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 val="single"/>
        <sz val="12"/>
        <rFont val="Arial Narrow"/>
        <family val="2"/>
      </rPr>
      <t xml:space="preserve"> </t>
    </r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</si>
  <si>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</si>
  <si>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</si>
  <si>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</si>
  <si>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</si>
  <si>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</si>
  <si>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t xml:space="preserve">Rr.Abdyl Frashëri,Pall I Ri Jeshil 2/2- Tirana 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</si>
  <si>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</si>
  <si>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</si>
  <si>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</si>
  <si>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</si>
  <si>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</si>
  <si>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</si>
  <si>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</si>
  <si>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Te tjera kerkesa te arketueshme(Tatim Fitimi),orkaku</t>
  </si>
  <si>
    <t>Overdraft Euro-Alpha  Bank</t>
  </si>
  <si>
    <t>Pajisje zyre</t>
  </si>
  <si>
    <t>dhe te tjera</t>
  </si>
  <si>
    <t>PERSHKRIM</t>
  </si>
  <si>
    <t>Vlefta 2010</t>
  </si>
  <si>
    <t>Viti 2010</t>
  </si>
  <si>
    <t>VITI 2010</t>
  </si>
  <si>
    <t>31 Dhjetor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</si>
  <si>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</si>
  <si>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</si>
  <si>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</si>
  <si>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</si>
  <si>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</si>
  <si>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</si>
  <si>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</si>
  <si>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</si>
  <si>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</si>
  <si>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</si>
  <si>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</si>
  <si>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</si>
  <si>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</si>
  <si>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</si>
  <si>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</si>
  <si>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</si>
  <si>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</si>
  <si>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</si>
  <si>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</si>
  <si>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</si>
  <si>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</si>
  <si>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</si>
  <si>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</si>
  <si>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</si>
  <si>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</si>
  <si>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</si>
  <si>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</si>
  <si>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</si>
  <si>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</si>
  <si>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</si>
  <si>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</si>
  <si>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</si>
  <si>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</si>
  <si>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</si>
  <si>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</si>
  <si>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</si>
  <si>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</si>
  <si>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</si>
  <si>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</si>
  <si>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</si>
  <si>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</si>
  <si>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</si>
  <si>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</si>
  <si>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</si>
  <si>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</si>
  <si>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</si>
  <si>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</si>
  <si>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</si>
  <si>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</si>
  <si>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</si>
  <si>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</si>
  <si>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</si>
  <si>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</si>
  <si>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</si>
  <si>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</si>
  <si>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</si>
  <si>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</si>
  <si>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</si>
  <si>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</si>
  <si>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</si>
  <si>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</si>
  <si>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</si>
  <si>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</si>
  <si>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</si>
  <si>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</si>
  <si>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</si>
  <si>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</si>
  <si>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</si>
  <si>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</si>
  <si>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</si>
  <si>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</si>
  <si>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</si>
  <si>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</si>
  <si>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</si>
  <si>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</si>
  <si>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</si>
  <si>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</si>
  <si>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</si>
  <si>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</si>
  <si>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</si>
  <si>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</si>
  <si>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</si>
  <si>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</si>
  <si>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</si>
  <si>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</si>
  <si>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</si>
  <si>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</si>
  <si>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</si>
  <si>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</si>
  <si>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</si>
  <si>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</si>
  <si>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</si>
  <si>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</si>
  <si>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</si>
  <si>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</si>
  <si>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</si>
  <si>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</si>
  <si>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</si>
  <si>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</si>
  <si>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</si>
  <si>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</si>
  <si>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</si>
  <si>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</si>
  <si>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</si>
  <si>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</si>
  <si>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</si>
  <si>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</si>
  <si>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</si>
  <si>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</si>
  <si>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</si>
  <si>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</si>
  <si>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</si>
  <si>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</si>
  <si>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</si>
  <si>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</si>
  <si>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</si>
  <si>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</si>
  <si>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</si>
  <si>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</si>
  <si>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</si>
  <si>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</si>
  <si>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</si>
  <si>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</si>
  <si>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</si>
  <si>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</si>
  <si>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</si>
  <si>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</si>
  <si>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</si>
  <si>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</si>
  <si>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</si>
  <si>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</si>
  <si>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</si>
  <si>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</si>
  <si>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</si>
  <si>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</si>
  <si>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</si>
  <si>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</si>
  <si>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</si>
  <si>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</si>
  <si>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</si>
  <si>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</si>
  <si>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</si>
  <si>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</si>
  <si>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</si>
  <si>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</si>
  <si>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</si>
  <si>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</si>
  <si>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</si>
  <si>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</si>
  <si>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</si>
  <si>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</si>
  <si>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</si>
  <si>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</si>
  <si>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</si>
  <si>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</si>
  <si>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</si>
  <si>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</si>
  <si>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</si>
  <si>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</si>
  <si>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nga 30.001 deri  ne 66.500 leke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</si>
  <si>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</si>
  <si>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>1-Z  .</t>
    </r>
    <r>
      <rPr>
        <b/>
        <u val="single"/>
        <sz val="14"/>
        <rFont val="Arial"/>
        <family val="2"/>
      </rPr>
      <t xml:space="preserve">ARBEN  PETTO </t>
    </r>
    <r>
      <rPr>
        <sz val="14"/>
        <rFont val="Arial"/>
        <family val="2"/>
      </rPr>
      <t xml:space="preserve"> perqindja e pjesmarrjes  </t>
    </r>
    <r>
      <rPr>
        <b/>
        <u val="single"/>
        <sz val="14"/>
        <rFont val="Arial"/>
        <family val="2"/>
      </rPr>
      <t>100 %</t>
    </r>
  </si>
  <si>
    <t>Administratori I Shoqerise</t>
  </si>
  <si>
    <t xml:space="preserve">Arben Petto </t>
  </si>
  <si>
    <t>D E K L A R A T E</t>
  </si>
  <si>
    <r>
      <t xml:space="preserve">Z/    </t>
    </r>
    <r>
      <rPr>
        <u val="single"/>
        <sz val="14"/>
        <rFont val="Arial"/>
        <family val="2"/>
      </rPr>
      <t>ARBEN  PETTO</t>
    </r>
    <r>
      <rPr>
        <sz val="14"/>
        <rFont val="Arial"/>
        <family val="2"/>
      </rPr>
      <t xml:space="preserve">  dhe   aksionere  :</t>
    </r>
  </si>
  <si>
    <t>Hartuesi I pasqyrave  financiare  eshte :</t>
  </si>
  <si>
    <t>te kontabilitetit.</t>
  </si>
  <si>
    <t>kompjuterike,zyre,etj</t>
  </si>
  <si>
    <t>Arben Petto</t>
  </si>
  <si>
    <t>Albania Mobile Communications</t>
  </si>
  <si>
    <t>Te ndryshme dhe trajtime te pergjithshme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</si>
  <si>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</si>
  <si>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</si>
  <si>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</si>
  <si>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</si>
  <si>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</si>
  <si>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</si>
  <si>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</si>
  <si>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 xml:space="preserve">I N V E N T A R I  i </t>
  </si>
  <si>
    <t xml:space="preserve">Mallrave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</si>
  <si>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</si>
  <si>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</si>
  <si>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</si>
  <si>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</si>
  <si>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</si>
  <si>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</si>
  <si>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</si>
  <si>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</si>
  <si>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</si>
  <si>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r>
      <t xml:space="preserve">Telefoni  </t>
    </r>
    <r>
      <rPr>
        <b/>
        <u val="single"/>
        <sz val="12"/>
        <rFont val="Arial"/>
        <family val="2"/>
      </rPr>
      <t>2248309</t>
    </r>
    <r>
      <rPr>
        <sz val="12"/>
        <rFont val="Arial"/>
        <family val="2"/>
      </rPr>
      <t xml:space="preserve"> </t>
    </r>
  </si>
  <si>
    <r>
      <t xml:space="preserve">Adresa Vep. </t>
    </r>
    <r>
      <rPr>
        <u val="single"/>
        <sz val="14"/>
        <rFont val="Arial"/>
        <family val="2"/>
      </rPr>
      <t xml:space="preserve"> Abdyl Frasheri,Pall I Ri Jeshil 2/2</t>
    </r>
  </si>
  <si>
    <t>K 71627019 V</t>
  </si>
  <si>
    <t>23 Mars 2007</t>
  </si>
  <si>
    <t>Studime dhe projektime ne fushen e pyjeve zbatim I punimeve pyjore,</t>
  </si>
  <si>
    <t xml:space="preserve">                 PASQYRAT         FINANCIARE</t>
  </si>
  <si>
    <t xml:space="preserve">                             (Në zbatim të Standartit Kombetar të Kontabilitetit nr.2                                                                            dhe ligjit Nr. 9228, datë 29.04.2004 "Për Kontabilitetin dhe Pasqyrat Financiare")</t>
  </si>
  <si>
    <t>Ushtrimi i Mbyllur 10</t>
  </si>
  <si>
    <t>Ushtrimi i Mbyllur 09</t>
  </si>
  <si>
    <t>Ushtrimi i Mbyllur 08</t>
  </si>
  <si>
    <t>Personeli dhe personat</t>
  </si>
  <si>
    <t>KONTABILIST</t>
  </si>
  <si>
    <r>
      <t xml:space="preserve">NIPTI </t>
    </r>
    <r>
      <rPr>
        <b/>
        <i/>
        <u val="single"/>
        <sz val="10"/>
        <rFont val="Arial"/>
        <family val="2"/>
      </rPr>
      <t>K71627019V</t>
    </r>
  </si>
  <si>
    <t>Aktiviteti   Studim, projektim ne fushen e pyjeve, ndertim</t>
  </si>
  <si>
    <r>
      <t xml:space="preserve">NIPT   </t>
    </r>
    <r>
      <rPr>
        <u val="single"/>
        <sz val="14"/>
        <rFont val="Arial"/>
        <family val="2"/>
      </rPr>
      <t>K71627019V</t>
    </r>
  </si>
  <si>
    <r>
      <t xml:space="preserve">Firma  </t>
    </r>
    <r>
      <rPr>
        <u val="single"/>
        <sz val="14"/>
        <rFont val="Arial"/>
        <family val="2"/>
      </rPr>
      <t>I.S.P.P shpk</t>
    </r>
  </si>
  <si>
    <r>
      <t xml:space="preserve">NIPTI   </t>
    </r>
    <r>
      <rPr>
        <b/>
        <u val="single"/>
        <sz val="14"/>
        <rFont val="Arial"/>
        <family val="2"/>
      </rPr>
      <t>K71627019 V</t>
    </r>
  </si>
  <si>
    <t>Z/.Enea QERAMA      (ekonomist I punesuar prane shoqerise)/</t>
  </si>
  <si>
    <t>GPG</t>
  </si>
  <si>
    <t>Flabens Oil</t>
  </si>
  <si>
    <t>Uzina Mekanike Elbasan</t>
  </si>
  <si>
    <t>Atlantis</t>
  </si>
  <si>
    <t>Raiffaisen Leasing</t>
  </si>
  <si>
    <t>Kamion Iveco</t>
  </si>
  <si>
    <t>TR5921S</t>
  </si>
  <si>
    <t>3 rula te medhenj</t>
  </si>
  <si>
    <t>VITI 2011</t>
  </si>
  <si>
    <t>ndertim zbatim ,asfaltim ,import-export ne fushen e naftes etj.</t>
  </si>
  <si>
    <t>Vlefta 2011</t>
  </si>
  <si>
    <t>Ushtrimi i Mbyllur 11</t>
  </si>
  <si>
    <t xml:space="preserve"> Shoqeria  "I.S.P.P. "    sh a</t>
  </si>
  <si>
    <t>Viti 2011</t>
  </si>
  <si>
    <t>Instituti Studimeve Projektimeve Pyjore, Shoqëri  Anonime</t>
  </si>
  <si>
    <t xml:space="preserve"> Shoqeria  "I.S.P.P."    sh a</t>
  </si>
  <si>
    <t xml:space="preserve"> Shoqeria  "I.S.P.P. "    sha</t>
  </si>
  <si>
    <r>
      <t xml:space="preserve">Shoqeria </t>
    </r>
    <r>
      <rPr>
        <b/>
        <i/>
        <u val="single"/>
        <sz val="12"/>
        <rFont val="Arial"/>
        <family val="2"/>
      </rPr>
      <t>I.S.P.P sha</t>
    </r>
  </si>
  <si>
    <t xml:space="preserve"> Shoqeria  "I.S.P.P."    sh a </t>
  </si>
  <si>
    <t>Te punesuar mesatarisht per vitin 2011:</t>
  </si>
  <si>
    <r>
      <t xml:space="preserve">Shoqeria </t>
    </r>
    <r>
      <rPr>
        <b/>
        <i/>
        <u val="single"/>
        <sz val="12"/>
        <rFont val="Arial"/>
        <family val="2"/>
      </rPr>
      <t>I.S.P.P. SHA</t>
    </r>
  </si>
  <si>
    <t>SHOQERIA  I.S.P.P. sha</t>
  </si>
  <si>
    <r>
      <t xml:space="preserve">Deklaroj se Shoqeria   </t>
    </r>
    <r>
      <rPr>
        <u val="single"/>
        <sz val="14"/>
        <rFont val="Arial"/>
        <family val="2"/>
      </rPr>
      <t xml:space="preserve">I.S.P.P. sha </t>
    </r>
    <r>
      <rPr>
        <sz val="14"/>
        <rFont val="Arial"/>
        <family val="2"/>
      </rPr>
      <t xml:space="preserve"> me NIPT   </t>
    </r>
    <r>
      <rPr>
        <u val="single"/>
        <sz val="14"/>
        <rFont val="Arial"/>
        <family val="2"/>
      </rPr>
      <t>K71627019V</t>
    </r>
    <r>
      <rPr>
        <sz val="14"/>
        <rFont val="Arial"/>
        <family val="2"/>
      </rPr>
      <t xml:space="preserve">  me administrator</t>
    </r>
  </si>
  <si>
    <t>30   t</t>
  </si>
  <si>
    <t>Subjekti  I.S.P.P. SHA</t>
  </si>
  <si>
    <t>31 Dhjetor 2011</t>
  </si>
  <si>
    <t>Ndertim pune publike,sherbime</t>
  </si>
  <si>
    <t>Shpenzime per sherbime bankare+interesa+humbje kembimi-ardhura kembimi</t>
  </si>
  <si>
    <t>Tvsh e zbitshme</t>
  </si>
  <si>
    <t>Viti 2012</t>
  </si>
  <si>
    <t>VITI 2012</t>
  </si>
  <si>
    <t>Vlefta 2012</t>
  </si>
  <si>
    <t>Ushtrimi i Mbyllur 12</t>
  </si>
  <si>
    <t>31 Dhjetor 2012</t>
  </si>
  <si>
    <t>Kelti shpk</t>
  </si>
  <si>
    <t xml:space="preserve">Fadrome </t>
  </si>
  <si>
    <t>litra</t>
  </si>
  <si>
    <t>Pozicioni më 1 Janar   2010</t>
  </si>
  <si>
    <t>Pozicioni më 31 dhjetor 2012</t>
  </si>
  <si>
    <t>Me page nga 21.001 deri ne 30.000 leke</t>
  </si>
  <si>
    <t>Me page me te larte se 91.475 leke</t>
  </si>
  <si>
    <r>
      <t>Lendet e para</t>
    </r>
    <r>
      <rPr>
        <i/>
        <sz val="12"/>
        <rFont val="Times New Roman"/>
        <family val="1"/>
      </rPr>
      <t xml:space="preserve"> ,Mallra</t>
    </r>
  </si>
  <si>
    <t>VITI 2013</t>
  </si>
  <si>
    <t>Vlefta 2013</t>
  </si>
  <si>
    <t>Ushtrimi i Mbyllur 13</t>
  </si>
  <si>
    <t>Viti 2013</t>
  </si>
  <si>
    <t>Per periudhen: 01/01/2013deri:30/12/2013</t>
  </si>
  <si>
    <t>Llogaria te Ardhura &amp; Shpenzime per vitin e mbyllur me 31 Dhjetor 2013</t>
  </si>
  <si>
    <t>Periudha kontabel     01 Janar-31 Dhjetor 2013</t>
  </si>
  <si>
    <t>Pasqyra e levizjes se kapitaleve te veta  me 1 Janar 2009 - 31 Dhjetor 2013</t>
  </si>
  <si>
    <t>Periudha kontabel     01 Janar - 31 Dhjetor 2013</t>
  </si>
  <si>
    <t>Aktivet Afatgjata Materiale  me vlere fillestare   2013</t>
  </si>
  <si>
    <t>Amortizimi A.A.Materiale   2013</t>
  </si>
  <si>
    <t>Vlera Kontabel Neto e A.A.Materiale  2013</t>
  </si>
  <si>
    <t>Me page deri ne 22.000 leke</t>
  </si>
  <si>
    <t>Me page nga 66.501 deri ne 95.130 leke</t>
  </si>
  <si>
    <t xml:space="preserve">ka hartuar pasqyrat financiare te vitit 2013  komform standarteve kombetare </t>
  </si>
  <si>
    <t>Date,18/03/2014</t>
  </si>
  <si>
    <t>31,12,2013</t>
  </si>
  <si>
    <t>Te ardhura nga shitja e AQT</t>
  </si>
  <si>
    <t>Nga 01.01.2013 deri 30.12.2013</t>
  </si>
  <si>
    <t>30.12.2013</t>
  </si>
  <si>
    <t>Bilanci i Celjes     01.01.2013</t>
  </si>
  <si>
    <t>Bilanci i Mbylljes 31.12.2013</t>
  </si>
  <si>
    <t>Hyrjet  2013</t>
  </si>
  <si>
    <t>Daljet  2013</t>
  </si>
  <si>
    <t>Shteti - Tatime dhe Taksa tvsh tatm fitim</t>
  </si>
  <si>
    <t xml:space="preserve">Te tjera kerkesa ( tatim fitim) </t>
  </si>
  <si>
    <t>Pozicioni më 31 dhjetor 2013</t>
  </si>
  <si>
    <t>Te Tjera Detyrime,trust</t>
  </si>
  <si>
    <t>Solar</t>
  </si>
  <si>
    <t>Al-Beton shpk</t>
  </si>
  <si>
    <t>Alfa shpk</t>
  </si>
  <si>
    <t>Bestra shpk</t>
  </si>
  <si>
    <t>Bajrami N</t>
  </si>
  <si>
    <t xml:space="preserve">City Park </t>
  </si>
  <si>
    <t>Komuna Topoje</t>
  </si>
  <si>
    <t>DSHP Gjirokaster</t>
  </si>
  <si>
    <t>Komuna shirgjan</t>
  </si>
  <si>
    <t>DSHP Korce</t>
  </si>
  <si>
    <t>Florina shpk</t>
  </si>
  <si>
    <t>Bi-Investments</t>
  </si>
  <si>
    <t>PZHBN</t>
  </si>
  <si>
    <t>Elva 2001</t>
  </si>
  <si>
    <t>Salillari shpk</t>
  </si>
  <si>
    <t>GFA Asfalti</t>
  </si>
  <si>
    <t>Ndermarja e Pasurise Publike Lushnje</t>
  </si>
  <si>
    <t>Ndermarja Rruge Trotuare Ndricimi Berat</t>
  </si>
  <si>
    <t>Ndermarja e Sherbimit Publik Elbasan</t>
  </si>
  <si>
    <t>Qato 01 shpk</t>
  </si>
  <si>
    <t>Sinani &amp;Lici shpk</t>
  </si>
  <si>
    <t>1.000.000.00</t>
  </si>
  <si>
    <t>Totila shpk</t>
  </si>
  <si>
    <t>Sha Ujsjelles Kanalizime Lushnje</t>
  </si>
  <si>
    <t>Alpine Bau GMBH</t>
  </si>
  <si>
    <t>Kliente</t>
  </si>
  <si>
    <t>Bilanci   Kontabel  me  30 Dhjetor 2013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</si>
</sst>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  <numFmt numFmtId="184" formatCode="#,##0.0_);\(#,##0.0\)"/>
    <numFmt numFmtId="185" formatCode="dd/mm/yyyy"/>
    <numFmt numFmtId="186" formatCode="dd/\ mm/\ yyyy"/>
    <numFmt numFmtId="187" formatCode="#,##0.00000000"/>
    <numFmt numFmtId="188" formatCode="#,##0.000000000_);\(#,##0.000000000\)"/>
    <numFmt numFmtId="189" formatCode="_(* #,##0.000_);_(* \(#,##0.000\);_(* &quot;-&quot;??_);_(@_)"/>
    <numFmt numFmtId="190" formatCode="_(* #,##0.0_);_(* \(#,##0.0\);_(* &quot;-&quot;??_);_(@_)"/>
    <numFmt numFmtId="191" formatCode="0.00_);\(0.00\)"/>
    <numFmt numFmtId="192" formatCode="0.0"/>
    <numFmt numFmtId="193" formatCode="#,##0.00_ ;\-#,##0.00\ "/>
    <numFmt numFmtId="194" formatCode="0.000000000"/>
    <numFmt numFmtId="195" formatCode="0.00000000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9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color indexed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6"/>
      <name val="Times New Roman"/>
      <family val="1"/>
    </font>
    <font>
      <b/>
      <sz val="8"/>
      <name val="Times New Roman"/>
      <family val="1"/>
    </font>
    <font>
      <b/>
      <sz val="20"/>
      <color indexed="8"/>
      <name val="Arial Narrow"/>
      <family val="2"/>
    </font>
    <font>
      <b/>
      <i/>
      <sz val="13.45"/>
      <color indexed="8"/>
      <name val="Times New Roman"/>
      <family val="0"/>
    </font>
    <font>
      <b/>
      <i/>
      <sz val="10.7"/>
      <color indexed="8"/>
      <name val="Times New Roman"/>
      <family val="0"/>
    </font>
    <font>
      <b/>
      <i/>
      <sz val="12.6"/>
      <color indexed="8"/>
      <name val="Arial"/>
      <family val="0"/>
    </font>
    <font>
      <b/>
      <i/>
      <sz val="8.9"/>
      <color indexed="8"/>
      <name val="Arial"/>
      <family val="0"/>
    </font>
    <font>
      <b/>
      <i/>
      <sz val="9.95"/>
      <color indexed="8"/>
      <name val="Arial"/>
      <family val="0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9.8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>
        <color indexed="63"/>
      </right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77" fillId="3" borderId="0" applyNumberFormat="0" applyBorder="0" applyAlignment="0" applyProtection="0"/>
    <xf numFmtId="0" fontId="78" fillId="20" borderId="1" applyNumberFormat="0" applyAlignment="0" applyProtection="0"/>
    <xf numFmtId="0" fontId="7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22" borderId="0" applyNumberFormat="0" applyBorder="0" applyAlignment="0" applyProtection="0"/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0" fillId="23" borderId="7" applyNumberFormat="0" applyFont="0" applyAlignment="0" applyProtection="0"/>
    <xf numFmtId="0" fontId="88" fillId="20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0" xfId="42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40" fontId="1" fillId="0" borderId="10" xfId="0" applyNumberFormat="1" applyFont="1" applyBorder="1" applyAlignment="1">
      <alignment/>
    </xf>
    <xf numFmtId="43" fontId="3" fillId="0" borderId="11" xfId="42" applyFont="1" applyBorder="1" applyAlignment="1">
      <alignment horizontal="center"/>
    </xf>
    <xf numFmtId="40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7" fillId="0" borderId="0" xfId="0" applyNumberFormat="1" applyFont="1" applyFill="1" applyAlignment="1">
      <alignment/>
    </xf>
    <xf numFmtId="43" fontId="1" fillId="0" borderId="0" xfId="42" applyFont="1" applyFill="1" applyAlignment="1">
      <alignment/>
    </xf>
    <xf numFmtId="0" fontId="1" fillId="0" borderId="0" xfId="0" applyFont="1" applyFill="1" applyAlignment="1">
      <alignment/>
    </xf>
    <xf numFmtId="4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9" fontId="7" fillId="0" borderId="0" xfId="0" applyNumberFormat="1" applyFont="1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182" fontId="13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/>
    </xf>
    <xf numFmtId="182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8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43" fontId="1" fillId="0" borderId="0" xfId="0" applyNumberFormat="1" applyFont="1" applyFill="1" applyAlignment="1">
      <alignment/>
    </xf>
    <xf numFmtId="0" fontId="12" fillId="0" borderId="0" xfId="61" applyNumberFormat="1" applyFill="1" applyBorder="1" applyAlignment="1" applyProtection="1">
      <alignment/>
      <protection/>
    </xf>
    <xf numFmtId="0" fontId="12" fillId="0" borderId="0" xfId="59" applyNumberFormat="1" applyFill="1" applyBorder="1" applyAlignment="1" applyProtection="1">
      <alignment/>
      <protection/>
    </xf>
    <xf numFmtId="0" fontId="12" fillId="3" borderId="0" xfId="61" applyNumberFormat="1" applyFill="1" applyBorder="1" applyAlignment="1" applyProtection="1">
      <alignment/>
      <protection/>
    </xf>
    <xf numFmtId="43" fontId="3" fillId="0" borderId="11" xfId="42" applyFont="1" applyBorder="1" applyAlignment="1">
      <alignment horizontal="center" wrapText="1"/>
    </xf>
    <xf numFmtId="4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 horizontal="center"/>
    </xf>
    <xf numFmtId="2" fontId="12" fillId="0" borderId="0" xfId="61" applyNumberForma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0" fontId="11" fillId="0" borderId="0" xfId="0" applyFont="1" applyFill="1" applyAlignment="1">
      <alignment/>
    </xf>
    <xf numFmtId="0" fontId="27" fillId="0" borderId="13" xfId="0" applyFont="1" applyBorder="1" applyAlignment="1">
      <alignment/>
    </xf>
    <xf numFmtId="0" fontId="26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182" fontId="12" fillId="0" borderId="0" xfId="61" applyNumberFormat="1" applyFill="1" applyBorder="1" applyAlignment="1" applyProtection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43" fontId="33" fillId="0" borderId="0" xfId="42" applyFont="1" applyFill="1" applyAlignment="1">
      <alignment/>
    </xf>
    <xf numFmtId="43" fontId="35" fillId="0" borderId="0" xfId="42" applyFont="1" applyFill="1" applyAlignment="1">
      <alignment horizontal="right" vertical="center"/>
    </xf>
    <xf numFmtId="43" fontId="33" fillId="0" borderId="0" xfId="0" applyNumberFormat="1" applyFont="1" applyFill="1" applyAlignment="1">
      <alignment/>
    </xf>
    <xf numFmtId="43" fontId="33" fillId="0" borderId="21" xfId="42" applyFont="1" applyFill="1" applyBorder="1" applyAlignment="1">
      <alignment/>
    </xf>
    <xf numFmtId="182" fontId="35" fillId="0" borderId="0" xfId="0" applyNumberFormat="1" applyFont="1" applyFill="1" applyAlignment="1">
      <alignment horizontal="right" vertical="center"/>
    </xf>
    <xf numFmtId="40" fontId="3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43" fontId="33" fillId="0" borderId="10" xfId="42" applyFont="1" applyFill="1" applyBorder="1" applyAlignment="1">
      <alignment/>
    </xf>
    <xf numFmtId="43" fontId="15" fillId="0" borderId="0" xfId="42" applyFont="1" applyFill="1" applyAlignment="1">
      <alignment/>
    </xf>
    <xf numFmtId="39" fontId="33" fillId="0" borderId="10" xfId="42" applyNumberFormat="1" applyFont="1" applyFill="1" applyBorder="1" applyAlignment="1">
      <alignment/>
    </xf>
    <xf numFmtId="43" fontId="33" fillId="0" borderId="0" xfId="0" applyNumberFormat="1" applyFont="1" applyAlignment="1">
      <alignment/>
    </xf>
    <xf numFmtId="43" fontId="33" fillId="0" borderId="0" xfId="42" applyFont="1" applyFill="1" applyBorder="1" applyAlignment="1">
      <alignment/>
    </xf>
    <xf numFmtId="0" fontId="15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43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/>
    </xf>
    <xf numFmtId="39" fontId="33" fillId="0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/>
    </xf>
    <xf numFmtId="39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 wrapText="1"/>
    </xf>
    <xf numFmtId="39" fontId="33" fillId="0" borderId="0" xfId="0" applyNumberFormat="1" applyFont="1" applyFill="1" applyBorder="1" applyAlignment="1">
      <alignment horizontal="left" wrapText="1"/>
    </xf>
    <xf numFmtId="39" fontId="15" fillId="0" borderId="11" xfId="0" applyNumberFormat="1" applyFont="1" applyFill="1" applyBorder="1" applyAlignment="1">
      <alignment horizontal="center" wrapText="1"/>
    </xf>
    <xf numFmtId="39" fontId="33" fillId="0" borderId="0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left" vertical="justify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 horizontal="left" wrapText="1"/>
    </xf>
    <xf numFmtId="4" fontId="33" fillId="0" borderId="0" xfId="0" applyNumberFormat="1" applyFont="1" applyFill="1" applyBorder="1" applyAlignment="1">
      <alignment horizontal="right" wrapText="1"/>
    </xf>
    <xf numFmtId="39" fontId="33" fillId="0" borderId="19" xfId="0" applyNumberFormat="1" applyFont="1" applyFill="1" applyBorder="1" applyAlignment="1">
      <alignment horizontal="right" wrapText="1"/>
    </xf>
    <xf numFmtId="4" fontId="33" fillId="0" borderId="0" xfId="0" applyNumberFormat="1" applyFont="1" applyBorder="1" applyAlignment="1">
      <alignment horizontal="right" wrapText="1"/>
    </xf>
    <xf numFmtId="39" fontId="3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9" fontId="33" fillId="0" borderId="19" xfId="0" applyNumberFormat="1" applyFont="1" applyFill="1" applyBorder="1" applyAlignment="1">
      <alignment/>
    </xf>
    <xf numFmtId="43" fontId="33" fillId="0" borderId="0" xfId="42" applyFont="1" applyFill="1" applyBorder="1" applyAlignment="1">
      <alignment horizontal="center" wrapText="1"/>
    </xf>
    <xf numFmtId="43" fontId="33" fillId="0" borderId="0" xfId="0" applyNumberFormat="1" applyFont="1" applyFill="1" applyBorder="1" applyAlignment="1">
      <alignment/>
    </xf>
    <xf numFmtId="39" fontId="33" fillId="0" borderId="21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wrapText="1"/>
      <protection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25" xfId="0" applyNumberFormat="1" applyFont="1" applyFill="1" applyBorder="1" applyAlignment="1" applyProtection="1">
      <alignment/>
      <protection/>
    </xf>
    <xf numFmtId="0" fontId="24" fillId="0" borderId="26" xfId="0" applyNumberFormat="1" applyFont="1" applyFill="1" applyBorder="1" applyAlignment="1" applyProtection="1">
      <alignment wrapText="1"/>
      <protection/>
    </xf>
    <xf numFmtId="3" fontId="1" fillId="0" borderId="27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3" fontId="3" fillId="0" borderId="29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6" fontId="3" fillId="0" borderId="30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" fillId="0" borderId="0" xfId="63" applyFont="1" applyBorder="1" applyAlignment="1">
      <alignment horizontal="left"/>
      <protection/>
    </xf>
    <xf numFmtId="0" fontId="38" fillId="0" borderId="0" xfId="0" applyFont="1" applyAlignment="1">
      <alignment/>
    </xf>
    <xf numFmtId="0" fontId="1" fillId="0" borderId="0" xfId="63" applyFont="1" applyBorder="1">
      <alignment/>
      <protection/>
    </xf>
    <xf numFmtId="196" fontId="3" fillId="0" borderId="0" xfId="62" applyNumberFormat="1" applyFont="1" applyFill="1" applyBorder="1" applyAlignment="1">
      <alignment horizontal="center" vertical="center"/>
      <protection/>
    </xf>
    <xf numFmtId="196" fontId="3" fillId="0" borderId="31" xfId="62" applyNumberFormat="1" applyFont="1" applyFill="1" applyBorder="1" applyAlignment="1">
      <alignment horizontal="center" vertical="center"/>
      <protection/>
    </xf>
    <xf numFmtId="0" fontId="39" fillId="0" borderId="32" xfId="0" applyNumberFormat="1" applyFont="1" applyFill="1" applyBorder="1" applyAlignment="1" applyProtection="1">
      <alignment/>
      <protection/>
    </xf>
    <xf numFmtId="196" fontId="1" fillId="0" borderId="0" xfId="62" applyNumberFormat="1" applyFont="1" applyFill="1" applyBorder="1" applyAlignment="1" applyProtection="1">
      <alignment horizontal="center" vertical="center"/>
      <protection/>
    </xf>
    <xf numFmtId="196" fontId="3" fillId="0" borderId="33" xfId="63" applyNumberFormat="1" applyFont="1" applyFill="1" applyBorder="1" applyAlignment="1" applyProtection="1">
      <alignment horizontal="center" vertical="center"/>
      <protection locked="0"/>
    </xf>
    <xf numFmtId="196" fontId="3" fillId="0" borderId="34" xfId="63" applyNumberFormat="1" applyFont="1" applyFill="1" applyBorder="1" applyAlignment="1" applyProtection="1">
      <alignment horizontal="center" vertical="center"/>
      <protection locked="0"/>
    </xf>
    <xf numFmtId="196" fontId="3" fillId="0" borderId="34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3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30" xfId="62" applyNumberFormat="1" applyFont="1" applyFill="1" applyBorder="1" applyAlignment="1" applyProtection="1">
      <alignment horizontal="center" vertical="center"/>
      <protection locked="0"/>
    </xf>
    <xf numFmtId="196" fontId="3" fillId="0" borderId="0" xfId="62" applyNumberFormat="1" applyFont="1" applyFill="1" applyBorder="1" applyAlignment="1" applyProtection="1">
      <alignment horizontal="center" vertical="center"/>
      <protection locked="0"/>
    </xf>
    <xf numFmtId="0" fontId="1" fillId="0" borderId="0" xfId="63" applyFont="1" applyBorder="1" applyAlignment="1">
      <alignment horizontal="center" vertical="center"/>
      <protection/>
    </xf>
    <xf numFmtId="0" fontId="39" fillId="0" borderId="36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/>
      <protection/>
    </xf>
    <xf numFmtId="0" fontId="39" fillId="0" borderId="38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/>
      <protection/>
    </xf>
    <xf numFmtId="0" fontId="39" fillId="0" borderId="40" xfId="0" applyNumberFormat="1" applyFont="1" applyFill="1" applyBorder="1" applyAlignment="1" applyProtection="1">
      <alignment/>
      <protection/>
    </xf>
    <xf numFmtId="196" fontId="3" fillId="0" borderId="0" xfId="63" applyNumberFormat="1" applyFont="1" applyFill="1" applyBorder="1" applyAlignment="1" applyProtection="1">
      <alignment horizontal="center" vertical="center"/>
      <protection locked="0"/>
    </xf>
    <xf numFmtId="196" fontId="3" fillId="0" borderId="0" xfId="63" applyNumberFormat="1" applyFont="1" applyFill="1" applyBorder="1" applyAlignment="1" applyProtection="1">
      <alignment horizontal="center" vertical="center" wrapText="1"/>
      <protection locked="0"/>
    </xf>
    <xf numFmtId="196" fontId="40" fillId="0" borderId="0" xfId="62" applyNumberFormat="1" applyFont="1" applyBorder="1" applyAlignment="1" applyProtection="1">
      <alignment horizontal="center" vertical="center" wrapText="1"/>
      <protection locked="0"/>
    </xf>
    <xf numFmtId="196" fontId="3" fillId="0" borderId="41" xfId="62" applyNumberFormat="1" applyFont="1" applyFill="1" applyBorder="1" applyAlignment="1">
      <alignment horizontal="center" vertical="center"/>
      <protection/>
    </xf>
    <xf numFmtId="196" fontId="3" fillId="0" borderId="42" xfId="62" applyNumberFormat="1" applyFont="1" applyFill="1" applyBorder="1" applyAlignment="1">
      <alignment horizontal="center" vertical="center"/>
      <protection/>
    </xf>
    <xf numFmtId="196" fontId="3" fillId="0" borderId="43" xfId="63" applyNumberFormat="1" applyFont="1" applyFill="1" applyBorder="1" applyAlignment="1" applyProtection="1">
      <alignment horizontal="center" vertical="center"/>
      <protection locked="0"/>
    </xf>
    <xf numFmtId="196" fontId="3" fillId="0" borderId="44" xfId="63" applyNumberFormat="1" applyFont="1" applyFill="1" applyBorder="1" applyAlignment="1" applyProtection="1">
      <alignment horizontal="center" vertical="center"/>
      <protection locked="0"/>
    </xf>
    <xf numFmtId="196" fontId="3" fillId="0" borderId="4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44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46" xfId="62" applyNumberFormat="1" applyFont="1" applyFill="1" applyBorder="1" applyAlignment="1" applyProtection="1">
      <alignment horizontal="center" vertical="center"/>
      <protection locked="0"/>
    </xf>
    <xf numFmtId="196" fontId="3" fillId="0" borderId="46" xfId="62" applyNumberFormat="1" applyFont="1" applyBorder="1" applyAlignment="1" applyProtection="1">
      <alignment horizontal="center" vertical="center" wrapText="1"/>
      <protection locked="0"/>
    </xf>
    <xf numFmtId="196" fontId="3" fillId="0" borderId="47" xfId="62" applyNumberFormat="1" applyFont="1" applyFill="1" applyBorder="1" applyAlignment="1">
      <alignment horizontal="center" vertical="center"/>
      <protection/>
    </xf>
    <xf numFmtId="196" fontId="3" fillId="0" borderId="48" xfId="62" applyNumberFormat="1" applyFont="1" applyFill="1" applyBorder="1" applyAlignment="1">
      <alignment horizontal="center" vertical="center"/>
      <protection/>
    </xf>
    <xf numFmtId="196" fontId="3" fillId="0" borderId="49" xfId="63" applyNumberFormat="1" applyFont="1" applyFill="1" applyBorder="1" applyAlignment="1" applyProtection="1">
      <alignment horizontal="center" vertical="center"/>
      <protection locked="0"/>
    </xf>
    <xf numFmtId="196" fontId="3" fillId="0" borderId="50" xfId="63" applyNumberFormat="1" applyFont="1" applyFill="1" applyBorder="1" applyAlignment="1" applyProtection="1">
      <alignment horizontal="center" vertical="center"/>
      <protection locked="0"/>
    </xf>
    <xf numFmtId="196" fontId="3" fillId="0" borderId="51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0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2" xfId="62" applyNumberFormat="1" applyFont="1" applyFill="1" applyBorder="1" applyAlignment="1" applyProtection="1">
      <alignment horizontal="center" vertical="center"/>
      <protection locked="0"/>
    </xf>
    <xf numFmtId="196" fontId="3" fillId="0" borderId="52" xfId="62" applyNumberFormat="1" applyFont="1" applyBorder="1" applyAlignment="1" applyProtection="1">
      <alignment horizontal="center" vertical="center" wrapText="1"/>
      <protection locked="0"/>
    </xf>
    <xf numFmtId="196" fontId="1" fillId="0" borderId="0" xfId="62" applyNumberFormat="1" applyFont="1" applyFill="1" applyBorder="1" applyAlignment="1" applyProtection="1">
      <alignment horizontal="center" vertical="center"/>
      <protection locked="0"/>
    </xf>
    <xf numFmtId="196" fontId="3" fillId="0" borderId="53" xfId="63" applyNumberFormat="1" applyFont="1" applyFill="1" applyBorder="1" applyAlignment="1" applyProtection="1">
      <alignment horizontal="center" vertical="center"/>
      <protection locked="0"/>
    </xf>
    <xf numFmtId="196" fontId="3" fillId="0" borderId="54" xfId="63" applyNumberFormat="1" applyFont="1" applyFill="1" applyBorder="1" applyAlignment="1" applyProtection="1">
      <alignment horizontal="center" vertical="center"/>
      <protection locked="0"/>
    </xf>
    <xf numFmtId="196" fontId="3" fillId="0" borderId="55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4" xfId="63" applyNumberFormat="1" applyFont="1" applyFill="1" applyBorder="1" applyAlignment="1" applyProtection="1">
      <alignment horizontal="center" vertical="center" wrapText="1"/>
      <protection locked="0"/>
    </xf>
    <xf numFmtId="196" fontId="3" fillId="0" borderId="56" xfId="62" applyNumberFormat="1" applyFont="1" applyFill="1" applyBorder="1" applyAlignment="1" applyProtection="1">
      <alignment horizontal="center" vertical="center"/>
      <protection locked="0"/>
    </xf>
    <xf numFmtId="196" fontId="3" fillId="0" borderId="56" xfId="62" applyNumberFormat="1" applyFont="1" applyBorder="1" applyAlignment="1" applyProtection="1">
      <alignment horizontal="center" vertical="center"/>
      <protection locked="0"/>
    </xf>
    <xf numFmtId="196" fontId="3" fillId="0" borderId="0" xfId="62" applyNumberFormat="1" applyFont="1" applyFill="1" applyBorder="1" applyAlignment="1">
      <alignment horizontal="left"/>
      <protection/>
    </xf>
    <xf numFmtId="196" fontId="3" fillId="0" borderId="57" xfId="62" applyNumberFormat="1" applyFont="1" applyFill="1" applyBorder="1" applyAlignment="1">
      <alignment horizontal="left"/>
      <protection/>
    </xf>
    <xf numFmtId="196" fontId="3" fillId="0" borderId="58" xfId="62" applyNumberFormat="1" applyFont="1" applyFill="1" applyBorder="1" applyAlignment="1">
      <alignment horizontal="left"/>
      <protection/>
    </xf>
    <xf numFmtId="196" fontId="41" fillId="0" borderId="0" xfId="62" applyNumberFormat="1" applyFont="1" applyFill="1" applyBorder="1" applyAlignment="1" quotePrefix="1">
      <alignment horizontal="center"/>
      <protection/>
    </xf>
    <xf numFmtId="196" fontId="3" fillId="0" borderId="59" xfId="62" applyNumberFormat="1" applyFont="1" applyFill="1" applyBorder="1" applyAlignment="1" applyProtection="1">
      <alignment horizontal="right"/>
      <protection/>
    </xf>
    <xf numFmtId="196" fontId="3" fillId="0" borderId="0" xfId="62" applyNumberFormat="1" applyFont="1" applyFill="1" applyBorder="1" applyAlignment="1" applyProtection="1">
      <alignment horizontal="right"/>
      <protection/>
    </xf>
    <xf numFmtId="0" fontId="1" fillId="0" borderId="0" xfId="63" applyFont="1" applyFill="1" applyBorder="1">
      <alignment/>
      <protection/>
    </xf>
    <xf numFmtId="196" fontId="3" fillId="0" borderId="0" xfId="62" applyNumberFormat="1" applyFont="1" applyFill="1" applyBorder="1" applyAlignment="1">
      <alignment horizontal="left" vertical="top"/>
      <protection/>
    </xf>
    <xf numFmtId="196" fontId="3" fillId="0" borderId="49" xfId="62" applyNumberFormat="1" applyFont="1" applyFill="1" applyBorder="1" applyAlignment="1">
      <alignment horizontal="left" vertical="top"/>
      <protection/>
    </xf>
    <xf numFmtId="196" fontId="3" fillId="0" borderId="60" xfId="62" applyNumberFormat="1" applyFont="1" applyFill="1" applyBorder="1" applyAlignment="1">
      <alignment horizontal="left" vertical="top"/>
      <protection/>
    </xf>
    <xf numFmtId="196" fontId="3" fillId="0" borderId="52" xfId="62" applyNumberFormat="1" applyFont="1" applyFill="1" applyBorder="1" applyAlignment="1" applyProtection="1">
      <alignment horizontal="right"/>
      <protection/>
    </xf>
    <xf numFmtId="196" fontId="3" fillId="0" borderId="61" xfId="62" applyNumberFormat="1" applyFont="1" applyFill="1" applyBorder="1" applyAlignment="1">
      <alignment horizontal="left" vertical="top"/>
      <protection/>
    </xf>
    <xf numFmtId="196" fontId="3" fillId="0" borderId="62" xfId="62" applyNumberFormat="1" applyFont="1" applyFill="1" applyBorder="1" applyAlignment="1">
      <alignment horizontal="left" vertical="top"/>
      <protection/>
    </xf>
    <xf numFmtId="196" fontId="3" fillId="0" borderId="63" xfId="62" applyNumberFormat="1" applyFont="1" applyFill="1" applyBorder="1" applyAlignment="1" applyProtection="1">
      <alignment horizontal="right"/>
      <protection/>
    </xf>
    <xf numFmtId="196" fontId="1" fillId="0" borderId="0" xfId="0" applyNumberFormat="1" applyFont="1" applyFill="1" applyBorder="1" applyAlignment="1" applyProtection="1">
      <alignment/>
      <protection/>
    </xf>
    <xf numFmtId="196" fontId="3" fillId="0" borderId="64" xfId="62" applyNumberFormat="1" applyFont="1" applyFill="1" applyBorder="1" applyAlignment="1">
      <alignment horizontal="left" vertical="top"/>
      <protection/>
    </xf>
    <xf numFmtId="196" fontId="3" fillId="0" borderId="65" xfId="62" applyNumberFormat="1" applyFont="1" applyFill="1" applyBorder="1" applyAlignment="1">
      <alignment horizontal="left" vertical="top"/>
      <protection/>
    </xf>
    <xf numFmtId="196" fontId="1" fillId="0" borderId="64" xfId="62" applyNumberFormat="1" applyFont="1" applyFill="1" applyBorder="1" applyAlignment="1" applyProtection="1">
      <alignment/>
      <protection locked="0"/>
    </xf>
    <xf numFmtId="196" fontId="1" fillId="0" borderId="66" xfId="62" applyNumberFormat="1" applyFont="1" applyFill="1" applyBorder="1" applyAlignment="1" applyProtection="1">
      <alignment/>
      <protection locked="0"/>
    </xf>
    <xf numFmtId="196" fontId="1" fillId="0" borderId="67" xfId="62" applyNumberFormat="1" applyFont="1" applyFill="1" applyBorder="1" applyAlignment="1" applyProtection="1">
      <alignment wrapText="1"/>
      <protection locked="0"/>
    </xf>
    <xf numFmtId="196" fontId="1" fillId="0" borderId="68" xfId="62" applyNumberFormat="1" applyFont="1" applyFill="1" applyBorder="1" applyAlignment="1" applyProtection="1">
      <alignment/>
      <protection locked="0"/>
    </xf>
    <xf numFmtId="196" fontId="1" fillId="0" borderId="69" xfId="62" applyNumberFormat="1" applyFont="1" applyFill="1" applyBorder="1" applyAlignment="1" applyProtection="1">
      <alignment/>
      <protection locked="0"/>
    </xf>
    <xf numFmtId="196" fontId="1" fillId="0" borderId="70" xfId="62" applyNumberFormat="1" applyFont="1" applyFill="1" applyBorder="1" applyAlignment="1" applyProtection="1">
      <alignment horizontal="right"/>
      <protection/>
    </xf>
    <xf numFmtId="196" fontId="1" fillId="0" borderId="0" xfId="62" applyNumberFormat="1" applyFont="1" applyFill="1" applyBorder="1" applyAlignment="1" applyProtection="1">
      <alignment horizontal="right"/>
      <protection/>
    </xf>
    <xf numFmtId="196" fontId="3" fillId="0" borderId="49" xfId="62" applyNumberFormat="1" applyFont="1" applyFill="1" applyBorder="1" applyAlignment="1">
      <alignment horizontal="left"/>
      <protection/>
    </xf>
    <xf numFmtId="196" fontId="3" fillId="0" borderId="60" xfId="62" applyNumberFormat="1" applyFont="1" applyFill="1" applyBorder="1" applyAlignment="1">
      <alignment horizontal="left"/>
      <protection/>
    </xf>
    <xf numFmtId="196" fontId="1" fillId="0" borderId="49" xfId="62" applyNumberFormat="1" applyFont="1" applyFill="1" applyBorder="1" applyAlignment="1" applyProtection="1">
      <alignment/>
      <protection locked="0"/>
    </xf>
    <xf numFmtId="196" fontId="1" fillId="0" borderId="50" xfId="62" applyNumberFormat="1" applyFont="1" applyFill="1" applyBorder="1" applyAlignment="1" applyProtection="1">
      <alignment/>
      <protection locked="0"/>
    </xf>
    <xf numFmtId="196" fontId="1" fillId="0" borderId="51" xfId="62" applyNumberFormat="1" applyFont="1" applyFill="1" applyBorder="1" applyAlignment="1" applyProtection="1">
      <alignment wrapText="1"/>
      <protection locked="0"/>
    </xf>
    <xf numFmtId="196" fontId="1" fillId="0" borderId="71" xfId="62" applyNumberFormat="1" applyFont="1" applyFill="1" applyBorder="1" applyAlignment="1" applyProtection="1">
      <alignment/>
      <protection locked="0"/>
    </xf>
    <xf numFmtId="196" fontId="1" fillId="0" borderId="72" xfId="62" applyNumberFormat="1" applyFont="1" applyFill="1" applyBorder="1" applyAlignment="1" applyProtection="1">
      <alignment/>
      <protection locked="0"/>
    </xf>
    <xf numFmtId="196" fontId="1" fillId="0" borderId="52" xfId="62" applyNumberFormat="1" applyFont="1" applyFill="1" applyBorder="1" applyAlignment="1" applyProtection="1">
      <alignment horizontal="right"/>
      <protection/>
    </xf>
    <xf numFmtId="3" fontId="1" fillId="0" borderId="72" xfId="62" applyNumberFormat="1" applyFont="1" applyFill="1" applyBorder="1" applyAlignment="1" applyProtection="1">
      <alignment/>
      <protection locked="0"/>
    </xf>
    <xf numFmtId="196" fontId="3" fillId="0" borderId="47" xfId="62" applyNumberFormat="1" applyFont="1" applyFill="1" applyBorder="1" applyAlignment="1">
      <alignment horizontal="left"/>
      <protection/>
    </xf>
    <xf numFmtId="196" fontId="3" fillId="0" borderId="48" xfId="62" applyNumberFormat="1" applyFont="1" applyFill="1" applyBorder="1" applyAlignment="1">
      <alignment horizontal="left"/>
      <protection/>
    </xf>
    <xf numFmtId="196" fontId="1" fillId="0" borderId="36" xfId="62" applyNumberFormat="1" applyFont="1" applyFill="1" applyBorder="1" applyAlignment="1" applyProtection="1">
      <alignment/>
      <protection locked="0"/>
    </xf>
    <xf numFmtId="196" fontId="1" fillId="0" borderId="39" xfId="62" applyNumberFormat="1" applyFont="1" applyFill="1" applyBorder="1" applyAlignment="1" applyProtection="1">
      <alignment/>
      <protection locked="0"/>
    </xf>
    <xf numFmtId="196" fontId="1" fillId="0" borderId="73" xfId="62" applyNumberFormat="1" applyFont="1" applyFill="1" applyBorder="1" applyAlignment="1" applyProtection="1">
      <alignment wrapText="1"/>
      <protection locked="0"/>
    </xf>
    <xf numFmtId="196" fontId="1" fillId="0" borderId="74" xfId="62" applyNumberFormat="1" applyFont="1" applyFill="1" applyBorder="1" applyAlignment="1" applyProtection="1">
      <alignment/>
      <protection locked="0"/>
    </xf>
    <xf numFmtId="196" fontId="1" fillId="0" borderId="75" xfId="62" applyNumberFormat="1" applyFont="1" applyFill="1" applyBorder="1" applyAlignment="1" applyProtection="1">
      <alignment/>
      <protection locked="0"/>
    </xf>
    <xf numFmtId="196" fontId="1" fillId="0" borderId="63" xfId="62" applyNumberFormat="1" applyFont="1" applyFill="1" applyBorder="1" applyAlignment="1" applyProtection="1">
      <alignment horizontal="right"/>
      <protection/>
    </xf>
    <xf numFmtId="196" fontId="3" fillId="0" borderId="31" xfId="62" applyNumberFormat="1" applyFont="1" applyFill="1" applyBorder="1" applyAlignment="1">
      <alignment horizontal="left"/>
      <protection/>
    </xf>
    <xf numFmtId="196" fontId="3" fillId="0" borderId="32" xfId="62" applyNumberFormat="1" applyFont="1" applyFill="1" applyBorder="1" applyAlignment="1">
      <alignment horizontal="left"/>
      <protection/>
    </xf>
    <xf numFmtId="196" fontId="41" fillId="0" borderId="0" xfId="62" applyNumberFormat="1" applyFont="1" applyFill="1" applyBorder="1" applyAlignment="1">
      <alignment horizontal="center"/>
      <protection/>
    </xf>
    <xf numFmtId="196" fontId="3" fillId="0" borderId="76" xfId="62" applyNumberFormat="1" applyFont="1" applyFill="1" applyBorder="1" applyAlignment="1" applyProtection="1">
      <alignment/>
      <protection/>
    </xf>
    <xf numFmtId="196" fontId="3" fillId="0" borderId="77" xfId="62" applyNumberFormat="1" applyFont="1" applyFill="1" applyBorder="1" applyAlignment="1" applyProtection="1">
      <alignment/>
      <protection/>
    </xf>
    <xf numFmtId="196" fontId="3" fillId="0" borderId="78" xfId="62" applyNumberFormat="1" applyFont="1" applyFill="1" applyBorder="1" applyAlignment="1" applyProtection="1">
      <alignment/>
      <protection/>
    </xf>
    <xf numFmtId="196" fontId="3" fillId="0" borderId="79" xfId="62" applyNumberFormat="1" applyFont="1" applyFill="1" applyBorder="1" applyAlignment="1" applyProtection="1">
      <alignment/>
      <protection/>
    </xf>
    <xf numFmtId="196" fontId="3" fillId="0" borderId="47" xfId="62" applyNumberFormat="1" applyFont="1" applyFill="1" applyBorder="1" applyAlignment="1">
      <alignment horizontal="left" vertical="top"/>
      <protection/>
    </xf>
    <xf numFmtId="196" fontId="3" fillId="0" borderId="80" xfId="62" applyNumberFormat="1" applyFont="1" applyFill="1" applyBorder="1" applyAlignment="1" applyProtection="1">
      <alignment/>
      <protection/>
    </xf>
    <xf numFmtId="196" fontId="3" fillId="0" borderId="50" xfId="62" applyNumberFormat="1" applyFont="1" applyFill="1" applyBorder="1" applyAlignment="1" applyProtection="1">
      <alignment/>
      <protection/>
    </xf>
    <xf numFmtId="196" fontId="3" fillId="0" borderId="71" xfId="62" applyNumberFormat="1" applyFont="1" applyFill="1" applyBorder="1" applyAlignment="1" applyProtection="1">
      <alignment/>
      <protection/>
    </xf>
    <xf numFmtId="196" fontId="3" fillId="0" borderId="72" xfId="62" applyNumberFormat="1" applyFont="1" applyFill="1" applyBorder="1" applyAlignment="1" applyProtection="1">
      <alignment/>
      <protection/>
    </xf>
    <xf numFmtId="196" fontId="3" fillId="0" borderId="0" xfId="62" applyNumberFormat="1" applyFont="1" applyFill="1" applyBorder="1" applyAlignment="1" applyProtection="1">
      <alignment horizontal="left"/>
      <protection locked="0"/>
    </xf>
    <xf numFmtId="196" fontId="3" fillId="0" borderId="37" xfId="62" applyNumberFormat="1" applyFont="1" applyFill="1" applyBorder="1" applyAlignment="1">
      <alignment horizontal="left"/>
      <protection/>
    </xf>
    <xf numFmtId="196" fontId="1" fillId="0" borderId="0" xfId="62" applyNumberFormat="1" applyFont="1" applyFill="1" applyBorder="1">
      <alignment/>
      <protection/>
    </xf>
    <xf numFmtId="196" fontId="3" fillId="0" borderId="81" xfId="62" applyNumberFormat="1" applyFont="1" applyFill="1" applyBorder="1" applyAlignment="1" applyProtection="1">
      <alignment/>
      <protection/>
    </xf>
    <xf numFmtId="196" fontId="3" fillId="0" borderId="82" xfId="62" applyNumberFormat="1" applyFont="1" applyFill="1" applyBorder="1" applyAlignment="1" applyProtection="1">
      <alignment/>
      <protection/>
    </xf>
    <xf numFmtId="196" fontId="3" fillId="0" borderId="83" xfId="62" applyNumberFormat="1" applyFont="1" applyFill="1" applyBorder="1" applyAlignment="1" applyProtection="1">
      <alignment/>
      <protection/>
    </xf>
    <xf numFmtId="196" fontId="3" fillId="0" borderId="84" xfId="62" applyNumberFormat="1" applyFont="1" applyFill="1" applyBorder="1" applyAlignment="1" applyProtection="1">
      <alignment/>
      <protection/>
    </xf>
    <xf numFmtId="0" fontId="1" fillId="0" borderId="0" xfId="63" applyFont="1" applyFill="1" applyBorder="1" applyAlignment="1">
      <alignment horizontal="left"/>
      <protection/>
    </xf>
    <xf numFmtId="196" fontId="1" fillId="0" borderId="0" xfId="63" applyNumberFormat="1" applyFont="1" applyFill="1" applyBorder="1">
      <alignment/>
      <protection/>
    </xf>
    <xf numFmtId="196" fontId="1" fillId="0" borderId="0" xfId="63" applyNumberFormat="1" applyFont="1" applyBorder="1">
      <alignment/>
      <protection/>
    </xf>
    <xf numFmtId="0" fontId="24" fillId="0" borderId="75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196" fontId="3" fillId="0" borderId="85" xfId="62" applyNumberFormat="1" applyFont="1" applyFill="1" applyBorder="1" applyAlignment="1" applyProtection="1">
      <alignment/>
      <protection locked="0"/>
    </xf>
    <xf numFmtId="196" fontId="3" fillId="0" borderId="85" xfId="62" applyNumberFormat="1" applyFont="1" applyFill="1" applyBorder="1" applyAlignment="1" applyProtection="1">
      <alignment wrapText="1"/>
      <protection locked="0"/>
    </xf>
    <xf numFmtId="196" fontId="3" fillId="0" borderId="86" xfId="62" applyNumberFormat="1" applyFont="1" applyFill="1" applyBorder="1" applyAlignment="1" applyProtection="1">
      <alignment/>
      <protection locked="0"/>
    </xf>
    <xf numFmtId="197" fontId="3" fillId="0" borderId="87" xfId="45" applyNumberFormat="1" applyFont="1" applyFill="1" applyBorder="1" applyAlignment="1" applyProtection="1">
      <alignment/>
      <protection locked="0"/>
    </xf>
    <xf numFmtId="196" fontId="3" fillId="0" borderId="87" xfId="62" applyNumberFormat="1" applyFont="1" applyFill="1" applyBorder="1" applyAlignment="1" applyProtection="1">
      <alignment wrapText="1"/>
      <protection locked="0"/>
    </xf>
    <xf numFmtId="196" fontId="3" fillId="0" borderId="87" xfId="62" applyNumberFormat="1" applyFont="1" applyFill="1" applyBorder="1" applyAlignment="1" applyProtection="1">
      <alignment/>
      <protection locked="0"/>
    </xf>
    <xf numFmtId="196" fontId="3" fillId="0" borderId="88" xfId="62" applyNumberFormat="1" applyFont="1" applyFill="1" applyBorder="1" applyAlignment="1" applyProtection="1">
      <alignment/>
      <protection locked="0"/>
    </xf>
    <xf numFmtId="196" fontId="3" fillId="0" borderId="89" xfId="62" applyNumberFormat="1" applyFont="1" applyFill="1" applyBorder="1" applyAlignment="1" applyProtection="1">
      <alignment/>
      <protection locked="0"/>
    </xf>
    <xf numFmtId="196" fontId="3" fillId="0" borderId="90" xfId="62" applyNumberFormat="1" applyFont="1" applyFill="1" applyBorder="1" applyAlignment="1" applyProtection="1">
      <alignment/>
      <protection locked="0"/>
    </xf>
    <xf numFmtId="196" fontId="3" fillId="0" borderId="90" xfId="62" applyNumberFormat="1" applyFont="1" applyFill="1" applyBorder="1" applyAlignment="1" applyProtection="1">
      <alignment wrapText="1"/>
      <protection locked="0"/>
    </xf>
    <xf numFmtId="196" fontId="3" fillId="0" borderId="91" xfId="62" applyNumberFormat="1" applyFont="1" applyFill="1" applyBorder="1" applyAlignment="1" applyProtection="1">
      <alignment/>
      <protection locked="0"/>
    </xf>
    <xf numFmtId="196" fontId="3" fillId="0" borderId="92" xfId="62" applyNumberFormat="1" applyFont="1" applyFill="1" applyBorder="1" applyAlignment="1" applyProtection="1">
      <alignment/>
      <protection locked="0"/>
    </xf>
    <xf numFmtId="196" fontId="3" fillId="0" borderId="93" xfId="62" applyNumberFormat="1" applyFont="1" applyFill="1" applyBorder="1" applyAlignment="1" applyProtection="1">
      <alignment/>
      <protection locked="0"/>
    </xf>
    <xf numFmtId="196" fontId="3" fillId="0" borderId="63" xfId="62" applyNumberFormat="1" applyFont="1" applyFill="1" applyBorder="1" applyAlignment="1" applyProtection="1">
      <alignment wrapText="1"/>
      <protection locked="0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4" fontId="0" fillId="0" borderId="9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3" fontId="0" fillId="0" borderId="12" xfId="44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3" xfId="44" applyNumberFormat="1" applyBorder="1" applyAlignment="1">
      <alignment/>
    </xf>
    <xf numFmtId="0" fontId="0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3" fontId="47" fillId="0" borderId="27" xfId="44" applyNumberFormat="1" applyFont="1" applyBorder="1" applyAlignment="1">
      <alignment vertical="center"/>
    </xf>
    <xf numFmtId="3" fontId="47" fillId="0" borderId="95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2" fontId="15" fillId="0" borderId="0" xfId="60" applyNumberFormat="1" applyFont="1" applyBorder="1" applyAlignment="1">
      <alignment wrapText="1"/>
      <protection/>
    </xf>
    <xf numFmtId="0" fontId="42" fillId="0" borderId="23" xfId="60" applyFont="1" applyBorder="1" applyAlignment="1">
      <alignment horizontal="center"/>
      <protection/>
    </xf>
    <xf numFmtId="2" fontId="50" fillId="0" borderId="13" xfId="60" applyNumberFormat="1" applyFont="1" applyBorder="1" applyAlignment="1">
      <alignment horizontal="center" wrapText="1"/>
      <protection/>
    </xf>
    <xf numFmtId="0" fontId="51" fillId="0" borderId="96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/>
      <protection/>
    </xf>
    <xf numFmtId="0" fontId="42" fillId="0" borderId="97" xfId="60" applyFont="1" applyBorder="1" applyAlignment="1">
      <alignment horizontal="left" wrapText="1"/>
      <protection/>
    </xf>
    <xf numFmtId="0" fontId="0" fillId="0" borderId="98" xfId="60" applyFont="1" applyBorder="1" applyAlignment="1">
      <alignment horizontal="center"/>
      <protection/>
    </xf>
    <xf numFmtId="0" fontId="0" fillId="0" borderId="99" xfId="60" applyFont="1" applyBorder="1" applyAlignment="1">
      <alignment horizontal="left" wrapText="1"/>
      <protection/>
    </xf>
    <xf numFmtId="0" fontId="42" fillId="0" borderId="12" xfId="60" applyFont="1" applyBorder="1" applyAlignment="1">
      <alignment horizontal="left"/>
      <protection/>
    </xf>
    <xf numFmtId="0" fontId="42" fillId="0" borderId="100" xfId="60" applyFont="1" applyBorder="1" applyAlignment="1">
      <alignment horizontal="left"/>
      <protection/>
    </xf>
    <xf numFmtId="0" fontId="0" fillId="0" borderId="101" xfId="60" applyFont="1" applyBorder="1" applyAlignment="1">
      <alignment horizontal="center"/>
      <protection/>
    </xf>
    <xf numFmtId="0" fontId="47" fillId="0" borderId="99" xfId="60" applyFont="1" applyBorder="1" applyAlignment="1">
      <alignment horizontal="left" wrapText="1"/>
      <protection/>
    </xf>
    <xf numFmtId="0" fontId="42" fillId="0" borderId="102" xfId="60" applyFont="1" applyBorder="1" applyAlignment="1">
      <alignment horizontal="center"/>
      <protection/>
    </xf>
    <xf numFmtId="0" fontId="42" fillId="0" borderId="99" xfId="60" applyFont="1" applyBorder="1" applyAlignment="1">
      <alignment horizontal="left" wrapText="1"/>
      <protection/>
    </xf>
    <xf numFmtId="0" fontId="0" fillId="0" borderId="94" xfId="60" applyFont="1" applyBorder="1" applyAlignment="1">
      <alignment horizontal="left" wrapText="1"/>
      <protection/>
    </xf>
    <xf numFmtId="0" fontId="0" fillId="0" borderId="103" xfId="60" applyFont="1" applyBorder="1" applyAlignment="1">
      <alignment horizontal="center"/>
      <protection/>
    </xf>
    <xf numFmtId="0" fontId="0" fillId="0" borderId="20" xfId="60" applyFont="1" applyBorder="1" applyAlignment="1">
      <alignment horizontal="left" wrapText="1"/>
      <protection/>
    </xf>
    <xf numFmtId="0" fontId="42" fillId="0" borderId="102" xfId="60" applyFont="1" applyBorder="1" applyAlignment="1">
      <alignment horizontal="center" vertical="center"/>
      <protection/>
    </xf>
    <xf numFmtId="0" fontId="42" fillId="0" borderId="101" xfId="60" applyFont="1" applyBorder="1" applyAlignment="1">
      <alignment horizontal="center" vertical="center"/>
      <protection/>
    </xf>
    <xf numFmtId="0" fontId="0" fillId="0" borderId="99" xfId="60" applyFont="1" applyBorder="1" applyAlignment="1">
      <alignment horizontal="center" wrapText="1"/>
      <protection/>
    </xf>
    <xf numFmtId="0" fontId="42" fillId="0" borderId="98" xfId="60" applyFont="1" applyBorder="1" applyAlignment="1">
      <alignment horizontal="center"/>
      <protection/>
    </xf>
    <xf numFmtId="0" fontId="44" fillId="0" borderId="12" xfId="60" applyFont="1" applyBorder="1" applyAlignment="1">
      <alignment horizontal="left" wrapText="1"/>
      <protection/>
    </xf>
    <xf numFmtId="0" fontId="4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2" fillId="0" borderId="101" xfId="60" applyFont="1" applyBorder="1" applyAlignment="1">
      <alignment horizontal="center"/>
      <protection/>
    </xf>
    <xf numFmtId="0" fontId="42" fillId="0" borderId="12" xfId="60" applyFont="1" applyBorder="1" applyAlignment="1">
      <alignment horizontal="left" wrapText="1"/>
      <protection/>
    </xf>
    <xf numFmtId="0" fontId="42" fillId="0" borderId="103" xfId="60" applyFont="1" applyBorder="1" applyAlignment="1">
      <alignment horizontal="center"/>
      <protection/>
    </xf>
    <xf numFmtId="0" fontId="42" fillId="0" borderId="94" xfId="60" applyFont="1" applyBorder="1" applyAlignment="1">
      <alignment horizontal="left" wrapText="1"/>
      <protection/>
    </xf>
    <xf numFmtId="0" fontId="42" fillId="0" borderId="104" xfId="60" applyFont="1" applyBorder="1" applyAlignment="1">
      <alignment horizontal="center"/>
      <protection/>
    </xf>
    <xf numFmtId="0" fontId="42" fillId="0" borderId="105" xfId="60" applyFont="1" applyBorder="1" applyAlignment="1">
      <alignment horizontal="left" wrapText="1"/>
      <protection/>
    </xf>
    <xf numFmtId="0" fontId="42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left" wrapText="1"/>
      <protection/>
    </xf>
    <xf numFmtId="0" fontId="42" fillId="0" borderId="0" xfId="60" applyFont="1" applyBorder="1" applyAlignment="1">
      <alignment horizontal="left"/>
      <protection/>
    </xf>
    <xf numFmtId="0" fontId="2" fillId="0" borderId="102" xfId="60" applyFont="1" applyBorder="1" applyAlignment="1">
      <alignment horizontal="left"/>
      <protection/>
    </xf>
    <xf numFmtId="0" fontId="2" fillId="0" borderId="12" xfId="64" applyFont="1" applyFill="1" applyBorder="1" applyAlignment="1">
      <alignment horizontal="left" wrapText="1"/>
      <protection/>
    </xf>
    <xf numFmtId="0" fontId="51" fillId="0" borderId="12" xfId="60" applyFont="1" applyBorder="1" applyAlignment="1">
      <alignment horizontal="left"/>
      <protection/>
    </xf>
    <xf numFmtId="0" fontId="2" fillId="0" borderId="12" xfId="60" applyFont="1" applyBorder="1" applyAlignment="1">
      <alignment horizontal="left" wrapText="1"/>
      <protection/>
    </xf>
    <xf numFmtId="0" fontId="51" fillId="0" borderId="102" xfId="60" applyFont="1" applyBorder="1" applyAlignment="1">
      <alignment horizontal="center"/>
      <protection/>
    </xf>
    <xf numFmtId="0" fontId="51" fillId="0" borderId="12" xfId="60" applyFont="1" applyBorder="1" applyAlignment="1">
      <alignment horizontal="left" wrapText="1"/>
      <protection/>
    </xf>
    <xf numFmtId="0" fontId="2" fillId="0" borderId="102" xfId="60" applyFont="1" applyBorder="1" applyAlignment="1">
      <alignment horizontal="center"/>
      <protection/>
    </xf>
    <xf numFmtId="0" fontId="2" fillId="0" borderId="12" xfId="60" applyFont="1" applyBorder="1" applyAlignment="1">
      <alignment horizontal="left"/>
      <protection/>
    </xf>
    <xf numFmtId="0" fontId="2" fillId="0" borderId="102" xfId="60" applyFont="1" applyFill="1" applyBorder="1" applyAlignment="1">
      <alignment horizontal="center"/>
      <protection/>
    </xf>
    <xf numFmtId="0" fontId="2" fillId="0" borderId="47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102" xfId="60" applyFont="1" applyBorder="1">
      <alignment/>
      <protection/>
    </xf>
    <xf numFmtId="0" fontId="2" fillId="0" borderId="102" xfId="0" applyFont="1" applyBorder="1" applyAlignment="1">
      <alignment/>
    </xf>
    <xf numFmtId="0" fontId="2" fillId="0" borderId="102" xfId="60" applyFont="1" applyBorder="1">
      <alignment/>
      <protection/>
    </xf>
    <xf numFmtId="0" fontId="2" fillId="0" borderId="104" xfId="60" applyFont="1" applyBorder="1">
      <alignment/>
      <protection/>
    </xf>
    <xf numFmtId="0" fontId="51" fillId="0" borderId="105" xfId="60" applyFont="1" applyBorder="1" applyAlignment="1">
      <alignment horizontal="left"/>
      <protection/>
    </xf>
    <xf numFmtId="0" fontId="2" fillId="0" borderId="105" xfId="60" applyFont="1" applyBorder="1" applyAlignment="1">
      <alignment horizontal="left"/>
      <protection/>
    </xf>
    <xf numFmtId="0" fontId="51" fillId="0" borderId="0" xfId="60" applyFont="1" applyBorder="1" applyAlignment="1">
      <alignment horizontal="left"/>
      <protection/>
    </xf>
    <xf numFmtId="0" fontId="48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0" fillId="0" borderId="12" xfId="0" applyFont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12" xfId="0" applyFill="1" applyBorder="1" applyAlignment="1">
      <alignment/>
    </xf>
    <xf numFmtId="3" fontId="42" fillId="0" borderId="12" xfId="0" applyNumberFormat="1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99" xfId="0" applyBorder="1" applyAlignment="1">
      <alignment/>
    </xf>
    <xf numFmtId="0" fontId="0" fillId="0" borderId="94" xfId="0" applyBorder="1" applyAlignment="1">
      <alignment/>
    </xf>
    <xf numFmtId="0" fontId="0" fillId="0" borderId="23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99" xfId="0" applyFont="1" applyBorder="1" applyAlignment="1">
      <alignment/>
    </xf>
    <xf numFmtId="0" fontId="53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2" xfId="44" applyNumberFormat="1" applyBorder="1" applyAlignment="1">
      <alignment/>
    </xf>
    <xf numFmtId="43" fontId="42" fillId="0" borderId="100" xfId="60" applyNumberFormat="1" applyFont="1" applyBorder="1" applyAlignment="1">
      <alignment horizontal="left"/>
      <protection/>
    </xf>
    <xf numFmtId="43" fontId="42" fillId="0" borderId="12" xfId="60" applyNumberFormat="1" applyFont="1" applyBorder="1" applyAlignment="1">
      <alignment horizontal="left"/>
      <protection/>
    </xf>
    <xf numFmtId="41" fontId="42" fillId="0" borderId="97" xfId="60" applyNumberFormat="1" applyFont="1" applyBorder="1" applyAlignment="1">
      <alignment horizontal="left"/>
      <protection/>
    </xf>
    <xf numFmtId="41" fontId="42" fillId="0" borderId="12" xfId="60" applyNumberFormat="1" applyFont="1" applyBorder="1" applyAlignment="1">
      <alignment horizontal="left"/>
      <protection/>
    </xf>
    <xf numFmtId="41" fontId="42" fillId="0" borderId="100" xfId="60" applyNumberFormat="1" applyFont="1" applyBorder="1" applyAlignment="1">
      <alignment horizontal="left"/>
      <protection/>
    </xf>
    <xf numFmtId="41" fontId="42" fillId="0" borderId="105" xfId="60" applyNumberFormat="1" applyFont="1" applyBorder="1" applyAlignment="1">
      <alignment horizontal="left"/>
      <protection/>
    </xf>
    <xf numFmtId="41" fontId="51" fillId="0" borderId="12" xfId="60" applyNumberFormat="1" applyFont="1" applyBorder="1" applyAlignment="1">
      <alignment horizontal="left"/>
      <protection/>
    </xf>
    <xf numFmtId="0" fontId="51" fillId="0" borderId="103" xfId="60" applyFont="1" applyBorder="1" applyAlignment="1">
      <alignment horizontal="center"/>
      <protection/>
    </xf>
    <xf numFmtId="0" fontId="51" fillId="0" borderId="94" xfId="60" applyFont="1" applyBorder="1" applyAlignment="1">
      <alignment horizontal="left" wrapText="1"/>
      <protection/>
    </xf>
    <xf numFmtId="0" fontId="2" fillId="0" borderId="26" xfId="60" applyFont="1" applyBorder="1">
      <alignment/>
      <protection/>
    </xf>
    <xf numFmtId="2" fontId="50" fillId="0" borderId="27" xfId="60" applyNumberFormat="1" applyFont="1" applyBorder="1" applyAlignment="1">
      <alignment horizontal="center" wrapText="1"/>
      <protection/>
    </xf>
    <xf numFmtId="0" fontId="51" fillId="0" borderId="27" xfId="60" applyFont="1" applyBorder="1" applyAlignment="1">
      <alignment horizontal="center" vertical="center" wrapText="1"/>
      <protection/>
    </xf>
    <xf numFmtId="0" fontId="51" fillId="0" borderId="95" xfId="60" applyFont="1" applyBorder="1" applyAlignment="1">
      <alignment horizontal="center" vertical="center" wrapText="1"/>
      <protection/>
    </xf>
    <xf numFmtId="41" fontId="51" fillId="0" borderId="94" xfId="60" applyNumberFormat="1" applyFont="1" applyBorder="1" applyAlignment="1">
      <alignment horizontal="left"/>
      <protection/>
    </xf>
    <xf numFmtId="41" fontId="51" fillId="0" borderId="12" xfId="60" applyNumberFormat="1" applyFont="1" applyBorder="1" applyAlignment="1">
      <alignment horizontal="left" wrapText="1"/>
      <protection/>
    </xf>
    <xf numFmtId="41" fontId="0" fillId="0" borderId="0" xfId="0" applyNumberFormat="1" applyAlignment="1">
      <alignment/>
    </xf>
    <xf numFmtId="41" fontId="51" fillId="0" borderId="94" xfId="60" applyNumberFormat="1" applyFont="1" applyBorder="1" applyAlignment="1">
      <alignment horizontal="center" vertical="center" wrapText="1"/>
      <protection/>
    </xf>
    <xf numFmtId="41" fontId="51" fillId="0" borderId="106" xfId="60" applyNumberFormat="1" applyFont="1" applyBorder="1" applyAlignment="1">
      <alignment horizontal="center" vertical="center" wrapText="1"/>
      <protection/>
    </xf>
    <xf numFmtId="41" fontId="51" fillId="0" borderId="100" xfId="60" applyNumberFormat="1" applyFont="1" applyBorder="1" applyAlignment="1">
      <alignment horizontal="left"/>
      <protection/>
    </xf>
    <xf numFmtId="41" fontId="51" fillId="0" borderId="105" xfId="60" applyNumberFormat="1" applyFont="1" applyBorder="1" applyAlignment="1">
      <alignment horizontal="left"/>
      <protection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9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85" xfId="0" applyBorder="1" applyAlignment="1">
      <alignment/>
    </xf>
    <xf numFmtId="0" fontId="60" fillId="0" borderId="0" xfId="0" applyFont="1" applyAlignment="1">
      <alignment horizontal="center"/>
    </xf>
    <xf numFmtId="0" fontId="53" fillId="0" borderId="0" xfId="0" applyFont="1" applyAlignment="1">
      <alignment/>
    </xf>
    <xf numFmtId="0" fontId="56" fillId="0" borderId="19" xfId="0" applyFont="1" applyBorder="1" applyAlignment="1">
      <alignment/>
    </xf>
    <xf numFmtId="0" fontId="45" fillId="0" borderId="0" xfId="0" applyFont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46" fillId="0" borderId="95" xfId="0" applyFont="1" applyBorder="1" applyAlignment="1">
      <alignment horizontal="right" vertical="top" wrapText="1"/>
    </xf>
    <xf numFmtId="0" fontId="59" fillId="0" borderId="94" xfId="0" applyFont="1" applyBorder="1" applyAlignment="1">
      <alignment horizontal="center" wrapText="1"/>
    </xf>
    <xf numFmtId="41" fontId="59" fillId="0" borderId="94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41" fontId="59" fillId="0" borderId="12" xfId="0" applyNumberFormat="1" applyFont="1" applyBorder="1" applyAlignment="1">
      <alignment horizontal="right" wrapText="1"/>
    </xf>
    <xf numFmtId="0" fontId="59" fillId="0" borderId="23" xfId="0" applyFont="1" applyBorder="1" applyAlignment="1">
      <alignment horizontal="center" wrapText="1"/>
    </xf>
    <xf numFmtId="0" fontId="46" fillId="0" borderId="23" xfId="0" applyFont="1" applyBorder="1" applyAlignment="1">
      <alignment horizontal="center" vertical="top" wrapText="1"/>
    </xf>
    <xf numFmtId="41" fontId="59" fillId="0" borderId="23" xfId="0" applyNumberFormat="1" applyFont="1" applyBorder="1" applyAlignment="1">
      <alignment horizontal="right" wrapText="1"/>
    </xf>
    <xf numFmtId="0" fontId="48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wrapText="1"/>
    </xf>
    <xf numFmtId="0" fontId="48" fillId="0" borderId="27" xfId="0" applyFont="1" applyBorder="1" applyAlignment="1">
      <alignment horizontal="center" vertical="top" wrapText="1"/>
    </xf>
    <xf numFmtId="41" fontId="63" fillId="0" borderId="95" xfId="0" applyNumberFormat="1" applyFont="1" applyBorder="1" applyAlignment="1">
      <alignment horizontal="right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41" fontId="0" fillId="0" borderId="112" xfId="0" applyNumberFormat="1" applyBorder="1" applyAlignment="1">
      <alignment/>
    </xf>
    <xf numFmtId="41" fontId="0" fillId="0" borderId="113" xfId="0" applyNumberFormat="1" applyBorder="1" applyAlignment="1">
      <alignment/>
    </xf>
    <xf numFmtId="41" fontId="0" fillId="0" borderId="114" xfId="0" applyNumberFormat="1" applyBorder="1" applyAlignment="1">
      <alignment/>
    </xf>
    <xf numFmtId="0" fontId="67" fillId="0" borderId="0" xfId="59" applyFont="1" applyAlignment="1">
      <alignment horizontal="center" vertical="center"/>
      <protection/>
    </xf>
    <xf numFmtId="0" fontId="68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vertical="center"/>
      <protection/>
    </xf>
    <xf numFmtId="0" fontId="19" fillId="0" borderId="0" xfId="59" applyFont="1" applyAlignment="1">
      <alignment horizontal="center" vertical="center"/>
      <protection/>
    </xf>
    <xf numFmtId="0" fontId="13" fillId="0" borderId="0" xfId="59" applyFont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182" fontId="21" fillId="0" borderId="0" xfId="59" applyNumberFormat="1" applyFont="1" applyAlignment="1">
      <alignment horizontal="right" vertical="center"/>
      <protection/>
    </xf>
    <xf numFmtId="182" fontId="13" fillId="0" borderId="0" xfId="59" applyNumberFormat="1" applyFont="1" applyAlignment="1">
      <alignment horizontal="right" vertical="center"/>
      <protection/>
    </xf>
    <xf numFmtId="182" fontId="13" fillId="22" borderId="0" xfId="59" applyNumberFormat="1" applyFont="1" applyFill="1" applyAlignment="1">
      <alignment horizontal="right" vertical="center"/>
      <protection/>
    </xf>
    <xf numFmtId="0" fontId="20" fillId="0" borderId="0" xfId="59" applyFont="1" applyAlignment="1">
      <alignment vertical="center"/>
      <protection/>
    </xf>
    <xf numFmtId="0" fontId="69" fillId="0" borderId="0" xfId="61" applyFont="1" applyAlignment="1">
      <alignment horizontal="left" vertical="center"/>
      <protection/>
    </xf>
    <xf numFmtId="0" fontId="20" fillId="0" borderId="0" xfId="61" applyFont="1" applyAlignment="1">
      <alignment horizontal="left" vertical="center"/>
      <protection/>
    </xf>
    <xf numFmtId="0" fontId="70" fillId="0" borderId="0" xfId="61" applyFont="1" applyAlignment="1">
      <alignment horizontal="left" vertical="center"/>
      <protection/>
    </xf>
    <xf numFmtId="0" fontId="19" fillId="3" borderId="0" xfId="61" applyFont="1" applyFill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182" fontId="21" fillId="0" borderId="0" xfId="61" applyNumberFormat="1" applyFont="1" applyAlignment="1">
      <alignment horizontal="right" vertical="center"/>
      <protection/>
    </xf>
    <xf numFmtId="182" fontId="13" fillId="0" borderId="0" xfId="61" applyNumberFormat="1" applyFont="1" applyAlignment="1">
      <alignment horizontal="right" vertical="center"/>
      <protection/>
    </xf>
    <xf numFmtId="0" fontId="21" fillId="3" borderId="0" xfId="61" applyFont="1" applyFill="1" applyAlignment="1">
      <alignment vertical="center"/>
      <protection/>
    </xf>
    <xf numFmtId="182" fontId="13" fillId="3" borderId="0" xfId="61" applyNumberFormat="1" applyFont="1" applyFill="1" applyAlignment="1">
      <alignment horizontal="right" vertical="center"/>
      <protection/>
    </xf>
    <xf numFmtId="0" fontId="71" fillId="0" borderId="0" xfId="61" applyFont="1" applyAlignment="1">
      <alignment vertical="center"/>
      <protection/>
    </xf>
    <xf numFmtId="182" fontId="12" fillId="0" borderId="0" xfId="59" applyNumberFormat="1" applyFill="1" applyBorder="1" applyAlignment="1" applyProtection="1">
      <alignment/>
      <protection/>
    </xf>
    <xf numFmtId="2" fontId="12" fillId="0" borderId="0" xfId="59" applyNumberFormat="1" applyFill="1" applyBorder="1" applyAlignment="1" applyProtection="1">
      <alignment/>
      <protection/>
    </xf>
    <xf numFmtId="195" fontId="12" fillId="0" borderId="0" xfId="59" applyNumberFormat="1" applyFill="1" applyBorder="1" applyAlignment="1" applyProtection="1">
      <alignment/>
      <protection/>
    </xf>
    <xf numFmtId="41" fontId="33" fillId="0" borderId="0" xfId="0" applyNumberFormat="1" applyFont="1" applyFill="1" applyAlignment="1">
      <alignment/>
    </xf>
    <xf numFmtId="41" fontId="15" fillId="0" borderId="11" xfId="0" applyNumberFormat="1" applyFont="1" applyFill="1" applyBorder="1" applyAlignment="1">
      <alignment horizontal="center"/>
    </xf>
    <xf numFmtId="41" fontId="33" fillId="0" borderId="0" xfId="42" applyNumberFormat="1" applyFont="1" applyFill="1" applyAlignment="1">
      <alignment/>
    </xf>
    <xf numFmtId="41" fontId="35" fillId="0" borderId="0" xfId="42" applyNumberFormat="1" applyFont="1" applyFill="1" applyAlignment="1">
      <alignment horizontal="right" vertical="center"/>
    </xf>
    <xf numFmtId="41" fontId="33" fillId="0" borderId="21" xfId="42" applyNumberFormat="1" applyFont="1" applyFill="1" applyBorder="1" applyAlignment="1">
      <alignment/>
    </xf>
    <xf numFmtId="41" fontId="35" fillId="0" borderId="0" xfId="0" applyNumberFormat="1" applyFont="1" applyFill="1" applyAlignment="1">
      <alignment horizontal="right" vertical="center"/>
    </xf>
    <xf numFmtId="41" fontId="33" fillId="0" borderId="10" xfId="42" applyNumberFormat="1" applyFont="1" applyFill="1" applyBorder="1" applyAlignment="1">
      <alignment/>
    </xf>
    <xf numFmtId="41" fontId="15" fillId="0" borderId="0" xfId="42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33" fillId="0" borderId="0" xfId="0" applyNumberFormat="1" applyFont="1" applyFill="1" applyBorder="1" applyAlignment="1">
      <alignment/>
    </xf>
    <xf numFmtId="41" fontId="1" fillId="0" borderId="0" xfId="42" applyNumberFormat="1" applyFont="1" applyAlignment="1">
      <alignment/>
    </xf>
    <xf numFmtId="41" fontId="3" fillId="0" borderId="11" xfId="42" applyNumberFormat="1" applyFont="1" applyBorder="1" applyAlignment="1">
      <alignment horizontal="center"/>
    </xf>
    <xf numFmtId="41" fontId="1" fillId="0" borderId="0" xfId="42" applyNumberFormat="1" applyFont="1" applyFill="1" applyAlignment="1">
      <alignment/>
    </xf>
    <xf numFmtId="41" fontId="1" fillId="0" borderId="10" xfId="42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41" fontId="1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3" fontId="42" fillId="0" borderId="12" xfId="60" applyNumberFormat="1" applyFont="1" applyBorder="1" applyAlignment="1">
      <alignment horizontal="right"/>
      <protection/>
    </xf>
    <xf numFmtId="43" fontId="0" fillId="0" borderId="0" xfId="0" applyNumberFormat="1" applyFont="1" applyAlignment="1">
      <alignment/>
    </xf>
    <xf numFmtId="3" fontId="12" fillId="0" borderId="0" xfId="59" applyNumberFormat="1" applyFill="1" applyBorder="1" applyAlignment="1" applyProtection="1">
      <alignment/>
      <protection/>
    </xf>
    <xf numFmtId="0" fontId="42" fillId="0" borderId="100" xfId="60" applyFont="1" applyBorder="1" applyAlignment="1">
      <alignment horizontal="right"/>
      <protection/>
    </xf>
    <xf numFmtId="39" fontId="8" fillId="0" borderId="11" xfId="0" applyNumberFormat="1" applyFont="1" applyFill="1" applyBorder="1" applyAlignment="1">
      <alignment horizontal="center"/>
    </xf>
    <xf numFmtId="39" fontId="8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9" fontId="7" fillId="0" borderId="0" xfId="0" applyNumberFormat="1" applyFont="1" applyFill="1" applyAlignment="1">
      <alignment horizontal="right"/>
    </xf>
    <xf numFmtId="39" fontId="7" fillId="0" borderId="0" xfId="0" applyNumberFormat="1" applyFont="1" applyFill="1" applyBorder="1" applyAlignment="1">
      <alignment horizontal="left"/>
    </xf>
    <xf numFmtId="39" fontId="10" fillId="0" borderId="0" xfId="0" applyNumberFormat="1" applyFont="1" applyFill="1" applyAlignment="1">
      <alignment horizontal="center"/>
    </xf>
    <xf numFmtId="39" fontId="10" fillId="0" borderId="10" xfId="0" applyNumberFormat="1" applyFont="1" applyFill="1" applyBorder="1" applyAlignment="1">
      <alignment/>
    </xf>
    <xf numFmtId="39" fontId="10" fillId="0" borderId="0" xfId="0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43" fontId="1" fillId="0" borderId="0" xfId="42" applyFont="1" applyFill="1" applyAlignment="1">
      <alignment horizontal="right"/>
    </xf>
    <xf numFmtId="39" fontId="7" fillId="0" borderId="21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/>
    </xf>
    <xf numFmtId="0" fontId="72" fillId="0" borderId="0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0" fontId="1" fillId="0" borderId="94" xfId="0" applyNumberFormat="1" applyFont="1" applyFill="1" applyBorder="1" applyAlignment="1" applyProtection="1">
      <alignment wrapText="1"/>
      <protection/>
    </xf>
    <xf numFmtId="3" fontId="1" fillId="0" borderId="94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3" fontId="1" fillId="0" borderId="115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116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 horizontal="center"/>
    </xf>
    <xf numFmtId="43" fontId="7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43" fontId="10" fillId="0" borderId="10" xfId="42" applyFont="1" applyFill="1" applyBorder="1" applyAlignment="1">
      <alignment/>
    </xf>
    <xf numFmtId="43" fontId="7" fillId="0" borderId="10" xfId="42" applyFont="1" applyFill="1" applyBorder="1" applyAlignment="1">
      <alignment/>
    </xf>
    <xf numFmtId="43" fontId="1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2" fontId="1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43" fontId="7" fillId="0" borderId="0" xfId="42" applyFont="1" applyFill="1" applyAlignment="1">
      <alignment horizontal="right"/>
    </xf>
    <xf numFmtId="43" fontId="10" fillId="0" borderId="10" xfId="42" applyFont="1" applyFill="1" applyBorder="1" applyAlignment="1">
      <alignment horizontal="center"/>
    </xf>
    <xf numFmtId="43" fontId="7" fillId="0" borderId="10" xfId="42" applyFont="1" applyFill="1" applyBorder="1" applyAlignment="1">
      <alignment horizontal="center"/>
    </xf>
    <xf numFmtId="43" fontId="7" fillId="0" borderId="0" xfId="42" applyFont="1" applyFill="1" applyAlignment="1">
      <alignment horizontal="center"/>
    </xf>
    <xf numFmtId="43" fontId="11" fillId="0" borderId="0" xfId="42" applyFont="1" applyFill="1" applyBorder="1" applyAlignment="1">
      <alignment/>
    </xf>
    <xf numFmtId="39" fontId="7" fillId="0" borderId="0" xfId="0" applyNumberFormat="1" applyFont="1" applyFill="1" applyAlignment="1">
      <alignment horizontal="center"/>
    </xf>
    <xf numFmtId="39" fontId="7" fillId="0" borderId="0" xfId="42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39" fontId="1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3" fontId="59" fillId="0" borderId="0" xfId="0" applyNumberFormat="1" applyFont="1" applyFill="1" applyAlignment="1">
      <alignment horizontal="left" vertical="top"/>
    </xf>
    <xf numFmtId="43" fontId="59" fillId="0" borderId="0" xfId="0" applyNumberFormat="1" applyFont="1" applyFill="1" applyAlignment="1">
      <alignment horizontal="right" vertical="top"/>
    </xf>
    <xf numFmtId="39" fontId="8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43" fontId="1" fillId="0" borderId="10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43" fontId="11" fillId="0" borderId="0" xfId="42" applyFont="1" applyFill="1" applyAlignment="1">
      <alignment/>
    </xf>
    <xf numFmtId="39" fontId="22" fillId="0" borderId="0" xfId="0" applyNumberFormat="1" applyFont="1" applyFill="1" applyAlignment="1">
      <alignment/>
    </xf>
    <xf numFmtId="43" fontId="7" fillId="0" borderId="0" xfId="42" applyNumberFormat="1" applyFont="1" applyFill="1" applyAlignment="1">
      <alignment horizontal="right"/>
    </xf>
    <xf numFmtId="39" fontId="11" fillId="0" borderId="0" xfId="0" applyNumberFormat="1" applyFont="1" applyFill="1" applyAlignment="1">
      <alignment horizontal="center"/>
    </xf>
    <xf numFmtId="43" fontId="7" fillId="0" borderId="0" xfId="42" applyNumberFormat="1" applyFont="1" applyFill="1" applyAlignment="1">
      <alignment/>
    </xf>
    <xf numFmtId="43" fontId="11" fillId="0" borderId="0" xfId="42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37" fontId="10" fillId="0" borderId="1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2" fontId="1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41" fontId="42" fillId="0" borderId="12" xfId="0" applyNumberFormat="1" applyFont="1" applyBorder="1" applyAlignment="1">
      <alignment/>
    </xf>
    <xf numFmtId="182" fontId="13" fillId="0" borderId="0" xfId="61" applyNumberFormat="1" applyFont="1" applyAlignment="1">
      <alignment horizontal="right" vertical="center"/>
      <protection/>
    </xf>
    <xf numFmtId="1" fontId="51" fillId="0" borderId="12" xfId="60" applyNumberFormat="1" applyFont="1" applyBorder="1" applyAlignment="1">
      <alignment/>
      <protection/>
    </xf>
    <xf numFmtId="0" fontId="0" fillId="0" borderId="85" xfId="0" applyFont="1" applyBorder="1" applyAlignment="1">
      <alignment/>
    </xf>
    <xf numFmtId="0" fontId="0" fillId="0" borderId="94" xfId="0" applyFont="1" applyBorder="1" applyAlignment="1">
      <alignment/>
    </xf>
    <xf numFmtId="41" fontId="0" fillId="0" borderId="18" xfId="0" applyNumberFormat="1" applyBorder="1" applyAlignment="1">
      <alignment/>
    </xf>
    <xf numFmtId="4" fontId="12" fillId="0" borderId="0" xfId="59" applyNumberFormat="1" applyFill="1" applyBorder="1" applyAlignment="1" applyProtection="1">
      <alignment/>
      <protection/>
    </xf>
    <xf numFmtId="0" fontId="20" fillId="0" borderId="0" xfId="59" applyFont="1" applyAlignment="1">
      <alignment horizontal="center" vertical="center"/>
      <protection/>
    </xf>
    <xf numFmtId="0" fontId="20" fillId="0" borderId="0" xfId="61" applyFont="1" applyAlignment="1">
      <alignment horizontal="left" vertical="center"/>
      <protection/>
    </xf>
    <xf numFmtId="193" fontId="12" fillId="0" borderId="0" xfId="59" applyNumberFormat="1" applyFill="1" applyBorder="1" applyAlignment="1" applyProtection="1">
      <alignment/>
      <protection/>
    </xf>
    <xf numFmtId="0" fontId="74" fillId="0" borderId="0" xfId="61" applyFont="1" applyAlignment="1">
      <alignment vertical="center"/>
      <protection/>
    </xf>
    <xf numFmtId="3" fontId="13" fillId="0" borderId="0" xfId="61" applyNumberFormat="1" applyFont="1" applyAlignment="1">
      <alignment vertical="center"/>
      <protection/>
    </xf>
    <xf numFmtId="182" fontId="13" fillId="0" borderId="0" xfId="61" applyNumberFormat="1" applyFont="1" applyAlignment="1">
      <alignment vertical="center"/>
      <protection/>
    </xf>
    <xf numFmtId="0" fontId="47" fillId="0" borderId="12" xfId="60" applyFont="1" applyBorder="1" applyAlignment="1">
      <alignment horizontal="left" wrapText="1"/>
      <protection/>
    </xf>
    <xf numFmtId="0" fontId="46" fillId="0" borderId="2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51" fillId="0" borderId="12" xfId="60" applyFont="1" applyBorder="1" applyAlignment="1">
      <alignment horizontal="left"/>
      <protection/>
    </xf>
    <xf numFmtId="0" fontId="2" fillId="0" borderId="12" xfId="60" applyFont="1" applyBorder="1" applyAlignment="1">
      <alignment horizontal="left"/>
      <protection/>
    </xf>
    <xf numFmtId="0" fontId="52" fillId="0" borderId="12" xfId="60" applyFont="1" applyBorder="1" applyAlignment="1">
      <alignment horizontal="left"/>
      <protection/>
    </xf>
    <xf numFmtId="0" fontId="52" fillId="0" borderId="105" xfId="60" applyFont="1" applyBorder="1" applyAlignment="1">
      <alignment horizontal="left"/>
      <protection/>
    </xf>
    <xf numFmtId="0" fontId="2" fillId="0" borderId="12" xfId="64" applyFont="1" applyFill="1" applyBorder="1" applyAlignment="1">
      <alignment horizontal="left" wrapText="1"/>
      <protection/>
    </xf>
    <xf numFmtId="0" fontId="51" fillId="0" borderId="12" xfId="60" applyFont="1" applyBorder="1" applyAlignment="1">
      <alignment horizontal="left" wrapText="1"/>
      <protection/>
    </xf>
    <xf numFmtId="0" fontId="52" fillId="0" borderId="12" xfId="64" applyFont="1" applyFill="1" applyBorder="1" applyAlignment="1">
      <alignment horizontal="left" wrapText="1"/>
      <protection/>
    </xf>
    <xf numFmtId="0" fontId="51" fillId="0" borderId="12" xfId="64" applyFont="1" applyFill="1" applyBorder="1" applyAlignment="1">
      <alignment horizontal="left" wrapText="1"/>
      <protection/>
    </xf>
    <xf numFmtId="0" fontId="2" fillId="0" borderId="12" xfId="60" applyFont="1" applyBorder="1" applyAlignment="1">
      <alignment horizontal="left" wrapText="1"/>
      <protection/>
    </xf>
    <xf numFmtId="0" fontId="47" fillId="0" borderId="99" xfId="60" applyFont="1" applyBorder="1" applyAlignment="1">
      <alignment horizontal="left" wrapText="1"/>
      <protection/>
    </xf>
    <xf numFmtId="4" fontId="59" fillId="0" borderId="117" xfId="0" applyNumberFormat="1" applyFont="1" applyBorder="1" applyAlignment="1">
      <alignment horizontal="right" vertical="top"/>
    </xf>
    <xf numFmtId="0" fontId="59" fillId="0" borderId="37" xfId="0" applyFont="1" applyBorder="1" applyAlignment="1">
      <alignment horizontal="right" vertical="top"/>
    </xf>
    <xf numFmtId="4" fontId="59" fillId="0" borderId="37" xfId="0" applyNumberFormat="1" applyFont="1" applyBorder="1" applyAlignment="1">
      <alignment horizontal="right" vertical="top"/>
    </xf>
    <xf numFmtId="0" fontId="59" fillId="0" borderId="29" xfId="0" applyFont="1" applyBorder="1" applyAlignment="1">
      <alignment vertical="top"/>
    </xf>
    <xf numFmtId="0" fontId="59" fillId="0" borderId="40" xfId="0" applyFont="1" applyBorder="1" applyAlignment="1">
      <alignment vertical="top"/>
    </xf>
    <xf numFmtId="0" fontId="7" fillId="0" borderId="36" xfId="0" applyFont="1" applyFill="1" applyBorder="1" applyAlignment="1">
      <alignment/>
    </xf>
    <xf numFmtId="43" fontId="11" fillId="0" borderId="37" xfId="42" applyFont="1" applyFill="1" applyBorder="1" applyAlignment="1">
      <alignment/>
    </xf>
    <xf numFmtId="0" fontId="66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73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96" fontId="40" fillId="0" borderId="30" xfId="62" applyNumberFormat="1" applyFont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 applyProtection="1">
      <alignment/>
      <protection/>
    </xf>
    <xf numFmtId="196" fontId="3" fillId="0" borderId="0" xfId="62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42" fillId="0" borderId="99" xfId="60" applyFont="1" applyBorder="1" applyAlignment="1">
      <alignment horizontal="left" wrapText="1"/>
      <protection/>
    </xf>
    <xf numFmtId="0" fontId="42" fillId="0" borderId="12" xfId="60" applyFont="1" applyBorder="1" applyAlignment="1">
      <alignment horizontal="left" wrapText="1"/>
      <protection/>
    </xf>
    <xf numFmtId="0" fontId="42" fillId="0" borderId="105" xfId="60" applyFont="1" applyBorder="1" applyAlignment="1">
      <alignment horizontal="left" wrapText="1"/>
      <protection/>
    </xf>
    <xf numFmtId="2" fontId="42" fillId="0" borderId="14" xfId="60" applyNumberFormat="1" applyFont="1" applyBorder="1" applyAlignment="1">
      <alignment horizontal="center" wrapText="1"/>
      <protection/>
    </xf>
    <xf numFmtId="2" fontId="42" fillId="0" borderId="15" xfId="60" applyNumberFormat="1" applyFont="1" applyBorder="1" applyAlignment="1">
      <alignment horizontal="center" wrapText="1"/>
      <protection/>
    </xf>
    <xf numFmtId="2" fontId="42" fillId="0" borderId="16" xfId="60" applyNumberFormat="1" applyFont="1" applyBorder="1" applyAlignment="1">
      <alignment horizontal="center" wrapText="1"/>
      <protection/>
    </xf>
    <xf numFmtId="0" fontId="50" fillId="0" borderId="28" xfId="60" applyFont="1" applyBorder="1" applyAlignment="1">
      <alignment horizontal="center" wrapText="1"/>
      <protection/>
    </xf>
    <xf numFmtId="0" fontId="50" fillId="0" borderId="116" xfId="60" applyFont="1" applyBorder="1" applyAlignment="1">
      <alignment horizontal="center" wrapText="1"/>
      <protection/>
    </xf>
    <xf numFmtId="0" fontId="50" fillId="0" borderId="118" xfId="60" applyFont="1" applyBorder="1" applyAlignment="1">
      <alignment horizontal="center" wrapText="1"/>
      <protection/>
    </xf>
    <xf numFmtId="0" fontId="51" fillId="0" borderId="20" xfId="60" applyFont="1" applyBorder="1" applyAlignment="1">
      <alignment horizontal="left" wrapText="1"/>
      <protection/>
    </xf>
    <xf numFmtId="0" fontId="51" fillId="0" borderId="94" xfId="60" applyFont="1" applyBorder="1" applyAlignment="1">
      <alignment horizontal="left" wrapText="1"/>
      <protection/>
    </xf>
    <xf numFmtId="0" fontId="42" fillId="0" borderId="21" xfId="60" applyFont="1" applyBorder="1" applyAlignment="1">
      <alignment horizontal="left" wrapText="1"/>
      <protection/>
    </xf>
    <xf numFmtId="0" fontId="0" fillId="0" borderId="21" xfId="60" applyFont="1" applyBorder="1" applyAlignment="1">
      <alignment horizontal="left" wrapText="1"/>
      <protection/>
    </xf>
    <xf numFmtId="0" fontId="0" fillId="0" borderId="99" xfId="60" applyFont="1" applyBorder="1" applyAlignment="1">
      <alignment horizontal="left" wrapText="1"/>
      <protection/>
    </xf>
    <xf numFmtId="0" fontId="0" fillId="0" borderId="21" xfId="60" applyFont="1" applyBorder="1" applyAlignment="1">
      <alignment horizontal="center" wrapText="1"/>
      <protection/>
    </xf>
    <xf numFmtId="0" fontId="0" fillId="0" borderId="99" xfId="60" applyFont="1" applyBorder="1" applyAlignment="1">
      <alignment horizontal="center" wrapText="1"/>
      <protection/>
    </xf>
    <xf numFmtId="2" fontId="42" fillId="0" borderId="22" xfId="60" applyNumberFormat="1" applyFont="1" applyBorder="1" applyAlignment="1">
      <alignment horizontal="center" wrapText="1"/>
      <protection/>
    </xf>
    <xf numFmtId="2" fontId="42" fillId="0" borderId="21" xfId="60" applyNumberFormat="1" applyFont="1" applyBorder="1" applyAlignment="1">
      <alignment horizontal="center" wrapText="1"/>
      <protection/>
    </xf>
    <xf numFmtId="2" fontId="42" fillId="0" borderId="99" xfId="60" applyNumberFormat="1" applyFont="1" applyBorder="1" applyAlignment="1">
      <alignment horizontal="center" wrapText="1"/>
      <protection/>
    </xf>
    <xf numFmtId="2" fontId="50" fillId="0" borderId="0" xfId="60" applyNumberFormat="1" applyFont="1" applyBorder="1" applyAlignment="1">
      <alignment horizontal="center" wrapText="1"/>
      <protection/>
    </xf>
    <xf numFmtId="2" fontId="50" fillId="0" borderId="13" xfId="60" applyNumberFormat="1" applyFont="1" applyBorder="1" applyAlignment="1">
      <alignment horizontal="center" wrapText="1"/>
      <protection/>
    </xf>
    <xf numFmtId="0" fontId="42" fillId="0" borderId="119" xfId="60" applyFont="1" applyBorder="1" applyAlignment="1">
      <alignment horizontal="left" wrapText="1"/>
      <protection/>
    </xf>
    <xf numFmtId="0" fontId="42" fillId="0" borderId="97" xfId="60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Levizja e Mjeteve Kryesore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rdhshpe cact" xfId="59"/>
    <cellStyle name="Normal_asn_2009 Propozimet" xfId="60"/>
    <cellStyle name="Normal_bilanc cact" xfId="61"/>
    <cellStyle name="Normal_Documents C1 à C8 ENGLISH" xfId="62"/>
    <cellStyle name="Normal_Levizja e Mjeteve Kryesor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qerama.BIDIGROUP\Desktop\shteti%20inventa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 2009"/>
      <sheetName val="Sheet1"/>
    </sheetNames>
    <sheetDataSet>
      <sheetData sheetId="0">
        <row r="8">
          <cell r="B8" t="str">
            <v>Finitrice super 1800</v>
          </cell>
          <cell r="F8">
            <v>30135000</v>
          </cell>
        </row>
        <row r="9">
          <cell r="F9">
            <v>23985000</v>
          </cell>
        </row>
        <row r="10">
          <cell r="B10" t="str">
            <v>Rul I vogel</v>
          </cell>
          <cell r="F10">
            <v>2460000</v>
          </cell>
        </row>
        <row r="15">
          <cell r="F15">
            <v>13343331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.421875" style="26" customWidth="1"/>
    <col min="2" max="2" width="1.7109375" style="26" customWidth="1"/>
    <col min="3" max="3" width="5.28125" style="26" customWidth="1"/>
    <col min="4" max="4" width="9.140625" style="26" customWidth="1"/>
    <col min="5" max="5" width="12.57421875" style="26" customWidth="1"/>
    <col min="6" max="6" width="20.7109375" style="26" customWidth="1"/>
    <col min="7" max="7" width="12.57421875" style="26" customWidth="1"/>
    <col min="8" max="8" width="9.140625" style="26" customWidth="1"/>
    <col min="9" max="9" width="3.8515625" style="26" customWidth="1"/>
    <col min="10" max="10" width="20.421875" style="26" customWidth="1"/>
    <col min="11" max="16384" width="9.140625" style="26" customWidth="1"/>
  </cols>
  <sheetData>
    <row r="2" spans="1:10" ht="14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6.5">
      <c r="A3" s="56"/>
      <c r="B3" s="57"/>
      <c r="C3" s="58"/>
      <c r="D3" s="58"/>
      <c r="E3" s="58"/>
      <c r="F3" s="58"/>
      <c r="G3" s="58"/>
      <c r="H3" s="58"/>
      <c r="I3" s="58"/>
      <c r="J3" s="59"/>
    </row>
    <row r="4" spans="1:10" ht="16.5">
      <c r="A4" s="56"/>
      <c r="B4" s="60"/>
      <c r="C4" s="61" t="s">
        <v>533</v>
      </c>
      <c r="D4" s="61"/>
      <c r="E4" s="61"/>
      <c r="F4" s="71" t="s">
        <v>783</v>
      </c>
      <c r="G4" s="62"/>
      <c r="H4" s="62"/>
      <c r="I4" s="62"/>
      <c r="J4" s="63"/>
    </row>
    <row r="5" spans="1:10" ht="16.5">
      <c r="A5" s="56"/>
      <c r="B5" s="60"/>
      <c r="C5" s="61" t="s">
        <v>534</v>
      </c>
      <c r="D5" s="61"/>
      <c r="E5" s="61"/>
      <c r="F5" s="493" t="s">
        <v>753</v>
      </c>
      <c r="G5" s="62"/>
      <c r="H5" s="62"/>
      <c r="I5" s="62"/>
      <c r="J5" s="63"/>
    </row>
    <row r="6" spans="1:10" ht="16.5">
      <c r="A6" s="56"/>
      <c r="B6" s="60"/>
      <c r="C6" s="61" t="s">
        <v>535</v>
      </c>
      <c r="D6" s="61"/>
      <c r="E6" s="61"/>
      <c r="F6" s="71" t="s">
        <v>544</v>
      </c>
      <c r="G6" s="62"/>
      <c r="H6" s="62"/>
      <c r="I6" s="62"/>
      <c r="J6" s="63"/>
    </row>
    <row r="7" spans="1:10" ht="16.5">
      <c r="A7" s="56"/>
      <c r="B7" s="60"/>
      <c r="C7" s="61"/>
      <c r="D7" s="61"/>
      <c r="E7" s="61"/>
      <c r="F7" s="62"/>
      <c r="G7" s="62"/>
      <c r="H7" s="62"/>
      <c r="I7" s="62"/>
      <c r="J7" s="63"/>
    </row>
    <row r="8" spans="1:10" ht="16.5">
      <c r="A8" s="56"/>
      <c r="B8" s="60"/>
      <c r="C8" s="61" t="s">
        <v>536</v>
      </c>
      <c r="D8" s="61"/>
      <c r="E8" s="61"/>
      <c r="F8" s="71" t="s">
        <v>754</v>
      </c>
      <c r="G8" s="62"/>
      <c r="H8" s="62"/>
      <c r="I8" s="62"/>
      <c r="J8" s="63"/>
    </row>
    <row r="9" spans="1:10" ht="16.5">
      <c r="A9" s="56"/>
      <c r="B9" s="60"/>
      <c r="C9" s="62" t="s">
        <v>537</v>
      </c>
      <c r="D9" s="61"/>
      <c r="E9" s="61"/>
      <c r="F9" s="71">
        <v>37803</v>
      </c>
      <c r="G9" s="62"/>
      <c r="H9" s="62"/>
      <c r="I9" s="62"/>
      <c r="J9" s="63"/>
    </row>
    <row r="10" spans="1:10" ht="16.5">
      <c r="A10" s="56"/>
      <c r="B10" s="60"/>
      <c r="C10" s="61" t="s">
        <v>538</v>
      </c>
      <c r="D10" s="61"/>
      <c r="E10" s="61"/>
      <c r="F10" s="71" t="s">
        <v>755</v>
      </c>
      <c r="G10" s="62"/>
      <c r="H10" s="62"/>
      <c r="I10" s="62"/>
      <c r="J10" s="63"/>
    </row>
    <row r="11" spans="1:10" ht="16.5">
      <c r="A11" s="56"/>
      <c r="B11" s="60"/>
      <c r="C11" s="64"/>
      <c r="D11" s="64"/>
      <c r="E11" s="64"/>
      <c r="F11" s="71" t="s">
        <v>778</v>
      </c>
      <c r="G11" s="62"/>
      <c r="H11" s="62"/>
      <c r="I11" s="62"/>
      <c r="J11" s="55"/>
    </row>
    <row r="12" spans="1:10" ht="16.5">
      <c r="A12" s="56"/>
      <c r="B12" s="60"/>
      <c r="C12" s="65"/>
      <c r="D12" s="64"/>
      <c r="E12" s="64"/>
      <c r="F12" s="65"/>
      <c r="G12" s="62"/>
      <c r="H12" s="62"/>
      <c r="I12" s="62"/>
      <c r="J12" s="55"/>
    </row>
    <row r="13" spans="1:10" ht="16.5">
      <c r="A13" s="56"/>
      <c r="B13" s="66"/>
      <c r="C13" s="65"/>
      <c r="D13" s="64"/>
      <c r="E13" s="64"/>
      <c r="F13" s="64"/>
      <c r="G13" s="64"/>
      <c r="H13" s="64"/>
      <c r="I13" s="64"/>
      <c r="J13" s="55"/>
    </row>
    <row r="14" spans="1:10" ht="16.5">
      <c r="A14" s="56"/>
      <c r="B14" s="60"/>
      <c r="C14" s="64"/>
      <c r="D14" s="64"/>
      <c r="E14" s="64"/>
      <c r="F14" s="64"/>
      <c r="G14" s="64"/>
      <c r="H14" s="64"/>
      <c r="I14" s="64"/>
      <c r="J14" s="55"/>
    </row>
    <row r="15" spans="1:10" ht="16.5">
      <c r="A15" s="56"/>
      <c r="B15" s="60"/>
      <c r="C15" s="64"/>
      <c r="D15" s="64"/>
      <c r="E15" s="64"/>
      <c r="F15" s="64"/>
      <c r="G15" s="64"/>
      <c r="H15" s="64"/>
      <c r="I15" s="64"/>
      <c r="J15" s="55"/>
    </row>
    <row r="16" spans="1:10" ht="16.5">
      <c r="A16" s="56"/>
      <c r="B16" s="60"/>
      <c r="C16" s="64"/>
      <c r="D16" s="64"/>
      <c r="E16" s="64"/>
      <c r="F16" s="64"/>
      <c r="G16" s="64"/>
      <c r="H16" s="64"/>
      <c r="I16" s="64"/>
      <c r="J16" s="55"/>
    </row>
    <row r="17" spans="1:10" ht="25.5">
      <c r="A17" s="56"/>
      <c r="B17" s="60"/>
      <c r="C17" s="583" t="s">
        <v>756</v>
      </c>
      <c r="D17" s="583"/>
      <c r="E17" s="583"/>
      <c r="F17" s="583"/>
      <c r="G17" s="583"/>
      <c r="H17" s="583"/>
      <c r="I17" s="583"/>
      <c r="J17" s="55"/>
    </row>
    <row r="18" spans="1:10" ht="16.5">
      <c r="A18" s="56"/>
      <c r="B18" s="60"/>
      <c r="C18" s="584" t="s">
        <v>757</v>
      </c>
      <c r="D18" s="584"/>
      <c r="E18" s="584"/>
      <c r="F18" s="584"/>
      <c r="G18" s="584"/>
      <c r="H18" s="584"/>
      <c r="I18" s="584"/>
      <c r="J18" s="55"/>
    </row>
    <row r="19" spans="1:10" ht="16.5">
      <c r="A19" s="56"/>
      <c r="B19" s="60"/>
      <c r="C19" s="64"/>
      <c r="D19" s="64"/>
      <c r="E19" s="64"/>
      <c r="F19" s="64"/>
      <c r="G19" s="64"/>
      <c r="H19" s="64"/>
      <c r="I19" s="64"/>
      <c r="J19" s="55"/>
    </row>
    <row r="20" spans="1:10" ht="25.5">
      <c r="A20" s="56"/>
      <c r="B20" s="60"/>
      <c r="C20" s="65"/>
      <c r="D20" s="64"/>
      <c r="E20" s="64"/>
      <c r="F20" s="582" t="s">
        <v>811</v>
      </c>
      <c r="G20" s="582"/>
      <c r="H20" s="582"/>
      <c r="I20" s="64"/>
      <c r="J20" s="55"/>
    </row>
    <row r="21" spans="1:10" ht="16.5">
      <c r="A21" s="56"/>
      <c r="B21" s="585"/>
      <c r="C21" s="586"/>
      <c r="D21" s="586"/>
      <c r="E21" s="586"/>
      <c r="F21" s="586"/>
      <c r="G21" s="586"/>
      <c r="H21" s="586"/>
      <c r="I21" s="586"/>
      <c r="J21" s="587"/>
    </row>
    <row r="22" spans="1:10" ht="16.5">
      <c r="A22" s="56"/>
      <c r="B22" s="60"/>
      <c r="C22" s="64"/>
      <c r="D22" s="64"/>
      <c r="E22" s="64"/>
      <c r="F22" s="64"/>
      <c r="G22" s="64"/>
      <c r="H22" s="64"/>
      <c r="I22" s="64"/>
      <c r="J22" s="55"/>
    </row>
    <row r="23" spans="1:10" ht="16.5">
      <c r="A23" s="56"/>
      <c r="B23" s="60"/>
      <c r="C23" s="64"/>
      <c r="D23" s="64"/>
      <c r="E23" s="64"/>
      <c r="F23" s="64"/>
      <c r="G23" s="64"/>
      <c r="H23" s="64"/>
      <c r="I23" s="64"/>
      <c r="J23" s="55"/>
    </row>
    <row r="24" spans="1:10" ht="16.5">
      <c r="A24" s="56"/>
      <c r="B24" s="60"/>
      <c r="C24" s="64"/>
      <c r="D24" s="64"/>
      <c r="E24" s="64"/>
      <c r="F24" s="64"/>
      <c r="G24" s="64"/>
      <c r="H24" s="64"/>
      <c r="I24" s="64"/>
      <c r="J24" s="55"/>
    </row>
    <row r="25" spans="1:10" ht="16.5">
      <c r="A25" s="56"/>
      <c r="B25" s="60"/>
      <c r="C25" s="64"/>
      <c r="D25" s="64"/>
      <c r="E25" s="64"/>
      <c r="F25" s="64"/>
      <c r="G25" s="64"/>
      <c r="H25" s="64"/>
      <c r="I25" s="64"/>
      <c r="J25" s="55"/>
    </row>
    <row r="26" spans="1:10" ht="16.5">
      <c r="A26" s="56"/>
      <c r="B26" s="60"/>
      <c r="C26" s="64"/>
      <c r="D26" s="65"/>
      <c r="E26" s="65"/>
      <c r="F26" s="65"/>
      <c r="G26" s="65"/>
      <c r="H26" s="65"/>
      <c r="I26" s="65"/>
      <c r="J26" s="55"/>
    </row>
    <row r="27" spans="1:10" ht="16.5">
      <c r="A27" s="56"/>
      <c r="B27" s="60"/>
      <c r="C27" s="64"/>
      <c r="D27" s="65"/>
      <c r="E27" s="65"/>
      <c r="F27" s="65"/>
      <c r="G27" s="65"/>
      <c r="H27" s="65"/>
      <c r="I27" s="65"/>
      <c r="J27" s="55"/>
    </row>
    <row r="28" spans="1:10" ht="16.5">
      <c r="A28" s="56"/>
      <c r="B28" s="60"/>
      <c r="C28" s="64"/>
      <c r="D28" s="65"/>
      <c r="E28" s="65"/>
      <c r="F28" s="65"/>
      <c r="G28" s="65"/>
      <c r="H28" s="65"/>
      <c r="I28" s="65"/>
      <c r="J28" s="55"/>
    </row>
    <row r="29" spans="1:10" ht="16.5">
      <c r="A29" s="56"/>
      <c r="B29" s="60"/>
      <c r="C29" s="64"/>
      <c r="D29" s="65"/>
      <c r="E29" s="65"/>
      <c r="F29" s="65"/>
      <c r="G29" s="65"/>
      <c r="H29" s="65"/>
      <c r="I29" s="65"/>
      <c r="J29" s="55"/>
    </row>
    <row r="30" spans="1:10" ht="16.5">
      <c r="A30" s="56"/>
      <c r="B30" s="60"/>
      <c r="D30" s="64" t="s">
        <v>539</v>
      </c>
      <c r="E30" s="65"/>
      <c r="F30" s="65"/>
      <c r="G30" s="65"/>
      <c r="H30" s="65"/>
      <c r="I30" s="65"/>
      <c r="J30" s="55"/>
    </row>
    <row r="31" spans="1:10" ht="16.5">
      <c r="A31" s="56"/>
      <c r="B31" s="60"/>
      <c r="D31" s="64"/>
      <c r="E31" s="65"/>
      <c r="F31" s="65"/>
      <c r="G31" s="65"/>
      <c r="H31" s="65"/>
      <c r="I31" s="65"/>
      <c r="J31" s="55"/>
    </row>
    <row r="32" spans="1:10" ht="16.5">
      <c r="A32" s="56"/>
      <c r="B32" s="60"/>
      <c r="D32" s="64" t="s">
        <v>540</v>
      </c>
      <c r="E32" s="65"/>
      <c r="F32" s="65"/>
      <c r="H32" s="65" t="s">
        <v>541</v>
      </c>
      <c r="I32" s="65"/>
      <c r="J32" s="55"/>
    </row>
    <row r="33" spans="1:10" ht="16.5">
      <c r="A33" s="56"/>
      <c r="B33" s="60"/>
      <c r="D33" s="64"/>
      <c r="E33" s="65"/>
      <c r="F33" s="65"/>
      <c r="G33" s="65"/>
      <c r="H33" s="65"/>
      <c r="I33" s="65"/>
      <c r="J33" s="55"/>
    </row>
    <row r="34" spans="1:10" ht="16.5">
      <c r="A34" s="56"/>
      <c r="B34" s="60"/>
      <c r="D34" s="64" t="s">
        <v>542</v>
      </c>
      <c r="E34" s="65"/>
      <c r="F34" s="65"/>
      <c r="G34" s="65" t="s">
        <v>829</v>
      </c>
      <c r="H34" s="65"/>
      <c r="I34" s="65"/>
      <c r="J34" s="55"/>
    </row>
    <row r="35" spans="1:10" ht="16.5">
      <c r="A35" s="56"/>
      <c r="B35" s="60"/>
      <c r="D35" s="64"/>
      <c r="E35" s="65"/>
      <c r="F35" s="65"/>
      <c r="G35" s="65"/>
      <c r="H35" s="65"/>
      <c r="I35" s="65"/>
      <c r="J35" s="55"/>
    </row>
    <row r="36" spans="1:10" ht="16.5">
      <c r="A36" s="56"/>
      <c r="B36" s="60"/>
      <c r="D36" s="64" t="s">
        <v>543</v>
      </c>
      <c r="E36" s="65"/>
      <c r="F36" s="65"/>
      <c r="H36" s="65" t="s">
        <v>830</v>
      </c>
      <c r="I36" s="65"/>
      <c r="J36" s="55"/>
    </row>
    <row r="37" spans="1:10" ht="16.5">
      <c r="A37" s="56"/>
      <c r="B37" s="60"/>
      <c r="C37" s="64"/>
      <c r="D37" s="65"/>
      <c r="E37" s="65"/>
      <c r="F37" s="65"/>
      <c r="G37" s="65"/>
      <c r="H37" s="65"/>
      <c r="I37" s="65"/>
      <c r="J37" s="55"/>
    </row>
    <row r="38" spans="1:10" ht="16.5">
      <c r="A38" s="56"/>
      <c r="B38" s="60"/>
      <c r="C38" s="64"/>
      <c r="D38" s="64"/>
      <c r="E38" s="64"/>
      <c r="F38" s="64"/>
      <c r="G38" s="64"/>
      <c r="H38" s="64"/>
      <c r="I38" s="64"/>
      <c r="J38" s="55"/>
    </row>
    <row r="39" spans="1:10" ht="16.5">
      <c r="A39" s="56"/>
      <c r="B39" s="67"/>
      <c r="C39" s="68"/>
      <c r="D39" s="68"/>
      <c r="E39" s="68"/>
      <c r="F39" s="68"/>
      <c r="G39" s="68"/>
      <c r="H39" s="68"/>
      <c r="I39" s="68"/>
      <c r="J39" s="69"/>
    </row>
    <row r="40" spans="1:10" ht="16.5">
      <c r="A40" s="56"/>
      <c r="B40" s="70"/>
      <c r="C40" s="70"/>
      <c r="D40" s="70"/>
      <c r="E40" s="70"/>
      <c r="F40" s="70"/>
      <c r="G40" s="70"/>
      <c r="H40" s="70"/>
      <c r="I40" s="70"/>
      <c r="J40" s="70"/>
    </row>
  </sheetData>
  <sheetProtection/>
  <mergeCells count="4">
    <mergeCell ref="F20:H20"/>
    <mergeCell ref="C17:I17"/>
    <mergeCell ref="C18:I18"/>
    <mergeCell ref="B21:J21"/>
  </mergeCells>
  <printOptions/>
  <pageMargins left="0.25" right="0.3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6"/>
  <sheetViews>
    <sheetView zoomScalePageLayoutView="0" workbookViewId="0" topLeftCell="A43">
      <selection activeCell="I64" sqref="I6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0.9921875" style="0" customWidth="1"/>
    <col min="6" max="6" width="0.42578125" style="0" hidden="1" customWidth="1"/>
    <col min="7" max="7" width="9.421875" style="0" customWidth="1"/>
    <col min="8" max="8" width="10.00390625" style="0" customWidth="1"/>
    <col min="9" max="9" width="14.140625" style="0" customWidth="1"/>
    <col min="10" max="10" width="11.28125" style="0" customWidth="1"/>
    <col min="11" max="11" width="13.00390625" style="0" hidden="1" customWidth="1"/>
    <col min="12" max="12" width="10.7109375" style="0" hidden="1" customWidth="1"/>
    <col min="13" max="13" width="11.140625" style="0" hidden="1" customWidth="1"/>
    <col min="14" max="14" width="4.7109375" style="0" customWidth="1"/>
    <col min="18" max="18" width="11.28125" style="0" bestFit="1" customWidth="1"/>
    <col min="19" max="19" width="53.421875" style="0" customWidth="1"/>
  </cols>
  <sheetData>
    <row r="1" spans="1:13" ht="15">
      <c r="A1" s="290"/>
      <c r="B1" s="265" t="s">
        <v>786</v>
      </c>
      <c r="C1" s="291"/>
      <c r="D1" s="291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2.75">
      <c r="A2" s="290"/>
      <c r="B2" s="266" t="s">
        <v>763</v>
      </c>
      <c r="C2" s="291"/>
      <c r="D2" s="291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>
      <c r="A3" s="290"/>
      <c r="B3" s="292"/>
      <c r="C3" s="290"/>
      <c r="D3" s="290"/>
      <c r="E3" s="290"/>
      <c r="F3" s="290"/>
      <c r="G3" s="290"/>
      <c r="H3" s="290"/>
      <c r="I3" s="290"/>
      <c r="J3" s="290"/>
      <c r="K3" s="292" t="s">
        <v>572</v>
      </c>
      <c r="M3" s="290"/>
    </row>
    <row r="4" spans="1:13" ht="12.75">
      <c r="A4" s="290"/>
      <c r="B4" s="292"/>
      <c r="C4" s="290"/>
      <c r="D4" s="290"/>
      <c r="E4" s="290"/>
      <c r="F4" s="290"/>
      <c r="G4" s="290"/>
      <c r="H4" s="290"/>
      <c r="I4" s="290"/>
      <c r="J4" s="290"/>
      <c r="K4" s="290"/>
      <c r="M4" s="290"/>
    </row>
    <row r="5" spans="1:19" ht="12.75">
      <c r="A5" s="293"/>
      <c r="B5" s="293"/>
      <c r="C5" s="293"/>
      <c r="D5" s="293"/>
      <c r="E5" s="293"/>
      <c r="F5" s="293"/>
      <c r="G5" s="293"/>
      <c r="H5" s="293"/>
      <c r="I5" s="293"/>
      <c r="J5" s="294" t="s">
        <v>573</v>
      </c>
      <c r="K5" s="294"/>
      <c r="N5" s="269"/>
      <c r="O5" s="269"/>
      <c r="P5" s="269"/>
      <c r="Q5" s="269"/>
      <c r="R5" s="269"/>
      <c r="S5" s="269"/>
    </row>
    <row r="6" spans="1:19" ht="15.75" customHeight="1">
      <c r="A6" s="615" t="s">
        <v>574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7"/>
      <c r="N6" s="295"/>
      <c r="O6" s="295"/>
      <c r="P6" s="295"/>
      <c r="Q6" s="295"/>
      <c r="R6" s="295"/>
      <c r="S6" s="295"/>
    </row>
    <row r="7" spans="1:13" ht="26.25" customHeight="1" thickBot="1">
      <c r="A7" s="296"/>
      <c r="B7" s="618" t="s">
        <v>352</v>
      </c>
      <c r="C7" s="618"/>
      <c r="D7" s="618"/>
      <c r="E7" s="618"/>
      <c r="F7" s="619"/>
      <c r="G7" s="297" t="s">
        <v>575</v>
      </c>
      <c r="H7" s="297" t="s">
        <v>576</v>
      </c>
      <c r="I7" s="298" t="s">
        <v>814</v>
      </c>
      <c r="J7" s="298" t="s">
        <v>798</v>
      </c>
      <c r="K7" s="298" t="s">
        <v>782</v>
      </c>
      <c r="L7" s="298" t="s">
        <v>558</v>
      </c>
      <c r="M7" s="298" t="s">
        <v>546</v>
      </c>
    </row>
    <row r="8" spans="1:13" ht="16.5" customHeight="1">
      <c r="A8" s="299">
        <v>1</v>
      </c>
      <c r="B8" s="620" t="s">
        <v>577</v>
      </c>
      <c r="C8" s="621"/>
      <c r="D8" s="621"/>
      <c r="E8" s="621"/>
      <c r="F8" s="621"/>
      <c r="G8" s="300">
        <v>70</v>
      </c>
      <c r="H8" s="300">
        <v>11100</v>
      </c>
      <c r="I8" s="373">
        <f>+I9+I10+I11</f>
        <v>339505.34589</v>
      </c>
      <c r="J8" s="373">
        <f>+J9+J10+J11</f>
        <v>571180.715</v>
      </c>
      <c r="K8" s="373">
        <f>+K9+K10+K11</f>
        <v>1490491.5150000001</v>
      </c>
      <c r="L8" s="373">
        <f>+L9+L10+L11</f>
        <v>650991.2309999999</v>
      </c>
      <c r="M8" s="373">
        <f>+M9+M10+M11</f>
        <v>149763.737</v>
      </c>
    </row>
    <row r="9" spans="1:13" ht="16.5" customHeight="1">
      <c r="A9" s="301" t="s">
        <v>578</v>
      </c>
      <c r="B9" s="611" t="s">
        <v>579</v>
      </c>
      <c r="C9" s="611"/>
      <c r="D9" s="611"/>
      <c r="E9" s="611"/>
      <c r="F9" s="612"/>
      <c r="G9" s="302" t="s">
        <v>580</v>
      </c>
      <c r="H9" s="302">
        <v>11101</v>
      </c>
      <c r="I9" s="374"/>
      <c r="J9" s="374"/>
      <c r="K9" s="374"/>
      <c r="L9" s="374"/>
      <c r="M9" s="375">
        <v>800</v>
      </c>
    </row>
    <row r="10" spans="1:13" ht="16.5" customHeight="1">
      <c r="A10" s="305" t="s">
        <v>581</v>
      </c>
      <c r="B10" s="611" t="s">
        <v>582</v>
      </c>
      <c r="C10" s="611"/>
      <c r="D10" s="611"/>
      <c r="E10" s="611"/>
      <c r="F10" s="612"/>
      <c r="G10" s="302">
        <v>704</v>
      </c>
      <c r="H10" s="302">
        <v>11102</v>
      </c>
      <c r="I10" s="374">
        <f>+'Ardh shpenz alpha'!C14/1000</f>
        <v>178970.63794</v>
      </c>
      <c r="J10" s="374">
        <f>+'Ardh shpenz alpha'!D14/1000</f>
        <v>72097.347</v>
      </c>
      <c r="K10" s="374">
        <f>+'Ardh shpenz alpha'!E14/1000</f>
        <v>888777.19472</v>
      </c>
      <c r="L10" s="374">
        <f>+'Ardh shpenz alpha'!F14/1000</f>
        <v>463272.54159</v>
      </c>
      <c r="M10" s="374">
        <f>+'Ardh shpenz alpha'!G14/1000</f>
        <v>148309.737</v>
      </c>
    </row>
    <row r="11" spans="1:13" ht="16.5" customHeight="1">
      <c r="A11" s="305" t="s">
        <v>583</v>
      </c>
      <c r="B11" s="611" t="s">
        <v>584</v>
      </c>
      <c r="C11" s="611"/>
      <c r="D11" s="611"/>
      <c r="E11" s="611"/>
      <c r="F11" s="612"/>
      <c r="G11" s="306">
        <v>705</v>
      </c>
      <c r="H11" s="302">
        <v>11103</v>
      </c>
      <c r="I11" s="473">
        <f>+'Ardh shpenz alpha'!C15/1000</f>
        <v>160534.70794999998</v>
      </c>
      <c r="J11" s="473">
        <f>+'Ardh shpenz alpha'!D15/1000</f>
        <v>499083.368</v>
      </c>
      <c r="K11" s="473">
        <f>+'Ardh shpenz alpha'!E15/1000</f>
        <v>601714.32028</v>
      </c>
      <c r="L11" s="473">
        <f>+'Ardh shpenz alpha'!F15/1000</f>
        <v>187718.68941</v>
      </c>
      <c r="M11" s="473">
        <v>654</v>
      </c>
    </row>
    <row r="12" spans="1:13" ht="16.5" customHeight="1">
      <c r="A12" s="307">
        <v>2</v>
      </c>
      <c r="B12" s="610" t="s">
        <v>585</v>
      </c>
      <c r="C12" s="610"/>
      <c r="D12" s="610"/>
      <c r="E12" s="610"/>
      <c r="F12" s="599"/>
      <c r="G12" s="308">
        <v>708</v>
      </c>
      <c r="H12" s="309">
        <v>11104</v>
      </c>
      <c r="I12" s="473">
        <f>+I13+I14+I15</f>
        <v>6748.780110000001</v>
      </c>
      <c r="J12" s="473">
        <f>+J13+J14+J15</f>
        <v>170.8</v>
      </c>
      <c r="K12" s="473">
        <f>+K13+K14+K15</f>
        <v>0</v>
      </c>
      <c r="L12" s="473">
        <f>+L13+L14+L15</f>
        <v>9254.905</v>
      </c>
      <c r="M12" s="473">
        <f>+M13+M14+M15</f>
        <v>120</v>
      </c>
    </row>
    <row r="13" spans="1:13" ht="16.5" customHeight="1">
      <c r="A13" s="310" t="s">
        <v>578</v>
      </c>
      <c r="B13" s="611" t="s">
        <v>586</v>
      </c>
      <c r="C13" s="611"/>
      <c r="D13" s="611"/>
      <c r="E13" s="611"/>
      <c r="F13" s="612"/>
      <c r="G13" s="302">
        <v>7081</v>
      </c>
      <c r="H13" s="311">
        <v>111041</v>
      </c>
      <c r="I13" s="303"/>
      <c r="J13" s="303"/>
      <c r="K13" s="303"/>
      <c r="L13" s="303"/>
      <c r="M13" s="304"/>
    </row>
    <row r="14" spans="1:13" ht="16.5" customHeight="1">
      <c r="A14" s="310" t="s">
        <v>587</v>
      </c>
      <c r="B14" s="611" t="s">
        <v>588</v>
      </c>
      <c r="C14" s="611"/>
      <c r="D14" s="611"/>
      <c r="E14" s="611"/>
      <c r="F14" s="612"/>
      <c r="G14" s="302">
        <v>7082</v>
      </c>
      <c r="H14" s="311">
        <v>111042</v>
      </c>
      <c r="I14" s="303"/>
      <c r="J14" s="303"/>
      <c r="K14" s="303"/>
      <c r="L14" s="303"/>
      <c r="M14" s="476">
        <v>120</v>
      </c>
    </row>
    <row r="15" spans="1:13" ht="16.5" customHeight="1">
      <c r="A15" s="310" t="s">
        <v>589</v>
      </c>
      <c r="B15" s="611" t="s">
        <v>590</v>
      </c>
      <c r="C15" s="611"/>
      <c r="D15" s="611"/>
      <c r="E15" s="611"/>
      <c r="F15" s="612"/>
      <c r="G15" s="302">
        <v>7083</v>
      </c>
      <c r="H15" s="311">
        <v>111043</v>
      </c>
      <c r="I15" s="473">
        <f>+'Ardh shpenz alpha'!C16/1000</f>
        <v>6748.780110000001</v>
      </c>
      <c r="J15" s="473">
        <f>+'Ardh shpenz alpha'!D16/1000</f>
        <v>170.8</v>
      </c>
      <c r="K15" s="473">
        <f>+'Ardh shpenz alpha'!E16/1000</f>
        <v>0</v>
      </c>
      <c r="L15" s="473">
        <f>+'Ardh shpenz alpha'!F16/1000</f>
        <v>9254.905</v>
      </c>
      <c r="M15" s="473"/>
    </row>
    <row r="16" spans="1:13" ht="29.25" customHeight="1">
      <c r="A16" s="312">
        <v>3</v>
      </c>
      <c r="B16" s="610" t="s">
        <v>591</v>
      </c>
      <c r="C16" s="610"/>
      <c r="D16" s="610"/>
      <c r="E16" s="610"/>
      <c r="F16" s="599"/>
      <c r="G16" s="308">
        <v>71</v>
      </c>
      <c r="H16" s="309">
        <v>11201</v>
      </c>
      <c r="I16" s="303"/>
      <c r="J16" s="303"/>
      <c r="K16" s="303"/>
      <c r="L16" s="303"/>
      <c r="M16" s="304"/>
    </row>
    <row r="17" spans="1:13" ht="16.5" customHeight="1">
      <c r="A17" s="313"/>
      <c r="B17" s="613" t="s">
        <v>592</v>
      </c>
      <c r="C17" s="613"/>
      <c r="D17" s="613"/>
      <c r="E17" s="613"/>
      <c r="F17" s="614"/>
      <c r="G17" s="314"/>
      <c r="H17" s="302">
        <v>112011</v>
      </c>
      <c r="I17" s="303"/>
      <c r="J17" s="303"/>
      <c r="K17" s="303"/>
      <c r="L17" s="303"/>
      <c r="M17" s="304"/>
    </row>
    <row r="18" spans="1:13" ht="16.5" customHeight="1">
      <c r="A18" s="313"/>
      <c r="B18" s="613" t="s">
        <v>593</v>
      </c>
      <c r="C18" s="613"/>
      <c r="D18" s="613"/>
      <c r="E18" s="613"/>
      <c r="F18" s="614"/>
      <c r="G18" s="314"/>
      <c r="H18" s="302">
        <v>112012</v>
      </c>
      <c r="I18" s="303"/>
      <c r="J18" s="303"/>
      <c r="K18" s="303"/>
      <c r="L18" s="303"/>
      <c r="M18" s="304"/>
    </row>
    <row r="19" spans="1:13" ht="27" customHeight="1">
      <c r="A19" s="315">
        <v>4</v>
      </c>
      <c r="B19" s="610" t="s">
        <v>594</v>
      </c>
      <c r="C19" s="610"/>
      <c r="D19" s="610"/>
      <c r="E19" s="610"/>
      <c r="F19" s="599"/>
      <c r="G19" s="316">
        <v>72</v>
      </c>
      <c r="H19" s="317">
        <v>11300</v>
      </c>
      <c r="I19" s="303"/>
      <c r="J19" s="303"/>
      <c r="K19" s="303"/>
      <c r="L19" s="303"/>
      <c r="M19" s="304"/>
    </row>
    <row r="20" spans="1:13" ht="16.5" customHeight="1">
      <c r="A20" s="305"/>
      <c r="B20" s="574" t="s">
        <v>595</v>
      </c>
      <c r="C20" s="562"/>
      <c r="D20" s="562"/>
      <c r="E20" s="562"/>
      <c r="F20" s="562"/>
      <c r="G20" s="276"/>
      <c r="H20" s="318">
        <v>11301</v>
      </c>
      <c r="I20" s="303"/>
      <c r="J20" s="303"/>
      <c r="K20" s="303"/>
      <c r="L20" s="303"/>
      <c r="M20" s="304"/>
    </row>
    <row r="21" spans="1:13" ht="16.5" customHeight="1">
      <c r="A21" s="319">
        <v>5</v>
      </c>
      <c r="B21" s="599" t="s">
        <v>596</v>
      </c>
      <c r="C21" s="600"/>
      <c r="D21" s="600"/>
      <c r="E21" s="600"/>
      <c r="F21" s="600"/>
      <c r="G21" s="320">
        <v>73</v>
      </c>
      <c r="H21" s="320">
        <v>11400</v>
      </c>
      <c r="I21" s="303"/>
      <c r="J21" s="303"/>
      <c r="K21" s="303"/>
      <c r="L21" s="303"/>
      <c r="M21" s="304"/>
    </row>
    <row r="22" spans="1:13" ht="18.75" customHeight="1">
      <c r="A22" s="321">
        <v>6</v>
      </c>
      <c r="B22" s="599" t="s">
        <v>597</v>
      </c>
      <c r="C22" s="600"/>
      <c r="D22" s="600"/>
      <c r="E22" s="600"/>
      <c r="F22" s="600"/>
      <c r="G22" s="320">
        <v>75</v>
      </c>
      <c r="H22" s="322">
        <v>11500</v>
      </c>
      <c r="I22" s="303"/>
      <c r="J22" s="303"/>
      <c r="K22" s="303"/>
      <c r="L22" s="303"/>
      <c r="M22" s="304"/>
    </row>
    <row r="23" spans="1:13" ht="21.75" customHeight="1">
      <c r="A23" s="319">
        <v>7</v>
      </c>
      <c r="B23" s="610" t="s">
        <v>598</v>
      </c>
      <c r="C23" s="610"/>
      <c r="D23" s="610"/>
      <c r="E23" s="610"/>
      <c r="F23" s="599"/>
      <c r="G23" s="308">
        <v>77</v>
      </c>
      <c r="H23" s="308">
        <v>11600</v>
      </c>
      <c r="I23" s="473">
        <f>+'Ardh shpenz alpha'!C17/1000</f>
        <v>1375</v>
      </c>
      <c r="J23" s="372">
        <f>+'ardh-shpenz'!E9/1000</f>
        <v>0</v>
      </c>
      <c r="K23" s="372">
        <f>+'ardh-shpenz'!F9/1000</f>
        <v>0</v>
      </c>
      <c r="L23" s="372">
        <f>+'ardh-shpenz'!G9/1000</f>
        <v>0</v>
      </c>
      <c r="M23" s="371">
        <f>+'ardh-shpenz'!H9</f>
        <v>0</v>
      </c>
    </row>
    <row r="24" spans="1:13" ht="16.5" customHeight="1" thickBot="1">
      <c r="A24" s="323" t="s">
        <v>599</v>
      </c>
      <c r="B24" s="601" t="s">
        <v>600</v>
      </c>
      <c r="C24" s="601"/>
      <c r="D24" s="601"/>
      <c r="E24" s="601"/>
      <c r="F24" s="601"/>
      <c r="G24" s="324"/>
      <c r="H24" s="324">
        <v>11800</v>
      </c>
      <c r="I24" s="376">
        <f>+I8+I12+I23</f>
        <v>347629.126</v>
      </c>
      <c r="J24" s="376">
        <f>+J8+J12</f>
        <v>571351.515</v>
      </c>
      <c r="K24" s="376">
        <f>+K8+K12</f>
        <v>1490491.5150000001</v>
      </c>
      <c r="L24" s="376">
        <f>+L8+L12</f>
        <v>660246.1359999999</v>
      </c>
      <c r="M24" s="376">
        <f>+M8+M12</f>
        <v>149883.737</v>
      </c>
    </row>
    <row r="25" spans="1:13" ht="16.5" customHeight="1">
      <c r="A25" s="325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M25" s="327"/>
    </row>
    <row r="26" spans="1:13" ht="16.5" customHeight="1">
      <c r="A26" s="325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/>
      <c r="M26" s="327"/>
    </row>
    <row r="27" spans="1:13" ht="16.5" customHeight="1">
      <c r="A27" s="325"/>
      <c r="B27" s="326"/>
      <c r="C27" s="326"/>
      <c r="D27" s="326"/>
      <c r="E27" s="326"/>
      <c r="F27" s="326"/>
      <c r="L27" s="286"/>
      <c r="M27" s="327"/>
    </row>
    <row r="28" spans="1:13" ht="16.5" customHeight="1">
      <c r="A28" s="325"/>
      <c r="B28" s="326"/>
      <c r="C28" s="326"/>
      <c r="D28" s="326"/>
      <c r="E28" s="326"/>
      <c r="F28" s="326"/>
      <c r="G28" s="594" t="s">
        <v>571</v>
      </c>
      <c r="H28" s="594"/>
      <c r="I28" s="594"/>
      <c r="J28" s="594"/>
      <c r="K28" s="594"/>
      <c r="L28" s="594"/>
      <c r="M28" s="327"/>
    </row>
    <row r="29" spans="1:13" ht="16.5" customHeight="1">
      <c r="A29" s="325"/>
      <c r="B29" s="326"/>
      <c r="C29" s="326"/>
      <c r="D29" s="326"/>
      <c r="E29" s="326"/>
      <c r="F29" s="326"/>
      <c r="G29" s="595" t="s">
        <v>730</v>
      </c>
      <c r="H29" s="595"/>
      <c r="I29" s="595"/>
      <c r="J29" s="595"/>
      <c r="K29" s="595"/>
      <c r="L29" s="595"/>
      <c r="M29" s="327"/>
    </row>
    <row r="30" spans="1:13" ht="16.5" customHeight="1">
      <c r="A30" s="325"/>
      <c r="B30" s="326"/>
      <c r="C30" s="326"/>
      <c r="D30" s="326"/>
      <c r="E30" s="326"/>
      <c r="F30" s="326"/>
      <c r="G30" s="391"/>
      <c r="H30" s="391"/>
      <c r="I30" s="391"/>
      <c r="J30" s="391"/>
      <c r="K30" s="391"/>
      <c r="L30" s="391"/>
      <c r="M30" s="327"/>
    </row>
    <row r="31" spans="1:13" ht="16.5" customHeight="1">
      <c r="A31" s="325"/>
      <c r="B31" s="326"/>
      <c r="C31" s="326"/>
      <c r="D31" s="326"/>
      <c r="E31" s="326"/>
      <c r="F31" s="326"/>
      <c r="G31" s="391"/>
      <c r="H31" s="391"/>
      <c r="I31" s="391"/>
      <c r="J31" s="391"/>
      <c r="K31" s="391"/>
      <c r="L31" s="391"/>
      <c r="M31" s="327"/>
    </row>
    <row r="32" spans="1:13" ht="16.5" customHeight="1">
      <c r="A32" s="325"/>
      <c r="B32" s="326"/>
      <c r="C32" s="326"/>
      <c r="D32" s="326"/>
      <c r="E32" s="326"/>
      <c r="F32" s="326"/>
      <c r="G32" s="391"/>
      <c r="H32" s="391"/>
      <c r="I32" s="391"/>
      <c r="J32" s="391"/>
      <c r="K32" s="391"/>
      <c r="L32" s="391"/>
      <c r="M32" s="327"/>
    </row>
    <row r="33" spans="1:13" ht="16.5" customHeight="1">
      <c r="A33" s="325"/>
      <c r="B33" s="326"/>
      <c r="C33" s="326"/>
      <c r="D33" s="326"/>
      <c r="E33" s="326"/>
      <c r="F33" s="326"/>
      <c r="G33" s="391"/>
      <c r="H33" s="391"/>
      <c r="I33" s="391"/>
      <c r="J33" s="391"/>
      <c r="K33" s="391"/>
      <c r="L33" s="391"/>
      <c r="M33" s="327"/>
    </row>
    <row r="34" spans="1:13" ht="16.5" customHeight="1">
      <c r="A34" s="325"/>
      <c r="B34" s="326"/>
      <c r="C34" s="326"/>
      <c r="D34" s="326"/>
      <c r="E34" s="326"/>
      <c r="F34" s="326"/>
      <c r="G34" s="391"/>
      <c r="H34" s="391"/>
      <c r="I34" s="391"/>
      <c r="J34" s="391"/>
      <c r="K34" s="391"/>
      <c r="L34" s="391"/>
      <c r="M34" s="327"/>
    </row>
    <row r="35" spans="1:13" ht="16.5" customHeight="1">
      <c r="A35" s="325"/>
      <c r="B35" s="326"/>
      <c r="C35" s="326"/>
      <c r="D35" s="326"/>
      <c r="E35" s="326"/>
      <c r="F35" s="326"/>
      <c r="G35" s="391"/>
      <c r="H35" s="391"/>
      <c r="I35" s="391"/>
      <c r="J35" s="391"/>
      <c r="K35" s="391"/>
      <c r="L35" s="391"/>
      <c r="M35" s="327"/>
    </row>
    <row r="36" spans="1:13" ht="16.5" customHeight="1">
      <c r="A36" s="325"/>
      <c r="B36" s="326"/>
      <c r="C36" s="326"/>
      <c r="D36" s="326"/>
      <c r="E36" s="326"/>
      <c r="F36" s="326"/>
      <c r="G36" s="391"/>
      <c r="H36" s="391"/>
      <c r="I36" s="391"/>
      <c r="J36" s="391"/>
      <c r="K36" s="391"/>
      <c r="L36" s="391"/>
      <c r="M36" s="327"/>
    </row>
    <row r="37" spans="1:13" ht="16.5" customHeight="1">
      <c r="A37" s="325"/>
      <c r="B37" s="326"/>
      <c r="C37" s="326"/>
      <c r="D37" s="326"/>
      <c r="E37" s="326"/>
      <c r="F37" s="326"/>
      <c r="G37" s="391"/>
      <c r="H37" s="391"/>
      <c r="I37" s="391"/>
      <c r="J37" s="391"/>
      <c r="K37" s="391"/>
      <c r="L37" s="391"/>
      <c r="M37" s="327"/>
    </row>
    <row r="38" spans="1:13" ht="16.5" customHeight="1">
      <c r="A38" s="325"/>
      <c r="B38" s="326"/>
      <c r="C38" s="326"/>
      <c r="D38" s="326"/>
      <c r="E38" s="326"/>
      <c r="F38" s="326"/>
      <c r="G38" s="391"/>
      <c r="H38" s="391"/>
      <c r="I38" s="391"/>
      <c r="J38" s="391"/>
      <c r="K38" s="391"/>
      <c r="L38" s="391"/>
      <c r="M38" s="327"/>
    </row>
    <row r="39" spans="1:13" ht="16.5" customHeight="1">
      <c r="A39" s="325"/>
      <c r="B39" s="326"/>
      <c r="C39" s="326"/>
      <c r="D39" s="326"/>
      <c r="E39" s="326"/>
      <c r="F39" s="326"/>
      <c r="G39" s="391"/>
      <c r="H39" s="391"/>
      <c r="I39" s="391"/>
      <c r="J39" s="391"/>
      <c r="K39" s="391"/>
      <c r="L39" s="391"/>
      <c r="M39" s="327"/>
    </row>
    <row r="40" spans="1:13" ht="16.5" customHeight="1">
      <c r="A40" s="325"/>
      <c r="B40" s="326"/>
      <c r="C40" s="326"/>
      <c r="D40" s="326"/>
      <c r="E40" s="326"/>
      <c r="F40" s="326"/>
      <c r="G40" s="391"/>
      <c r="H40" s="391"/>
      <c r="I40" s="391"/>
      <c r="J40" s="391"/>
      <c r="K40" s="391"/>
      <c r="L40" s="391"/>
      <c r="M40" s="327"/>
    </row>
    <row r="41" spans="1:13" ht="16.5" customHeight="1">
      <c r="A41" s="325"/>
      <c r="B41" s="326"/>
      <c r="C41" s="326"/>
      <c r="D41" s="326"/>
      <c r="E41" s="326"/>
      <c r="F41" s="326"/>
      <c r="G41" s="391"/>
      <c r="H41" s="391"/>
      <c r="I41" s="391"/>
      <c r="J41" s="391"/>
      <c r="K41" s="391"/>
      <c r="L41" s="391"/>
      <c r="M41" s="327"/>
    </row>
    <row r="42" spans="1:13" ht="16.5" customHeight="1">
      <c r="A42" s="325"/>
      <c r="B42" s="326"/>
      <c r="C42" s="326"/>
      <c r="D42" s="326"/>
      <c r="E42" s="326"/>
      <c r="F42" s="326"/>
      <c r="G42" s="391"/>
      <c r="H42" s="391"/>
      <c r="I42" s="391"/>
      <c r="J42" s="391"/>
      <c r="K42" s="391"/>
      <c r="L42" s="391"/>
      <c r="M42" s="327"/>
    </row>
    <row r="43" spans="1:13" ht="16.5" customHeight="1">
      <c r="A43" s="325"/>
      <c r="B43" s="326"/>
      <c r="C43" s="326"/>
      <c r="D43" s="326"/>
      <c r="E43" s="326"/>
      <c r="F43" s="326"/>
      <c r="G43" s="391"/>
      <c r="H43" s="391"/>
      <c r="I43" s="391"/>
      <c r="J43" s="391"/>
      <c r="K43" s="391"/>
      <c r="L43" s="391"/>
      <c r="M43" s="327"/>
    </row>
    <row r="44" spans="1:13" ht="16.5" customHeight="1">
      <c r="A44" s="325"/>
      <c r="B44" s="326"/>
      <c r="C44" s="326"/>
      <c r="D44" s="326"/>
      <c r="E44" s="326"/>
      <c r="F44" s="326"/>
      <c r="G44" s="391"/>
      <c r="H44" s="391"/>
      <c r="I44" s="391"/>
      <c r="J44" s="391"/>
      <c r="K44" s="391"/>
      <c r="L44" s="391"/>
      <c r="M44" s="327"/>
    </row>
    <row r="45" spans="1:13" ht="16.5" customHeight="1">
      <c r="A45" s="325"/>
      <c r="B45" s="326"/>
      <c r="C45" s="326"/>
      <c r="D45" s="326"/>
      <c r="E45" s="326"/>
      <c r="F45" s="326"/>
      <c r="G45" s="391"/>
      <c r="H45" s="391"/>
      <c r="I45" s="391"/>
      <c r="J45" s="391"/>
      <c r="K45" s="391"/>
      <c r="L45" s="391"/>
      <c r="M45" s="327"/>
    </row>
    <row r="46" spans="1:13" ht="16.5" customHeight="1">
      <c r="A46" s="325"/>
      <c r="B46" s="326"/>
      <c r="C46" s="326"/>
      <c r="D46" s="326"/>
      <c r="E46" s="326"/>
      <c r="F46" s="326"/>
      <c r="G46" s="391"/>
      <c r="H46" s="391"/>
      <c r="I46" s="391"/>
      <c r="J46" s="391"/>
      <c r="K46" s="391"/>
      <c r="L46" s="391"/>
      <c r="M46" s="327"/>
    </row>
    <row r="47" spans="1:13" ht="16.5" customHeight="1">
      <c r="A47" s="325"/>
      <c r="B47" s="326"/>
      <c r="C47" s="326"/>
      <c r="D47" s="326"/>
      <c r="E47" s="326"/>
      <c r="F47" s="326"/>
      <c r="G47" s="391"/>
      <c r="H47" s="391"/>
      <c r="I47" s="391"/>
      <c r="J47" s="391"/>
      <c r="K47" s="391"/>
      <c r="L47" s="391"/>
      <c r="M47" s="327"/>
    </row>
    <row r="48" spans="1:13" ht="16.5" customHeight="1">
      <c r="A48" s="325"/>
      <c r="B48" s="326"/>
      <c r="C48" s="326"/>
      <c r="D48" s="326"/>
      <c r="E48" s="326"/>
      <c r="F48" s="326"/>
      <c r="G48" s="391"/>
      <c r="H48" s="391"/>
      <c r="I48" s="391"/>
      <c r="J48" s="391"/>
      <c r="K48" s="391"/>
      <c r="L48" s="391"/>
      <c r="M48" s="327"/>
    </row>
    <row r="49" spans="1:13" ht="16.5" customHeight="1">
      <c r="A49" s="325"/>
      <c r="B49" s="326"/>
      <c r="C49" s="326"/>
      <c r="D49" s="326"/>
      <c r="E49" s="326"/>
      <c r="F49" s="326"/>
      <c r="G49" s="391"/>
      <c r="H49" s="391"/>
      <c r="I49" s="391"/>
      <c r="J49" s="391"/>
      <c r="K49" s="391"/>
      <c r="L49" s="391"/>
      <c r="M49" s="327"/>
    </row>
    <row r="50" spans="1:13" ht="15">
      <c r="A50" s="290"/>
      <c r="B50" s="265" t="str">
        <f>+B1</f>
        <v>Shoqeria I.S.P.P sha</v>
      </c>
      <c r="C50" s="291"/>
      <c r="D50" s="291"/>
      <c r="E50" s="290"/>
      <c r="F50" s="290"/>
      <c r="G50" s="290"/>
      <c r="H50" s="290"/>
      <c r="I50" s="290"/>
      <c r="J50" s="290"/>
      <c r="K50" s="290"/>
      <c r="L50" s="290"/>
      <c r="M50" s="290"/>
    </row>
    <row r="51" spans="1:13" ht="12.75">
      <c r="A51" s="290"/>
      <c r="B51" s="266" t="str">
        <f>+B2</f>
        <v>NIPTI K71627019V</v>
      </c>
      <c r="C51" s="291"/>
      <c r="D51" s="291"/>
      <c r="E51" s="290"/>
      <c r="F51" s="290"/>
      <c r="G51" s="290"/>
      <c r="H51" s="290"/>
      <c r="I51" s="290"/>
      <c r="J51" s="290"/>
      <c r="K51" s="290"/>
      <c r="L51" s="290"/>
      <c r="M51" s="290"/>
    </row>
    <row r="52" spans="1:13" ht="12.75">
      <c r="A52" s="290"/>
      <c r="B52" s="292"/>
      <c r="C52" s="290"/>
      <c r="D52" s="290"/>
      <c r="E52" s="290"/>
      <c r="F52" s="290"/>
      <c r="G52" s="290"/>
      <c r="H52" s="290"/>
      <c r="I52" s="290"/>
      <c r="J52" s="290"/>
      <c r="K52" s="290"/>
      <c r="L52" s="292" t="s">
        <v>601</v>
      </c>
      <c r="M52" s="290"/>
    </row>
    <row r="53" spans="1:19" ht="12.75" customHeight="1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4" t="s">
        <v>573</v>
      </c>
      <c r="N53" s="269"/>
      <c r="O53" s="269"/>
      <c r="P53" s="269"/>
      <c r="Q53" s="269"/>
      <c r="R53" s="269"/>
      <c r="S53" s="269"/>
    </row>
    <row r="54" spans="1:13" ht="13.5" thickBot="1">
      <c r="A54" s="602" t="s">
        <v>574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4"/>
    </row>
    <row r="55" spans="1:13" ht="24.75" customHeight="1" thickBot="1">
      <c r="A55" s="380"/>
      <c r="B55" s="605" t="s">
        <v>386</v>
      </c>
      <c r="C55" s="606"/>
      <c r="D55" s="606"/>
      <c r="E55" s="606"/>
      <c r="F55" s="607"/>
      <c r="G55" s="381" t="s">
        <v>575</v>
      </c>
      <c r="H55" s="381" t="s">
        <v>576</v>
      </c>
      <c r="I55" s="381" t="str">
        <f>+I7</f>
        <v>Viti 2013</v>
      </c>
      <c r="J55" s="381" t="str">
        <f>+J7</f>
        <v>Viti 2012</v>
      </c>
      <c r="K55" s="381" t="str">
        <f>+K7</f>
        <v>Viti 2011</v>
      </c>
      <c r="L55" s="382" t="s">
        <v>558</v>
      </c>
      <c r="M55" s="383" t="s">
        <v>546</v>
      </c>
    </row>
    <row r="56" spans="1:13" ht="16.5" customHeight="1">
      <c r="A56" s="378">
        <v>1</v>
      </c>
      <c r="B56" s="608" t="s">
        <v>602</v>
      </c>
      <c r="C56" s="609"/>
      <c r="D56" s="609"/>
      <c r="E56" s="609"/>
      <c r="F56" s="609"/>
      <c r="G56" s="379">
        <v>60</v>
      </c>
      <c r="H56" s="379">
        <v>12100</v>
      </c>
      <c r="I56" s="384">
        <f>+I57+I59+I61+I58</f>
        <v>321378.29404000007</v>
      </c>
      <c r="J56" s="384">
        <f>+J57+J59+J61+J58</f>
        <v>537569.7899999999</v>
      </c>
      <c r="K56" s="384">
        <f>+K57+K58+K59+K60+K61</f>
        <v>1423240.565</v>
      </c>
      <c r="L56" s="384">
        <f>+L57+L58+L59+L60+L61</f>
        <v>551167.0696800001</v>
      </c>
      <c r="M56" s="384">
        <f>+M57+M58+M59+M60+M61</f>
        <v>132462.812</v>
      </c>
    </row>
    <row r="57" spans="1:13" ht="16.5" customHeight="1">
      <c r="A57" s="328" t="s">
        <v>603</v>
      </c>
      <c r="B57" s="569" t="s">
        <v>604</v>
      </c>
      <c r="C57" s="569" t="s">
        <v>605</v>
      </c>
      <c r="D57" s="569"/>
      <c r="E57" s="569"/>
      <c r="F57" s="569"/>
      <c r="G57" s="329" t="s">
        <v>606</v>
      </c>
      <c r="H57" s="329">
        <v>12101</v>
      </c>
      <c r="I57" s="377">
        <f>+'Ardh shpenz alpha'!C67/1000</f>
        <v>147409.97134</v>
      </c>
      <c r="J57" s="377">
        <f>+'Ardh shpenz alpha'!D67/1000</f>
        <v>65097.347</v>
      </c>
      <c r="K57" s="377">
        <f>+'Ardh shpenz alpha'!E67/1000</f>
        <v>865723.847</v>
      </c>
      <c r="L57" s="377">
        <f>+'Ardh shpenz alpha'!F67/1000</f>
        <v>375418.21666000003</v>
      </c>
      <c r="M57" s="377">
        <v>110256</v>
      </c>
    </row>
    <row r="58" spans="1:13" ht="12" customHeight="1">
      <c r="A58" s="328" t="s">
        <v>581</v>
      </c>
      <c r="B58" s="569" t="s">
        <v>607</v>
      </c>
      <c r="C58" s="569" t="s">
        <v>605</v>
      </c>
      <c r="D58" s="569"/>
      <c r="E58" s="569"/>
      <c r="F58" s="569"/>
      <c r="G58" s="329"/>
      <c r="H58" s="331">
        <v>12102</v>
      </c>
      <c r="I58" s="377">
        <f>+'Ardh shpenz alpha'!C68/1000</f>
        <v>-1471.719</v>
      </c>
      <c r="J58" s="377">
        <f>+'Ardh shpenz alpha'!D68/1000</f>
        <v>0</v>
      </c>
      <c r="K58" s="377">
        <f>+'Ardh shpenz alpha'!E68/1000</f>
        <v>0</v>
      </c>
      <c r="L58" s="377">
        <f>+'Ardh shpenz alpha'!F68/1000</f>
        <v>47.983</v>
      </c>
      <c r="M58" s="377"/>
    </row>
    <row r="59" spans="1:13" ht="16.5" customHeight="1">
      <c r="A59" s="328" t="s">
        <v>583</v>
      </c>
      <c r="B59" s="569" t="s">
        <v>608</v>
      </c>
      <c r="C59" s="569" t="s">
        <v>605</v>
      </c>
      <c r="D59" s="569"/>
      <c r="E59" s="569"/>
      <c r="F59" s="569"/>
      <c r="G59" s="329" t="s">
        <v>609</v>
      </c>
      <c r="H59" s="329">
        <v>12103</v>
      </c>
      <c r="I59" s="377">
        <f>+'Ardh shpenz alpha'!C70/1000+I60</f>
        <v>163228.0216</v>
      </c>
      <c r="J59" s="377">
        <f>+'Ardh shpenz alpha'!D70/1000+J60</f>
        <v>469097.463</v>
      </c>
      <c r="K59" s="377">
        <f>+'Ardh shpenz alpha'!E70/1000</f>
        <v>557516.718</v>
      </c>
      <c r="L59" s="377">
        <f>+'Ardh shpenz alpha'!F70/1000</f>
        <v>150202.69893</v>
      </c>
      <c r="M59" s="377"/>
    </row>
    <row r="60" spans="1:13" ht="16.5" customHeight="1">
      <c r="A60" s="328" t="s">
        <v>610</v>
      </c>
      <c r="B60" s="572" t="s">
        <v>611</v>
      </c>
      <c r="C60" s="569" t="s">
        <v>605</v>
      </c>
      <c r="D60" s="569"/>
      <c r="E60" s="569"/>
      <c r="F60" s="569"/>
      <c r="G60" s="329"/>
      <c r="H60" s="331">
        <v>12104</v>
      </c>
      <c r="I60" s="377">
        <f>+'Ardh shpenz alpha'!C71/1000</f>
        <v>0</v>
      </c>
      <c r="J60" s="377">
        <f>+'Ardh shpenz alpha'!D71/1000</f>
        <v>-5364.543</v>
      </c>
      <c r="K60" s="377"/>
      <c r="L60" s="377"/>
      <c r="M60" s="377"/>
    </row>
    <row r="61" spans="1:13" ht="16.5" customHeight="1">
      <c r="A61" s="328" t="s">
        <v>612</v>
      </c>
      <c r="B61" s="569" t="s">
        <v>613</v>
      </c>
      <c r="C61" s="569" t="s">
        <v>605</v>
      </c>
      <c r="D61" s="569"/>
      <c r="E61" s="569"/>
      <c r="F61" s="569"/>
      <c r="G61" s="329" t="s">
        <v>614</v>
      </c>
      <c r="H61" s="331">
        <v>12105</v>
      </c>
      <c r="I61" s="377">
        <f>+'Ardh shpenz alpha'!C72/1000</f>
        <v>12212.020100000002</v>
      </c>
      <c r="J61" s="377">
        <f>+'Ardh shpenz alpha'!D72/1000</f>
        <v>3374.98</v>
      </c>
      <c r="K61" s="377"/>
      <c r="L61" s="377">
        <f>25498171.09/1000</f>
        <v>25498.17109</v>
      </c>
      <c r="M61" s="377">
        <f>22206812/1000</f>
        <v>22206.812</v>
      </c>
    </row>
    <row r="62" spans="1:13" ht="16.5" customHeight="1">
      <c r="A62" s="332">
        <v>2</v>
      </c>
      <c r="B62" s="570" t="s">
        <v>615</v>
      </c>
      <c r="C62" s="570"/>
      <c r="D62" s="570"/>
      <c r="E62" s="570"/>
      <c r="F62" s="570"/>
      <c r="G62" s="333">
        <v>64</v>
      </c>
      <c r="H62" s="333">
        <v>12200</v>
      </c>
      <c r="I62" s="377">
        <f>+I63+I64</f>
        <v>4081.339</v>
      </c>
      <c r="J62" s="377">
        <f>+J63+J64</f>
        <v>5616.459</v>
      </c>
      <c r="K62" s="377">
        <f>+K63+K64</f>
        <v>6306.168</v>
      </c>
      <c r="L62" s="377">
        <f>+L63+L64</f>
        <v>6164.717</v>
      </c>
      <c r="M62" s="377">
        <f>+M63+M64</f>
        <v>7495</v>
      </c>
    </row>
    <row r="63" spans="1:18" ht="16.5" customHeight="1">
      <c r="A63" s="334" t="s">
        <v>616</v>
      </c>
      <c r="B63" s="570" t="s">
        <v>617</v>
      </c>
      <c r="C63" s="573"/>
      <c r="D63" s="573"/>
      <c r="E63" s="573"/>
      <c r="F63" s="573"/>
      <c r="G63" s="331">
        <v>641</v>
      </c>
      <c r="H63" s="331">
        <v>12201</v>
      </c>
      <c r="I63" s="377">
        <f>+'Ardh shpenz alpha'!C74/1000</f>
        <v>3661</v>
      </c>
      <c r="J63" s="377">
        <f>+'Ardh shpenz alpha'!D74/1000</f>
        <v>4969</v>
      </c>
      <c r="K63" s="377">
        <f>+'Ardh shpenz alpha'!E74/1000</f>
        <v>5554</v>
      </c>
      <c r="L63" s="377">
        <f>+'Ardh shpenz alpha'!F74/1000</f>
        <v>5424.092</v>
      </c>
      <c r="M63" s="377">
        <v>6446</v>
      </c>
      <c r="R63" s="386"/>
    </row>
    <row r="64" spans="1:13" ht="16.5" customHeight="1">
      <c r="A64" s="334" t="s">
        <v>618</v>
      </c>
      <c r="B64" s="573" t="s">
        <v>619</v>
      </c>
      <c r="C64" s="573"/>
      <c r="D64" s="573"/>
      <c r="E64" s="573"/>
      <c r="F64" s="573"/>
      <c r="G64" s="331">
        <v>644</v>
      </c>
      <c r="H64" s="331">
        <v>12202</v>
      </c>
      <c r="I64" s="377">
        <f>+'Ardh shpenz alpha'!C76/1000</f>
        <v>420.339</v>
      </c>
      <c r="J64" s="377">
        <f>+'Ardh shpenz alpha'!D76/1000</f>
        <v>647.459</v>
      </c>
      <c r="K64" s="377">
        <f>+'Ardh shpenz alpha'!E76/1000</f>
        <v>752.168</v>
      </c>
      <c r="L64" s="377">
        <f>+'Ardh shpenz alpha'!F76/1000</f>
        <v>740.625</v>
      </c>
      <c r="M64" s="377">
        <v>1049</v>
      </c>
    </row>
    <row r="65" spans="1:13" ht="16.5" customHeight="1">
      <c r="A65" s="332">
        <v>3</v>
      </c>
      <c r="B65" s="570" t="s">
        <v>620</v>
      </c>
      <c r="C65" s="570"/>
      <c r="D65" s="570"/>
      <c r="E65" s="570"/>
      <c r="F65" s="570"/>
      <c r="G65" s="333">
        <v>68</v>
      </c>
      <c r="H65" s="333">
        <v>12300</v>
      </c>
      <c r="I65" s="377">
        <f>+'Ardh shpenz alpha'!C83/1000</f>
        <v>7382.851</v>
      </c>
      <c r="J65" s="377">
        <f>+'Ardh shpenz alpha'!D83/1000</f>
        <v>13626.452</v>
      </c>
      <c r="K65" s="377">
        <f>+'Ardh shpenz alpha'!E83/1000</f>
        <v>10873.215</v>
      </c>
      <c r="L65" s="377">
        <f>+'Ardh shpenz alpha'!F83/1000</f>
        <v>14982.322</v>
      </c>
      <c r="M65" s="377">
        <f>+'Ardh shpenz alpha'!G83/1000</f>
        <v>3865.021</v>
      </c>
    </row>
    <row r="66" spans="1:13" ht="24" customHeight="1">
      <c r="A66" s="332">
        <v>4</v>
      </c>
      <c r="B66" s="570" t="s">
        <v>621</v>
      </c>
      <c r="C66" s="570"/>
      <c r="D66" s="570"/>
      <c r="E66" s="570"/>
      <c r="F66" s="570"/>
      <c r="G66" s="333">
        <v>61</v>
      </c>
      <c r="H66" s="333">
        <v>12400</v>
      </c>
      <c r="I66" s="377">
        <f>+I67+I68+I69+I70+I71+I72+I73+I74+I75+I76+I77+I78+I81</f>
        <v>7679.204250000001</v>
      </c>
      <c r="J66" s="377">
        <f>+J67+J68+J69+J70+J71+J72+J73+J74+J75+J76+J77+J78+J81</f>
        <v>9866.409000000001</v>
      </c>
      <c r="K66" s="377">
        <f>+K67+K68+K69+K70+K71+K72+K73+K74+K75+K76+K77+K78+K79+K80+K81</f>
        <v>12949.505</v>
      </c>
      <c r="L66" s="377">
        <f>+L67+L68+L69+L70+L71+L72+L73+L74+L75+L76+L77+L78+L79+L80+L81</f>
        <v>64853.19351</v>
      </c>
      <c r="M66" s="377">
        <f>+M68+M69+M70+M71+M77+M81</f>
        <v>3615</v>
      </c>
    </row>
    <row r="67" spans="1:13" ht="16.5" customHeight="1">
      <c r="A67" s="334" t="s">
        <v>578</v>
      </c>
      <c r="B67" s="566" t="s">
        <v>622</v>
      </c>
      <c r="C67" s="566"/>
      <c r="D67" s="566"/>
      <c r="E67" s="566"/>
      <c r="F67" s="566"/>
      <c r="G67" s="329"/>
      <c r="H67" s="329">
        <v>12401</v>
      </c>
      <c r="I67" s="377"/>
      <c r="J67" s="377"/>
      <c r="K67" s="377"/>
      <c r="L67" s="377">
        <f>17540666/1000</f>
        <v>17540.666</v>
      </c>
      <c r="M67" s="377"/>
    </row>
    <row r="68" spans="1:13" ht="16.5" customHeight="1">
      <c r="A68" s="334" t="s">
        <v>587</v>
      </c>
      <c r="B68" s="566" t="s">
        <v>623</v>
      </c>
      <c r="C68" s="566"/>
      <c r="D68" s="566"/>
      <c r="E68" s="566"/>
      <c r="F68" s="566"/>
      <c r="G68" s="335">
        <v>611</v>
      </c>
      <c r="H68" s="329">
        <v>12402</v>
      </c>
      <c r="I68" s="377"/>
      <c r="J68" s="377"/>
      <c r="K68" s="377"/>
      <c r="L68" s="377"/>
      <c r="M68" s="377"/>
    </row>
    <row r="69" spans="1:13" ht="16.5" customHeight="1">
      <c r="A69" s="334" t="s">
        <v>589</v>
      </c>
      <c r="B69" s="566" t="s">
        <v>624</v>
      </c>
      <c r="C69" s="566"/>
      <c r="D69" s="566"/>
      <c r="E69" s="566"/>
      <c r="F69" s="566"/>
      <c r="G69" s="329">
        <v>613</v>
      </c>
      <c r="H69" s="329">
        <v>12403</v>
      </c>
      <c r="I69" s="377"/>
      <c r="J69" s="377"/>
      <c r="K69" s="377"/>
      <c r="L69" s="377"/>
      <c r="M69" s="377"/>
    </row>
    <row r="70" spans="1:18" ht="16.5" customHeight="1">
      <c r="A70" s="334" t="s">
        <v>625</v>
      </c>
      <c r="B70" s="566" t="s">
        <v>520</v>
      </c>
      <c r="C70" s="566"/>
      <c r="D70" s="566"/>
      <c r="E70" s="566"/>
      <c r="F70" s="566"/>
      <c r="G70" s="335">
        <v>615</v>
      </c>
      <c r="H70" s="329">
        <v>12404</v>
      </c>
      <c r="I70" s="385"/>
      <c r="J70" s="385"/>
      <c r="K70" s="385"/>
      <c r="L70" s="385">
        <f>13804581.66/1000</f>
        <v>13804.58166</v>
      </c>
      <c r="M70" s="385"/>
      <c r="R70" s="386"/>
    </row>
    <row r="71" spans="1:13" ht="16.5" customHeight="1">
      <c r="A71" s="334" t="s">
        <v>626</v>
      </c>
      <c r="B71" s="566" t="s">
        <v>627</v>
      </c>
      <c r="C71" s="566"/>
      <c r="D71" s="566"/>
      <c r="E71" s="566"/>
      <c r="F71" s="566"/>
      <c r="G71" s="335">
        <v>616</v>
      </c>
      <c r="H71" s="329">
        <v>12405</v>
      </c>
      <c r="I71" s="377"/>
      <c r="J71" s="377"/>
      <c r="K71" s="377">
        <f>486218/1000</f>
        <v>486.218</v>
      </c>
      <c r="L71" s="377">
        <f>459849.02/1000</f>
        <v>459.84902</v>
      </c>
      <c r="M71" s="377"/>
    </row>
    <row r="72" spans="1:18" ht="16.5" customHeight="1">
      <c r="A72" s="334" t="s">
        <v>628</v>
      </c>
      <c r="B72" s="566" t="s">
        <v>629</v>
      </c>
      <c r="C72" s="566"/>
      <c r="D72" s="566"/>
      <c r="E72" s="566"/>
      <c r="F72" s="566"/>
      <c r="G72" s="335">
        <v>617</v>
      </c>
      <c r="H72" s="329">
        <v>12406</v>
      </c>
      <c r="I72" s="377"/>
      <c r="J72" s="377"/>
      <c r="K72" s="377"/>
      <c r="L72" s="377"/>
      <c r="M72" s="377"/>
      <c r="R72" s="386"/>
    </row>
    <row r="73" spans="1:13" ht="16.5" customHeight="1">
      <c r="A73" s="334" t="s">
        <v>630</v>
      </c>
      <c r="B73" s="569" t="s">
        <v>631</v>
      </c>
      <c r="C73" s="569" t="s">
        <v>605</v>
      </c>
      <c r="D73" s="569"/>
      <c r="E73" s="569"/>
      <c r="F73" s="569"/>
      <c r="G73" s="335">
        <v>618</v>
      </c>
      <c r="H73" s="329">
        <v>12407</v>
      </c>
      <c r="I73" s="377">
        <f>+'Ardh shpenz alpha'!C81/1000</f>
        <v>2053.97049</v>
      </c>
      <c r="J73" s="377">
        <f>568378/1000</f>
        <v>568.378</v>
      </c>
      <c r="K73" s="377">
        <f>+'Ardh shpenz alpha'!E78/1000</f>
        <v>1570.707</v>
      </c>
      <c r="L73" s="377">
        <f>133469/1000</f>
        <v>133.469</v>
      </c>
      <c r="M73" s="377"/>
    </row>
    <row r="74" spans="1:13" ht="16.5" customHeight="1">
      <c r="A74" s="334" t="s">
        <v>632</v>
      </c>
      <c r="B74" s="569" t="s">
        <v>633</v>
      </c>
      <c r="C74" s="569"/>
      <c r="D74" s="569"/>
      <c r="E74" s="569"/>
      <c r="F74" s="569"/>
      <c r="G74" s="335">
        <v>623</v>
      </c>
      <c r="H74" s="329">
        <v>12408</v>
      </c>
      <c r="I74" s="377"/>
      <c r="J74" s="377"/>
      <c r="K74" s="377"/>
      <c r="L74" s="377"/>
      <c r="M74" s="377"/>
    </row>
    <row r="75" spans="1:13" ht="16.5" customHeight="1">
      <c r="A75" s="334" t="s">
        <v>634</v>
      </c>
      <c r="B75" s="569" t="s">
        <v>635</v>
      </c>
      <c r="C75" s="569"/>
      <c r="D75" s="569"/>
      <c r="E75" s="569"/>
      <c r="F75" s="569"/>
      <c r="G75" s="335">
        <v>624</v>
      </c>
      <c r="H75" s="329">
        <v>12409</v>
      </c>
      <c r="I75" s="377"/>
      <c r="J75" s="377"/>
      <c r="K75" s="377"/>
      <c r="L75" s="377"/>
      <c r="M75" s="377"/>
    </row>
    <row r="76" spans="1:13" ht="16.5" customHeight="1">
      <c r="A76" s="334" t="s">
        <v>636</v>
      </c>
      <c r="B76" s="569" t="s">
        <v>637</v>
      </c>
      <c r="C76" s="569"/>
      <c r="D76" s="569"/>
      <c r="E76" s="569"/>
      <c r="F76" s="569"/>
      <c r="G76" s="335">
        <v>625</v>
      </c>
      <c r="H76" s="329">
        <v>12410</v>
      </c>
      <c r="I76" s="377"/>
      <c r="J76" s="377"/>
      <c r="K76" s="377"/>
      <c r="L76" s="377"/>
      <c r="M76" s="377"/>
    </row>
    <row r="77" spans="1:13" ht="16.5" customHeight="1">
      <c r="A77" s="334" t="s">
        <v>638</v>
      </c>
      <c r="B77" s="569" t="s">
        <v>639</v>
      </c>
      <c r="C77" s="569"/>
      <c r="D77" s="569"/>
      <c r="E77" s="569"/>
      <c r="F77" s="569"/>
      <c r="G77" s="335">
        <v>626</v>
      </c>
      <c r="H77" s="329">
        <v>12411</v>
      </c>
      <c r="I77" s="377"/>
      <c r="J77" s="377"/>
      <c r="K77" s="377">
        <f>762083/1000</f>
        <v>762.083</v>
      </c>
      <c r="L77" s="377">
        <f>821421.52/1000</f>
        <v>821.42152</v>
      </c>
      <c r="M77" s="377"/>
    </row>
    <row r="78" spans="1:13" ht="16.5" customHeight="1">
      <c r="A78" s="336" t="s">
        <v>640</v>
      </c>
      <c r="B78" s="569" t="s">
        <v>641</v>
      </c>
      <c r="C78" s="569"/>
      <c r="D78" s="569"/>
      <c r="E78" s="569"/>
      <c r="F78" s="569"/>
      <c r="G78" s="335">
        <v>627</v>
      </c>
      <c r="H78" s="329">
        <v>12412</v>
      </c>
      <c r="I78" s="377">
        <f>+I79+I80</f>
        <v>0</v>
      </c>
      <c r="J78" s="377">
        <f>+J79+J80</f>
        <v>0</v>
      </c>
      <c r="K78" s="377"/>
      <c r="L78" s="377"/>
      <c r="M78" s="377"/>
    </row>
    <row r="79" spans="1:13" ht="16.5" customHeight="1">
      <c r="A79" s="334"/>
      <c r="B79" s="571" t="s">
        <v>642</v>
      </c>
      <c r="C79" s="571"/>
      <c r="D79" s="571"/>
      <c r="E79" s="571"/>
      <c r="F79" s="571"/>
      <c r="G79" s="335">
        <v>6271</v>
      </c>
      <c r="H79" s="335">
        <v>124121</v>
      </c>
      <c r="I79" s="377"/>
      <c r="J79" s="377"/>
      <c r="K79" s="377"/>
      <c r="L79" s="377">
        <f>20358861.8/1000</f>
        <v>20358.861800000002</v>
      </c>
      <c r="M79" s="377"/>
    </row>
    <row r="80" spans="1:13" ht="16.5" customHeight="1">
      <c r="A80" s="334"/>
      <c r="B80" s="571" t="s">
        <v>643</v>
      </c>
      <c r="C80" s="571"/>
      <c r="D80" s="571"/>
      <c r="E80" s="571"/>
      <c r="F80" s="571"/>
      <c r="G80" s="335">
        <v>6272</v>
      </c>
      <c r="H80" s="335">
        <v>124122</v>
      </c>
      <c r="I80" s="377"/>
      <c r="J80" s="377"/>
      <c r="K80" s="377"/>
      <c r="L80" s="377"/>
      <c r="M80" s="377"/>
    </row>
    <row r="81" spans="1:13" ht="25.5" customHeight="1">
      <c r="A81" s="334" t="s">
        <v>644</v>
      </c>
      <c r="B81" s="569" t="s">
        <v>796</v>
      </c>
      <c r="C81" s="569"/>
      <c r="D81" s="569"/>
      <c r="E81" s="569"/>
      <c r="F81" s="569"/>
      <c r="G81" s="335">
        <v>628</v>
      </c>
      <c r="H81" s="335">
        <v>12413</v>
      </c>
      <c r="I81" s="377">
        <f>+('Ardh shpenz alpha'!C91+'Ardh shpenz alpha'!C93)/1000</f>
        <v>5625.23376</v>
      </c>
      <c r="J81" s="377">
        <f>+('Ardh shpenz alpha'!D91+'Ardh shpenz alpha'!D93)/1000</f>
        <v>9298.031</v>
      </c>
      <c r="K81" s="377">
        <f>(2080818+'Ardh shpenz alpha'!E90-'Ardh shpenz alpha'!E37)/1000</f>
        <v>10130.497</v>
      </c>
      <c r="L81" s="377">
        <f>(349335.38+2781877.33+72392+220732.97+7908000+402006.83)/1000</f>
        <v>11734.344509999999</v>
      </c>
      <c r="M81" s="377">
        <v>3615</v>
      </c>
    </row>
    <row r="82" spans="1:13" ht="16.5" customHeight="1">
      <c r="A82" s="332">
        <v>5</v>
      </c>
      <c r="B82" s="572" t="s">
        <v>645</v>
      </c>
      <c r="C82" s="569"/>
      <c r="D82" s="569"/>
      <c r="E82" s="569"/>
      <c r="F82" s="569"/>
      <c r="G82" s="330">
        <v>63</v>
      </c>
      <c r="H82" s="330">
        <v>12500</v>
      </c>
      <c r="I82" s="377">
        <f>+I83+I84+I85+I86</f>
        <v>5464.24872</v>
      </c>
      <c r="J82" s="377">
        <f>+J83+J84+J85+J86</f>
        <v>25.12</v>
      </c>
      <c r="K82" s="377">
        <f>+K83+K84+K85+K86</f>
        <v>33090.311</v>
      </c>
      <c r="L82" s="377">
        <f>+L83+L84+L85+L86</f>
        <v>16242.706000000002</v>
      </c>
      <c r="M82" s="377">
        <f>SUM(M83:M86)</f>
        <v>301.219</v>
      </c>
    </row>
    <row r="83" spans="1:13" ht="16.5" customHeight="1">
      <c r="A83" s="334" t="s">
        <v>578</v>
      </c>
      <c r="B83" s="569" t="s">
        <v>646</v>
      </c>
      <c r="C83" s="569"/>
      <c r="D83" s="569"/>
      <c r="E83" s="569"/>
      <c r="F83" s="569"/>
      <c r="G83" s="335">
        <v>632</v>
      </c>
      <c r="H83" s="335">
        <v>12501</v>
      </c>
      <c r="I83" s="377"/>
      <c r="J83" s="377"/>
      <c r="K83" s="377"/>
      <c r="L83" s="377"/>
      <c r="M83" s="377"/>
    </row>
    <row r="84" spans="1:13" ht="16.5" customHeight="1">
      <c r="A84" s="334" t="s">
        <v>587</v>
      </c>
      <c r="B84" s="569" t="s">
        <v>647</v>
      </c>
      <c r="C84" s="569"/>
      <c r="D84" s="569"/>
      <c r="E84" s="569"/>
      <c r="F84" s="569"/>
      <c r="G84" s="335">
        <v>633</v>
      </c>
      <c r="H84" s="335">
        <v>12502</v>
      </c>
      <c r="I84" s="377">
        <f>4065542/1000</f>
        <v>4065.542</v>
      </c>
      <c r="J84" s="377"/>
      <c r="K84" s="377">
        <f>+(32239043+324195+149278)/1000</f>
        <v>32712.516</v>
      </c>
      <c r="L84" s="377">
        <f>14632575/1000</f>
        <v>14632.575</v>
      </c>
      <c r="M84" s="377"/>
    </row>
    <row r="85" spans="1:16" ht="16.5" customHeight="1">
      <c r="A85" s="334" t="s">
        <v>589</v>
      </c>
      <c r="B85" s="569" t="s">
        <v>648</v>
      </c>
      <c r="C85" s="569"/>
      <c r="D85" s="569"/>
      <c r="E85" s="569"/>
      <c r="F85" s="569"/>
      <c r="G85" s="335">
        <v>634</v>
      </c>
      <c r="H85" s="335">
        <v>12503</v>
      </c>
      <c r="I85" s="551">
        <f>93332/1000</f>
        <v>93.332</v>
      </c>
      <c r="J85" s="551">
        <v>25.12</v>
      </c>
      <c r="K85" s="377">
        <f>65120/1000</f>
        <v>65.12</v>
      </c>
      <c r="L85" s="377">
        <f>40120/1000</f>
        <v>40.12</v>
      </c>
      <c r="M85" s="377">
        <f>+'Ardh shpenz alpha'!G77/1000</f>
        <v>301.219</v>
      </c>
      <c r="P85" s="386">
        <f>+J87-566704</f>
        <v>0.22999999998137355</v>
      </c>
    </row>
    <row r="86" spans="1:13" ht="16.5" customHeight="1">
      <c r="A86" s="334" t="s">
        <v>625</v>
      </c>
      <c r="B86" s="569" t="s">
        <v>649</v>
      </c>
      <c r="C86" s="569"/>
      <c r="D86" s="569"/>
      <c r="E86" s="569"/>
      <c r="F86" s="569"/>
      <c r="G86" s="335" t="s">
        <v>650</v>
      </c>
      <c r="H86" s="335">
        <v>12504</v>
      </c>
      <c r="I86" s="377">
        <f>+(354159.72+721812+229403)/1000</f>
        <v>1305.37472</v>
      </c>
      <c r="J86" s="377"/>
      <c r="K86" s="377">
        <f>312675/1000</f>
        <v>312.675</v>
      </c>
      <c r="L86" s="377">
        <f>1570011/1000</f>
        <v>1570.011</v>
      </c>
      <c r="M86" s="377"/>
    </row>
    <row r="87" spans="1:13" ht="12.75" customHeight="1">
      <c r="A87" s="332" t="s">
        <v>651</v>
      </c>
      <c r="B87" s="570" t="s">
        <v>652</v>
      </c>
      <c r="C87" s="570"/>
      <c r="D87" s="570"/>
      <c r="E87" s="570"/>
      <c r="F87" s="570"/>
      <c r="G87" s="335"/>
      <c r="H87" s="335">
        <v>12600</v>
      </c>
      <c r="I87" s="377">
        <f>+I56+I62+I65+I66+I82</f>
        <v>345985.93701000005</v>
      </c>
      <c r="J87" s="377">
        <f>+J56+J62+J65+J66+J82</f>
        <v>566704.23</v>
      </c>
      <c r="K87" s="377">
        <f>+K56+K62+K65+K66+K82</f>
        <v>1486459.764</v>
      </c>
      <c r="L87" s="377">
        <f>+L56+L62+L65+L66+L82</f>
        <v>653410.0081900001</v>
      </c>
      <c r="M87" s="377">
        <f>+M82+M66+M65+M62+M56</f>
        <v>147739.052</v>
      </c>
    </row>
    <row r="88" spans="1:13" ht="16.5" customHeight="1">
      <c r="A88" s="337"/>
      <c r="B88" s="338" t="s">
        <v>653</v>
      </c>
      <c r="C88" s="339"/>
      <c r="D88" s="339"/>
      <c r="E88" s="339"/>
      <c r="F88" s="339"/>
      <c r="G88" s="339"/>
      <c r="H88" s="339"/>
      <c r="I88" s="387" t="str">
        <f>+I55</f>
        <v>Viti 2013</v>
      </c>
      <c r="J88" s="387" t="str">
        <f>+J55</f>
        <v>Viti 2012</v>
      </c>
      <c r="K88" s="387" t="str">
        <f>+K55</f>
        <v>Viti 2011</v>
      </c>
      <c r="L88" s="387" t="s">
        <v>558</v>
      </c>
      <c r="M88" s="388" t="s">
        <v>546</v>
      </c>
    </row>
    <row r="89" spans="1:13" ht="16.5" customHeight="1">
      <c r="A89" s="340">
        <v>1</v>
      </c>
      <c r="B89" s="565" t="s">
        <v>654</v>
      </c>
      <c r="C89" s="565"/>
      <c r="D89" s="565"/>
      <c r="E89" s="565"/>
      <c r="F89" s="565"/>
      <c r="G89" s="330"/>
      <c r="H89" s="330">
        <v>14000</v>
      </c>
      <c r="I89" s="377">
        <v>8</v>
      </c>
      <c r="J89" s="377">
        <v>12</v>
      </c>
      <c r="K89" s="377">
        <v>14</v>
      </c>
      <c r="L89" s="377">
        <v>14</v>
      </c>
      <c r="M89" s="389">
        <v>14</v>
      </c>
    </row>
    <row r="90" spans="1:13" ht="16.5" customHeight="1">
      <c r="A90" s="340">
        <v>2</v>
      </c>
      <c r="B90" s="565" t="s">
        <v>655</v>
      </c>
      <c r="C90" s="565"/>
      <c r="D90" s="565"/>
      <c r="E90" s="565"/>
      <c r="F90" s="565"/>
      <c r="G90" s="330"/>
      <c r="H90" s="330">
        <v>15000</v>
      </c>
      <c r="I90" s="377">
        <f>+I92-I94</f>
        <v>124.74000000000001</v>
      </c>
      <c r="J90" s="377">
        <f>+J92-J94</f>
        <v>0</v>
      </c>
      <c r="K90" s="377">
        <f>+K92-K94</f>
        <v>0</v>
      </c>
      <c r="L90" s="377">
        <f>+L92-L94</f>
        <v>-7908</v>
      </c>
      <c r="M90" s="377"/>
    </row>
    <row r="91" spans="1:13" ht="16.5" customHeight="1">
      <c r="A91" s="341" t="s">
        <v>578</v>
      </c>
      <c r="B91" s="566" t="s">
        <v>656</v>
      </c>
      <c r="C91" s="566"/>
      <c r="D91" s="566"/>
      <c r="E91" s="566"/>
      <c r="F91" s="566"/>
      <c r="G91" s="330"/>
      <c r="H91" s="335">
        <v>15001</v>
      </c>
      <c r="I91" s="377">
        <f>+'Aq&amp;AM'!G17/1000</f>
        <v>0</v>
      </c>
      <c r="J91" s="377">
        <f>+'Aq&amp;AM'!H17/1000</f>
        <v>0</v>
      </c>
      <c r="K91" s="377">
        <f>+'Aq&amp;AM'!L17/1000</f>
        <v>322.24</v>
      </c>
      <c r="L91" s="377"/>
      <c r="M91" s="389"/>
    </row>
    <row r="92" spans="1:13" ht="16.5" customHeight="1">
      <c r="A92" s="341"/>
      <c r="B92" s="567" t="s">
        <v>657</v>
      </c>
      <c r="C92" s="567"/>
      <c r="D92" s="567"/>
      <c r="E92" s="567"/>
      <c r="F92" s="567"/>
      <c r="G92" s="330"/>
      <c r="H92" s="335">
        <v>150011</v>
      </c>
      <c r="I92" s="377">
        <f>+'Aq&amp;AM'!J17/1000</f>
        <v>322.24</v>
      </c>
      <c r="J92" s="377"/>
      <c r="K92" s="377"/>
      <c r="L92" s="377"/>
      <c r="M92" s="389">
        <v>7908</v>
      </c>
    </row>
    <row r="93" spans="1:13" ht="16.5" customHeight="1">
      <c r="A93" s="342" t="s">
        <v>587</v>
      </c>
      <c r="B93" s="566" t="s">
        <v>658</v>
      </c>
      <c r="C93" s="566"/>
      <c r="D93" s="566"/>
      <c r="E93" s="566"/>
      <c r="F93" s="566"/>
      <c r="G93" s="330"/>
      <c r="H93" s="335">
        <v>15002</v>
      </c>
      <c r="I93" s="377">
        <f>+'Aq&amp;AM'!G22/1000</f>
        <v>0</v>
      </c>
      <c r="J93" s="377">
        <f>+'Aq&amp;AM'!H22/1000</f>
        <v>4426.626</v>
      </c>
      <c r="K93" s="377"/>
      <c r="L93" s="377"/>
      <c r="M93" s="389"/>
    </row>
    <row r="94" spans="1:13" ht="13.5" thickBot="1">
      <c r="A94" s="343"/>
      <c r="B94" s="568" t="s">
        <v>659</v>
      </c>
      <c r="C94" s="568"/>
      <c r="D94" s="568"/>
      <c r="E94" s="568"/>
      <c r="F94" s="568"/>
      <c r="G94" s="344"/>
      <c r="H94" s="345">
        <v>150021</v>
      </c>
      <c r="I94" s="390">
        <f>+'Aq&amp;AM'!J18/1000</f>
        <v>197.5</v>
      </c>
      <c r="J94" s="390">
        <v>0</v>
      </c>
      <c r="K94" s="390">
        <v>0</v>
      </c>
      <c r="L94" s="390">
        <f>7908000/1000</f>
        <v>7908</v>
      </c>
      <c r="M94" s="390"/>
    </row>
    <row r="95" spans="1:13" ht="12.75">
      <c r="A95" s="271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346"/>
      <c r="M95" s="346"/>
    </row>
    <row r="96" spans="1:13" ht="15.75">
      <c r="A96" s="290"/>
      <c r="B96" s="290"/>
      <c r="C96" s="290"/>
      <c r="D96" s="290"/>
      <c r="E96" s="290"/>
      <c r="F96" s="290"/>
      <c r="G96" s="594" t="s">
        <v>571</v>
      </c>
      <c r="H96" s="594"/>
      <c r="I96" s="594"/>
      <c r="J96" s="594"/>
      <c r="K96" s="594"/>
      <c r="L96" s="594"/>
      <c r="M96" s="347"/>
    </row>
    <row r="97" spans="1:13" ht="15.75">
      <c r="A97" s="290"/>
      <c r="B97" s="290"/>
      <c r="C97" s="290"/>
      <c r="D97" s="290"/>
      <c r="E97" s="290"/>
      <c r="F97" s="290"/>
      <c r="G97" s="595" t="s">
        <v>730</v>
      </c>
      <c r="H97" s="595"/>
      <c r="I97" s="595"/>
      <c r="J97" s="595"/>
      <c r="K97" s="595"/>
      <c r="L97" s="595"/>
      <c r="M97" s="347"/>
    </row>
    <row r="98" spans="1:13" ht="15.75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347"/>
    </row>
    <row r="99" spans="1:13" ht="15.75">
      <c r="A99" s="290"/>
      <c r="B99" s="348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347"/>
    </row>
    <row r="100" spans="1:15" ht="12.75">
      <c r="A100" s="290"/>
      <c r="B100" s="348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O100" s="386"/>
    </row>
    <row r="101" spans="1:13" ht="12.75">
      <c r="A101" s="290"/>
      <c r="B101" s="348"/>
      <c r="C101" s="290"/>
      <c r="D101" s="290"/>
      <c r="E101" s="290"/>
      <c r="F101" s="290"/>
      <c r="G101" s="290"/>
      <c r="H101" s="290"/>
      <c r="I101" s="290"/>
      <c r="J101" s="290"/>
      <c r="K101" s="290"/>
      <c r="L101" s="474"/>
      <c r="M101" s="290"/>
    </row>
    <row r="102" spans="1:13" ht="12.75">
      <c r="A102" s="290"/>
      <c r="B102" s="348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</row>
    <row r="103" spans="1:13" ht="12.75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</row>
    <row r="104" spans="1:13" ht="12.75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</row>
    <row r="105" spans="1:13" ht="12.75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</row>
    <row r="106" spans="1:13" ht="12.75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</row>
    <row r="107" spans="1:13" ht="12.75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</row>
    <row r="108" spans="1:13" ht="12.75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</row>
    <row r="109" spans="1:13" ht="12.75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</row>
    <row r="110" spans="1:13" ht="12.75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</row>
    <row r="111" spans="1:13" ht="12.75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</row>
    <row r="112" spans="1:13" ht="12.75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</row>
    <row r="113" spans="1:13" ht="12.75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</row>
    <row r="114" spans="1:13" ht="12.75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</row>
    <row r="115" spans="1:13" ht="12.75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</row>
    <row r="116" spans="1:13" ht="12.75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</row>
    <row r="117" spans="1:13" ht="12.75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</row>
    <row r="118" spans="1:13" ht="12.75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</row>
    <row r="119" spans="1:13" ht="12.75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</row>
    <row r="120" spans="1:13" ht="12.75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</row>
    <row r="121" spans="1:13" ht="12.75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</row>
    <row r="122" spans="1:13" ht="12.75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</row>
    <row r="123" spans="1:13" ht="12.75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</row>
    <row r="124" spans="1:13" ht="12.75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</row>
    <row r="125" spans="1:13" ht="12.75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</row>
    <row r="126" spans="1:13" ht="12.75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</row>
    <row r="127" spans="1:13" ht="12.75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</row>
    <row r="128" spans="1:13" ht="12.75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</row>
    <row r="129" spans="1:13" ht="12.75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</row>
    <row r="130" spans="1:13" ht="12.75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</row>
    <row r="131" spans="1:13" ht="12.75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</row>
    <row r="132" spans="1:13" ht="12.75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</row>
    <row r="133" spans="1:13" ht="12.75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</row>
    <row r="134" spans="1:13" ht="12.75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</row>
    <row r="135" spans="1:13" ht="12.75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</row>
    <row r="136" spans="1:13" ht="12.75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</row>
    <row r="137" spans="1:13" ht="12.75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</row>
    <row r="138" spans="1:13" ht="12.75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</row>
    <row r="139" spans="1:13" ht="12.75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</row>
    <row r="140" spans="1:13" ht="12.75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</row>
    <row r="141" spans="1:13" ht="12.75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</row>
    <row r="142" spans="1:13" ht="12.75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</row>
    <row r="143" spans="1:13" ht="12.75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</row>
    <row r="144" spans="1:13" ht="12.75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</row>
    <row r="145" spans="1:13" ht="12.75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</row>
    <row r="146" spans="1:13" ht="12.75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</row>
    <row r="147" spans="1:13" ht="12.75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</row>
    <row r="148" spans="1:13" ht="12.75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</row>
    <row r="149" spans="1:13" ht="12.75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</row>
    <row r="150" spans="1:13" ht="12.75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</row>
    <row r="151" spans="1:13" ht="12.75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</row>
    <row r="152" spans="1:13" ht="12.75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</row>
    <row r="153" spans="1:13" ht="12.75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</row>
    <row r="154" spans="1:13" ht="12.75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</row>
    <row r="155" spans="1:13" ht="12.75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</row>
    <row r="156" spans="1:13" ht="12.75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</row>
    <row r="157" spans="1:13" ht="12.75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</row>
    <row r="158" spans="1:13" ht="12.75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</row>
    <row r="159" spans="1:13" ht="12.75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</row>
    <row r="160" spans="1:13" ht="12.75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</row>
    <row r="161" spans="1:13" ht="12.75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</row>
    <row r="162" spans="1:13" ht="12.75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</row>
    <row r="163" spans="1:13" ht="12.75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</row>
    <row r="164" spans="1:13" ht="12.75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</row>
    <row r="165" spans="1:13" ht="12.75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</row>
    <row r="166" spans="1:13" ht="12.75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</row>
    <row r="167" spans="1:13" ht="12.75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</row>
    <row r="168" spans="1:13" ht="12.75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</row>
    <row r="169" spans="1:13" ht="12.75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</row>
    <row r="170" spans="1:13" ht="12.75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</row>
    <row r="171" spans="1:13" ht="12.75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</row>
    <row r="172" spans="1:13" ht="12.75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</row>
    <row r="173" spans="1:13" ht="12.75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</row>
    <row r="174" spans="1:13" ht="12.75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</row>
    <row r="175" spans="1:13" ht="12.75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</row>
    <row r="176" spans="1:13" ht="12.75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</row>
    <row r="177" spans="1:13" ht="12.75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</row>
    <row r="178" spans="1:13" ht="12.75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</row>
    <row r="179" spans="1:13" ht="12.75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</row>
    <row r="180" spans="1:13" ht="12.75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</row>
    <row r="181" spans="1:13" ht="12.75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</row>
    <row r="182" spans="1:13" ht="12.75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</row>
    <row r="183" spans="1:13" ht="12.75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</row>
    <row r="184" spans="1:13" ht="12.75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</row>
    <row r="185" spans="1:13" ht="12.75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</row>
    <row r="186" spans="1:13" ht="12.75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</row>
  </sheetData>
  <sheetProtection/>
  <mergeCells count="63">
    <mergeCell ref="B10:F10"/>
    <mergeCell ref="B11:F11"/>
    <mergeCell ref="A6:M6"/>
    <mergeCell ref="B7:F7"/>
    <mergeCell ref="B8:F8"/>
    <mergeCell ref="B9:F9"/>
    <mergeCell ref="B16:F16"/>
    <mergeCell ref="B17:F17"/>
    <mergeCell ref="B18:F18"/>
    <mergeCell ref="B19:F19"/>
    <mergeCell ref="B12:F12"/>
    <mergeCell ref="B13:F13"/>
    <mergeCell ref="B14:F14"/>
    <mergeCell ref="B15:F15"/>
    <mergeCell ref="G28:L28"/>
    <mergeCell ref="G29:L29"/>
    <mergeCell ref="B24:F24"/>
    <mergeCell ref="A54:M54"/>
    <mergeCell ref="B20:F20"/>
    <mergeCell ref="B21:F21"/>
    <mergeCell ref="B57:F57"/>
    <mergeCell ref="B58:F58"/>
    <mergeCell ref="B55:F55"/>
    <mergeCell ref="B56:F56"/>
    <mergeCell ref="B22:F22"/>
    <mergeCell ref="B23:F23"/>
    <mergeCell ref="B63:F63"/>
    <mergeCell ref="B64:F64"/>
    <mergeCell ref="B65:F65"/>
    <mergeCell ref="B66:F66"/>
    <mergeCell ref="B59:F59"/>
    <mergeCell ref="B60:F60"/>
    <mergeCell ref="B61:F61"/>
    <mergeCell ref="B62:F62"/>
    <mergeCell ref="B87:F87"/>
    <mergeCell ref="B89:F89"/>
    <mergeCell ref="B77:F77"/>
    <mergeCell ref="B78:F78"/>
    <mergeCell ref="B79:F79"/>
    <mergeCell ref="B80:F80"/>
    <mergeCell ref="B81:F81"/>
    <mergeCell ref="B82:F82"/>
    <mergeCell ref="B75:F75"/>
    <mergeCell ref="B76:F76"/>
    <mergeCell ref="B67:F67"/>
    <mergeCell ref="B68:F68"/>
    <mergeCell ref="B69:F69"/>
    <mergeCell ref="B70:F70"/>
    <mergeCell ref="B71:F71"/>
    <mergeCell ref="B72:F72"/>
    <mergeCell ref="B73:F73"/>
    <mergeCell ref="B74:F74"/>
    <mergeCell ref="B83:F83"/>
    <mergeCell ref="B84:F84"/>
    <mergeCell ref="B85:F85"/>
    <mergeCell ref="B86:F86"/>
    <mergeCell ref="G96:L96"/>
    <mergeCell ref="G97:L97"/>
    <mergeCell ref="B90:F90"/>
    <mergeCell ref="B91:F91"/>
    <mergeCell ref="B92:F92"/>
    <mergeCell ref="B93:F93"/>
    <mergeCell ref="B94:F94"/>
  </mergeCells>
  <printOptions/>
  <pageMargins left="0.25" right="0.27" top="0.25" bottom="0.17" header="0.17" footer="0.16"/>
  <pageSetup horizontalDpi="1200" verticalDpi="12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37">
      <selection activeCell="K43" sqref="K43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292" t="s">
        <v>660</v>
      </c>
      <c r="B1" s="292" t="s">
        <v>661</v>
      </c>
      <c r="C1" s="292" t="s">
        <v>662</v>
      </c>
      <c r="I1" s="265" t="s">
        <v>789</v>
      </c>
    </row>
    <row r="2" spans="2:9" ht="12.75">
      <c r="B2" s="292" t="s">
        <v>663</v>
      </c>
      <c r="C2" s="292" t="s">
        <v>663</v>
      </c>
      <c r="I2" s="266" t="s">
        <v>763</v>
      </c>
    </row>
    <row r="3" spans="2:11" ht="12.75">
      <c r="B3" s="292"/>
      <c r="C3" s="292"/>
      <c r="I3" s="266"/>
      <c r="K3" s="292" t="s">
        <v>664</v>
      </c>
    </row>
    <row r="4" spans="2:3" ht="12.75">
      <c r="B4" s="292"/>
      <c r="C4" s="292"/>
    </row>
    <row r="5" spans="2:11" ht="12.75">
      <c r="B5" s="290" t="s">
        <v>665</v>
      </c>
      <c r="C5" s="290" t="s">
        <v>665</v>
      </c>
      <c r="H5" s="277"/>
      <c r="I5" s="277"/>
      <c r="J5" s="276" t="s">
        <v>666</v>
      </c>
      <c r="K5" s="276" t="s">
        <v>667</v>
      </c>
    </row>
    <row r="6" spans="2:11" ht="12.75">
      <c r="B6" s="290" t="s">
        <v>668</v>
      </c>
      <c r="C6" s="290" t="s">
        <v>668</v>
      </c>
      <c r="H6" s="277">
        <v>1</v>
      </c>
      <c r="I6" s="276" t="s">
        <v>663</v>
      </c>
      <c r="J6" s="349" t="s">
        <v>665</v>
      </c>
      <c r="K6" s="352">
        <f>+'Ardh shpenz alpha'!C15/1000</f>
        <v>160534.70794999998</v>
      </c>
    </row>
    <row r="7" spans="2:11" ht="12.75">
      <c r="B7" s="290" t="s">
        <v>669</v>
      </c>
      <c r="C7" s="290" t="s">
        <v>669</v>
      </c>
      <c r="H7" s="277">
        <v>2</v>
      </c>
      <c r="I7" s="276" t="s">
        <v>663</v>
      </c>
      <c r="J7" s="349" t="s">
        <v>670</v>
      </c>
      <c r="K7" s="277"/>
    </row>
    <row r="8" spans="2:11" ht="12.75">
      <c r="B8" s="290" t="s">
        <v>671</v>
      </c>
      <c r="C8" s="290" t="s">
        <v>671</v>
      </c>
      <c r="H8" s="277">
        <v>3</v>
      </c>
      <c r="I8" s="276" t="s">
        <v>663</v>
      </c>
      <c r="J8" s="349" t="s">
        <v>672</v>
      </c>
      <c r="K8" s="277"/>
    </row>
    <row r="9" spans="2:11" ht="12.75">
      <c r="B9" s="290" t="s">
        <v>673</v>
      </c>
      <c r="C9" s="290" t="s">
        <v>673</v>
      </c>
      <c r="H9" s="277">
        <v>4</v>
      </c>
      <c r="I9" s="276" t="s">
        <v>663</v>
      </c>
      <c r="J9" s="349" t="s">
        <v>671</v>
      </c>
      <c r="K9" s="277"/>
    </row>
    <row r="10" spans="2:11" ht="12.75">
      <c r="B10" s="290" t="s">
        <v>674</v>
      </c>
      <c r="C10" s="290" t="s">
        <v>674</v>
      </c>
      <c r="H10" s="277">
        <v>5</v>
      </c>
      <c r="I10" s="276" t="s">
        <v>663</v>
      </c>
      <c r="J10" s="349" t="s">
        <v>673</v>
      </c>
      <c r="K10" s="277"/>
    </row>
    <row r="11" spans="2:11" ht="12.75">
      <c r="B11" s="290" t="s">
        <v>675</v>
      </c>
      <c r="C11" s="290" t="s">
        <v>675</v>
      </c>
      <c r="H11" s="277">
        <v>6</v>
      </c>
      <c r="I11" s="276" t="s">
        <v>663</v>
      </c>
      <c r="J11" s="349" t="s">
        <v>674</v>
      </c>
      <c r="K11" s="277"/>
    </row>
    <row r="12" spans="2:11" ht="12.75">
      <c r="B12" s="290" t="s">
        <v>676</v>
      </c>
      <c r="C12" s="290" t="s">
        <v>676</v>
      </c>
      <c r="H12" s="277">
        <v>7</v>
      </c>
      <c r="I12" s="276" t="s">
        <v>663</v>
      </c>
      <c r="J12" s="349" t="s">
        <v>677</v>
      </c>
      <c r="K12" s="277"/>
    </row>
    <row r="13" spans="2:11" ht="12.75">
      <c r="B13" s="292" t="s">
        <v>678</v>
      </c>
      <c r="C13" s="292" t="s">
        <v>678</v>
      </c>
      <c r="H13" s="277">
        <v>8</v>
      </c>
      <c r="I13" s="276" t="s">
        <v>663</v>
      </c>
      <c r="J13" s="349" t="s">
        <v>676</v>
      </c>
      <c r="K13" s="276">
        <f>+'Ardh shpenz alpha'!C17/1000</f>
        <v>1375</v>
      </c>
    </row>
    <row r="14" spans="2:11" ht="12.75">
      <c r="B14" s="292"/>
      <c r="C14" s="292"/>
      <c r="H14" s="276" t="s">
        <v>144</v>
      </c>
      <c r="I14" s="276"/>
      <c r="J14" s="276" t="s">
        <v>679</v>
      </c>
      <c r="K14" s="352">
        <f>SUM(K6:K13)</f>
        <v>161909.70794999998</v>
      </c>
    </row>
    <row r="15" spans="2:11" ht="12.75">
      <c r="B15" s="290" t="s">
        <v>680</v>
      </c>
      <c r="C15" s="290" t="s">
        <v>680</v>
      </c>
      <c r="H15" s="277">
        <v>9</v>
      </c>
      <c r="I15" s="276" t="s">
        <v>678</v>
      </c>
      <c r="J15" s="349" t="s">
        <v>681</v>
      </c>
      <c r="K15" s="277"/>
    </row>
    <row r="16" spans="2:11" ht="12.75">
      <c r="B16" s="290" t="s">
        <v>682</v>
      </c>
      <c r="C16" s="290" t="s">
        <v>682</v>
      </c>
      <c r="H16" s="277">
        <v>10</v>
      </c>
      <c r="I16" s="276" t="s">
        <v>678</v>
      </c>
      <c r="J16" s="349" t="s">
        <v>795</v>
      </c>
      <c r="K16" s="352">
        <f>+'Ardh shpenz alpha'!C14/1000</f>
        <v>178970.63794</v>
      </c>
    </row>
    <row r="17" spans="2:11" ht="12.75">
      <c r="B17" s="290" t="s">
        <v>683</v>
      </c>
      <c r="C17" s="290" t="s">
        <v>683</v>
      </c>
      <c r="H17" s="277">
        <v>11</v>
      </c>
      <c r="I17" s="276" t="s">
        <v>678</v>
      </c>
      <c r="J17" s="349" t="s">
        <v>683</v>
      </c>
      <c r="K17" s="277"/>
    </row>
    <row r="18" spans="2:11" ht="12.75">
      <c r="B18" s="290"/>
      <c r="C18" s="290"/>
      <c r="H18" s="276" t="s">
        <v>145</v>
      </c>
      <c r="I18" s="276"/>
      <c r="J18" s="276" t="s">
        <v>684</v>
      </c>
      <c r="K18" s="352">
        <f>+K16</f>
        <v>178970.63794</v>
      </c>
    </row>
    <row r="19" spans="2:11" ht="12.75">
      <c r="B19" s="292" t="s">
        <v>685</v>
      </c>
      <c r="C19" s="292" t="s">
        <v>685</v>
      </c>
      <c r="H19" s="277">
        <v>12</v>
      </c>
      <c r="I19" s="276" t="s">
        <v>685</v>
      </c>
      <c r="J19" s="349" t="s">
        <v>686</v>
      </c>
      <c r="K19" s="277"/>
    </row>
    <row r="20" spans="2:11" ht="12.75">
      <c r="B20" s="290" t="s">
        <v>675</v>
      </c>
      <c r="C20" s="290" t="s">
        <v>675</v>
      </c>
      <c r="H20" s="277">
        <v>13</v>
      </c>
      <c r="I20" s="276" t="s">
        <v>685</v>
      </c>
      <c r="J20" s="276" t="s">
        <v>687</v>
      </c>
      <c r="K20" s="277"/>
    </row>
    <row r="21" spans="2:11" ht="12.75">
      <c r="B21" s="290" t="s">
        <v>688</v>
      </c>
      <c r="C21" s="290" t="s">
        <v>688</v>
      </c>
      <c r="H21" s="277">
        <v>14</v>
      </c>
      <c r="I21" s="276" t="s">
        <v>685</v>
      </c>
      <c r="J21" s="349" t="s">
        <v>689</v>
      </c>
      <c r="K21" s="277"/>
    </row>
    <row r="22" spans="2:11" ht="12.75">
      <c r="B22" s="290" t="s">
        <v>689</v>
      </c>
      <c r="C22" s="290" t="s">
        <v>689</v>
      </c>
      <c r="H22" s="277">
        <v>15</v>
      </c>
      <c r="I22" s="276" t="s">
        <v>685</v>
      </c>
      <c r="J22" s="349" t="s">
        <v>690</v>
      </c>
      <c r="K22" s="277"/>
    </row>
    <row r="23" spans="2:11" ht="12.75">
      <c r="B23" s="290" t="s">
        <v>690</v>
      </c>
      <c r="C23" s="290" t="s">
        <v>690</v>
      </c>
      <c r="H23" s="277">
        <v>16</v>
      </c>
      <c r="I23" s="276" t="s">
        <v>685</v>
      </c>
      <c r="J23" s="349" t="s">
        <v>691</v>
      </c>
      <c r="K23" s="277"/>
    </row>
    <row r="24" spans="2:11" ht="12.75">
      <c r="B24" s="290" t="s">
        <v>692</v>
      </c>
      <c r="C24" s="290" t="s">
        <v>692</v>
      </c>
      <c r="H24" s="277">
        <v>17</v>
      </c>
      <c r="I24" s="276" t="s">
        <v>685</v>
      </c>
      <c r="J24" s="349" t="s">
        <v>693</v>
      </c>
      <c r="K24" s="277"/>
    </row>
    <row r="25" spans="2:11" ht="12.75">
      <c r="B25" s="290" t="s">
        <v>693</v>
      </c>
      <c r="C25" s="290" t="s">
        <v>693</v>
      </c>
      <c r="H25" s="277">
        <v>18</v>
      </c>
      <c r="I25" s="276" t="s">
        <v>685</v>
      </c>
      <c r="J25" s="349" t="s">
        <v>694</v>
      </c>
      <c r="K25" s="277"/>
    </row>
    <row r="26" spans="2:11" ht="12.75">
      <c r="B26" s="290" t="s">
        <v>695</v>
      </c>
      <c r="C26" s="290" t="s">
        <v>695</v>
      </c>
      <c r="H26" s="277">
        <v>19</v>
      </c>
      <c r="I26" s="276" t="s">
        <v>685</v>
      </c>
      <c r="J26" s="349" t="s">
        <v>696</v>
      </c>
      <c r="K26" s="277"/>
    </row>
    <row r="27" spans="2:11" ht="12.75">
      <c r="B27" s="290"/>
      <c r="C27" s="290"/>
      <c r="H27" s="276" t="s">
        <v>155</v>
      </c>
      <c r="I27" s="276"/>
      <c r="J27" s="276" t="s">
        <v>697</v>
      </c>
      <c r="K27" s="277"/>
    </row>
    <row r="28" spans="2:11" ht="12.75">
      <c r="B28" s="290" t="s">
        <v>696</v>
      </c>
      <c r="C28" s="290" t="s">
        <v>696</v>
      </c>
      <c r="H28" s="277">
        <v>20</v>
      </c>
      <c r="I28" s="276" t="s">
        <v>698</v>
      </c>
      <c r="J28" s="349" t="s">
        <v>699</v>
      </c>
      <c r="K28" s="277"/>
    </row>
    <row r="29" spans="2:11" ht="12.75">
      <c r="B29" s="292" t="s">
        <v>698</v>
      </c>
      <c r="C29" s="292" t="s">
        <v>698</v>
      </c>
      <c r="H29" s="277">
        <v>21</v>
      </c>
      <c r="I29" s="276" t="s">
        <v>698</v>
      </c>
      <c r="J29" s="349" t="s">
        <v>700</v>
      </c>
      <c r="K29" s="349"/>
    </row>
    <row r="30" spans="2:11" ht="12.75">
      <c r="B30" s="290" t="s">
        <v>701</v>
      </c>
      <c r="C30" s="290" t="s">
        <v>701</v>
      </c>
      <c r="H30" s="277">
        <v>22</v>
      </c>
      <c r="I30" s="276" t="s">
        <v>698</v>
      </c>
      <c r="J30" s="349" t="s">
        <v>702</v>
      </c>
      <c r="K30" s="349"/>
    </row>
    <row r="31" spans="2:11" ht="12.75">
      <c r="B31" s="290" t="s">
        <v>700</v>
      </c>
      <c r="C31" s="290" t="s">
        <v>700</v>
      </c>
      <c r="H31" s="277">
        <v>23</v>
      </c>
      <c r="I31" s="276" t="s">
        <v>698</v>
      </c>
      <c r="J31" s="349" t="s">
        <v>703</v>
      </c>
      <c r="K31" s="277"/>
    </row>
    <row r="32" spans="2:11" ht="12.75">
      <c r="B32" s="290"/>
      <c r="C32" s="290"/>
      <c r="H32" s="276" t="s">
        <v>161</v>
      </c>
      <c r="I32" s="276"/>
      <c r="J32" s="276" t="s">
        <v>704</v>
      </c>
      <c r="K32" s="369"/>
    </row>
    <row r="33" spans="2:11" ht="12.75">
      <c r="B33" s="290" t="s">
        <v>702</v>
      </c>
      <c r="C33" s="290" t="s">
        <v>702</v>
      </c>
      <c r="H33" s="277">
        <v>24</v>
      </c>
      <c r="I33" s="276" t="s">
        <v>705</v>
      </c>
      <c r="J33" s="349" t="s">
        <v>706</v>
      </c>
      <c r="K33" s="277"/>
    </row>
    <row r="34" spans="2:11" ht="12.75">
      <c r="B34" s="290" t="s">
        <v>703</v>
      </c>
      <c r="C34" s="290" t="s">
        <v>703</v>
      </c>
      <c r="H34" s="277">
        <v>25</v>
      </c>
      <c r="I34" s="276" t="s">
        <v>705</v>
      </c>
      <c r="J34" s="349" t="s">
        <v>707</v>
      </c>
      <c r="K34" s="277"/>
    </row>
    <row r="35" spans="8:11" ht="12.75">
      <c r="H35" s="277">
        <v>26</v>
      </c>
      <c r="I35" s="276" t="s">
        <v>705</v>
      </c>
      <c r="J35" s="349" t="s">
        <v>708</v>
      </c>
      <c r="K35" s="277"/>
    </row>
    <row r="36" spans="2:11" ht="12.75">
      <c r="B36" s="292" t="s">
        <v>705</v>
      </c>
      <c r="C36" s="292" t="s">
        <v>705</v>
      </c>
      <c r="H36" s="277">
        <v>27</v>
      </c>
      <c r="I36" s="276" t="s">
        <v>705</v>
      </c>
      <c r="J36" s="349" t="s">
        <v>709</v>
      </c>
      <c r="K36" s="277"/>
    </row>
    <row r="37" spans="2:11" ht="12.75">
      <c r="B37" s="290" t="s">
        <v>706</v>
      </c>
      <c r="C37" s="290" t="s">
        <v>706</v>
      </c>
      <c r="H37" s="277">
        <v>28</v>
      </c>
      <c r="I37" s="276" t="s">
        <v>705</v>
      </c>
      <c r="J37" s="349" t="s">
        <v>710</v>
      </c>
      <c r="K37" s="349"/>
    </row>
    <row r="38" spans="2:11" ht="12.75">
      <c r="B38" s="290" t="s">
        <v>707</v>
      </c>
      <c r="C38" s="290" t="s">
        <v>707</v>
      </c>
      <c r="H38" s="277">
        <v>29</v>
      </c>
      <c r="I38" s="276" t="s">
        <v>705</v>
      </c>
      <c r="J38" s="350" t="s">
        <v>711</v>
      </c>
      <c r="K38" s="277"/>
    </row>
    <row r="39" spans="2:11" ht="12.75">
      <c r="B39" s="290" t="s">
        <v>708</v>
      </c>
      <c r="C39" s="290" t="s">
        <v>708</v>
      </c>
      <c r="H39" s="277">
        <v>30</v>
      </c>
      <c r="I39" s="276" t="s">
        <v>705</v>
      </c>
      <c r="J39" s="349" t="s">
        <v>712</v>
      </c>
      <c r="K39" s="277"/>
    </row>
    <row r="40" spans="2:11" ht="12.75">
      <c r="B40" s="290" t="s">
        <v>709</v>
      </c>
      <c r="C40" s="290" t="s">
        <v>709</v>
      </c>
      <c r="H40" s="277">
        <v>31</v>
      </c>
      <c r="I40" s="276" t="s">
        <v>705</v>
      </c>
      <c r="J40" s="349" t="s">
        <v>713</v>
      </c>
      <c r="K40" s="277"/>
    </row>
    <row r="41" spans="2:11" ht="12.75">
      <c r="B41" s="290"/>
      <c r="C41" s="290"/>
      <c r="H41" s="277">
        <v>32</v>
      </c>
      <c r="I41" s="276" t="s">
        <v>705</v>
      </c>
      <c r="J41" s="349" t="s">
        <v>714</v>
      </c>
      <c r="K41" s="277"/>
    </row>
    <row r="42" spans="2:11" ht="12.75">
      <c r="B42" s="290" t="s">
        <v>710</v>
      </c>
      <c r="C42" s="290" t="s">
        <v>710</v>
      </c>
      <c r="H42" s="277">
        <v>33</v>
      </c>
      <c r="I42" s="276" t="s">
        <v>705</v>
      </c>
      <c r="J42" s="349" t="s">
        <v>715</v>
      </c>
      <c r="K42" s="277"/>
    </row>
    <row r="43" spans="2:11" ht="12.75">
      <c r="B43" s="290" t="s">
        <v>711</v>
      </c>
      <c r="C43" s="290" t="s">
        <v>711</v>
      </c>
      <c r="H43" s="351">
        <v>34</v>
      </c>
      <c r="I43" s="276" t="s">
        <v>705</v>
      </c>
      <c r="J43" s="349" t="s">
        <v>716</v>
      </c>
      <c r="K43" s="369">
        <f>+'Ardh shpenz alpha'!C16/1000</f>
        <v>6748.780110000001</v>
      </c>
    </row>
    <row r="44" spans="2:11" ht="12.75">
      <c r="B44" s="290" t="s">
        <v>712</v>
      </c>
      <c r="C44" s="290" t="s">
        <v>712</v>
      </c>
      <c r="H44" s="276" t="s">
        <v>162</v>
      </c>
      <c r="I44" s="277"/>
      <c r="J44" s="276" t="s">
        <v>717</v>
      </c>
      <c r="K44" s="549">
        <f>+K43</f>
        <v>6748.780110000001</v>
      </c>
    </row>
    <row r="45" spans="2:11" ht="12.75">
      <c r="B45" s="290" t="s">
        <v>713</v>
      </c>
      <c r="C45" s="290" t="s">
        <v>713</v>
      </c>
      <c r="H45" s="277"/>
      <c r="I45" s="277"/>
      <c r="J45" s="276" t="s">
        <v>718</v>
      </c>
      <c r="K45" s="352">
        <f>+K18+K14+K44</f>
        <v>347629.126</v>
      </c>
    </row>
    <row r="46" spans="2:3" ht="12.75">
      <c r="B46" s="290" t="s">
        <v>716</v>
      </c>
      <c r="C46" s="290" t="s">
        <v>716</v>
      </c>
    </row>
    <row r="48" spans="9:11" ht="12.75">
      <c r="I48" s="353" t="s">
        <v>788</v>
      </c>
      <c r="J48" s="279"/>
      <c r="K48" s="276" t="s">
        <v>719</v>
      </c>
    </row>
    <row r="49" spans="9:11" ht="12.75">
      <c r="I49" s="354"/>
      <c r="J49" s="355"/>
      <c r="K49" s="355"/>
    </row>
    <row r="50" spans="9:11" ht="12.75">
      <c r="I50" s="553" t="s">
        <v>823</v>
      </c>
      <c r="J50" s="356"/>
      <c r="K50" s="277">
        <v>1</v>
      </c>
    </row>
    <row r="51" spans="9:11" ht="12.75">
      <c r="I51" s="349" t="s">
        <v>808</v>
      </c>
      <c r="J51" s="277"/>
      <c r="K51" s="277">
        <v>6</v>
      </c>
    </row>
    <row r="52" spans="9:11" ht="12.75">
      <c r="I52" s="277" t="s">
        <v>720</v>
      </c>
      <c r="J52" s="277"/>
      <c r="K52" s="277">
        <v>1</v>
      </c>
    </row>
    <row r="53" spans="9:11" ht="12.75">
      <c r="I53" s="349" t="s">
        <v>824</v>
      </c>
      <c r="J53" s="277"/>
      <c r="K53" s="277">
        <v>1</v>
      </c>
    </row>
    <row r="54" spans="9:11" ht="12.75">
      <c r="I54" s="357" t="s">
        <v>809</v>
      </c>
      <c r="J54" s="279"/>
      <c r="K54" s="277">
        <v>0</v>
      </c>
    </row>
    <row r="55" spans="9:11" ht="12.75">
      <c r="I55" s="358"/>
      <c r="J55" s="359" t="s">
        <v>2</v>
      </c>
      <c r="K55" s="359">
        <f>SUM(K50:K54)</f>
        <v>9</v>
      </c>
    </row>
    <row r="56" spans="10:12" ht="15.75">
      <c r="J56" s="594" t="s">
        <v>571</v>
      </c>
      <c r="K56" s="594"/>
      <c r="L56" s="594"/>
    </row>
    <row r="57" spans="10:12" ht="12.75">
      <c r="J57" s="595" t="s">
        <v>730</v>
      </c>
      <c r="K57" s="595"/>
      <c r="L57" s="595"/>
    </row>
    <row r="59" ht="12.75">
      <c r="I59" s="292" t="s">
        <v>721</v>
      </c>
    </row>
    <row r="61" ht="12.75">
      <c r="I61" s="292"/>
    </row>
    <row r="62" spans="8:15" ht="12.75">
      <c r="H62" s="292"/>
      <c r="I62" s="292"/>
      <c r="J62" s="292"/>
      <c r="K62" s="292"/>
      <c r="L62" s="292"/>
      <c r="M62" s="292"/>
      <c r="N62" s="292"/>
      <c r="O62" s="292"/>
    </row>
    <row r="63" spans="8:15" ht="12.75">
      <c r="H63" s="292"/>
      <c r="I63" s="292"/>
      <c r="J63" s="292"/>
      <c r="K63" s="292"/>
      <c r="L63" s="292"/>
      <c r="M63" s="292"/>
      <c r="N63" s="292"/>
      <c r="O63" s="292"/>
    </row>
    <row r="64" spans="9:15" ht="12.75">
      <c r="I64" s="292"/>
      <c r="J64" s="292"/>
      <c r="K64" s="292"/>
      <c r="L64" s="292"/>
      <c r="M64" s="292"/>
      <c r="N64" s="292"/>
      <c r="O64" s="292"/>
    </row>
    <row r="65" spans="9:15" ht="12.75">
      <c r="I65" s="292"/>
      <c r="J65" s="292"/>
      <c r="K65" s="292"/>
      <c r="L65" s="292"/>
      <c r="M65" s="292"/>
      <c r="N65" s="292"/>
      <c r="O65" s="292"/>
    </row>
    <row r="66" spans="8:9" ht="12.75">
      <c r="H66" s="292"/>
      <c r="I66" s="292"/>
    </row>
  </sheetData>
  <sheetProtection/>
  <mergeCells count="2">
    <mergeCell ref="J56:L56"/>
    <mergeCell ref="J57:L57"/>
  </mergeCells>
  <printOptions/>
  <pageMargins left="0.7" right="0.7" top="0.31" bottom="0.36" header="0.21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360" customWidth="1"/>
    <col min="2" max="2" width="6.7109375" style="360" customWidth="1"/>
    <col min="3" max="8" width="9.140625" style="360" customWidth="1"/>
    <col min="9" max="9" width="12.28125" style="360" customWidth="1"/>
    <col min="10" max="10" width="9.140625" style="360" customWidth="1"/>
    <col min="11" max="11" width="6.28125" style="360" customWidth="1"/>
    <col min="12" max="12" width="1.7109375" style="360" hidden="1" customWidth="1"/>
    <col min="13" max="16384" width="9.140625" style="360" customWidth="1"/>
  </cols>
  <sheetData>
    <row r="1" spans="1:12" ht="18">
      <c r="A1" s="362" t="s">
        <v>790</v>
      </c>
      <c r="B1" s="362"/>
      <c r="C1" s="362"/>
      <c r="D1" s="362"/>
      <c r="E1" s="362"/>
      <c r="F1" s="362"/>
      <c r="G1" s="362"/>
      <c r="H1" s="366" t="s">
        <v>826</v>
      </c>
      <c r="I1" s="366"/>
      <c r="J1" s="366"/>
      <c r="K1" s="362"/>
      <c r="L1" s="361"/>
    </row>
    <row r="2" spans="1:12" ht="6.7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3" spans="1:12" ht="18">
      <c r="A3" s="362" t="s">
        <v>767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3"/>
    </row>
    <row r="4" spans="1:12" ht="18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3"/>
    </row>
    <row r="5" spans="1:12" ht="18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3"/>
    </row>
    <row r="6" spans="1:12" ht="18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3"/>
    </row>
    <row r="7" spans="1:12" ht="18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8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3"/>
    </row>
    <row r="9" spans="1:12" ht="18">
      <c r="A9" s="362"/>
      <c r="B9" s="362"/>
      <c r="C9" s="362"/>
      <c r="D9" s="362"/>
      <c r="E9" s="367" t="s">
        <v>725</v>
      </c>
      <c r="F9" s="362"/>
      <c r="G9" s="362"/>
      <c r="H9" s="362"/>
      <c r="I9" s="362"/>
      <c r="J9" s="362"/>
      <c r="K9" s="362"/>
      <c r="L9" s="363"/>
    </row>
    <row r="10" spans="1:12" ht="18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3"/>
    </row>
    <row r="11" spans="1:12" ht="18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3"/>
    </row>
    <row r="12" spans="1:12" ht="18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3"/>
    </row>
    <row r="13" spans="1:12" ht="18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3"/>
    </row>
    <row r="14" spans="1:12" ht="18">
      <c r="A14" s="362" t="s">
        <v>791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3"/>
    </row>
    <row r="15" spans="1:12" ht="8.25" customHeight="1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3"/>
    </row>
    <row r="16" spans="1:12" ht="18">
      <c r="A16" s="362" t="s">
        <v>726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3"/>
    </row>
    <row r="17" spans="1:12" ht="18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3"/>
    </row>
    <row r="18" spans="1:12" ht="18">
      <c r="A18" s="362"/>
      <c r="B18" s="362" t="s">
        <v>722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3"/>
    </row>
    <row r="19" spans="1:12" ht="14.25" customHeight="1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3"/>
    </row>
    <row r="20" spans="1:12" ht="14.25" customHeight="1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3"/>
    </row>
    <row r="21" spans="1:12" ht="18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3"/>
    </row>
    <row r="22" spans="1:12" ht="18">
      <c r="A22" s="362" t="s">
        <v>825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3"/>
    </row>
    <row r="23" spans="1:12" ht="18">
      <c r="A23" s="362" t="s">
        <v>728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3"/>
    </row>
    <row r="24" spans="1:12" ht="18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3"/>
    </row>
    <row r="25" spans="1:12" ht="18">
      <c r="A25" s="366" t="s">
        <v>727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3"/>
    </row>
    <row r="26" spans="1:12" ht="18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3"/>
    </row>
    <row r="27" spans="1:12" ht="18">
      <c r="A27" s="362" t="s">
        <v>768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3"/>
    </row>
    <row r="28" spans="1:12" ht="18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3"/>
    </row>
    <row r="29" spans="1:12" ht="18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3"/>
    </row>
    <row r="30" spans="1:12" ht="18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3"/>
    </row>
    <row r="31" spans="1:12" ht="18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3"/>
    </row>
    <row r="32" spans="1:12" ht="18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3"/>
    </row>
    <row r="33" spans="1:12" ht="18">
      <c r="A33" s="362"/>
      <c r="B33" s="362"/>
      <c r="C33" s="362"/>
      <c r="D33" s="362"/>
      <c r="E33" s="362"/>
      <c r="F33" s="362"/>
      <c r="G33" s="365" t="s">
        <v>723</v>
      </c>
      <c r="H33" s="365"/>
      <c r="I33" s="365"/>
      <c r="J33" s="365"/>
      <c r="K33" s="362"/>
      <c r="L33" s="363"/>
    </row>
    <row r="34" spans="1:12" ht="9.75" customHeight="1">
      <c r="A34" s="362"/>
      <c r="B34" s="362"/>
      <c r="C34" s="362"/>
      <c r="D34" s="362"/>
      <c r="E34" s="362"/>
      <c r="F34" s="362"/>
      <c r="G34" s="365"/>
      <c r="H34" s="365"/>
      <c r="I34" s="365"/>
      <c r="J34" s="365"/>
      <c r="K34" s="362"/>
      <c r="L34" s="363"/>
    </row>
    <row r="35" spans="1:12" ht="18">
      <c r="A35" s="362"/>
      <c r="B35" s="362"/>
      <c r="C35" s="362"/>
      <c r="D35" s="362"/>
      <c r="E35" s="362"/>
      <c r="F35" s="362"/>
      <c r="G35" s="365"/>
      <c r="H35" s="365" t="s">
        <v>724</v>
      </c>
      <c r="I35" s="365"/>
      <c r="J35" s="365"/>
      <c r="K35" s="362"/>
      <c r="L35" s="363"/>
    </row>
    <row r="36" spans="1:12" ht="18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3"/>
    </row>
    <row r="37" spans="1:12" ht="18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4"/>
    </row>
    <row r="40" ht="18">
      <c r="E40" s="360">
        <v>1</v>
      </c>
    </row>
  </sheetData>
  <sheetProtection/>
  <printOptions/>
  <pageMargins left="0.25" right="0.39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421875" style="0" customWidth="1"/>
    <col min="2" max="2" width="38.28125" style="0" customWidth="1"/>
    <col min="3" max="3" width="15.421875" style="0" customWidth="1"/>
    <col min="4" max="4" width="14.7109375" style="0" customWidth="1"/>
    <col min="5" max="5" width="15.28125" style="0" customWidth="1"/>
    <col min="6" max="6" width="17.28125" style="0" customWidth="1"/>
  </cols>
  <sheetData>
    <row r="1" ht="18">
      <c r="B1" s="393" t="s">
        <v>766</v>
      </c>
    </row>
    <row r="3" ht="18">
      <c r="B3" s="394" t="s">
        <v>733</v>
      </c>
    </row>
    <row r="5" spans="1:6" ht="15">
      <c r="A5" s="395" t="s">
        <v>166</v>
      </c>
      <c r="B5" s="396"/>
      <c r="C5" s="396"/>
      <c r="D5" s="396"/>
      <c r="E5" s="396"/>
      <c r="F5" s="393"/>
    </row>
    <row r="6" spans="1:6" ht="15">
      <c r="A6" s="397" t="s">
        <v>734</v>
      </c>
      <c r="B6" s="397" t="s">
        <v>735</v>
      </c>
      <c r="C6" s="397" t="s">
        <v>736</v>
      </c>
      <c r="D6" s="397" t="s">
        <v>737</v>
      </c>
      <c r="E6" s="397" t="s">
        <v>738</v>
      </c>
      <c r="F6" s="398"/>
    </row>
    <row r="7" spans="1:5" ht="15.75" customHeight="1">
      <c r="A7" s="399">
        <v>1</v>
      </c>
      <c r="B7" s="400" t="s">
        <v>774</v>
      </c>
      <c r="C7" s="400" t="s">
        <v>792</v>
      </c>
      <c r="D7" s="400" t="s">
        <v>775</v>
      </c>
      <c r="E7" s="426">
        <f>+'[1]inventar 2009'!$F$15</f>
        <v>13343331</v>
      </c>
    </row>
    <row r="8" spans="1:5" ht="15.75" customHeight="1">
      <c r="A8" s="401">
        <v>2</v>
      </c>
      <c r="B8" s="402" t="str">
        <f>+'[1]inventar 2009'!$B$8</f>
        <v>Finitrice super 1800</v>
      </c>
      <c r="C8" s="402"/>
      <c r="D8" s="402"/>
      <c r="E8" s="427">
        <f>+'[1]inventar 2009'!$F$8</f>
        <v>30135000</v>
      </c>
    </row>
    <row r="9" spans="1:5" ht="15.75" customHeight="1">
      <c r="A9" s="401">
        <v>3</v>
      </c>
      <c r="B9" s="402" t="s">
        <v>776</v>
      </c>
      <c r="C9" s="402"/>
      <c r="D9" s="402"/>
      <c r="E9" s="427">
        <f>+'[1]inventar 2009'!$F$9</f>
        <v>23985000</v>
      </c>
    </row>
    <row r="10" spans="1:5" ht="15.75" customHeight="1">
      <c r="A10" s="401">
        <v>4</v>
      </c>
      <c r="B10" s="402" t="str">
        <f>+'[1]inventar 2009'!$B$10</f>
        <v>Rul I vogel</v>
      </c>
      <c r="C10" s="402"/>
      <c r="D10" s="402"/>
      <c r="E10" s="427">
        <f>+'[1]inventar 2009'!$F$10</f>
        <v>2460000</v>
      </c>
    </row>
    <row r="11" spans="1:5" ht="15.75" customHeight="1" thickBot="1">
      <c r="A11" s="401">
        <v>5</v>
      </c>
      <c r="B11" s="552" t="s">
        <v>804</v>
      </c>
      <c r="C11" s="402"/>
      <c r="D11" s="402"/>
      <c r="E11" s="427">
        <v>17740913</v>
      </c>
    </row>
    <row r="12" spans="1:5" ht="15.75" customHeight="1" thickBot="1">
      <c r="A12" s="424"/>
      <c r="B12" s="425"/>
      <c r="C12" s="425"/>
      <c r="D12" s="425"/>
      <c r="E12" s="428">
        <f>SUM(E7:E11)</f>
        <v>87664244</v>
      </c>
    </row>
    <row r="14" spans="2:4" ht="15.75">
      <c r="B14" s="392" t="s">
        <v>739</v>
      </c>
      <c r="C14" s="393"/>
      <c r="D14" s="393"/>
    </row>
    <row r="16" spans="2:3" ht="15">
      <c r="B16" s="403"/>
      <c r="C16" s="393"/>
    </row>
    <row r="21" ht="12.75">
      <c r="C21" s="391">
        <v>9</v>
      </c>
    </row>
  </sheetData>
  <sheetProtection/>
  <printOptions/>
  <pageMargins left="0.38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0.57421875" style="0" customWidth="1"/>
    <col min="2" max="2" width="27.57421875" style="0" customWidth="1"/>
    <col min="3" max="3" width="15.8515625" style="0" customWidth="1"/>
    <col min="4" max="4" width="7.57421875" style="0" customWidth="1"/>
    <col min="5" max="5" width="10.140625" style="0" customWidth="1"/>
    <col min="6" max="6" width="16.00390625" style="0" customWidth="1"/>
    <col min="9" max="9" width="10.00390625" style="0" bestFit="1" customWidth="1"/>
  </cols>
  <sheetData>
    <row r="1" spans="2:4" ht="18">
      <c r="B1" s="404" t="s">
        <v>740</v>
      </c>
      <c r="C1" s="405" t="s">
        <v>741</v>
      </c>
      <c r="D1" s="405"/>
    </row>
    <row r="3" ht="15.75">
      <c r="C3" s="406" t="s">
        <v>827</v>
      </c>
    </row>
    <row r="5" ht="15">
      <c r="A5" s="393" t="s">
        <v>793</v>
      </c>
    </row>
    <row r="6" ht="18">
      <c r="A6" s="393" t="s">
        <v>765</v>
      </c>
    </row>
    <row r="7" ht="15">
      <c r="A7" s="393" t="s">
        <v>764</v>
      </c>
    </row>
    <row r="8" ht="18">
      <c r="A8" s="393" t="s">
        <v>752</v>
      </c>
    </row>
    <row r="9" ht="15.75">
      <c r="A9" s="393" t="s">
        <v>751</v>
      </c>
    </row>
    <row r="10" ht="13.5" thickBot="1"/>
    <row r="11" spans="1:6" ht="15.75" thickBot="1">
      <c r="A11" s="407" t="s">
        <v>742</v>
      </c>
      <c r="B11" s="408" t="s">
        <v>743</v>
      </c>
      <c r="C11" s="408" t="s">
        <v>744</v>
      </c>
      <c r="D11" s="408" t="s">
        <v>562</v>
      </c>
      <c r="E11" s="408" t="s">
        <v>745</v>
      </c>
      <c r="F11" s="409" t="s">
        <v>746</v>
      </c>
    </row>
    <row r="12" spans="1:6" ht="12.75">
      <c r="A12" s="410">
        <v>1</v>
      </c>
      <c r="B12" s="553" t="s">
        <v>839</v>
      </c>
      <c r="C12" s="553" t="s">
        <v>805</v>
      </c>
      <c r="D12" s="356">
        <v>15225</v>
      </c>
      <c r="E12" s="554">
        <f>+F12/D12</f>
        <v>96.66463054187192</v>
      </c>
      <c r="F12" s="411">
        <f>+'BK'!D18</f>
        <v>1471719</v>
      </c>
    </row>
    <row r="13" spans="1:6" ht="12.75">
      <c r="A13" s="412">
        <v>2</v>
      </c>
      <c r="B13" s="277"/>
      <c r="C13" s="277"/>
      <c r="D13" s="277"/>
      <c r="E13" s="354"/>
      <c r="F13" s="411">
        <f>+E13*D13</f>
        <v>0</v>
      </c>
    </row>
    <row r="14" spans="1:6" ht="12.75">
      <c r="A14" s="412">
        <v>3</v>
      </c>
      <c r="B14" s="277"/>
      <c r="C14" s="277"/>
      <c r="D14" s="277"/>
      <c r="E14" s="354"/>
      <c r="F14" s="411">
        <f aca="true" t="shared" si="0" ref="F14:F24">+E14*D14</f>
        <v>0</v>
      </c>
    </row>
    <row r="15" spans="1:6" ht="12.75">
      <c r="A15" s="412">
        <v>4</v>
      </c>
      <c r="B15" s="277"/>
      <c r="C15" s="277"/>
      <c r="D15" s="277"/>
      <c r="E15" s="354"/>
      <c r="F15" s="411">
        <f t="shared" si="0"/>
        <v>0</v>
      </c>
    </row>
    <row r="16" spans="1:6" ht="12.75">
      <c r="A16" s="412">
        <v>5</v>
      </c>
      <c r="B16" s="277"/>
      <c r="C16" s="277"/>
      <c r="D16" s="277"/>
      <c r="E16" s="354"/>
      <c r="F16" s="411">
        <f t="shared" si="0"/>
        <v>0</v>
      </c>
    </row>
    <row r="17" spans="1:6" ht="12.75">
      <c r="A17" s="412">
        <v>6</v>
      </c>
      <c r="B17" s="277"/>
      <c r="C17" s="277"/>
      <c r="D17" s="277"/>
      <c r="E17" s="354"/>
      <c r="F17" s="411">
        <f t="shared" si="0"/>
        <v>0</v>
      </c>
    </row>
    <row r="18" spans="1:6" ht="12.75">
      <c r="A18" s="412">
        <v>7</v>
      </c>
      <c r="B18" s="277"/>
      <c r="C18" s="277"/>
      <c r="D18" s="277"/>
      <c r="E18" s="354"/>
      <c r="F18" s="411">
        <f t="shared" si="0"/>
        <v>0</v>
      </c>
    </row>
    <row r="19" spans="1:6" ht="12.75">
      <c r="A19" s="412">
        <v>8</v>
      </c>
      <c r="B19" s="277"/>
      <c r="C19" s="277"/>
      <c r="D19" s="277"/>
      <c r="E19" s="354"/>
      <c r="F19" s="411">
        <f t="shared" si="0"/>
        <v>0</v>
      </c>
    </row>
    <row r="20" spans="1:6" ht="12.75">
      <c r="A20" s="412">
        <v>9</v>
      </c>
      <c r="B20" s="277"/>
      <c r="C20" s="277"/>
      <c r="D20" s="277"/>
      <c r="E20" s="354"/>
      <c r="F20" s="411">
        <f t="shared" si="0"/>
        <v>0</v>
      </c>
    </row>
    <row r="21" spans="1:6" ht="12.75">
      <c r="A21" s="412">
        <v>10</v>
      </c>
      <c r="B21" s="277"/>
      <c r="C21" s="277"/>
      <c r="D21" s="277"/>
      <c r="E21" s="354"/>
      <c r="F21" s="411">
        <f t="shared" si="0"/>
        <v>0</v>
      </c>
    </row>
    <row r="22" spans="1:6" ht="12.75">
      <c r="A22" s="412">
        <v>11</v>
      </c>
      <c r="B22" s="277"/>
      <c r="C22" s="277"/>
      <c r="D22" s="277"/>
      <c r="E22" s="354"/>
      <c r="F22" s="411">
        <f t="shared" si="0"/>
        <v>0</v>
      </c>
    </row>
    <row r="23" spans="1:6" ht="12.75">
      <c r="A23" s="412">
        <v>12</v>
      </c>
      <c r="B23" s="277"/>
      <c r="C23" s="277"/>
      <c r="D23" s="277"/>
      <c r="E23" s="354"/>
      <c r="F23" s="411">
        <f t="shared" si="0"/>
        <v>0</v>
      </c>
    </row>
    <row r="24" spans="1:6" ht="12.75">
      <c r="A24" s="412">
        <v>13</v>
      </c>
      <c r="B24" s="277"/>
      <c r="C24" s="277"/>
      <c r="D24" s="277"/>
      <c r="E24" s="354"/>
      <c r="F24" s="411">
        <f t="shared" si="0"/>
        <v>0</v>
      </c>
    </row>
    <row r="25" spans="1:6" ht="15">
      <c r="A25" s="412">
        <v>16</v>
      </c>
      <c r="B25" s="413"/>
      <c r="C25" s="413"/>
      <c r="D25" s="413"/>
      <c r="E25" s="413"/>
      <c r="F25" s="414">
        <v>0</v>
      </c>
    </row>
    <row r="26" spans="1:6" ht="15">
      <c r="A26" s="412">
        <v>17</v>
      </c>
      <c r="B26" s="413"/>
      <c r="C26" s="413"/>
      <c r="D26" s="413"/>
      <c r="E26" s="413"/>
      <c r="F26" s="414">
        <v>0</v>
      </c>
    </row>
    <row r="27" spans="1:6" ht="15">
      <c r="A27" s="412">
        <v>18</v>
      </c>
      <c r="B27" s="413"/>
      <c r="C27" s="413"/>
      <c r="D27" s="413"/>
      <c r="E27" s="413"/>
      <c r="F27" s="414">
        <v>0</v>
      </c>
    </row>
    <row r="28" spans="1:6" ht="15">
      <c r="A28" s="412">
        <v>19</v>
      </c>
      <c r="B28" s="413"/>
      <c r="C28" s="413"/>
      <c r="D28" s="413"/>
      <c r="E28" s="413"/>
      <c r="F28" s="414">
        <v>0</v>
      </c>
    </row>
    <row r="29" spans="1:6" ht="15.75" thickBot="1">
      <c r="A29" s="415">
        <v>20</v>
      </c>
      <c r="B29" s="416"/>
      <c r="C29" s="416"/>
      <c r="D29" s="416"/>
      <c r="E29" s="416"/>
      <c r="F29" s="417">
        <v>0</v>
      </c>
    </row>
    <row r="30" spans="1:6" ht="18.75" thickBot="1">
      <c r="A30" s="418"/>
      <c r="B30" s="419" t="s">
        <v>747</v>
      </c>
      <c r="C30" s="420"/>
      <c r="D30" s="420"/>
      <c r="E30" s="420"/>
      <c r="F30" s="421">
        <f>SUM(F12:F29)</f>
        <v>1471719</v>
      </c>
    </row>
    <row r="32" ht="20.25">
      <c r="D32" s="422" t="s">
        <v>748</v>
      </c>
    </row>
    <row r="35" ht="12.75">
      <c r="A35" s="423" t="s">
        <v>749</v>
      </c>
    </row>
    <row r="36" ht="12.75">
      <c r="A36" s="423" t="s">
        <v>750</v>
      </c>
    </row>
    <row r="47" ht="12.75">
      <c r="D47" s="292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T223"/>
  <sheetViews>
    <sheetView zoomScale="80" zoomScaleNormal="80" zoomScalePageLayoutView="0" workbookViewId="0" topLeftCell="A149">
      <selection activeCell="C158" sqref="C158"/>
    </sheetView>
  </sheetViews>
  <sheetFormatPr defaultColWidth="19.421875" defaultRowHeight="12.75"/>
  <cols>
    <col min="1" max="1" width="5.140625" style="25" customWidth="1"/>
    <col min="2" max="2" width="49.28125" style="25" customWidth="1"/>
    <col min="3" max="3" width="22.00390625" style="25" customWidth="1"/>
    <col min="4" max="5" width="19.28125" style="25" customWidth="1"/>
    <col min="6" max="6" width="3.8515625" style="25" hidden="1" customWidth="1"/>
    <col min="7" max="7" width="19.28125" style="25" hidden="1" customWidth="1"/>
    <col min="8" max="8" width="3.7109375" style="25" hidden="1" customWidth="1"/>
    <col min="9" max="9" width="18.7109375" style="25" hidden="1" customWidth="1"/>
    <col min="10" max="10" width="5.421875" style="25" hidden="1" customWidth="1"/>
    <col min="11" max="11" width="18.421875" style="25" customWidth="1"/>
    <col min="12" max="12" width="16.00390625" style="25" customWidth="1"/>
    <col min="13" max="16384" width="19.421875" style="25" customWidth="1"/>
  </cols>
  <sheetData>
    <row r="3" spans="2:6" ht="15">
      <c r="B3" s="484" t="s">
        <v>99</v>
      </c>
      <c r="F3" s="484"/>
    </row>
    <row r="4" spans="2:6" ht="15">
      <c r="B4" s="484" t="s">
        <v>508</v>
      </c>
      <c r="F4" s="484"/>
    </row>
    <row r="5" spans="2:10" ht="15">
      <c r="B5" s="479"/>
      <c r="C5" s="478" t="s">
        <v>802</v>
      </c>
      <c r="D5" s="478" t="s">
        <v>794</v>
      </c>
      <c r="E5" s="478" t="s">
        <v>560</v>
      </c>
      <c r="F5" s="479"/>
      <c r="G5" s="478" t="s">
        <v>548</v>
      </c>
      <c r="I5" s="478" t="s">
        <v>110</v>
      </c>
      <c r="J5" s="507"/>
    </row>
    <row r="6" spans="2:11" ht="15">
      <c r="B6" s="479" t="s">
        <v>101</v>
      </c>
      <c r="C6" s="508">
        <f>+'Bilanci Alpha'!E52</f>
        <v>301120</v>
      </c>
      <c r="D6" s="508">
        <f>+'Bilanci Alpha'!F52</f>
        <v>1320148.4</v>
      </c>
      <c r="E6" s="508">
        <f>+'Bilanci Alpha'!G52</f>
        <v>837505.28</v>
      </c>
      <c r="F6" s="479"/>
      <c r="G6" s="508">
        <f>+'Bilanci Alpha'!I50</f>
        <v>2188575</v>
      </c>
      <c r="H6" s="508"/>
      <c r="I6" s="508">
        <f>+'Bilanci Alpha'!J50</f>
        <v>0</v>
      </c>
      <c r="K6" s="17"/>
    </row>
    <row r="7" spans="2:11" ht="15">
      <c r="B7" s="479" t="s">
        <v>102</v>
      </c>
      <c r="C7" s="508">
        <f>+'Bilanci Alpha'!E51</f>
        <v>139040</v>
      </c>
      <c r="D7" s="508">
        <f>+'Bilanci Alpha'!F51</f>
        <v>219864</v>
      </c>
      <c r="E7" s="508">
        <f>+'Bilanci Alpha'!G51</f>
        <v>132813.93</v>
      </c>
      <c r="F7" s="479"/>
      <c r="G7" s="508">
        <f>+'Bilanci Alpha'!I49</f>
        <v>0</v>
      </c>
      <c r="H7" s="508"/>
      <c r="I7" s="508">
        <f>+'Bilanci Alpha'!J49</f>
        <v>0</v>
      </c>
      <c r="K7" s="17"/>
    </row>
    <row r="8" spans="2:9" ht="15">
      <c r="B8" s="479" t="s">
        <v>551</v>
      </c>
      <c r="C8" s="508">
        <f>+'Bilanci Alpha'!E53</f>
        <v>0</v>
      </c>
      <c r="D8" s="508">
        <f>+'Bilanci Alpha'!F53</f>
        <v>0</v>
      </c>
      <c r="E8" s="508">
        <f>+'Bilanci Alpha'!G53</f>
        <v>0</v>
      </c>
      <c r="F8" s="479"/>
      <c r="G8" s="508"/>
      <c r="H8" s="508"/>
      <c r="I8" s="508">
        <f>+'Bilanci Alpha'!J51</f>
        <v>0</v>
      </c>
    </row>
    <row r="9" spans="2:10" ht="15.75" thickBot="1">
      <c r="B9" s="509" t="s">
        <v>2</v>
      </c>
      <c r="C9" s="510">
        <f>SUM(C6:C8)</f>
        <v>440160</v>
      </c>
      <c r="D9" s="510">
        <f>SUM(D6:D8)</f>
        <v>1540012.4</v>
      </c>
      <c r="E9" s="511">
        <f>SUM(E6:E8)</f>
        <v>970319.21</v>
      </c>
      <c r="F9" s="509"/>
      <c r="G9" s="511">
        <f>SUM(G6:G8)</f>
        <v>2188575</v>
      </c>
      <c r="H9" s="508"/>
      <c r="I9" s="511">
        <f>SUM(I6:I8)</f>
        <v>0</v>
      </c>
      <c r="J9" s="484"/>
    </row>
    <row r="10" spans="2:9" ht="15.75" thickTop="1">
      <c r="B10" s="20">
        <f>+G9-G10</f>
        <v>0</v>
      </c>
      <c r="C10" s="512">
        <f>+'BK'!E10</f>
        <v>440160</v>
      </c>
      <c r="D10" s="512">
        <f>+'BK'!F10</f>
        <v>1540012.4</v>
      </c>
      <c r="E10" s="512">
        <f>+'BK'!G10</f>
        <v>970319.21</v>
      </c>
      <c r="F10" s="20"/>
      <c r="G10" s="512">
        <f>+'BK'!I8</f>
        <v>2188575</v>
      </c>
      <c r="H10" s="512"/>
      <c r="I10" s="512">
        <f>+'BK'!K8</f>
        <v>0</v>
      </c>
    </row>
    <row r="11" spans="2:9" ht="15">
      <c r="B11" s="513" t="s">
        <v>103</v>
      </c>
      <c r="C11" s="479"/>
      <c r="D11" s="479"/>
      <c r="E11" s="479"/>
      <c r="F11" s="513"/>
      <c r="G11" s="479"/>
      <c r="H11" s="479"/>
      <c r="I11" s="479"/>
    </row>
    <row r="12" spans="2:10" ht="15">
      <c r="B12" s="479"/>
      <c r="C12" s="478" t="str">
        <f>+C5</f>
        <v>31 Dhjetor 2012</v>
      </c>
      <c r="D12" s="478" t="str">
        <f>+D5</f>
        <v>31 Dhjetor 2011</v>
      </c>
      <c r="E12" s="478" t="s">
        <v>560</v>
      </c>
      <c r="F12" s="479"/>
      <c r="G12" s="478" t="s">
        <v>548</v>
      </c>
      <c r="I12" s="478" t="s">
        <v>110</v>
      </c>
      <c r="J12" s="507"/>
    </row>
    <row r="13" spans="2:9" ht="15">
      <c r="B13" s="479" t="s">
        <v>141</v>
      </c>
      <c r="C13" s="25">
        <f>+'BK'!F20</f>
        <v>0</v>
      </c>
      <c r="D13" s="25">
        <f>+'BK'!G20</f>
        <v>0</v>
      </c>
      <c r="E13" s="25">
        <f>+'BK'!H20</f>
        <v>0</v>
      </c>
      <c r="G13" s="25">
        <f>+'BK'!I20</f>
        <v>0</v>
      </c>
      <c r="H13" s="508"/>
      <c r="I13" s="25">
        <f>+'BK'!K20</f>
        <v>0</v>
      </c>
    </row>
    <row r="14" spans="2:8" ht="15">
      <c r="B14" s="479"/>
      <c r="F14" s="479"/>
      <c r="H14" s="508"/>
    </row>
    <row r="15" spans="2:10" ht="15.75" thickBot="1">
      <c r="B15" s="509" t="s">
        <v>2</v>
      </c>
      <c r="C15" s="511">
        <f>SUM(C13:C14)</f>
        <v>0</v>
      </c>
      <c r="D15" s="511">
        <f>SUM(D13:D14)</f>
        <v>0</v>
      </c>
      <c r="E15" s="511">
        <f>SUM(E13:E14)</f>
        <v>0</v>
      </c>
      <c r="F15" s="509"/>
      <c r="G15" s="511">
        <f>SUM(G13:G14)</f>
        <v>0</v>
      </c>
      <c r="H15" s="508"/>
      <c r="I15" s="511">
        <f>SUM(I13:I14)</f>
        <v>0</v>
      </c>
      <c r="J15" s="484"/>
    </row>
    <row r="16" spans="2:9" ht="15.75" thickTop="1">
      <c r="B16" s="20"/>
      <c r="C16" s="512">
        <f>+'BK'!A18</f>
        <v>0</v>
      </c>
      <c r="D16" s="512" t="str">
        <f>+'BK'!B18</f>
        <v>Lendet e para ,Mallra</v>
      </c>
      <c r="E16" s="512">
        <f>+'BK'!C18</f>
        <v>0</v>
      </c>
      <c r="F16" s="20"/>
      <c r="G16" s="512">
        <f>+'BK'!I18</f>
        <v>47983</v>
      </c>
      <c r="H16" s="512"/>
      <c r="I16" s="512">
        <f>+'BK'!K18</f>
        <v>0</v>
      </c>
    </row>
    <row r="17" spans="2:9" ht="15">
      <c r="B17" s="479" t="s">
        <v>104</v>
      </c>
      <c r="C17" s="514"/>
      <c r="D17" s="514"/>
      <c r="E17" s="514"/>
      <c r="F17" s="479"/>
      <c r="G17" s="514"/>
      <c r="H17" s="479"/>
      <c r="I17" s="479"/>
    </row>
    <row r="18" spans="2:10" ht="15">
      <c r="B18" s="515"/>
      <c r="C18" s="478" t="str">
        <f>+C12</f>
        <v>31 Dhjetor 2012</v>
      </c>
      <c r="D18" s="478" t="str">
        <f>+D12</f>
        <v>31 Dhjetor 2011</v>
      </c>
      <c r="E18" s="478" t="s">
        <v>560</v>
      </c>
      <c r="F18" s="479"/>
      <c r="G18" s="478" t="s">
        <v>548</v>
      </c>
      <c r="I18" s="478" t="s">
        <v>110</v>
      </c>
      <c r="J18" s="507"/>
    </row>
    <row r="19" spans="2:15" ht="15">
      <c r="B19" s="547" t="s">
        <v>133</v>
      </c>
      <c r="C19" s="517">
        <f>+'Bilanci Alpha'!E42</f>
        <v>143142250</v>
      </c>
      <c r="D19" s="517">
        <f>+'Bilanci Alpha'!F42</f>
        <v>142905109</v>
      </c>
      <c r="E19" s="517">
        <f>+'Bilanci Alpha'!G42</f>
        <v>134274288.11</v>
      </c>
      <c r="F19" s="516"/>
      <c r="G19" s="517">
        <f>+'BK'!I12</f>
        <v>537064</v>
      </c>
      <c r="H19" s="517"/>
      <c r="I19" s="517">
        <f>+'BK'!K12</f>
        <v>0</v>
      </c>
      <c r="L19" s="134"/>
      <c r="M19" s="135"/>
      <c r="N19" s="134"/>
      <c r="O19" s="135"/>
    </row>
    <row r="20" spans="2:15" ht="15">
      <c r="B20" s="547" t="s">
        <v>552</v>
      </c>
      <c r="C20" s="517">
        <f>+'Bilanci Alpha'!E43</f>
        <v>0</v>
      </c>
      <c r="D20" s="517">
        <f>+'Bilanci Alpha'!F43</f>
        <v>6389177</v>
      </c>
      <c r="E20" s="517">
        <f>+'Bilanci Alpha'!G43</f>
        <v>0</v>
      </c>
      <c r="F20" s="516"/>
      <c r="G20" s="517">
        <f>+'BK'!I13</f>
        <v>0</v>
      </c>
      <c r="H20" s="517"/>
      <c r="I20" s="517">
        <f>+'BK'!K13</f>
        <v>0</v>
      </c>
      <c r="L20" s="134"/>
      <c r="M20" s="136"/>
      <c r="N20" s="134"/>
      <c r="O20" s="136"/>
    </row>
    <row r="21" spans="2:15" ht="15">
      <c r="B21" s="547" t="s">
        <v>797</v>
      </c>
      <c r="C21" s="517">
        <f>+'Bilanci Alpha'!E45</f>
        <v>776917</v>
      </c>
      <c r="D21" s="517">
        <f>+'Bilanci Alpha'!F45</f>
        <v>1569167</v>
      </c>
      <c r="E21" s="517">
        <f>+'Bilanci Alpha'!G45</f>
        <v>1602174</v>
      </c>
      <c r="F21" s="515"/>
      <c r="G21" s="517"/>
      <c r="H21" s="517"/>
      <c r="I21" s="517"/>
      <c r="J21" s="484"/>
      <c r="L21" s="134"/>
      <c r="M21" s="136"/>
      <c r="N21" s="134"/>
      <c r="O21" s="136"/>
    </row>
    <row r="22" spans="2:15" ht="15.75" thickBot="1">
      <c r="B22" s="509" t="s">
        <v>2</v>
      </c>
      <c r="C22" s="518">
        <f>SUM(C19:C21)</f>
        <v>143919167</v>
      </c>
      <c r="D22" s="518">
        <f>SUM(D19:D21)</f>
        <v>150863453</v>
      </c>
      <c r="E22" s="518">
        <f>SUM(E19:E21)</f>
        <v>135876462.11</v>
      </c>
      <c r="F22" s="509"/>
      <c r="G22" s="519">
        <f>SUM(G19:G21)</f>
        <v>537064</v>
      </c>
      <c r="H22" s="520"/>
      <c r="I22" s="519">
        <f>SUM(I19:I21)</f>
        <v>0</v>
      </c>
      <c r="L22" s="134"/>
      <c r="M22" s="136"/>
      <c r="N22" s="134"/>
      <c r="O22" s="136"/>
    </row>
    <row r="23" spans="2:15" ht="15.75" thickTop="1">
      <c r="B23" s="479"/>
      <c r="C23" s="521">
        <f>+'Bilanci Alpha'!E40</f>
        <v>143919167</v>
      </c>
      <c r="D23" s="521">
        <f>+'Bilanci Alpha'!F40</f>
        <v>150863453</v>
      </c>
      <c r="E23" s="521">
        <f>+'Bilanci Alpha'!G40</f>
        <v>135876462.11</v>
      </c>
      <c r="F23" s="479"/>
      <c r="G23" s="521">
        <f>+'BK'!I16</f>
        <v>622480</v>
      </c>
      <c r="H23" s="521"/>
      <c r="I23" s="521">
        <f>+'BK'!K16</f>
        <v>0</v>
      </c>
      <c r="L23" s="137"/>
      <c r="M23" s="136"/>
      <c r="N23" s="137"/>
      <c r="O23" s="136"/>
    </row>
    <row r="24" spans="2:15" ht="15">
      <c r="B24" s="479"/>
      <c r="C24" s="521"/>
      <c r="D24" s="521"/>
      <c r="E24" s="521"/>
      <c r="F24" s="479"/>
      <c r="G24" s="521"/>
      <c r="H24" s="521"/>
      <c r="I24" s="521"/>
      <c r="L24" s="137"/>
      <c r="M24" s="136"/>
      <c r="N24" s="137"/>
      <c r="O24" s="136"/>
    </row>
    <row r="25" spans="2:15" ht="15">
      <c r="B25" s="479"/>
      <c r="C25" s="521"/>
      <c r="D25" s="521"/>
      <c r="E25" s="521"/>
      <c r="F25" s="479"/>
      <c r="G25" s="521"/>
      <c r="H25" s="521"/>
      <c r="I25" s="521"/>
      <c r="L25" s="137"/>
      <c r="M25" s="136"/>
      <c r="N25" s="137"/>
      <c r="O25" s="136"/>
    </row>
    <row r="26" spans="2:15" ht="15">
      <c r="B26" s="479"/>
      <c r="C26" s="521"/>
      <c r="D26" s="521"/>
      <c r="E26" s="521"/>
      <c r="F26" s="479"/>
      <c r="G26" s="521"/>
      <c r="H26" s="521"/>
      <c r="I26" s="521"/>
      <c r="L26" s="137"/>
      <c r="M26" s="136"/>
      <c r="N26" s="137"/>
      <c r="O26" s="136"/>
    </row>
    <row r="27" spans="2:15" ht="15">
      <c r="B27" s="479"/>
      <c r="C27" s="521"/>
      <c r="D27" s="521"/>
      <c r="E27" s="521"/>
      <c r="F27" s="479"/>
      <c r="G27" s="521"/>
      <c r="H27" s="521"/>
      <c r="I27" s="521"/>
      <c r="L27" s="137"/>
      <c r="M27" s="136"/>
      <c r="N27" s="137"/>
      <c r="O27" s="136"/>
    </row>
    <row r="28" spans="2:15" ht="15">
      <c r="B28" s="479"/>
      <c r="C28" s="521"/>
      <c r="D28" s="521"/>
      <c r="E28" s="521"/>
      <c r="F28" s="479"/>
      <c r="G28" s="521"/>
      <c r="H28" s="521"/>
      <c r="I28" s="521"/>
      <c r="L28" s="137"/>
      <c r="M28" s="136"/>
      <c r="N28" s="137"/>
      <c r="O28" s="136"/>
    </row>
    <row r="29" spans="2:15" ht="15.75" thickBot="1">
      <c r="B29" s="46" t="s">
        <v>864</v>
      </c>
      <c r="C29" s="521"/>
      <c r="D29" s="521"/>
      <c r="E29" s="521"/>
      <c r="F29" s="479"/>
      <c r="G29" s="521"/>
      <c r="H29" s="521"/>
      <c r="I29" s="521"/>
      <c r="L29" s="137"/>
      <c r="M29" s="136"/>
      <c r="N29" s="137"/>
      <c r="O29" s="136"/>
    </row>
    <row r="30" spans="2:15" ht="15.75" thickBot="1">
      <c r="B30" s="578" t="s">
        <v>840</v>
      </c>
      <c r="C30" s="575">
        <v>47880</v>
      </c>
      <c r="D30" s="521"/>
      <c r="E30" s="521" t="e">
        <f>+C30+C31+C32+C33+C34+C35+C36+C37+C38+C39+C40+C41+C42+C43+C44+C45+C46+C47+C48+C49+C50+C51+C52+C53</f>
        <v>#VALUE!</v>
      </c>
      <c r="F30" s="479"/>
      <c r="G30" s="521"/>
      <c r="H30" s="521"/>
      <c r="I30" s="521"/>
      <c r="L30" s="137"/>
      <c r="M30" s="136"/>
      <c r="N30" s="137"/>
      <c r="O30" s="136"/>
    </row>
    <row r="31" spans="2:15" ht="15.75" thickBot="1">
      <c r="B31" s="579" t="s">
        <v>841</v>
      </c>
      <c r="C31" s="576">
        <v>940000</v>
      </c>
      <c r="D31" s="521"/>
      <c r="E31" s="521"/>
      <c r="F31" s="479"/>
      <c r="G31" s="521"/>
      <c r="H31" s="521"/>
      <c r="I31" s="521"/>
      <c r="L31" s="137"/>
      <c r="M31" s="136"/>
      <c r="N31" s="137"/>
      <c r="O31" s="136"/>
    </row>
    <row r="32" spans="2:15" ht="15.75" thickBot="1">
      <c r="B32" s="579" t="s">
        <v>842</v>
      </c>
      <c r="C32" s="577">
        <v>151000</v>
      </c>
      <c r="D32" s="521"/>
      <c r="E32" s="521"/>
      <c r="F32" s="479"/>
      <c r="G32" s="521"/>
      <c r="H32" s="521"/>
      <c r="I32" s="521"/>
      <c r="L32" s="137"/>
      <c r="M32" s="136"/>
      <c r="N32" s="137"/>
      <c r="O32" s="136"/>
    </row>
    <row r="33" spans="2:15" ht="15.75" thickBot="1">
      <c r="B33" s="579" t="s">
        <v>843</v>
      </c>
      <c r="C33" s="576">
        <v>662252</v>
      </c>
      <c r="D33" s="521"/>
      <c r="E33" s="521"/>
      <c r="F33" s="479"/>
      <c r="G33" s="521"/>
      <c r="H33" s="521"/>
      <c r="I33" s="521"/>
      <c r="L33" s="137"/>
      <c r="M33" s="136"/>
      <c r="N33" s="137"/>
      <c r="O33" s="136"/>
    </row>
    <row r="34" spans="2:15" ht="15.75" thickBot="1">
      <c r="B34" s="579" t="s">
        <v>844</v>
      </c>
      <c r="C34" s="577">
        <v>9554000</v>
      </c>
      <c r="D34" s="521"/>
      <c r="E34" s="521"/>
      <c r="F34" s="479"/>
      <c r="G34" s="521"/>
      <c r="H34" s="521"/>
      <c r="I34" s="521"/>
      <c r="L34" s="137"/>
      <c r="M34" s="136"/>
      <c r="N34" s="137"/>
      <c r="O34" s="136"/>
    </row>
    <row r="35" spans="2:15" ht="15.75" thickBot="1">
      <c r="B35" s="579" t="s">
        <v>845</v>
      </c>
      <c r="C35" s="577">
        <v>2012424</v>
      </c>
      <c r="D35" s="521"/>
      <c r="E35" s="521"/>
      <c r="F35" s="479"/>
      <c r="G35" s="521"/>
      <c r="H35" s="521"/>
      <c r="I35" s="521"/>
      <c r="L35" s="137"/>
      <c r="M35" s="136"/>
      <c r="N35" s="137"/>
      <c r="O35" s="136"/>
    </row>
    <row r="36" spans="2:15" ht="15.75" thickBot="1">
      <c r="B36" s="579" t="s">
        <v>846</v>
      </c>
      <c r="C36" s="577">
        <v>22207</v>
      </c>
      <c r="D36" s="521"/>
      <c r="E36" s="521"/>
      <c r="F36" s="479"/>
      <c r="G36" s="521"/>
      <c r="H36" s="521"/>
      <c r="I36" s="521"/>
      <c r="L36" s="137"/>
      <c r="M36" s="136"/>
      <c r="N36" s="137"/>
      <c r="O36" s="136"/>
    </row>
    <row r="37" spans="2:15" ht="15.75" thickBot="1">
      <c r="B37" s="579" t="s">
        <v>847</v>
      </c>
      <c r="C37" s="576">
        <v>150327</v>
      </c>
      <c r="D37" s="521"/>
      <c r="E37" s="521"/>
      <c r="F37" s="479"/>
      <c r="G37" s="521"/>
      <c r="H37" s="521"/>
      <c r="I37" s="521"/>
      <c r="L37" s="137"/>
      <c r="M37" s="136"/>
      <c r="N37" s="137"/>
      <c r="O37" s="136"/>
    </row>
    <row r="38" spans="2:15" ht="15.75" thickBot="1">
      <c r="B38" s="579" t="s">
        <v>848</v>
      </c>
      <c r="C38" s="577">
        <v>212720</v>
      </c>
      <c r="D38" s="521"/>
      <c r="E38" s="521"/>
      <c r="F38" s="479"/>
      <c r="G38" s="521"/>
      <c r="H38" s="521"/>
      <c r="I38" s="521"/>
      <c r="L38" s="137"/>
      <c r="M38" s="136"/>
      <c r="N38" s="137"/>
      <c r="O38" s="136"/>
    </row>
    <row r="39" spans="2:15" ht="15.75" thickBot="1">
      <c r="B39" s="579" t="s">
        <v>849</v>
      </c>
      <c r="C39" s="577">
        <v>600000</v>
      </c>
      <c r="D39" s="521"/>
      <c r="E39" s="521"/>
      <c r="F39" s="479"/>
      <c r="G39" s="521"/>
      <c r="H39" s="521"/>
      <c r="I39" s="521"/>
      <c r="L39" s="137"/>
      <c r="M39" s="136"/>
      <c r="N39" s="137"/>
      <c r="O39" s="136"/>
    </row>
    <row r="40" spans="2:15" ht="15.75" thickBot="1">
      <c r="B40" s="579" t="s">
        <v>850</v>
      </c>
      <c r="C40" s="577">
        <v>101704431</v>
      </c>
      <c r="D40" s="521"/>
      <c r="E40" s="521"/>
      <c r="F40" s="479"/>
      <c r="G40" s="521"/>
      <c r="H40" s="521"/>
      <c r="I40" s="521"/>
      <c r="L40" s="137"/>
      <c r="M40" s="136"/>
      <c r="N40" s="137"/>
      <c r="O40" s="136"/>
    </row>
    <row r="41" spans="2:15" ht="15.75" thickBot="1">
      <c r="B41" s="579" t="s">
        <v>851</v>
      </c>
      <c r="C41" s="577">
        <v>366381</v>
      </c>
      <c r="D41" s="521"/>
      <c r="E41" s="521"/>
      <c r="F41" s="479"/>
      <c r="G41" s="521"/>
      <c r="H41" s="521"/>
      <c r="I41" s="521"/>
      <c r="L41" s="137"/>
      <c r="M41" s="136"/>
      <c r="N41" s="137"/>
      <c r="O41" s="136"/>
    </row>
    <row r="42" spans="2:15" ht="15.75" thickBot="1">
      <c r="B42" s="579" t="s">
        <v>852</v>
      </c>
      <c r="C42" s="576">
        <v>47897860</v>
      </c>
      <c r="D42" s="521"/>
      <c r="E42" s="521"/>
      <c r="F42" s="479"/>
      <c r="G42" s="521"/>
      <c r="H42" s="521"/>
      <c r="I42" s="521"/>
      <c r="L42" s="137"/>
      <c r="M42" s="136"/>
      <c r="N42" s="137"/>
      <c r="O42" s="136"/>
    </row>
    <row r="43" spans="2:15" ht="15.75" thickBot="1">
      <c r="B43" s="579" t="s">
        <v>853</v>
      </c>
      <c r="C43" s="577">
        <v>972000</v>
      </c>
      <c r="D43" s="521"/>
      <c r="E43" s="521"/>
      <c r="F43" s="479"/>
      <c r="G43" s="521"/>
      <c r="H43" s="521"/>
      <c r="I43" s="521"/>
      <c r="L43" s="137"/>
      <c r="M43" s="136"/>
      <c r="N43" s="137"/>
      <c r="O43" s="136"/>
    </row>
    <row r="44" spans="2:15" ht="15.75" thickBot="1">
      <c r="B44" s="579" t="s">
        <v>854</v>
      </c>
      <c r="C44" s="576">
        <v>58264914</v>
      </c>
      <c r="D44" s="521"/>
      <c r="E44" s="521"/>
      <c r="F44" s="479"/>
      <c r="G44" s="521"/>
      <c r="H44" s="521"/>
      <c r="I44" s="521"/>
      <c r="L44" s="137"/>
      <c r="M44" s="136"/>
      <c r="N44" s="137"/>
      <c r="O44" s="136"/>
    </row>
    <row r="45" spans="2:15" ht="15.75" thickBot="1">
      <c r="B45" s="579" t="s">
        <v>855</v>
      </c>
      <c r="C45" s="576">
        <v>478860</v>
      </c>
      <c r="D45" s="521"/>
      <c r="E45" s="521"/>
      <c r="F45" s="479"/>
      <c r="G45" s="521"/>
      <c r="H45" s="521"/>
      <c r="I45" s="521"/>
      <c r="L45" s="137"/>
      <c r="M45" s="136"/>
      <c r="N45" s="137"/>
      <c r="O45" s="136"/>
    </row>
    <row r="46" spans="2:15" ht="15.75" thickBot="1">
      <c r="B46" s="579" t="s">
        <v>856</v>
      </c>
      <c r="C46" s="576">
        <v>67320</v>
      </c>
      <c r="D46" s="521"/>
      <c r="E46" s="521"/>
      <c r="F46" s="479"/>
      <c r="G46" s="521"/>
      <c r="H46" s="521"/>
      <c r="I46" s="521"/>
      <c r="L46" s="137"/>
      <c r="M46" s="136"/>
      <c r="N46" s="137"/>
      <c r="O46" s="136"/>
    </row>
    <row r="47" spans="2:15" ht="15.75" thickBot="1">
      <c r="B47" s="579" t="s">
        <v>857</v>
      </c>
      <c r="C47" s="576">
        <v>1224480</v>
      </c>
      <c r="D47" s="521"/>
      <c r="E47" s="521"/>
      <c r="F47" s="479"/>
      <c r="G47" s="521"/>
      <c r="H47" s="521"/>
      <c r="I47" s="521"/>
      <c r="L47" s="137"/>
      <c r="M47" s="136"/>
      <c r="N47" s="137"/>
      <c r="O47" s="136"/>
    </row>
    <row r="48" spans="2:15" ht="15.75" thickBot="1">
      <c r="B48" s="579" t="s">
        <v>858</v>
      </c>
      <c r="C48" s="576">
        <v>9000000</v>
      </c>
      <c r="D48" s="521"/>
      <c r="E48" s="521"/>
      <c r="F48" s="479"/>
      <c r="G48" s="521"/>
      <c r="H48" s="521"/>
      <c r="I48" s="521"/>
      <c r="L48" s="137"/>
      <c r="M48" s="136"/>
      <c r="N48" s="137"/>
      <c r="O48" s="136"/>
    </row>
    <row r="49" spans="2:15" ht="15.75" thickBot="1">
      <c r="B49" s="579" t="s">
        <v>512</v>
      </c>
      <c r="C49" s="576">
        <v>1563840</v>
      </c>
      <c r="D49" s="521"/>
      <c r="E49" s="521"/>
      <c r="F49" s="479"/>
      <c r="G49" s="521"/>
      <c r="H49" s="521"/>
      <c r="I49" s="521"/>
      <c r="L49" s="137"/>
      <c r="M49" s="136"/>
      <c r="N49" s="137"/>
      <c r="O49" s="136"/>
    </row>
    <row r="50" spans="2:15" ht="15.75" thickBot="1">
      <c r="B50" s="579" t="s">
        <v>859</v>
      </c>
      <c r="C50" s="576" t="s">
        <v>860</v>
      </c>
      <c r="D50" s="521"/>
      <c r="E50" s="521"/>
      <c r="F50" s="479"/>
      <c r="G50" s="521"/>
      <c r="H50" s="521"/>
      <c r="I50" s="521"/>
      <c r="L50" s="137"/>
      <c r="M50" s="136"/>
      <c r="N50" s="137"/>
      <c r="O50" s="136"/>
    </row>
    <row r="51" spans="2:15" ht="15.75" thickBot="1">
      <c r="B51" s="579" t="s">
        <v>861</v>
      </c>
      <c r="C51" s="576">
        <v>1074740</v>
      </c>
      <c r="D51" s="521"/>
      <c r="E51" s="521"/>
      <c r="F51" s="479"/>
      <c r="G51" s="521"/>
      <c r="H51" s="521"/>
      <c r="I51" s="521"/>
      <c r="L51" s="137"/>
      <c r="M51" s="136"/>
      <c r="N51" s="137"/>
      <c r="O51" s="136"/>
    </row>
    <row r="52" spans="2:15" ht="15.75" thickBot="1">
      <c r="B52" s="579" t="s">
        <v>862</v>
      </c>
      <c r="C52" s="576">
        <v>172000</v>
      </c>
      <c r="D52" s="521"/>
      <c r="E52" s="521"/>
      <c r="F52" s="479"/>
      <c r="G52" s="521"/>
      <c r="H52" s="521"/>
      <c r="I52" s="521"/>
      <c r="L52" s="137"/>
      <c r="M52" s="136"/>
      <c r="N52" s="137"/>
      <c r="O52" s="136"/>
    </row>
    <row r="53" spans="2:15" ht="15.75" thickBot="1">
      <c r="B53" s="579" t="s">
        <v>863</v>
      </c>
      <c r="C53" s="577">
        <v>30405531</v>
      </c>
      <c r="D53" s="521"/>
      <c r="E53" s="521">
        <f>217151.34*140.02</f>
        <v>30405530.6268</v>
      </c>
      <c r="F53" s="479"/>
      <c r="G53" s="521"/>
      <c r="H53" s="521"/>
      <c r="I53" s="521"/>
      <c r="L53" s="137"/>
      <c r="M53" s="136"/>
      <c r="N53" s="137"/>
      <c r="O53" s="136"/>
    </row>
    <row r="54" spans="2:15" ht="15.75" thickBot="1">
      <c r="B54" s="580"/>
      <c r="C54" s="581">
        <f>SUM(C30:C53)</f>
        <v>267545167</v>
      </c>
      <c r="D54" s="521"/>
      <c r="E54" s="521"/>
      <c r="F54" s="479"/>
      <c r="G54" s="521"/>
      <c r="H54" s="521"/>
      <c r="I54" s="521"/>
      <c r="L54" s="137"/>
      <c r="M54" s="136"/>
      <c r="N54" s="137"/>
      <c r="O54" s="136"/>
    </row>
    <row r="55" spans="2:15" ht="15">
      <c r="B55" s="479"/>
      <c r="C55" s="521"/>
      <c r="D55" s="521"/>
      <c r="E55" s="521"/>
      <c r="F55" s="479"/>
      <c r="G55" s="521"/>
      <c r="H55" s="521"/>
      <c r="I55" s="521"/>
      <c r="L55" s="137"/>
      <c r="M55" s="136"/>
      <c r="N55" s="137"/>
      <c r="O55" s="136"/>
    </row>
    <row r="56" spans="2:15" ht="15">
      <c r="B56" s="479"/>
      <c r="C56" s="521">
        <v>346263378</v>
      </c>
      <c r="D56" s="521"/>
      <c r="E56" s="521"/>
      <c r="F56" s="479"/>
      <c r="G56" s="521"/>
      <c r="H56" s="521"/>
      <c r="I56" s="521"/>
      <c r="L56" s="137"/>
      <c r="M56" s="136"/>
      <c r="N56" s="137"/>
      <c r="O56" s="136"/>
    </row>
    <row r="57" spans="2:15" ht="15">
      <c r="B57" s="479"/>
      <c r="C57" s="521"/>
      <c r="D57" s="521"/>
      <c r="E57" s="521"/>
      <c r="F57" s="479"/>
      <c r="G57" s="521"/>
      <c r="H57" s="521"/>
      <c r="I57" s="521"/>
      <c r="L57" s="137"/>
      <c r="M57" s="136"/>
      <c r="N57" s="137"/>
      <c r="O57" s="136"/>
    </row>
    <row r="58" spans="2:15" ht="15">
      <c r="B58" s="479"/>
      <c r="C58" s="521">
        <f>C54-C56</f>
        <v>-78718211</v>
      </c>
      <c r="D58" s="521"/>
      <c r="E58" s="521"/>
      <c r="F58" s="479"/>
      <c r="G58" s="521"/>
      <c r="H58" s="521"/>
      <c r="I58" s="521"/>
      <c r="L58" s="137"/>
      <c r="M58" s="136"/>
      <c r="N58" s="137"/>
      <c r="O58" s="136"/>
    </row>
    <row r="59" spans="2:15" ht="15">
      <c r="B59" s="479"/>
      <c r="C59" s="521"/>
      <c r="D59" s="521"/>
      <c r="E59" s="521"/>
      <c r="F59" s="479"/>
      <c r="G59" s="521"/>
      <c r="H59" s="521"/>
      <c r="I59" s="521"/>
      <c r="L59" s="137"/>
      <c r="M59" s="136"/>
      <c r="N59" s="137"/>
      <c r="O59" s="136"/>
    </row>
    <row r="60" spans="2:15" ht="15">
      <c r="B60" s="479"/>
      <c r="C60" s="521"/>
      <c r="D60" s="521"/>
      <c r="E60" s="521"/>
      <c r="F60" s="479"/>
      <c r="G60" s="521"/>
      <c r="H60" s="521"/>
      <c r="I60" s="521"/>
      <c r="L60" s="137"/>
      <c r="M60" s="136"/>
      <c r="N60" s="137"/>
      <c r="O60" s="136"/>
    </row>
    <row r="61" spans="2:15" ht="15">
      <c r="B61" s="479"/>
      <c r="C61" s="521"/>
      <c r="D61" s="521"/>
      <c r="E61" s="521"/>
      <c r="F61" s="479"/>
      <c r="G61" s="521"/>
      <c r="H61" s="521"/>
      <c r="I61" s="521"/>
      <c r="L61" s="137"/>
      <c r="M61" s="136"/>
      <c r="N61" s="137"/>
      <c r="O61" s="136"/>
    </row>
    <row r="62" spans="2:15" ht="15">
      <c r="B62" s="479"/>
      <c r="C62" s="521"/>
      <c r="D62" s="521"/>
      <c r="E62" s="521"/>
      <c r="F62" s="479"/>
      <c r="G62" s="521"/>
      <c r="H62" s="521"/>
      <c r="I62" s="521"/>
      <c r="L62" s="137"/>
      <c r="M62" s="136"/>
      <c r="N62" s="137"/>
      <c r="O62" s="136"/>
    </row>
    <row r="63" spans="2:9" ht="15">
      <c r="B63" s="479"/>
      <c r="C63" s="521"/>
      <c r="D63" s="521"/>
      <c r="E63" s="521"/>
      <c r="F63" s="479"/>
      <c r="G63" s="521"/>
      <c r="H63" s="521"/>
      <c r="I63" s="521" t="e">
        <f>+#REF!-#REF!</f>
        <v>#REF!</v>
      </c>
    </row>
    <row r="64" spans="2:9" ht="15" hidden="1">
      <c r="B64" s="513" t="s">
        <v>46</v>
      </c>
      <c r="C64" s="521"/>
      <c r="D64" s="521"/>
      <c r="E64" s="521"/>
      <c r="F64" s="513"/>
      <c r="G64" s="521"/>
      <c r="H64" s="521"/>
      <c r="I64" s="521"/>
    </row>
    <row r="65" spans="3:9" ht="15" hidden="1">
      <c r="C65" s="478" t="str">
        <f>+C5</f>
        <v>31 Dhjetor 2012</v>
      </c>
      <c r="D65" s="478" t="str">
        <f>+D5</f>
        <v>31 Dhjetor 2011</v>
      </c>
      <c r="E65" s="478" t="s">
        <v>548</v>
      </c>
      <c r="G65" s="478" t="s">
        <v>110</v>
      </c>
      <c r="H65" s="522"/>
      <c r="I65" s="478" t="s">
        <v>100</v>
      </c>
    </row>
    <row r="66" spans="2:9" ht="15" hidden="1">
      <c r="B66" s="479"/>
      <c r="C66" s="523"/>
      <c r="D66" s="523"/>
      <c r="E66" s="523"/>
      <c r="F66" s="479"/>
      <c r="G66" s="523"/>
      <c r="H66" s="523"/>
      <c r="I66" s="523"/>
    </row>
    <row r="67" spans="2:9" ht="15" hidden="1">
      <c r="B67" s="479"/>
      <c r="C67" s="523"/>
      <c r="D67" s="523"/>
      <c r="E67" s="523"/>
      <c r="F67" s="479"/>
      <c r="G67" s="523"/>
      <c r="H67" s="523"/>
      <c r="I67" s="523"/>
    </row>
    <row r="68" spans="2:9" ht="15" hidden="1">
      <c r="B68" s="479"/>
      <c r="C68" s="523"/>
      <c r="D68" s="523"/>
      <c r="E68" s="523"/>
      <c r="F68" s="479"/>
      <c r="G68" s="523"/>
      <c r="H68" s="523"/>
      <c r="I68" s="523"/>
    </row>
    <row r="69" spans="2:9" ht="15" hidden="1">
      <c r="B69" s="524"/>
      <c r="C69" s="523"/>
      <c r="D69" s="523"/>
      <c r="E69" s="523"/>
      <c r="F69" s="524"/>
      <c r="G69" s="523"/>
      <c r="H69" s="523"/>
      <c r="I69" s="523"/>
    </row>
    <row r="70" spans="2:9" ht="15.75" hidden="1" thickBot="1">
      <c r="B70" s="482" t="s">
        <v>2</v>
      </c>
      <c r="C70" s="483">
        <f>SUM(C66:C67)</f>
        <v>0</v>
      </c>
      <c r="D70" s="483">
        <f>SUM(D66:D67)</f>
        <v>0</v>
      </c>
      <c r="E70" s="483">
        <f>SUM(E66:E67)</f>
        <v>0</v>
      </c>
      <c r="F70" s="482"/>
      <c r="G70" s="483">
        <f>SUM(G66:G67)</f>
        <v>0</v>
      </c>
      <c r="H70" s="484"/>
      <c r="I70" s="483">
        <f>SUM(I66:I66)</f>
        <v>0</v>
      </c>
    </row>
    <row r="71" spans="2:9" ht="15" hidden="1">
      <c r="B71" s="479"/>
      <c r="C71" s="521">
        <f>+'BK'!A22</f>
        <v>0</v>
      </c>
      <c r="D71" s="521" t="str">
        <f>+'BK'!B22</f>
        <v>Parapagesat per furnizime</v>
      </c>
      <c r="E71" s="521" t="str">
        <f>+'BK'!C22</f>
        <v>3.d</v>
      </c>
      <c r="F71" s="479"/>
      <c r="G71" s="521">
        <f>+'BK'!I22</f>
        <v>0</v>
      </c>
      <c r="H71" s="521"/>
      <c r="I71" s="521">
        <f>+'BK'!K22</f>
        <v>0</v>
      </c>
    </row>
    <row r="72" spans="2:9" ht="15" hidden="1">
      <c r="B72" s="479"/>
      <c r="C72" s="136"/>
      <c r="D72" s="136"/>
      <c r="E72" s="136"/>
      <c r="F72" s="479"/>
      <c r="G72" s="136"/>
      <c r="H72" s="508"/>
      <c r="I72" s="136"/>
    </row>
    <row r="73" spans="2:9" ht="15">
      <c r="B73" s="479"/>
      <c r="C73" s="136"/>
      <c r="D73" s="136"/>
      <c r="E73" s="136"/>
      <c r="F73" s="479"/>
      <c r="G73" s="136"/>
      <c r="H73" s="508"/>
      <c r="I73" s="136"/>
    </row>
    <row r="74" spans="2:9" ht="15">
      <c r="B74" s="513" t="s">
        <v>432</v>
      </c>
      <c r="C74" s="521"/>
      <c r="D74" s="521"/>
      <c r="E74" s="521"/>
      <c r="F74" s="513"/>
      <c r="G74" s="521"/>
      <c r="H74" s="521"/>
      <c r="I74" s="521"/>
    </row>
    <row r="75" spans="3:9" ht="15">
      <c r="C75" s="478" t="str">
        <f>+C65</f>
        <v>31 Dhjetor 2012</v>
      </c>
      <c r="D75" s="478" t="str">
        <f>+D65</f>
        <v>31 Dhjetor 2011</v>
      </c>
      <c r="E75" s="478" t="s">
        <v>560</v>
      </c>
      <c r="F75" s="479"/>
      <c r="G75" s="478" t="s">
        <v>548</v>
      </c>
      <c r="I75" s="478" t="s">
        <v>110</v>
      </c>
    </row>
    <row r="76" spans="2:9" ht="15">
      <c r="B76" s="479" t="s">
        <v>509</v>
      </c>
      <c r="C76" s="523">
        <v>350000</v>
      </c>
      <c r="D76" s="523">
        <v>350000</v>
      </c>
      <c r="E76" s="523">
        <v>350000</v>
      </c>
      <c r="F76" s="479"/>
      <c r="G76" s="523">
        <v>320833</v>
      </c>
      <c r="H76" s="523"/>
      <c r="I76" s="523">
        <v>0</v>
      </c>
    </row>
    <row r="77" spans="2:9" ht="15" hidden="1">
      <c r="B77" s="479"/>
      <c r="C77" s="523"/>
      <c r="D77" s="523"/>
      <c r="E77" s="523">
        <v>88624</v>
      </c>
      <c r="F77" s="479"/>
      <c r="G77" s="523">
        <v>300313</v>
      </c>
      <c r="H77" s="523"/>
      <c r="I77" s="523">
        <v>0</v>
      </c>
    </row>
    <row r="78" spans="2:9" ht="15">
      <c r="B78" s="479" t="s">
        <v>510</v>
      </c>
      <c r="C78" s="25">
        <v>25915</v>
      </c>
      <c r="D78" s="25">
        <v>25915</v>
      </c>
      <c r="E78" s="25">
        <v>51830</v>
      </c>
      <c r="F78" s="479"/>
      <c r="G78" s="25">
        <v>77955</v>
      </c>
      <c r="H78" s="523"/>
      <c r="I78" s="523">
        <v>0</v>
      </c>
    </row>
    <row r="79" spans="2:9" ht="15">
      <c r="B79" s="479" t="s">
        <v>511</v>
      </c>
      <c r="C79" s="25">
        <f>+'BK'!A27</f>
        <v>0</v>
      </c>
      <c r="D79" s="25" t="str">
        <f>+'BK'!B27</f>
        <v>Diferenca nga kembimi</v>
      </c>
      <c r="E79" s="25">
        <f>+'BK'!C27</f>
        <v>0</v>
      </c>
      <c r="F79" s="479"/>
      <c r="G79" s="25">
        <f>+'BK'!I27</f>
        <v>0</v>
      </c>
      <c r="H79" s="523"/>
      <c r="I79" s="523">
        <v>0</v>
      </c>
    </row>
    <row r="80" spans="2:9" ht="15.75" thickBot="1">
      <c r="B80" s="482" t="s">
        <v>2</v>
      </c>
      <c r="C80" s="483">
        <f>SUM(C76:C79)</f>
        <v>375915</v>
      </c>
      <c r="D80" s="483">
        <f>SUM(D76:D79)</f>
        <v>375915</v>
      </c>
      <c r="E80" s="483">
        <f>SUM(E76:E79)</f>
        <v>490454</v>
      </c>
      <c r="F80" s="482"/>
      <c r="G80" s="483">
        <f>SUM(G76:G79)</f>
        <v>699101</v>
      </c>
      <c r="H80" s="484"/>
      <c r="I80" s="483">
        <f>SUM(I76:I79)</f>
        <v>0</v>
      </c>
    </row>
    <row r="81" spans="2:9" ht="15.75" thickTop="1">
      <c r="B81" s="482"/>
      <c r="C81" s="525">
        <f>+'BK'!F26+'BK'!F27</f>
        <v>25775804</v>
      </c>
      <c r="D81" s="525">
        <f>+'BK'!G26+'BK'!G27</f>
        <v>36947756.99</v>
      </c>
      <c r="E81" s="525">
        <f>+'BK'!H26+'BK'!H27</f>
        <v>14158876</v>
      </c>
      <c r="F81" s="482"/>
      <c r="G81" s="525">
        <f>+'BK'!I26+'BK'!I27</f>
        <v>19417672</v>
      </c>
      <c r="H81" s="525"/>
      <c r="I81" s="525">
        <f>+'BK'!K26+'BK'!K27</f>
        <v>0</v>
      </c>
    </row>
    <row r="82" spans="2:9" ht="15">
      <c r="B82" s="482"/>
      <c r="C82" s="525"/>
      <c r="D82" s="525"/>
      <c r="E82" s="525"/>
      <c r="F82" s="482"/>
      <c r="G82" s="525"/>
      <c r="H82" s="484"/>
      <c r="I82" s="525"/>
    </row>
    <row r="83" spans="2:20" ht="15">
      <c r="B83" s="513" t="s">
        <v>139</v>
      </c>
      <c r="C83" s="479"/>
      <c r="D83" s="479"/>
      <c r="E83" s="479"/>
      <c r="F83" s="513"/>
      <c r="G83" s="479"/>
      <c r="H83" s="479"/>
      <c r="I83" s="479"/>
      <c r="L83" s="31"/>
      <c r="M83" s="26"/>
      <c r="N83" s="32"/>
      <c r="O83" s="31"/>
      <c r="P83" s="26"/>
      <c r="Q83" s="26"/>
      <c r="R83" s="26"/>
      <c r="S83" s="26"/>
      <c r="T83" s="26"/>
    </row>
    <row r="84" spans="2:20" ht="15">
      <c r="B84" s="479"/>
      <c r="C84" s="478" t="str">
        <f>+C75</f>
        <v>31 Dhjetor 2012</v>
      </c>
      <c r="D84" s="478" t="str">
        <f>+D75</f>
        <v>31 Dhjetor 2011</v>
      </c>
      <c r="E84" s="478" t="s">
        <v>560</v>
      </c>
      <c r="F84" s="479"/>
      <c r="G84" s="478" t="s">
        <v>548</v>
      </c>
      <c r="I84" s="478" t="s">
        <v>110</v>
      </c>
      <c r="L84" s="26"/>
      <c r="M84" s="26"/>
      <c r="N84" s="26"/>
      <c r="O84" s="26"/>
      <c r="P84" s="26"/>
      <c r="Q84" s="26"/>
      <c r="R84" s="26"/>
      <c r="S84" s="26"/>
      <c r="T84" s="26"/>
    </row>
    <row r="85" spans="2:20" ht="15">
      <c r="B85" s="479" t="s">
        <v>105</v>
      </c>
      <c r="C85" s="20">
        <f>+'BK'!F45</f>
        <v>66489817</v>
      </c>
      <c r="D85" s="20">
        <f>+'BK'!G45</f>
        <v>215778334.91000003</v>
      </c>
      <c r="E85" s="20">
        <f>+'BK'!H45</f>
        <v>199599676</v>
      </c>
      <c r="F85" s="479"/>
      <c r="G85" s="20">
        <f>+'BK'!I45</f>
        <v>69162893</v>
      </c>
      <c r="H85" s="20"/>
      <c r="I85" s="20">
        <f>+'BK'!K45</f>
        <v>0</v>
      </c>
      <c r="L85" s="26"/>
      <c r="M85" s="26"/>
      <c r="N85" s="26"/>
      <c r="O85" s="26"/>
      <c r="P85" s="26"/>
      <c r="Q85" s="26"/>
      <c r="R85" s="26"/>
      <c r="S85" s="26"/>
      <c r="T85" s="26"/>
    </row>
    <row r="86" spans="2:20" ht="15">
      <c r="B86" s="479" t="s">
        <v>132</v>
      </c>
      <c r="C86" s="25">
        <f>+'BK'!F43</f>
        <v>141732161</v>
      </c>
      <c r="D86" s="25">
        <f>+'BK'!G43</f>
        <v>0</v>
      </c>
      <c r="E86" s="25">
        <f>+'BK'!H43</f>
        <v>0</v>
      </c>
      <c r="F86" s="479"/>
      <c r="G86" s="25">
        <f>+'BK'!I43</f>
        <v>0</v>
      </c>
      <c r="I86" s="25">
        <f>+'BK'!K43</f>
        <v>0</v>
      </c>
      <c r="L86" s="33"/>
      <c r="M86" s="34"/>
      <c r="N86" s="35"/>
      <c r="O86" s="36"/>
      <c r="P86" s="26"/>
      <c r="Q86" s="26"/>
      <c r="R86" s="26"/>
      <c r="S86" s="26"/>
      <c r="T86" s="37"/>
    </row>
    <row r="87" spans="2:20" ht="15">
      <c r="B87" s="479" t="s">
        <v>125</v>
      </c>
      <c r="C87" s="25">
        <f>+'BK'!F46</f>
        <v>205108</v>
      </c>
      <c r="D87" s="25">
        <f>+'BK'!G46</f>
        <v>0</v>
      </c>
      <c r="E87" s="25">
        <f>+'BK'!H46</f>
        <v>67207917</v>
      </c>
      <c r="F87" s="479"/>
      <c r="G87" s="25">
        <f>+'BK'!I46</f>
        <v>0</v>
      </c>
      <c r="I87" s="25">
        <f>+'BK'!K46</f>
        <v>0</v>
      </c>
      <c r="L87" s="26"/>
      <c r="M87" s="26"/>
      <c r="N87" s="26"/>
      <c r="O87" s="26"/>
      <c r="P87" s="26"/>
      <c r="Q87" s="26"/>
      <c r="R87" s="26"/>
      <c r="S87" s="26"/>
      <c r="T87" s="26"/>
    </row>
    <row r="88" spans="2:20" ht="15">
      <c r="B88" s="479" t="s">
        <v>8</v>
      </c>
      <c r="C88" s="508" t="e">
        <f>+'BK'!#REF!</f>
        <v>#REF!</v>
      </c>
      <c r="D88" s="508" t="e">
        <f>+'BK'!#REF!</f>
        <v>#REF!</v>
      </c>
      <c r="E88" s="508" t="e">
        <f>+'BK'!#REF!</f>
        <v>#REF!</v>
      </c>
      <c r="F88" s="479"/>
      <c r="G88" s="508">
        <f>+'BK'!I47</f>
        <v>262049</v>
      </c>
      <c r="H88" s="508"/>
      <c r="I88" s="508">
        <f>+'BK'!K47</f>
        <v>0</v>
      </c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5">
      <c r="B89" s="479" t="s">
        <v>123</v>
      </c>
      <c r="C89" s="25">
        <f>+'BK'!F47</f>
        <v>174653</v>
      </c>
      <c r="D89" s="25">
        <f>+'BK'!G47</f>
        <v>178392</v>
      </c>
      <c r="E89" s="25">
        <f>+'BK'!H47</f>
        <v>169556</v>
      </c>
      <c r="F89" s="479"/>
      <c r="G89" s="25">
        <f>+'BK'!I48</f>
        <v>7804066</v>
      </c>
      <c r="I89" s="25">
        <f>+'BK'!K48</f>
        <v>0</v>
      </c>
      <c r="L89" s="26"/>
      <c r="M89" s="26"/>
      <c r="N89" s="26"/>
      <c r="O89" s="26"/>
      <c r="P89" s="38"/>
      <c r="Q89" s="26"/>
      <c r="R89" s="26"/>
      <c r="S89" s="26"/>
      <c r="T89" s="39"/>
    </row>
    <row r="90" spans="2:20" ht="15">
      <c r="B90" s="479" t="s">
        <v>63</v>
      </c>
      <c r="C90" s="25">
        <f>+'BK'!F50</f>
        <v>0</v>
      </c>
      <c r="D90" s="25">
        <f>+'BK'!G50</f>
        <v>0</v>
      </c>
      <c r="E90" s="25">
        <f>+'BK'!H50</f>
        <v>0</v>
      </c>
      <c r="F90" s="479"/>
      <c r="G90" s="25">
        <f>+'BK'!I50</f>
        <v>0</v>
      </c>
      <c r="I90" s="25">
        <f>+'BK'!K50</f>
        <v>0</v>
      </c>
      <c r="L90" s="26"/>
      <c r="M90" s="26"/>
      <c r="N90" s="26"/>
      <c r="O90" s="26"/>
      <c r="P90" s="38"/>
      <c r="Q90" s="26"/>
      <c r="R90" s="26"/>
      <c r="S90" s="26"/>
      <c r="T90" s="39"/>
    </row>
    <row r="91" spans="2:9" ht="15">
      <c r="B91" s="479" t="s">
        <v>429</v>
      </c>
      <c r="C91" s="25">
        <f>+'BK'!F49</f>
        <v>0</v>
      </c>
      <c r="D91" s="25">
        <f>+'BK'!G49</f>
        <v>0</v>
      </c>
      <c r="E91" s="25">
        <f>+'BK'!H49</f>
        <v>0</v>
      </c>
      <c r="F91" s="479"/>
      <c r="G91" s="25">
        <f>+'BK'!I49</f>
        <v>0</v>
      </c>
      <c r="I91" s="25">
        <f>+'BK'!K51</f>
        <v>0</v>
      </c>
    </row>
    <row r="92" spans="2:10" ht="15">
      <c r="B92" s="479"/>
      <c r="F92" s="479"/>
      <c r="H92" s="479"/>
      <c r="I92" s="508"/>
      <c r="J92" s="507"/>
    </row>
    <row r="93" spans="2:10" ht="15.75" thickBot="1">
      <c r="B93" s="509" t="s">
        <v>2</v>
      </c>
      <c r="C93" s="511" t="e">
        <f>SUM(C85:C91)</f>
        <v>#REF!</v>
      </c>
      <c r="D93" s="511" t="e">
        <f>SUM(D85:D91)</f>
        <v>#REF!</v>
      </c>
      <c r="E93" s="511" t="e">
        <f>SUM(E85:E91)</f>
        <v>#REF!</v>
      </c>
      <c r="F93" s="509"/>
      <c r="G93" s="511">
        <f>SUM(G85:G91)</f>
        <v>77229008</v>
      </c>
      <c r="H93" s="479"/>
      <c r="I93" s="511">
        <f>SUM(I85:I91)</f>
        <v>0</v>
      </c>
      <c r="J93" s="507"/>
    </row>
    <row r="94" spans="2:10" ht="15.75" thickTop="1">
      <c r="B94" s="479"/>
      <c r="C94" s="25">
        <f>+'Bilanci Alpha'!F86</f>
        <v>0</v>
      </c>
      <c r="D94" s="25">
        <f>+'Bilanci Alpha'!G86</f>
        <v>0</v>
      </c>
      <c r="E94" s="25" t="e">
        <f>+E93-'BK'!C55</f>
        <v>#REF!</v>
      </c>
      <c r="F94" s="479"/>
      <c r="G94" s="25">
        <f>+G93-'BK'!I55</f>
        <v>0</v>
      </c>
      <c r="H94" s="479"/>
      <c r="I94" s="25">
        <f>+I93-'BK'!K55</f>
        <v>0</v>
      </c>
      <c r="J94" s="507"/>
    </row>
    <row r="95" spans="2:9" ht="15">
      <c r="B95" s="513" t="s">
        <v>105</v>
      </c>
      <c r="C95" s="136"/>
      <c r="D95" s="136"/>
      <c r="E95" s="136"/>
      <c r="F95" s="513"/>
      <c r="G95" s="136"/>
      <c r="H95" s="479"/>
      <c r="I95" s="136"/>
    </row>
    <row r="96" spans="2:9" ht="15">
      <c r="B96" s="526" t="s">
        <v>556</v>
      </c>
      <c r="C96" s="478" t="str">
        <f>+C84</f>
        <v>31 Dhjetor 2012</v>
      </c>
      <c r="D96" s="478" t="str">
        <f>+D84</f>
        <v>31 Dhjetor 2011</v>
      </c>
      <c r="E96" s="478" t="s">
        <v>560</v>
      </c>
      <c r="F96" s="513"/>
      <c r="G96" s="136"/>
      <c r="H96" s="479"/>
      <c r="I96" s="136"/>
    </row>
    <row r="97" spans="2:9" ht="15">
      <c r="B97" s="527" t="s">
        <v>731</v>
      </c>
      <c r="C97" s="528">
        <v>81401</v>
      </c>
      <c r="D97" s="528">
        <v>-0.51</v>
      </c>
      <c r="E97" s="529">
        <v>0.65</v>
      </c>
      <c r="F97" s="513"/>
      <c r="G97" s="136"/>
      <c r="H97" s="479"/>
      <c r="I97" s="136"/>
    </row>
    <row r="98" spans="2:9" ht="15">
      <c r="B98" s="527" t="s">
        <v>769</v>
      </c>
      <c r="C98" s="528">
        <v>505269</v>
      </c>
      <c r="D98" s="530">
        <v>505296</v>
      </c>
      <c r="E98" s="530">
        <v>505296</v>
      </c>
      <c r="F98" s="513"/>
      <c r="G98" s="136"/>
      <c r="H98" s="479"/>
      <c r="I98" s="136"/>
    </row>
    <row r="99" spans="2:9" ht="15">
      <c r="B99" s="527" t="s">
        <v>770</v>
      </c>
      <c r="C99" s="528">
        <v>69200</v>
      </c>
      <c r="D99" s="528">
        <v>69200</v>
      </c>
      <c r="E99" s="530">
        <v>40000</v>
      </c>
      <c r="F99" s="513"/>
      <c r="G99" s="136"/>
      <c r="H99" s="479"/>
      <c r="I99" s="136"/>
    </row>
    <row r="100" spans="2:9" ht="15">
      <c r="B100" s="527" t="s">
        <v>771</v>
      </c>
      <c r="C100" s="528">
        <v>530062</v>
      </c>
      <c r="D100" s="528">
        <v>40000</v>
      </c>
      <c r="E100" s="530">
        <v>140000</v>
      </c>
      <c r="F100" s="513"/>
      <c r="G100" s="136"/>
      <c r="H100" s="479"/>
      <c r="I100" s="136"/>
    </row>
    <row r="101" spans="2:9" ht="15">
      <c r="B101" s="527" t="s">
        <v>803</v>
      </c>
      <c r="C101" s="528"/>
      <c r="D101" s="528"/>
      <c r="E101" s="531"/>
      <c r="F101" s="513"/>
      <c r="G101" s="136"/>
      <c r="H101" s="479"/>
      <c r="I101" s="136"/>
    </row>
    <row r="102" spans="2:9" ht="15">
      <c r="B102" s="527" t="s">
        <v>772</v>
      </c>
      <c r="C102" s="528"/>
      <c r="D102" s="528"/>
      <c r="E102" s="531">
        <v>34963536</v>
      </c>
      <c r="F102" s="513"/>
      <c r="G102" s="136"/>
      <c r="H102" s="479"/>
      <c r="I102" s="136"/>
    </row>
    <row r="103" spans="2:9" ht="15">
      <c r="B103" s="527" t="s">
        <v>773</v>
      </c>
      <c r="C103" s="528"/>
      <c r="D103" s="528"/>
      <c r="E103" s="531">
        <v>26289145</v>
      </c>
      <c r="F103" s="513"/>
      <c r="G103" s="136"/>
      <c r="H103" s="479"/>
      <c r="I103" s="136"/>
    </row>
    <row r="104" spans="2:9" ht="15">
      <c r="B104" s="527" t="s">
        <v>512</v>
      </c>
      <c r="C104" s="528"/>
      <c r="D104" s="528"/>
      <c r="E104" s="531">
        <v>1532330</v>
      </c>
      <c r="F104" s="513"/>
      <c r="G104" s="136"/>
      <c r="H104" s="479"/>
      <c r="I104" s="136"/>
    </row>
    <row r="105" spans="2:12" ht="15.75" thickBot="1">
      <c r="B105" s="532" t="s">
        <v>2</v>
      </c>
      <c r="C105" s="533">
        <f>+C106</f>
        <v>66489817</v>
      </c>
      <c r="D105" s="533">
        <f>+D106</f>
        <v>215778334.91000003</v>
      </c>
      <c r="E105" s="511">
        <f>SUM(E97:E104)</f>
        <v>63470307.65</v>
      </c>
      <c r="F105" s="509"/>
      <c r="G105" s="511"/>
      <c r="H105" s="479"/>
      <c r="I105" s="511">
        <f>+I106</f>
        <v>0</v>
      </c>
      <c r="L105" s="25">
        <f>+'Bilanci Alpha'!G101</f>
        <v>215778334.91000003</v>
      </c>
    </row>
    <row r="106" spans="2:12" ht="15.75" thickTop="1">
      <c r="B106" s="20"/>
      <c r="C106" s="521">
        <f>+'BK'!F45</f>
        <v>66489817</v>
      </c>
      <c r="D106" s="521">
        <f>+'BK'!G45</f>
        <v>215778334.91000003</v>
      </c>
      <c r="E106" s="521">
        <f>+'BK'!H45</f>
        <v>199599676</v>
      </c>
      <c r="F106" s="20"/>
      <c r="G106" s="521">
        <f>+'BK'!I45</f>
        <v>69162893</v>
      </c>
      <c r="H106" s="521"/>
      <c r="I106" s="521">
        <f>+'BK'!K45</f>
        <v>0</v>
      </c>
      <c r="L106" s="25">
        <f>+L105-E105</f>
        <v>152308027.26000002</v>
      </c>
    </row>
    <row r="107" spans="2:9" ht="15">
      <c r="B107" s="479"/>
      <c r="C107" s="136"/>
      <c r="D107" s="136"/>
      <c r="E107" s="136"/>
      <c r="F107" s="479"/>
      <c r="G107" s="136"/>
      <c r="H107" s="479"/>
      <c r="I107" s="136"/>
    </row>
    <row r="108" spans="2:9" ht="15">
      <c r="B108" s="513" t="s">
        <v>430</v>
      </c>
      <c r="C108" s="136"/>
      <c r="D108" s="136"/>
      <c r="E108" s="136"/>
      <c r="F108" s="513"/>
      <c r="G108" s="136"/>
      <c r="H108" s="479"/>
      <c r="I108" s="136"/>
    </row>
    <row r="109" spans="2:9" ht="15">
      <c r="B109" s="479"/>
      <c r="C109" s="478" t="str">
        <f>+C96</f>
        <v>31 Dhjetor 2012</v>
      </c>
      <c r="D109" s="478" t="str">
        <f>+D96</f>
        <v>31 Dhjetor 2011</v>
      </c>
      <c r="E109" s="478" t="s">
        <v>560</v>
      </c>
      <c r="F109" s="479"/>
      <c r="G109" s="478" t="s">
        <v>548</v>
      </c>
      <c r="I109" s="478" t="s">
        <v>110</v>
      </c>
    </row>
    <row r="110" spans="2:7" ht="15">
      <c r="B110" s="479" t="s">
        <v>553</v>
      </c>
      <c r="C110" s="25">
        <f>+'BK'!F43</f>
        <v>141732161</v>
      </c>
      <c r="D110" s="25">
        <f>+'BK'!G43</f>
        <v>0</v>
      </c>
      <c r="E110" s="25">
        <f>+'BK'!H43</f>
        <v>0</v>
      </c>
      <c r="F110" s="479"/>
      <c r="G110" s="25">
        <v>5200000</v>
      </c>
    </row>
    <row r="111" spans="2:9" ht="15" hidden="1">
      <c r="B111" s="479" t="s">
        <v>513</v>
      </c>
      <c r="C111" s="25">
        <v>0</v>
      </c>
      <c r="D111" s="25">
        <v>0</v>
      </c>
      <c r="E111" s="25">
        <v>0</v>
      </c>
      <c r="F111" s="479"/>
      <c r="G111" s="25">
        <v>2724580</v>
      </c>
      <c r="I111" s="25">
        <v>0</v>
      </c>
    </row>
    <row r="112" spans="2:9" ht="15.75" thickBot="1">
      <c r="B112" s="509" t="s">
        <v>2</v>
      </c>
      <c r="C112" s="511">
        <f>SUM(C110:C111)</f>
        <v>141732161</v>
      </c>
      <c r="D112" s="511">
        <f>SUM(D110:D111)</f>
        <v>0</v>
      </c>
      <c r="E112" s="511">
        <f>SUM(E110:E111)</f>
        <v>0</v>
      </c>
      <c r="F112" s="509"/>
      <c r="G112" s="511">
        <f>SUM(G110:G111)</f>
        <v>7924580</v>
      </c>
      <c r="H112" s="508"/>
      <c r="I112" s="511">
        <f>SUM(I110:I111)</f>
        <v>0</v>
      </c>
    </row>
    <row r="113" spans="2:9" ht="15.75" thickTop="1">
      <c r="B113" s="479"/>
      <c r="C113" s="136">
        <f>+'BK'!A43</f>
        <v>0</v>
      </c>
      <c r="D113" s="136" t="str">
        <f>+'BK'!B43</f>
        <v>Huamarjet</v>
      </c>
      <c r="E113" s="136" t="str">
        <f>+'BK'!C43</f>
        <v>5.b</v>
      </c>
      <c r="F113" s="479"/>
      <c r="G113" s="136">
        <f>+'BK'!I43</f>
        <v>0</v>
      </c>
      <c r="H113" s="136"/>
      <c r="I113" s="136">
        <f>+'BK'!K43</f>
        <v>0</v>
      </c>
    </row>
    <row r="114" spans="2:9" ht="15">
      <c r="B114" s="479"/>
      <c r="C114" s="136"/>
      <c r="D114" s="136"/>
      <c r="E114" s="136"/>
      <c r="F114" s="479"/>
      <c r="G114" s="136"/>
      <c r="H114" s="479"/>
      <c r="I114" s="136"/>
    </row>
    <row r="115" spans="2:9" ht="15">
      <c r="B115" s="479"/>
      <c r="C115" s="478" t="str">
        <f>+C109</f>
        <v>31 Dhjetor 2012</v>
      </c>
      <c r="D115" s="478" t="str">
        <f>+D109</f>
        <v>31 Dhjetor 2011</v>
      </c>
      <c r="E115" s="478" t="s">
        <v>560</v>
      </c>
      <c r="F115" s="479"/>
      <c r="G115" s="478" t="s">
        <v>548</v>
      </c>
      <c r="I115" s="478" t="s">
        <v>110</v>
      </c>
    </row>
    <row r="116" spans="2:11" ht="15">
      <c r="B116" s="479" t="s">
        <v>108</v>
      </c>
      <c r="C116" s="25">
        <v>253297</v>
      </c>
      <c r="D116" s="25">
        <v>253297</v>
      </c>
      <c r="E116" s="25">
        <v>277114</v>
      </c>
      <c r="F116" s="479"/>
      <c r="G116" s="25">
        <v>225789</v>
      </c>
      <c r="I116" s="25">
        <v>275546</v>
      </c>
      <c r="K116" s="21"/>
    </row>
    <row r="117" spans="2:11" ht="15">
      <c r="B117" s="479" t="s">
        <v>109</v>
      </c>
      <c r="C117" s="25">
        <v>216783</v>
      </c>
      <c r="D117" s="25">
        <v>216783</v>
      </c>
      <c r="E117" s="25">
        <v>223758</v>
      </c>
      <c r="F117" s="479"/>
      <c r="G117" s="25">
        <v>263858</v>
      </c>
      <c r="I117" s="21">
        <v>272412</v>
      </c>
      <c r="K117" s="21"/>
    </row>
    <row r="118" spans="2:9" ht="15">
      <c r="B118" s="479" t="s">
        <v>106</v>
      </c>
      <c r="C118" s="25">
        <v>56200</v>
      </c>
      <c r="D118" s="25">
        <v>56200</v>
      </c>
      <c r="E118" s="25">
        <v>57260</v>
      </c>
      <c r="F118" s="479"/>
      <c r="G118" s="25">
        <v>49200</v>
      </c>
      <c r="I118" s="21">
        <v>48800</v>
      </c>
    </row>
    <row r="119" spans="2:9" ht="15">
      <c r="B119" s="479" t="s">
        <v>514</v>
      </c>
      <c r="C119" s="25">
        <f>+C87</f>
        <v>205108</v>
      </c>
      <c r="D119" s="25">
        <f>+D87</f>
        <v>0</v>
      </c>
      <c r="E119" s="25">
        <v>924132</v>
      </c>
      <c r="F119" s="479"/>
      <c r="G119" s="25">
        <v>91680</v>
      </c>
      <c r="I119" s="21">
        <v>0</v>
      </c>
    </row>
    <row r="120" spans="2:6" ht="15">
      <c r="B120" s="479"/>
      <c r="F120" s="479"/>
    </row>
    <row r="121" spans="2:9" ht="15.75" thickBot="1">
      <c r="B121" s="509" t="s">
        <v>2</v>
      </c>
      <c r="C121" s="511">
        <f>SUM(C116:C119)</f>
        <v>731388</v>
      </c>
      <c r="D121" s="511">
        <f>SUM(D116:D119)</f>
        <v>526280</v>
      </c>
      <c r="E121" s="511">
        <f>SUM(E116:E119)</f>
        <v>1482264</v>
      </c>
      <c r="F121" s="509"/>
      <c r="G121" s="511">
        <f>SUM(G116:G119)</f>
        <v>630527</v>
      </c>
      <c r="H121" s="508"/>
      <c r="I121" s="511">
        <f>SUM(I116:I119)</f>
        <v>596758</v>
      </c>
    </row>
    <row r="122" spans="2:9" ht="15.75" thickTop="1">
      <c r="B122" s="479"/>
      <c r="C122" s="521">
        <f>+'BK'!A47</f>
        <v>0</v>
      </c>
      <c r="D122" s="521" t="str">
        <f>+'BK'!B47</f>
        <v>Detyrime tatimore</v>
      </c>
      <c r="E122" s="521" t="str">
        <f>+'BK'!C47</f>
        <v>5.d</v>
      </c>
      <c r="F122" s="479"/>
      <c r="G122" s="521">
        <f>+'BK'!I47</f>
        <v>262049</v>
      </c>
      <c r="H122" s="136"/>
      <c r="I122" s="521">
        <f>+'BK'!K47</f>
        <v>0</v>
      </c>
    </row>
    <row r="123" spans="2:9" ht="15">
      <c r="B123" s="479"/>
      <c r="C123" s="136"/>
      <c r="D123" s="136"/>
      <c r="E123" s="136"/>
      <c r="F123" s="479"/>
      <c r="G123" s="136"/>
      <c r="H123" s="479"/>
      <c r="I123" s="136"/>
    </row>
    <row r="124" spans="2:9" ht="15">
      <c r="B124" s="534" t="s">
        <v>428</v>
      </c>
      <c r="C124" s="136"/>
      <c r="D124" s="136"/>
      <c r="E124" s="136"/>
      <c r="F124" s="534"/>
      <c r="G124" s="136"/>
      <c r="H124" s="479"/>
      <c r="I124" s="136"/>
    </row>
    <row r="125" spans="2:10" ht="15">
      <c r="B125" s="479"/>
      <c r="C125" s="478" t="str">
        <f>+C115</f>
        <v>31 Dhjetor 2012</v>
      </c>
      <c r="D125" s="478" t="str">
        <f>+D115</f>
        <v>31 Dhjetor 2011</v>
      </c>
      <c r="E125" s="478" t="s">
        <v>560</v>
      </c>
      <c r="F125" s="479"/>
      <c r="G125" s="478" t="s">
        <v>548</v>
      </c>
      <c r="I125" s="478" t="s">
        <v>110</v>
      </c>
      <c r="J125" s="507"/>
    </row>
    <row r="126" spans="2:6" ht="15">
      <c r="B126" s="479"/>
      <c r="F126" s="479"/>
    </row>
    <row r="127" spans="2:10" ht="15.75" thickBot="1">
      <c r="B127" s="509" t="s">
        <v>2</v>
      </c>
      <c r="C127" s="511">
        <f>SUM(C126:C126)</f>
        <v>0</v>
      </c>
      <c r="D127" s="511">
        <f>SUM(D126:D126)</f>
        <v>0</v>
      </c>
      <c r="E127" s="511">
        <f>SUM(E126:E126)</f>
        <v>0</v>
      </c>
      <c r="F127" s="509"/>
      <c r="G127" s="511">
        <f>SUM(G126:G126)</f>
        <v>0</v>
      </c>
      <c r="H127" s="508"/>
      <c r="I127" s="511">
        <f>SUM(I126:I126)</f>
        <v>0</v>
      </c>
      <c r="J127" s="484"/>
    </row>
    <row r="128" spans="2:9" ht="15.75" thickTop="1">
      <c r="B128" s="479"/>
      <c r="C128" s="508"/>
      <c r="D128" s="508"/>
      <c r="E128" s="508"/>
      <c r="F128" s="479"/>
      <c r="G128" s="508"/>
      <c r="H128" s="508"/>
      <c r="I128" s="508"/>
    </row>
    <row r="129" spans="2:9" ht="15">
      <c r="B129" s="20"/>
      <c r="C129" s="535">
        <f>+C90</f>
        <v>0</v>
      </c>
      <c r="D129" s="535">
        <f>+D90</f>
        <v>0</v>
      </c>
      <c r="E129" s="535">
        <f>+E90</f>
        <v>0</v>
      </c>
      <c r="F129" s="20"/>
      <c r="G129" s="535">
        <f>+G90</f>
        <v>0</v>
      </c>
      <c r="H129" s="535"/>
      <c r="I129" s="535">
        <f>+I90</f>
        <v>0</v>
      </c>
    </row>
    <row r="130" spans="2:9" ht="15">
      <c r="B130" s="479"/>
      <c r="C130" s="20"/>
      <c r="D130" s="20"/>
      <c r="E130" s="20"/>
      <c r="F130" s="479"/>
      <c r="G130" s="20"/>
      <c r="H130" s="479"/>
      <c r="I130" s="479"/>
    </row>
    <row r="131" spans="2:9" ht="15">
      <c r="B131" s="479"/>
      <c r="C131" s="478" t="str">
        <f>+C125</f>
        <v>31 Dhjetor 2012</v>
      </c>
      <c r="D131" s="478" t="str">
        <f>+D125</f>
        <v>31 Dhjetor 2011</v>
      </c>
      <c r="E131" s="478" t="s">
        <v>560</v>
      </c>
      <c r="F131" s="479"/>
      <c r="G131" s="478" t="s">
        <v>548</v>
      </c>
      <c r="I131" s="478" t="s">
        <v>110</v>
      </c>
    </row>
    <row r="132" spans="2:9" ht="15">
      <c r="B132" s="479" t="s">
        <v>123</v>
      </c>
      <c r="C132" s="25">
        <f>+'BK'!F47</f>
        <v>174653</v>
      </c>
      <c r="D132" s="25">
        <f>+'BK'!G47</f>
        <v>178392</v>
      </c>
      <c r="E132" s="25">
        <f>+'BK'!H47</f>
        <v>169556</v>
      </c>
      <c r="F132" s="479"/>
      <c r="G132" s="25">
        <f>+'BK'!I48</f>
        <v>7804066</v>
      </c>
      <c r="I132" s="25">
        <f>+'BK'!K48</f>
        <v>0</v>
      </c>
    </row>
    <row r="133" spans="2:6" ht="15">
      <c r="B133" s="479"/>
      <c r="F133" s="479"/>
    </row>
    <row r="134" spans="2:9" ht="15.75" thickBot="1">
      <c r="B134" s="509" t="s">
        <v>2</v>
      </c>
      <c r="C134" s="511">
        <f>SUM(C132:C132)</f>
        <v>174653</v>
      </c>
      <c r="D134" s="511">
        <f>SUM(D132:D132)</f>
        <v>178392</v>
      </c>
      <c r="E134" s="511">
        <f>SUM(E132:E132)</f>
        <v>169556</v>
      </c>
      <c r="F134" s="509"/>
      <c r="G134" s="511">
        <f>SUM(G132:G132)</f>
        <v>7804066</v>
      </c>
      <c r="H134" s="508"/>
      <c r="I134" s="511">
        <f>SUM(I132:I132)</f>
        <v>0</v>
      </c>
    </row>
    <row r="135" spans="2:9" ht="15.75" thickTop="1">
      <c r="B135" s="479"/>
      <c r="C135" s="512">
        <f>+'BK'!F47</f>
        <v>174653</v>
      </c>
      <c r="D135" s="512">
        <f>+'BK'!G47</f>
        <v>178392</v>
      </c>
      <c r="E135" s="512">
        <f>+'BK'!H47</f>
        <v>169556</v>
      </c>
      <c r="F135" s="479"/>
      <c r="G135" s="512">
        <f>+'BK'!I48</f>
        <v>7804066</v>
      </c>
      <c r="H135" s="512"/>
      <c r="I135" s="512">
        <f>+'BK'!K48</f>
        <v>0</v>
      </c>
    </row>
    <row r="136" spans="2:9" ht="15">
      <c r="B136" s="479"/>
      <c r="C136" s="20"/>
      <c r="D136" s="20"/>
      <c r="E136" s="20"/>
      <c r="F136" s="479"/>
      <c r="G136" s="20"/>
      <c r="H136" s="479"/>
      <c r="I136" s="20"/>
    </row>
    <row r="137" spans="2:9" ht="15">
      <c r="B137" s="479" t="s">
        <v>515</v>
      </c>
      <c r="C137" s="479"/>
      <c r="D137" s="479"/>
      <c r="E137" s="479"/>
      <c r="F137" s="479"/>
      <c r="G137" s="479"/>
      <c r="H137" s="479"/>
      <c r="I137" s="479"/>
    </row>
    <row r="138" spans="3:9" ht="15">
      <c r="C138" s="478" t="str">
        <f>+C131</f>
        <v>31 Dhjetor 2012</v>
      </c>
      <c r="D138" s="478" t="str">
        <f>+D131</f>
        <v>31 Dhjetor 2011</v>
      </c>
      <c r="E138" s="478" t="s">
        <v>560</v>
      </c>
      <c r="F138" s="479"/>
      <c r="G138" s="478" t="s">
        <v>548</v>
      </c>
      <c r="I138" s="478" t="s">
        <v>110</v>
      </c>
    </row>
    <row r="139" spans="2:9" ht="15">
      <c r="B139" s="25" t="s">
        <v>107</v>
      </c>
      <c r="C139" s="25">
        <f>+'Bilanci Alpha'!F43</f>
        <v>6389177</v>
      </c>
      <c r="D139" s="25">
        <f>+'Bilanci Alpha'!G43</f>
        <v>0</v>
      </c>
      <c r="E139" s="25">
        <f>+'Bilanci Alpha'!H43</f>
        <v>0</v>
      </c>
      <c r="G139" s="25">
        <f>+'Bilanci Alpha'!I43</f>
        <v>0</v>
      </c>
      <c r="I139" s="25">
        <f>+'Bilanci Alpha'!J43</f>
        <v>0</v>
      </c>
    </row>
    <row r="140" spans="2:9" ht="15.75" thickBot="1">
      <c r="B140" s="482" t="s">
        <v>2</v>
      </c>
      <c r="C140" s="483">
        <f>SUM(C139:C139)</f>
        <v>6389177</v>
      </c>
      <c r="D140" s="483">
        <f>SUM(D139:D139)</f>
        <v>0</v>
      </c>
      <c r="E140" s="483">
        <f>SUM(E139:E139)</f>
        <v>0</v>
      </c>
      <c r="F140" s="482"/>
      <c r="G140" s="483">
        <f>SUM(G139:G139)</f>
        <v>0</v>
      </c>
      <c r="H140" s="484"/>
      <c r="I140" s="483">
        <f>SUM(I139:I139)</f>
        <v>0</v>
      </c>
    </row>
    <row r="141" spans="2:7" ht="15.75" thickTop="1">
      <c r="B141" s="25" t="s">
        <v>550</v>
      </c>
      <c r="C141" s="25">
        <f>+'Bilanci Alpha'!F42</f>
        <v>142905109</v>
      </c>
      <c r="D141" s="25">
        <f>+'Bilanci Alpha'!G42</f>
        <v>134274288.11</v>
      </c>
      <c r="E141" s="25" t="e">
        <f>+#REF!-E140</f>
        <v>#REF!</v>
      </c>
      <c r="G141" s="25" t="e">
        <f>+#REF!-G140</f>
        <v>#REF!</v>
      </c>
    </row>
    <row r="142" spans="2:6" ht="15">
      <c r="B142" s="536" t="s">
        <v>431</v>
      </c>
      <c r="C142" s="484">
        <f>+C141+C140</f>
        <v>149294286</v>
      </c>
      <c r="D142" s="484">
        <f>+D141+D140</f>
        <v>134274288.11</v>
      </c>
      <c r="F142" s="536"/>
    </row>
    <row r="143" spans="3:9" ht="15" hidden="1">
      <c r="C143" s="478" t="s">
        <v>548</v>
      </c>
      <c r="D143" s="478" t="s">
        <v>548</v>
      </c>
      <c r="E143" s="478" t="s">
        <v>548</v>
      </c>
      <c r="G143" s="478" t="s">
        <v>110</v>
      </c>
      <c r="H143" s="522"/>
      <c r="I143" s="478" t="s">
        <v>100</v>
      </c>
    </row>
    <row r="144" spans="3:9" ht="15" hidden="1">
      <c r="C144" s="537"/>
      <c r="D144" s="537"/>
      <c r="E144" s="537"/>
      <c r="G144" s="537"/>
      <c r="H144" s="522"/>
      <c r="I144" s="537">
        <f>+'BK'!K57</f>
        <v>0</v>
      </c>
    </row>
    <row r="145" spans="3:7" ht="15" hidden="1">
      <c r="C145" s="537"/>
      <c r="D145" s="537"/>
      <c r="E145" s="537"/>
      <c r="G145" s="537"/>
    </row>
    <row r="146" spans="2:9" ht="15.75" hidden="1" thickBot="1">
      <c r="B146" s="482" t="s">
        <v>2</v>
      </c>
      <c r="C146" s="483">
        <f>SUM(C144:C145)</f>
        <v>0</v>
      </c>
      <c r="D146" s="483">
        <f>SUM(D144:D145)</f>
        <v>0</v>
      </c>
      <c r="E146" s="483">
        <f>SUM(E144:E145)</f>
        <v>0</v>
      </c>
      <c r="F146" s="482"/>
      <c r="G146" s="483">
        <f>SUM(G144:G145)</f>
        <v>0</v>
      </c>
      <c r="H146" s="484"/>
      <c r="I146" s="483">
        <f>SUM(I144:I145)</f>
        <v>0</v>
      </c>
    </row>
    <row r="147" spans="3:9" ht="15" hidden="1">
      <c r="C147" s="25">
        <f>+'BK'!F57</f>
        <v>0</v>
      </c>
      <c r="D147" s="25">
        <f>+'BK'!G57</f>
        <v>0</v>
      </c>
      <c r="E147" s="25">
        <f>+'BK'!H57</f>
        <v>0</v>
      </c>
      <c r="G147" s="25">
        <f>+'BK'!I57</f>
        <v>0</v>
      </c>
      <c r="I147" s="25">
        <f>+I146</f>
        <v>0</v>
      </c>
    </row>
    <row r="148" ht="15" hidden="1"/>
    <row r="149" spans="2:6" ht="15">
      <c r="B149" s="536" t="s">
        <v>517</v>
      </c>
      <c r="F149" s="536"/>
    </row>
    <row r="150" spans="3:9" ht="15.75" thickBot="1">
      <c r="C150" s="477" t="str">
        <f>+C138</f>
        <v>31 Dhjetor 2012</v>
      </c>
      <c r="D150" s="477" t="str">
        <f>+D138</f>
        <v>31 Dhjetor 2011</v>
      </c>
      <c r="E150" s="478" t="s">
        <v>560</v>
      </c>
      <c r="F150" s="479"/>
      <c r="G150" s="478" t="s">
        <v>548</v>
      </c>
      <c r="I150" s="478" t="s">
        <v>110</v>
      </c>
    </row>
    <row r="151" spans="2:9" ht="15.75" thickTop="1">
      <c r="B151" s="25" t="s">
        <v>516</v>
      </c>
      <c r="C151" s="537">
        <f>+'Ardh shpenz alpha'!E14</f>
        <v>888777194.72</v>
      </c>
      <c r="D151" s="537">
        <f>+'Ardh shpenz alpha'!F14</f>
        <v>463272541.59</v>
      </c>
      <c r="E151" s="537">
        <f>+'Ardh shpenz alpha'!G14</f>
        <v>148309737</v>
      </c>
      <c r="G151" s="537">
        <f>+'Ardh shpenz alpha'!H14</f>
        <v>41373113</v>
      </c>
      <c r="H151" s="538"/>
      <c r="I151" s="539">
        <f>+'Ardh shpenz alpha'!I14</f>
        <v>0</v>
      </c>
    </row>
    <row r="152" spans="2:9" ht="15">
      <c r="B152" s="25" t="s">
        <v>435</v>
      </c>
      <c r="C152" s="537"/>
      <c r="D152" s="537"/>
      <c r="E152" s="537"/>
      <c r="G152" s="537"/>
      <c r="H152" s="538"/>
      <c r="I152" s="537"/>
    </row>
    <row r="153" spans="3:9" ht="15">
      <c r="C153" s="537"/>
      <c r="D153" s="537"/>
      <c r="E153" s="537"/>
      <c r="G153" s="537"/>
      <c r="H153" s="540"/>
      <c r="I153" s="537"/>
    </row>
    <row r="154" spans="2:9" ht="15.75" thickBot="1">
      <c r="B154" s="482" t="s">
        <v>2</v>
      </c>
      <c r="C154" s="483">
        <f>SUM(C151:C152)</f>
        <v>888777194.72</v>
      </c>
      <c r="D154" s="483">
        <f>SUM(D151:D152)</f>
        <v>463272541.59</v>
      </c>
      <c r="E154" s="483">
        <f>SUM(E151:E152)</f>
        <v>148309737</v>
      </c>
      <c r="F154" s="482"/>
      <c r="G154" s="483">
        <f>SUM(G151:G152)</f>
        <v>41373113</v>
      </c>
      <c r="H154" s="536"/>
      <c r="I154" s="483">
        <f>SUM(I151:I153)</f>
        <v>0</v>
      </c>
    </row>
    <row r="155" spans="3:9" ht="15.75" thickTop="1">
      <c r="C155" s="485">
        <f>'ardh-shpenz'!F8</f>
        <v>1490491515</v>
      </c>
      <c r="D155" s="485">
        <f>'ardh-shpenz'!G8</f>
        <v>660246136</v>
      </c>
      <c r="E155" s="485">
        <f>'ardh-shpenz'!H8</f>
        <v>149763816</v>
      </c>
      <c r="G155" s="485">
        <f>'ardh-shpenz'!I8</f>
        <v>43258113</v>
      </c>
      <c r="H155" s="485"/>
      <c r="I155" s="485">
        <f>'ardh-shpenz'!K8</f>
        <v>0</v>
      </c>
    </row>
    <row r="156" spans="3:7" ht="15">
      <c r="C156" s="485"/>
      <c r="D156" s="485"/>
      <c r="E156" s="485"/>
      <c r="G156" s="485"/>
    </row>
    <row r="157" spans="3:9" ht="15.75" thickBot="1">
      <c r="C157" s="477" t="s">
        <v>548</v>
      </c>
      <c r="D157" s="477" t="s">
        <v>548</v>
      </c>
      <c r="E157" s="478" t="s">
        <v>560</v>
      </c>
      <c r="F157" s="479"/>
      <c r="G157" s="478" t="s">
        <v>548</v>
      </c>
      <c r="I157" s="478" t="s">
        <v>110</v>
      </c>
    </row>
    <row r="158" spans="2:9" ht="15.75" thickTop="1">
      <c r="B158" s="25" t="s">
        <v>433</v>
      </c>
      <c r="C158" s="25">
        <f>+'ardh-shpenz'!F9</f>
        <v>0</v>
      </c>
      <c r="D158" s="25">
        <f>+'ardh-shpenz'!G9</f>
        <v>0</v>
      </c>
      <c r="E158" s="25">
        <v>0</v>
      </c>
      <c r="G158" s="25">
        <v>0</v>
      </c>
      <c r="H158" s="537"/>
      <c r="I158" s="25">
        <v>0</v>
      </c>
    </row>
    <row r="159" spans="2:9" ht="15">
      <c r="B159" s="25" t="s">
        <v>140</v>
      </c>
      <c r="C159" s="25">
        <v>0</v>
      </c>
      <c r="D159" s="25">
        <v>0</v>
      </c>
      <c r="E159" s="25">
        <v>0</v>
      </c>
      <c r="G159" s="25">
        <v>0</v>
      </c>
      <c r="H159" s="537"/>
      <c r="I159" s="25">
        <v>0</v>
      </c>
    </row>
    <row r="160" spans="3:7" ht="15">
      <c r="C160" s="508"/>
      <c r="D160" s="508"/>
      <c r="E160" s="508"/>
      <c r="G160" s="508"/>
    </row>
    <row r="161" spans="2:9" ht="15.75" thickBot="1">
      <c r="B161" s="482" t="s">
        <v>2</v>
      </c>
      <c r="C161" s="483">
        <f>SUM(C158:C160)</f>
        <v>0</v>
      </c>
      <c r="D161" s="483">
        <f>SUM(D158:D160)</f>
        <v>0</v>
      </c>
      <c r="E161" s="483">
        <f>SUM(E158:E160)</f>
        <v>0</v>
      </c>
      <c r="F161" s="482"/>
      <c r="G161" s="483">
        <f>SUM(G158:G160)</f>
        <v>0</v>
      </c>
      <c r="H161" s="484"/>
      <c r="I161" s="483">
        <f>SUM(I158:I160)</f>
        <v>0</v>
      </c>
    </row>
    <row r="162" spans="3:9" ht="15.75" thickTop="1">
      <c r="C162" s="485">
        <f>+'ardh-shpenz'!F9</f>
        <v>0</v>
      </c>
      <c r="D162" s="485">
        <f>+'ardh-shpenz'!G9</f>
        <v>0</v>
      </c>
      <c r="E162" s="485">
        <f>+'ardh-shpenz'!H9</f>
        <v>0</v>
      </c>
      <c r="G162" s="485">
        <f>+'ardh-shpenz'!I9</f>
        <v>0</v>
      </c>
      <c r="H162" s="485"/>
      <c r="I162" s="485">
        <f>+'ardh-shpenz'!K9</f>
        <v>0</v>
      </c>
    </row>
    <row r="163" spans="2:6" ht="15">
      <c r="B163" s="54"/>
      <c r="F163" s="54"/>
    </row>
    <row r="164" spans="3:9" ht="15.75" thickBot="1">
      <c r="C164" s="477" t="str">
        <f>+C138</f>
        <v>31 Dhjetor 2012</v>
      </c>
      <c r="D164" s="477" t="str">
        <f>+D138</f>
        <v>31 Dhjetor 2011</v>
      </c>
      <c r="E164" s="478" t="s">
        <v>560</v>
      </c>
      <c r="F164" s="479"/>
      <c r="G164" s="478" t="s">
        <v>548</v>
      </c>
      <c r="I164" s="478" t="s">
        <v>110</v>
      </c>
    </row>
    <row r="165" spans="2:9" ht="15.75" thickTop="1">
      <c r="B165" s="25" t="s">
        <v>434</v>
      </c>
      <c r="C165" s="25">
        <f>-'ardh-shpenz'!F12</f>
        <v>1423240565</v>
      </c>
      <c r="D165" s="25">
        <f>-'ardh-shpenz'!G12</f>
        <v>525668898.59000003</v>
      </c>
      <c r="E165" s="25">
        <f>-'ardh-shpenz'!H12</f>
        <v>110255969</v>
      </c>
      <c r="G165" s="25">
        <f>-'ardh-shpenz'!I12</f>
        <v>6368015</v>
      </c>
      <c r="I165" s="25">
        <v>0</v>
      </c>
    </row>
    <row r="167" spans="2:9" ht="15.75" thickBot="1">
      <c r="B167" s="482" t="s">
        <v>2</v>
      </c>
      <c r="C167" s="483">
        <f>SUM(C165:C166)</f>
        <v>1423240565</v>
      </c>
      <c r="D167" s="483">
        <f>SUM(D165:D166)</f>
        <v>525668898.59000003</v>
      </c>
      <c r="E167" s="483">
        <f>SUM(E165:E166)</f>
        <v>110255969</v>
      </c>
      <c r="F167" s="482"/>
      <c r="G167" s="483">
        <f>SUM(G165:G166)</f>
        <v>6368015</v>
      </c>
      <c r="H167" s="484"/>
      <c r="I167" s="483">
        <f>SUM(I165:I166)</f>
        <v>0</v>
      </c>
    </row>
    <row r="168" spans="3:9" ht="15.75" thickTop="1">
      <c r="C168" s="25">
        <f>+'ardh-shpenz'!F12</f>
        <v>-1423240565</v>
      </c>
      <c r="D168" s="25">
        <f>+'ardh-shpenz'!G12</f>
        <v>-525668898.59000003</v>
      </c>
      <c r="E168" s="25">
        <f>+'ardh-shpenz'!H12</f>
        <v>-110255969</v>
      </c>
      <c r="G168" s="25">
        <f>+'ardh-shpenz'!I12</f>
        <v>-6368015</v>
      </c>
      <c r="I168" s="25">
        <f>+'ardh-shpenz'!K12</f>
        <v>0</v>
      </c>
    </row>
    <row r="170" ht="15">
      <c r="B170" s="25" t="s">
        <v>323</v>
      </c>
    </row>
    <row r="171" spans="3:9" ht="15.75" thickBot="1">
      <c r="C171" s="477" t="str">
        <f>+C164</f>
        <v>31 Dhjetor 2012</v>
      </c>
      <c r="D171" s="477" t="str">
        <f>+D164</f>
        <v>31 Dhjetor 2011</v>
      </c>
      <c r="E171" s="478" t="s">
        <v>560</v>
      </c>
      <c r="F171" s="479"/>
      <c r="G171" s="478" t="s">
        <v>548</v>
      </c>
      <c r="I171" s="478" t="s">
        <v>110</v>
      </c>
    </row>
    <row r="172" spans="2:9" ht="15.75" thickTop="1">
      <c r="B172" s="479" t="s">
        <v>112</v>
      </c>
      <c r="C172" s="25">
        <f>+'Ardh shpenz alpha'!E74</f>
        <v>5554000</v>
      </c>
      <c r="D172" s="25">
        <f>+'Ardh shpenz alpha'!F74</f>
        <v>5424092</v>
      </c>
      <c r="E172" s="25">
        <f>+'Ardh shpenz alpha'!G74</f>
        <v>6445964</v>
      </c>
      <c r="F172" s="479"/>
      <c r="G172" s="25">
        <f>+'Ardh shpenz alpha'!H74</f>
        <v>4083904</v>
      </c>
      <c r="H172" s="508"/>
      <c r="I172" s="25">
        <f>+'Ardh shpenz alpha'!I74</f>
        <v>0</v>
      </c>
    </row>
    <row r="173" spans="2:9" ht="15">
      <c r="B173" s="25" t="s">
        <v>109</v>
      </c>
      <c r="C173" s="25">
        <f>+'Ardh shpenz alpha'!E76</f>
        <v>752168</v>
      </c>
      <c r="D173" s="25">
        <f>+'Ardh shpenz alpha'!F76</f>
        <v>740625</v>
      </c>
      <c r="E173" s="25">
        <f>+'Ardh shpenz alpha'!G76</f>
        <v>1049078</v>
      </c>
      <c r="G173" s="25">
        <f>+'Ardh shpenz alpha'!H76</f>
        <v>782047</v>
      </c>
      <c r="I173" s="25">
        <f>+'Ardh shpenz alpha'!I76</f>
        <v>0</v>
      </c>
    </row>
    <row r="174" ht="15">
      <c r="I174" s="508"/>
    </row>
    <row r="175" spans="2:9" ht="15.75" thickBot="1">
      <c r="B175" s="482" t="s">
        <v>2</v>
      </c>
      <c r="C175" s="483">
        <f>SUM(C172:C173)</f>
        <v>6306168</v>
      </c>
      <c r="D175" s="483">
        <f>SUM(D172:D173)</f>
        <v>6164717</v>
      </c>
      <c r="E175" s="483">
        <f>SUM(E172:E173)</f>
        <v>7495042</v>
      </c>
      <c r="F175" s="482"/>
      <c r="G175" s="483">
        <f>SUM(G172:G173)</f>
        <v>4865951</v>
      </c>
      <c r="H175" s="484"/>
      <c r="I175" s="483">
        <f>SUM(I172:I173)</f>
        <v>0</v>
      </c>
    </row>
    <row r="176" spans="3:9" ht="15.75" thickTop="1">
      <c r="C176" s="485">
        <f>+'ardh-shpenz'!F14</f>
        <v>-6306168</v>
      </c>
      <c r="D176" s="485">
        <f>+'ardh-shpenz'!G14</f>
        <v>-6164717</v>
      </c>
      <c r="E176" s="485">
        <f>+'ardh-shpenz'!H14</f>
        <v>-7495042</v>
      </c>
      <c r="G176" s="485">
        <f>+'ardh-shpenz'!I14</f>
        <v>-4865951</v>
      </c>
      <c r="H176" s="485"/>
      <c r="I176" s="485">
        <f>+'ardh-shpenz'!K14</f>
        <v>0</v>
      </c>
    </row>
    <row r="178" ht="15">
      <c r="B178" s="25" t="s">
        <v>83</v>
      </c>
    </row>
    <row r="179" spans="3:9" ht="15.75" thickBot="1">
      <c r="C179" s="477" t="s">
        <v>548</v>
      </c>
      <c r="D179" s="477" t="s">
        <v>548</v>
      </c>
      <c r="E179" s="478" t="s">
        <v>560</v>
      </c>
      <c r="F179" s="479"/>
      <c r="G179" s="478" t="s">
        <v>548</v>
      </c>
      <c r="I179" s="478" t="s">
        <v>110</v>
      </c>
    </row>
    <row r="180" spans="2:9" ht="15.75" thickTop="1">
      <c r="B180" s="541" t="s">
        <v>518</v>
      </c>
      <c r="C180" s="542">
        <v>75932</v>
      </c>
      <c r="D180" s="542">
        <v>75932</v>
      </c>
      <c r="E180" s="542">
        <v>75700</v>
      </c>
      <c r="F180" s="541"/>
      <c r="G180" s="542">
        <v>177372</v>
      </c>
      <c r="I180" s="25">
        <v>144200</v>
      </c>
    </row>
    <row r="181" spans="2:9" ht="15">
      <c r="B181" s="541" t="s">
        <v>526</v>
      </c>
      <c r="C181" s="542">
        <v>3925150</v>
      </c>
      <c r="D181" s="542">
        <v>3925150</v>
      </c>
      <c r="E181" s="542">
        <f>208000+2979237</f>
        <v>3187237</v>
      </c>
      <c r="F181" s="541"/>
      <c r="G181" s="542">
        <v>2090342</v>
      </c>
      <c r="I181" s="25">
        <f>428133+995627</f>
        <v>1423760</v>
      </c>
    </row>
    <row r="182" spans="2:9" ht="15">
      <c r="B182" s="541" t="s">
        <v>527</v>
      </c>
      <c r="C182" s="542">
        <v>0</v>
      </c>
      <c r="D182" s="542">
        <v>0</v>
      </c>
      <c r="E182" s="542">
        <v>816608</v>
      </c>
      <c r="F182" s="541"/>
      <c r="G182" s="542">
        <v>3163200</v>
      </c>
      <c r="I182" s="25">
        <v>2442000</v>
      </c>
    </row>
    <row r="183" spans="2:9" ht="15">
      <c r="B183" s="541" t="s">
        <v>519</v>
      </c>
      <c r="C183" s="542">
        <v>2524235</v>
      </c>
      <c r="D183" s="542">
        <v>2524235</v>
      </c>
      <c r="E183" s="542">
        <v>1802846</v>
      </c>
      <c r="F183" s="541"/>
      <c r="G183" s="542">
        <v>3126610</v>
      </c>
      <c r="I183" s="25">
        <v>3279762</v>
      </c>
    </row>
    <row r="184" spans="2:9" ht="15">
      <c r="B184" s="541" t="s">
        <v>520</v>
      </c>
      <c r="C184" s="542">
        <v>2071030</v>
      </c>
      <c r="D184" s="542">
        <v>2071030</v>
      </c>
      <c r="E184" s="542">
        <v>563689</v>
      </c>
      <c r="F184" s="541"/>
      <c r="G184" s="542">
        <v>167830</v>
      </c>
      <c r="I184" s="25">
        <v>165524</v>
      </c>
    </row>
    <row r="185" spans="2:9" ht="15">
      <c r="B185" s="541" t="s">
        <v>530</v>
      </c>
      <c r="C185" s="542">
        <v>2461592</v>
      </c>
      <c r="D185" s="542">
        <v>2461592</v>
      </c>
      <c r="E185" s="542">
        <v>3911901</v>
      </c>
      <c r="F185" s="541"/>
      <c r="G185" s="542">
        <v>2857501</v>
      </c>
      <c r="I185" s="25">
        <v>1557050</v>
      </c>
    </row>
    <row r="186" spans="2:9" ht="15">
      <c r="B186" s="543" t="s">
        <v>732</v>
      </c>
      <c r="C186" s="542">
        <f>11957228+8287692+126000</f>
        <v>20370920</v>
      </c>
      <c r="D186" s="542">
        <f>11957228+8287692+126000</f>
        <v>20370920</v>
      </c>
      <c r="E186" s="542">
        <f>2718930+88102</f>
        <v>2807032</v>
      </c>
      <c r="F186" s="541"/>
      <c r="G186" s="542">
        <v>1314353</v>
      </c>
      <c r="I186" s="25">
        <v>2081696</v>
      </c>
    </row>
    <row r="187" spans="2:9" ht="15">
      <c r="B187" s="541" t="s">
        <v>521</v>
      </c>
      <c r="C187" s="542">
        <v>347623</v>
      </c>
      <c r="D187" s="542">
        <v>347623</v>
      </c>
      <c r="E187" s="542">
        <v>327789</v>
      </c>
      <c r="F187" s="541"/>
      <c r="G187" s="542">
        <v>331689</v>
      </c>
      <c r="I187" s="25">
        <v>246166</v>
      </c>
    </row>
    <row r="188" spans="2:9" ht="15">
      <c r="B188" s="541" t="s">
        <v>522</v>
      </c>
      <c r="C188" s="542">
        <v>0</v>
      </c>
      <c r="D188" s="542">
        <v>0</v>
      </c>
      <c r="E188" s="542">
        <v>0</v>
      </c>
      <c r="F188" s="541"/>
      <c r="G188" s="542">
        <v>25178</v>
      </c>
      <c r="I188" s="25">
        <v>150887</v>
      </c>
    </row>
    <row r="189" spans="2:9" ht="15">
      <c r="B189" s="541" t="s">
        <v>523</v>
      </c>
      <c r="C189" s="542">
        <v>3641743</v>
      </c>
      <c r="D189" s="542">
        <v>3641743</v>
      </c>
      <c r="E189" s="542">
        <v>3903167</v>
      </c>
      <c r="F189" s="541"/>
      <c r="G189" s="542">
        <v>3503880</v>
      </c>
      <c r="I189" s="25">
        <v>3299492</v>
      </c>
    </row>
    <row r="190" spans="2:9" ht="15">
      <c r="B190" s="541" t="s">
        <v>142</v>
      </c>
      <c r="C190" s="542">
        <v>72452</v>
      </c>
      <c r="D190" s="542">
        <v>72452</v>
      </c>
      <c r="E190" s="542">
        <v>61469</v>
      </c>
      <c r="F190" s="541"/>
      <c r="G190" s="542">
        <v>95613.3</v>
      </c>
      <c r="I190" s="25">
        <v>148321</v>
      </c>
    </row>
    <row r="191" spans="2:11" ht="15">
      <c r="B191" s="541" t="s">
        <v>524</v>
      </c>
      <c r="C191" s="542">
        <f>114539+329007</f>
        <v>443546</v>
      </c>
      <c r="D191" s="542">
        <f>114539+329007</f>
        <v>443546</v>
      </c>
      <c r="E191" s="542">
        <v>434053</v>
      </c>
      <c r="F191" s="541"/>
      <c r="G191" s="542">
        <v>300448</v>
      </c>
      <c r="I191" s="25">
        <f>+'Ardh shpenz alpha'!I77</f>
        <v>0</v>
      </c>
      <c r="K191" s="30"/>
    </row>
    <row r="192" spans="2:11" ht="15">
      <c r="B192" s="541" t="s">
        <v>525</v>
      </c>
      <c r="C192" s="542">
        <v>431238</v>
      </c>
      <c r="D192" s="542">
        <v>431238</v>
      </c>
      <c r="E192" s="542">
        <v>50310</v>
      </c>
      <c r="F192" s="541"/>
      <c r="G192" s="542">
        <v>892593</v>
      </c>
      <c r="I192" s="25">
        <v>0</v>
      </c>
      <c r="K192" s="30"/>
    </row>
    <row r="193" spans="2:9" ht="15.75" thickBot="1">
      <c r="B193" s="482" t="s">
        <v>2</v>
      </c>
      <c r="C193" s="544">
        <f>SUM(C180:C192)</f>
        <v>36365461</v>
      </c>
      <c r="D193" s="544">
        <f>SUM(D180:D192)</f>
        <v>36365461</v>
      </c>
      <c r="E193" s="544">
        <f>SUM(E180:E192)</f>
        <v>17941801</v>
      </c>
      <c r="F193" s="482"/>
      <c r="G193" s="544">
        <f>SUM(G180:G192)</f>
        <v>18046609.3</v>
      </c>
      <c r="H193" s="484"/>
      <c r="I193" s="483">
        <f>SUM(I180:I192)</f>
        <v>14938858</v>
      </c>
    </row>
    <row r="194" spans="3:9" ht="15.75" thickTop="1">
      <c r="C194" s="485">
        <f>+'ardh-shpenz'!F13</f>
        <v>-37990139</v>
      </c>
      <c r="D194" s="485">
        <f>+'ardh-shpenz'!G13</f>
        <v>-103591460.47</v>
      </c>
      <c r="E194" s="485">
        <f>+'ardh-shpenz'!H13</f>
        <v>-22508031</v>
      </c>
      <c r="G194" s="485">
        <f>+'ardh-shpenz'!I13</f>
        <v>-20533628</v>
      </c>
      <c r="H194" s="485"/>
      <c r="I194" s="485">
        <f>+'ardh-shpenz'!K13</f>
        <v>0</v>
      </c>
    </row>
    <row r="195" spans="3:9" ht="15">
      <c r="C195" s="485"/>
      <c r="D195" s="485"/>
      <c r="E195" s="485"/>
      <c r="G195" s="485"/>
      <c r="H195" s="485"/>
      <c r="I195" s="485"/>
    </row>
    <row r="196" ht="15">
      <c r="B196" s="25" t="s">
        <v>528</v>
      </c>
    </row>
    <row r="197" spans="3:9" ht="15.75" thickBot="1">
      <c r="C197" s="477" t="s">
        <v>548</v>
      </c>
      <c r="D197" s="477" t="s">
        <v>548</v>
      </c>
      <c r="E197" s="478" t="s">
        <v>560</v>
      </c>
      <c r="F197" s="479"/>
      <c r="G197" s="478" t="s">
        <v>548</v>
      </c>
      <c r="I197" s="478" t="s">
        <v>110</v>
      </c>
    </row>
    <row r="198" spans="2:9" ht="15.75" thickTop="1">
      <c r="B198" s="479" t="s">
        <v>529</v>
      </c>
      <c r="C198" s="545">
        <f>+'Ardh shpenz alpha'!E83</f>
        <v>10873215</v>
      </c>
      <c r="D198" s="545">
        <f>+'Ardh shpenz alpha'!F83</f>
        <v>14982322</v>
      </c>
      <c r="E198" s="541">
        <f>+'Ardh shpenz alpha'!G83</f>
        <v>3865021</v>
      </c>
      <c r="F198" s="479"/>
      <c r="G198" s="541">
        <f>+'Ardh shpenz alpha'!H83</f>
        <v>4906625</v>
      </c>
      <c r="H198" s="508"/>
      <c r="I198" s="25">
        <v>569256</v>
      </c>
    </row>
    <row r="199" ht="15">
      <c r="I199" s="508"/>
    </row>
    <row r="200" spans="2:9" ht="15.75" thickBot="1">
      <c r="B200" s="482" t="s">
        <v>2</v>
      </c>
      <c r="C200" s="483">
        <f>SUM(C198:C198)</f>
        <v>10873215</v>
      </c>
      <c r="D200" s="483">
        <f>SUM(D198:D198)</f>
        <v>14982322</v>
      </c>
      <c r="E200" s="483">
        <f>SUM(E198:E198)</f>
        <v>3865021</v>
      </c>
      <c r="F200" s="482"/>
      <c r="G200" s="483">
        <f>SUM(G198:G198)</f>
        <v>4906625</v>
      </c>
      <c r="H200" s="484"/>
      <c r="I200" s="483">
        <f>SUM(I198:I198)</f>
        <v>569256</v>
      </c>
    </row>
    <row r="201" spans="3:9" ht="15.75" thickTop="1">
      <c r="C201" s="485">
        <f>-C198</f>
        <v>-10873215</v>
      </c>
      <c r="D201" s="485">
        <f>-D198</f>
        <v>-14982322</v>
      </c>
      <c r="E201" s="485">
        <f>-E198</f>
        <v>-3865021</v>
      </c>
      <c r="G201" s="485">
        <f>-G198</f>
        <v>-4906625</v>
      </c>
      <c r="H201" s="485"/>
      <c r="I201" s="485">
        <f>-I200</f>
        <v>-569256</v>
      </c>
    </row>
    <row r="203" spans="3:9" ht="15.75" thickBot="1">
      <c r="C203" s="477" t="s">
        <v>548</v>
      </c>
      <c r="D203" s="477" t="s">
        <v>548</v>
      </c>
      <c r="E203" s="478" t="s">
        <v>560</v>
      </c>
      <c r="F203" s="479"/>
      <c r="G203" s="478" t="s">
        <v>548</v>
      </c>
      <c r="I203" s="478" t="s">
        <v>110</v>
      </c>
    </row>
    <row r="204" spans="2:9" ht="15.75" thickTop="1">
      <c r="B204" s="25" t="s">
        <v>114</v>
      </c>
      <c r="C204" s="25">
        <f>+'Ardh shpenz alpha'!E40</f>
        <v>0</v>
      </c>
      <c r="D204" s="25">
        <f>+'Ardh shpenz alpha'!F40</f>
        <v>43200</v>
      </c>
      <c r="E204" s="25">
        <f>+'Ardh shpenz alpha'!G40</f>
        <v>43200</v>
      </c>
      <c r="G204" s="25">
        <f>+'Ardh shpenz alpha'!H40</f>
        <v>9129</v>
      </c>
      <c r="H204" s="480"/>
      <c r="I204" s="25">
        <f>+'Ardh shpenz alpha'!I40</f>
        <v>0</v>
      </c>
    </row>
    <row r="205" spans="2:9" ht="15">
      <c r="B205" s="25" t="s">
        <v>127</v>
      </c>
      <c r="C205" s="25">
        <f>+'Ardh shpenz alpha'!E38</f>
        <v>3155</v>
      </c>
      <c r="D205" s="25">
        <f>+'Ardh shpenz alpha'!F38</f>
        <v>2140.8599999999997</v>
      </c>
      <c r="E205" s="25">
        <f>+'Ardh shpenz alpha'!G38</f>
        <v>2140.8599999999997</v>
      </c>
      <c r="G205" s="25">
        <f>+'Ardh shpenz alpha'!H38</f>
        <v>447</v>
      </c>
      <c r="H205" s="480"/>
      <c r="I205" s="25">
        <f>+'Ardh shpenz alpha'!I38</f>
        <v>0</v>
      </c>
    </row>
    <row r="206" spans="2:9" ht="15">
      <c r="B206" s="25" t="s">
        <v>115</v>
      </c>
      <c r="C206" s="25">
        <v>0</v>
      </c>
      <c r="D206" s="25">
        <v>0</v>
      </c>
      <c r="E206" s="25">
        <v>0</v>
      </c>
      <c r="G206" s="25">
        <v>0</v>
      </c>
      <c r="H206" s="480"/>
      <c r="I206" s="25">
        <v>0</v>
      </c>
    </row>
    <row r="207" spans="2:9" ht="15">
      <c r="B207" s="25" t="s">
        <v>126</v>
      </c>
      <c r="C207" s="25">
        <f>-'Ardh shpenz alpha'!E91</f>
        <v>-7541208</v>
      </c>
      <c r="D207" s="25">
        <f>-'Ardh shpenz alpha'!F91</f>
        <v>-2781877.33</v>
      </c>
      <c r="E207" s="25">
        <f>-'Ardh shpenz alpha'!G91</f>
        <v>-3614454</v>
      </c>
      <c r="G207" s="25">
        <f>-'Ardh shpenz alpha'!H91</f>
        <v>-3260306</v>
      </c>
      <c r="H207" s="480"/>
      <c r="I207" s="25">
        <f>-'Ardh shpenz alpha'!I91</f>
        <v>0</v>
      </c>
    </row>
    <row r="208" spans="2:9" ht="15">
      <c r="B208" s="481" t="s">
        <v>116</v>
      </c>
      <c r="C208" s="25">
        <f>-'Ardh shpenz alpha'!E93</f>
        <v>-511626</v>
      </c>
      <c r="D208" s="25">
        <f>-'Ardh shpenz alpha'!F93</f>
        <v>-220732.97</v>
      </c>
      <c r="E208" s="25">
        <f>-'Ardh shpenz alpha'!G93</f>
        <v>0</v>
      </c>
      <c r="F208" s="481"/>
      <c r="G208" s="25">
        <f>-'Ardh shpenz alpha'!H93</f>
        <v>-29498</v>
      </c>
      <c r="H208" s="480"/>
      <c r="I208" s="25">
        <f>-'Ardh shpenz alpha'!I93</f>
        <v>0</v>
      </c>
    </row>
    <row r="209" spans="2:9" ht="15">
      <c r="B209" s="25" t="s">
        <v>117</v>
      </c>
      <c r="C209" s="25">
        <v>0</v>
      </c>
      <c r="D209" s="25">
        <v>0</v>
      </c>
      <c r="E209" s="25">
        <v>0</v>
      </c>
      <c r="G209" s="25">
        <v>0</v>
      </c>
      <c r="H209" s="480"/>
      <c r="I209" s="25">
        <f>-'Ardh shpenz alpha'!I95</f>
        <v>0</v>
      </c>
    </row>
    <row r="210" ht="15">
      <c r="H210" s="480"/>
    </row>
    <row r="211" spans="2:9" ht="15.75" thickBot="1">
      <c r="B211" s="482" t="s">
        <v>2</v>
      </c>
      <c r="C211" s="483">
        <f>SUM(C204:C209)</f>
        <v>-8049679</v>
      </c>
      <c r="D211" s="483">
        <f>SUM(D204:D209)</f>
        <v>-2957269.4400000004</v>
      </c>
      <c r="E211" s="483">
        <f>SUM(E204:E209)</f>
        <v>-3569113.14</v>
      </c>
      <c r="F211" s="482"/>
      <c r="G211" s="483">
        <f>SUM(G204:G209)</f>
        <v>-3280228</v>
      </c>
      <c r="H211" s="484"/>
      <c r="I211" s="483">
        <f>SUM(I204:I209)</f>
        <v>0</v>
      </c>
    </row>
    <row r="212" spans="3:9" ht="15.75" thickTop="1">
      <c r="C212" s="485">
        <f>-'ardh-shpenz'!F21</f>
        <v>8049679</v>
      </c>
      <c r="D212" s="485">
        <f>-'ardh-shpenz'!G21</f>
        <v>2957269.4400000004</v>
      </c>
      <c r="E212" s="485">
        <f>-'ardh-shpenz'!H21</f>
        <v>3569113.14</v>
      </c>
      <c r="G212" s="485">
        <f>-'ardh-shpenz'!I21</f>
        <v>3280228</v>
      </c>
      <c r="H212" s="485"/>
      <c r="I212" s="485">
        <f>-'ardh-shpenz'!K21</f>
        <v>0</v>
      </c>
    </row>
    <row r="213" spans="3:7" ht="15">
      <c r="C213" s="546"/>
      <c r="D213" s="546"/>
      <c r="E213" s="546"/>
      <c r="G213" s="546"/>
    </row>
    <row r="214" spans="3:9" ht="15.75" thickBot="1">
      <c r="C214" s="477" t="s">
        <v>546</v>
      </c>
      <c r="D214" s="477" t="s">
        <v>546</v>
      </c>
      <c r="E214" s="478" t="s">
        <v>560</v>
      </c>
      <c r="F214" s="479"/>
      <c r="G214" s="478" t="s">
        <v>548</v>
      </c>
      <c r="I214" s="478" t="s">
        <v>110</v>
      </c>
    </row>
    <row r="215" spans="2:9" ht="15.75" thickTop="1">
      <c r="B215" s="25" t="s">
        <v>118</v>
      </c>
      <c r="C215" s="25">
        <f>+'ardh-shpenz'!F23</f>
        <v>4031749</v>
      </c>
      <c r="D215" s="25">
        <f>+'ardh-shpenz'!G23</f>
        <v>6881468.499999967</v>
      </c>
      <c r="E215" s="25">
        <f>+'Ardh shpenz alpha'!F101</f>
        <v>6881468.5</v>
      </c>
      <c r="G215" s="25">
        <f>+'Ardh shpenz alpha'!G101</f>
        <v>2146125</v>
      </c>
      <c r="I215" s="25">
        <f>+'ardh-shpenz'!K23</f>
        <v>0</v>
      </c>
    </row>
    <row r="216" spans="2:9" ht="15">
      <c r="B216" s="25" t="s">
        <v>119</v>
      </c>
      <c r="C216" s="25">
        <f>+C192</f>
        <v>431238</v>
      </c>
      <c r="D216" s="25">
        <f>+D192</f>
        <v>431238</v>
      </c>
      <c r="E216" s="25">
        <f>+'Ardh shpenz alpha'!F81</f>
        <v>402007</v>
      </c>
      <c r="G216" s="25">
        <f>+'Ardh shpenz alpha'!H81</f>
        <v>0</v>
      </c>
      <c r="I216" s="486">
        <v>0</v>
      </c>
    </row>
    <row r="217" spans="2:9" ht="15">
      <c r="B217" s="25" t="s">
        <v>120</v>
      </c>
      <c r="C217" s="487">
        <f>SUM(C215:C216)</f>
        <v>4462987</v>
      </c>
      <c r="D217" s="487">
        <f>SUM(D215:D216)</f>
        <v>7312706.499999967</v>
      </c>
      <c r="E217" s="487">
        <f>SUM(E215:E216)</f>
        <v>7283475.5</v>
      </c>
      <c r="G217" s="487">
        <f>SUM(G215:G216)</f>
        <v>2146125</v>
      </c>
      <c r="I217" s="487">
        <f>SUM(I215:I216)</f>
        <v>0</v>
      </c>
    </row>
    <row r="218" spans="2:9" ht="15">
      <c r="B218" s="25" t="s">
        <v>121</v>
      </c>
      <c r="C218" s="488">
        <v>10</v>
      </c>
      <c r="D218" s="488">
        <v>10</v>
      </c>
      <c r="E218" s="488">
        <v>10</v>
      </c>
      <c r="G218" s="488">
        <v>10</v>
      </c>
      <c r="H218" s="489"/>
      <c r="I218" s="488">
        <v>20</v>
      </c>
    </row>
    <row r="219" spans="2:9" ht="15">
      <c r="B219" s="484" t="s">
        <v>107</v>
      </c>
      <c r="C219" s="490">
        <f>+C217*0.1</f>
        <v>446298.7</v>
      </c>
      <c r="D219" s="490">
        <f>+D217*0.1</f>
        <v>731270.6499999968</v>
      </c>
      <c r="E219" s="490">
        <f>+E217*0.1</f>
        <v>728347.55</v>
      </c>
      <c r="F219" s="484"/>
      <c r="G219" s="490">
        <f>+G217*0.1</f>
        <v>214612.5</v>
      </c>
      <c r="H219" s="490"/>
      <c r="I219" s="490">
        <f>+I217*0.2</f>
        <v>0</v>
      </c>
    </row>
    <row r="220" spans="3:9" ht="15">
      <c r="C220" s="491"/>
      <c r="D220" s="491"/>
      <c r="E220" s="491"/>
      <c r="G220" s="491"/>
      <c r="H220" s="491"/>
      <c r="I220" s="491"/>
    </row>
    <row r="221" spans="2:9" ht="15">
      <c r="B221" s="484" t="s">
        <v>122</v>
      </c>
      <c r="C221" s="490">
        <f>+C215-C219-1</f>
        <v>3585449.3</v>
      </c>
      <c r="D221" s="490">
        <f>+D215-D219-1</f>
        <v>6150196.849999971</v>
      </c>
      <c r="E221" s="490">
        <f>+E215-E219</f>
        <v>6153120.95</v>
      </c>
      <c r="F221" s="484"/>
      <c r="G221" s="490">
        <f>+G215-G219</f>
        <v>1931512.5</v>
      </c>
      <c r="H221" s="490"/>
      <c r="I221" s="490">
        <f>+I215-I219</f>
        <v>0</v>
      </c>
    </row>
    <row r="223" spans="5:7" ht="15">
      <c r="E223" s="25">
        <f>+'Bilanci Alpha'!G77</f>
        <v>6153120.67</v>
      </c>
      <c r="G223" s="25">
        <f>+'Bilanci Alpha'!H77</f>
        <v>1931513</v>
      </c>
    </row>
  </sheetData>
  <sheetProtection/>
  <printOptions/>
  <pageMargins left="0.23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67">
      <selection activeCell="C101" sqref="C101"/>
    </sheetView>
  </sheetViews>
  <sheetFormatPr defaultColWidth="11.421875" defaultRowHeight="12.75"/>
  <cols>
    <col min="1" max="1" width="5.57421875" style="42" customWidth="1"/>
    <col min="2" max="2" width="47.421875" style="42" bestFit="1" customWidth="1"/>
    <col min="3" max="3" width="14.421875" style="42" customWidth="1"/>
    <col min="4" max="5" width="15.28125" style="42" customWidth="1"/>
    <col min="6" max="6" width="15.28125" style="42" hidden="1" customWidth="1"/>
    <col min="7" max="8" width="14.00390625" style="42" hidden="1" customWidth="1"/>
    <col min="9" max="9" width="11.421875" style="42" hidden="1" customWidth="1"/>
    <col min="10" max="10" width="0" style="42" hidden="1" customWidth="1"/>
    <col min="11" max="11" width="14.00390625" style="42" bestFit="1" customWidth="1"/>
    <col min="12" max="12" width="14.28125" style="42" customWidth="1"/>
    <col min="13" max="14" width="12.28125" style="42" bestFit="1" customWidth="1"/>
    <col min="15" max="16384" width="11.421875" style="42" customWidth="1"/>
  </cols>
  <sheetData>
    <row r="1" spans="2:3" ht="18">
      <c r="B1" s="429" t="s">
        <v>349</v>
      </c>
      <c r="C1" s="429"/>
    </row>
    <row r="3" spans="2:3" ht="14.25">
      <c r="B3" s="430" t="s">
        <v>350</v>
      </c>
      <c r="C3" s="430"/>
    </row>
    <row r="9" spans="1:8" ht="15">
      <c r="A9" s="431" t="s">
        <v>351</v>
      </c>
      <c r="B9" s="432" t="s">
        <v>352</v>
      </c>
      <c r="C9" s="556" t="s">
        <v>812</v>
      </c>
      <c r="D9" s="431" t="s">
        <v>800</v>
      </c>
      <c r="E9" s="431" t="s">
        <v>779</v>
      </c>
      <c r="F9" s="431" t="s">
        <v>557</v>
      </c>
      <c r="G9" s="431" t="s">
        <v>545</v>
      </c>
      <c r="H9" s="431" t="s">
        <v>450</v>
      </c>
    </row>
    <row r="12" spans="1:8" ht="12.75">
      <c r="A12" s="433" t="s">
        <v>144</v>
      </c>
      <c r="B12" s="434" t="s">
        <v>353</v>
      </c>
      <c r="C12" s="435">
        <f>+C14+C15+C16+C17</f>
        <v>347629126</v>
      </c>
      <c r="D12" s="435">
        <f>+D14+D16+D15</f>
        <v>571351515</v>
      </c>
      <c r="E12" s="435">
        <f>+E14+E16+E15</f>
        <v>1490491515</v>
      </c>
      <c r="F12" s="435">
        <f>+F14+F16+F15</f>
        <v>660246136</v>
      </c>
      <c r="G12" s="435">
        <f>+G14+G16</f>
        <v>149763816</v>
      </c>
      <c r="H12" s="435">
        <f>+H13+H14+H16</f>
        <v>43258113</v>
      </c>
    </row>
    <row r="13" spans="1:8" ht="12.75">
      <c r="A13" s="433" t="s">
        <v>134</v>
      </c>
      <c r="B13" s="434" t="s">
        <v>354</v>
      </c>
      <c r="C13" s="434"/>
      <c r="D13" s="436"/>
      <c r="E13" s="436"/>
      <c r="F13" s="436"/>
      <c r="G13" s="436"/>
      <c r="H13" s="436">
        <v>285000</v>
      </c>
    </row>
    <row r="14" spans="1:8" ht="12.75">
      <c r="A14" s="433" t="s">
        <v>135</v>
      </c>
      <c r="B14" s="434" t="s">
        <v>355</v>
      </c>
      <c r="C14" s="434">
        <f>165316573.94+13654064</f>
        <v>178970637.94</v>
      </c>
      <c r="D14" s="436">
        <f>8734750+63362597</f>
        <v>72097347</v>
      </c>
      <c r="E14" s="436">
        <v>888777194.72</v>
      </c>
      <c r="F14" s="436">
        <v>463272541.59</v>
      </c>
      <c r="G14" s="436">
        <v>148309737</v>
      </c>
      <c r="H14" s="436">
        <v>41373113</v>
      </c>
    </row>
    <row r="15" spans="1:8" ht="12.75">
      <c r="A15" s="433" t="s">
        <v>136</v>
      </c>
      <c r="B15" s="434" t="s">
        <v>356</v>
      </c>
      <c r="C15" s="434">
        <f>34004126+126530581.95</f>
        <v>160534707.95</v>
      </c>
      <c r="D15" s="436">
        <f>293418979+205664674-285</f>
        <v>499083368</v>
      </c>
      <c r="E15" s="436">
        <v>601714320.28</v>
      </c>
      <c r="F15" s="436">
        <v>187718689.41</v>
      </c>
      <c r="G15" s="436"/>
      <c r="H15" s="436"/>
    </row>
    <row r="16" spans="1:8" ht="12.75">
      <c r="A16" s="433" t="s">
        <v>137</v>
      </c>
      <c r="B16" s="434" t="s">
        <v>357</v>
      </c>
      <c r="C16" s="434">
        <f>5472617+1276163.11</f>
        <v>6748780.11</v>
      </c>
      <c r="D16" s="436">
        <v>170800</v>
      </c>
      <c r="E16" s="436">
        <v>0</v>
      </c>
      <c r="F16" s="436">
        <v>9254905</v>
      </c>
      <c r="G16" s="436">
        <v>1454079</v>
      </c>
      <c r="H16" s="436">
        <v>1600000</v>
      </c>
    </row>
    <row r="17" spans="1:8" ht="12.75">
      <c r="A17" s="433" t="s">
        <v>138</v>
      </c>
      <c r="B17" s="434" t="s">
        <v>828</v>
      </c>
      <c r="C17" s="434">
        <v>1375000</v>
      </c>
      <c r="D17" s="436"/>
      <c r="E17" s="436"/>
      <c r="F17" s="436"/>
      <c r="G17" s="436"/>
      <c r="H17" s="436"/>
    </row>
    <row r="18" spans="2:11" ht="12.75">
      <c r="B18" s="434" t="s">
        <v>358</v>
      </c>
      <c r="C18" s="436">
        <f>+C17+C16+C15+C14</f>
        <v>347629126</v>
      </c>
      <c r="D18" s="436">
        <f>+D16+D15+D14+D13</f>
        <v>571351515</v>
      </c>
      <c r="E18" s="436">
        <f>+E16+E15+E14+E13</f>
        <v>1490491515</v>
      </c>
      <c r="F18" s="436">
        <f>+F16+F15+F14+F13</f>
        <v>660246136</v>
      </c>
      <c r="G18" s="436">
        <f>+G16+G15+G14+G13</f>
        <v>149763816</v>
      </c>
      <c r="H18" s="436">
        <f>+H16+H15+H14+H13</f>
        <v>43258113</v>
      </c>
      <c r="J18" s="475"/>
      <c r="K18" s="451"/>
    </row>
    <row r="19" spans="2:3" ht="12.75">
      <c r="B19" s="434" t="s">
        <v>359</v>
      </c>
      <c r="C19" s="434"/>
    </row>
    <row r="20" spans="1:8" ht="12.75">
      <c r="A20" s="433" t="s">
        <v>145</v>
      </c>
      <c r="B20" s="434" t="s">
        <v>360</v>
      </c>
      <c r="C20" s="434"/>
      <c r="D20" s="435"/>
      <c r="E20" s="435"/>
      <c r="F20" s="435"/>
      <c r="G20" s="435"/>
      <c r="H20" s="435"/>
    </row>
    <row r="21" spans="1:3" ht="12.75">
      <c r="A21" s="433" t="s">
        <v>138</v>
      </c>
      <c r="B21" s="434" t="s">
        <v>361</v>
      </c>
      <c r="C21" s="434"/>
    </row>
    <row r="22" spans="1:3" ht="12.75">
      <c r="A22" s="433" t="s">
        <v>146</v>
      </c>
      <c r="B22" s="434" t="s">
        <v>362</v>
      </c>
      <c r="C22" s="434"/>
    </row>
    <row r="23" spans="1:3" ht="12.75">
      <c r="A23" s="433" t="s">
        <v>147</v>
      </c>
      <c r="B23" s="434" t="s">
        <v>363</v>
      </c>
      <c r="C23" s="434"/>
    </row>
    <row r="24" spans="1:8" ht="12.75">
      <c r="A24" s="433" t="s">
        <v>148</v>
      </c>
      <c r="B24" s="434" t="s">
        <v>364</v>
      </c>
      <c r="C24" s="434"/>
      <c r="D24" s="436"/>
      <c r="E24" s="436"/>
      <c r="F24" s="436"/>
      <c r="G24" s="436"/>
      <c r="H24" s="436"/>
    </row>
    <row r="25" spans="1:8" ht="12.75">
      <c r="A25" s="433" t="s">
        <v>149</v>
      </c>
      <c r="B25" s="434" t="s">
        <v>365</v>
      </c>
      <c r="C25" s="434"/>
      <c r="D25" s="436"/>
      <c r="E25" s="436"/>
      <c r="F25" s="436"/>
      <c r="G25" s="436"/>
      <c r="H25" s="436"/>
    </row>
    <row r="26" spans="1:3" ht="12.75">
      <c r="A26" s="433" t="s">
        <v>150</v>
      </c>
      <c r="B26" s="434" t="s">
        <v>366</v>
      </c>
      <c r="C26" s="434"/>
    </row>
    <row r="27" spans="1:8" ht="12.75">
      <c r="A27" s="433" t="s">
        <v>151</v>
      </c>
      <c r="B27" s="434" t="s">
        <v>113</v>
      </c>
      <c r="C27" s="434"/>
      <c r="D27" s="436"/>
      <c r="E27" s="436"/>
      <c r="F27" s="436"/>
      <c r="G27" s="436"/>
      <c r="H27" s="436"/>
    </row>
    <row r="29" spans="1:3" ht="12.75">
      <c r="A29" s="433" t="s">
        <v>152</v>
      </c>
      <c r="B29" s="434" t="s">
        <v>367</v>
      </c>
      <c r="C29" s="434"/>
    </row>
    <row r="30" spans="1:3" ht="12.75">
      <c r="A30" s="433" t="s">
        <v>149</v>
      </c>
      <c r="B30" s="434" t="s">
        <v>368</v>
      </c>
      <c r="C30" s="434"/>
    </row>
    <row r="31" spans="1:3" ht="12.75">
      <c r="A31" s="433" t="s">
        <v>150</v>
      </c>
      <c r="B31" s="434" t="s">
        <v>369</v>
      </c>
      <c r="C31" s="434"/>
    </row>
    <row r="32" spans="1:3" ht="12.75">
      <c r="A32" s="433" t="s">
        <v>151</v>
      </c>
      <c r="B32" s="434" t="s">
        <v>370</v>
      </c>
      <c r="C32" s="434"/>
    </row>
    <row r="33" spans="1:3" ht="12.75">
      <c r="A33" s="433" t="s">
        <v>153</v>
      </c>
      <c r="B33" s="434" t="s">
        <v>371</v>
      </c>
      <c r="C33" s="434"/>
    </row>
    <row r="34" spans="1:3" ht="12.75">
      <c r="A34" s="433" t="s">
        <v>154</v>
      </c>
      <c r="B34" s="434" t="s">
        <v>372</v>
      </c>
      <c r="C34" s="434"/>
    </row>
    <row r="35" spans="2:8" ht="12.75">
      <c r="B35" s="434" t="s">
        <v>373</v>
      </c>
      <c r="C35" s="436">
        <f aca="true" t="shared" si="0" ref="C35:H35">+C12+C20</f>
        <v>347629126</v>
      </c>
      <c r="D35" s="436">
        <f t="shared" si="0"/>
        <v>571351515</v>
      </c>
      <c r="E35" s="436">
        <f t="shared" si="0"/>
        <v>1490491515</v>
      </c>
      <c r="F35" s="436">
        <f t="shared" si="0"/>
        <v>660246136</v>
      </c>
      <c r="G35" s="436">
        <f t="shared" si="0"/>
        <v>149763816</v>
      </c>
      <c r="H35" s="436">
        <f t="shared" si="0"/>
        <v>43258113</v>
      </c>
    </row>
    <row r="37" spans="1:8" ht="12.75">
      <c r="A37" s="433" t="s">
        <v>155</v>
      </c>
      <c r="B37" s="434" t="s">
        <v>374</v>
      </c>
      <c r="C37" s="435">
        <f aca="true" t="shared" si="1" ref="C37:H37">+C38+C39+C40+C41+C42</f>
        <v>970.7</v>
      </c>
      <c r="D37" s="435">
        <f t="shared" si="1"/>
        <v>115</v>
      </c>
      <c r="E37" s="435">
        <f t="shared" si="1"/>
        <v>3155</v>
      </c>
      <c r="F37" s="435">
        <f t="shared" si="1"/>
        <v>45340.86</v>
      </c>
      <c r="G37" s="435">
        <f t="shared" si="1"/>
        <v>45340.86</v>
      </c>
      <c r="H37" s="435">
        <f t="shared" si="1"/>
        <v>9576</v>
      </c>
    </row>
    <row r="38" spans="1:8" ht="12.75">
      <c r="A38" s="433" t="s">
        <v>156</v>
      </c>
      <c r="B38" s="434" t="s">
        <v>375</v>
      </c>
      <c r="C38" s="436">
        <v>970.7</v>
      </c>
      <c r="D38" s="436">
        <v>115</v>
      </c>
      <c r="E38" s="436">
        <v>3155</v>
      </c>
      <c r="F38" s="436">
        <f>2.74+2138.12</f>
        <v>2140.8599999999997</v>
      </c>
      <c r="G38" s="436">
        <f>2.74+2138.12</f>
        <v>2140.8599999999997</v>
      </c>
      <c r="H38" s="436">
        <v>447</v>
      </c>
    </row>
    <row r="39" spans="1:3" ht="12.75">
      <c r="A39" s="433" t="s">
        <v>157</v>
      </c>
      <c r="B39" s="434" t="s">
        <v>376</v>
      </c>
      <c r="C39" s="434"/>
    </row>
    <row r="40" spans="1:8" ht="12.75">
      <c r="A40" s="433" t="s">
        <v>158</v>
      </c>
      <c r="B40" s="434" t="s">
        <v>377</v>
      </c>
      <c r="C40" s="436"/>
      <c r="D40" s="436">
        <v>0</v>
      </c>
      <c r="E40" s="436">
        <v>0</v>
      </c>
      <c r="F40" s="436">
        <v>43200</v>
      </c>
      <c r="G40" s="436">
        <v>43200</v>
      </c>
      <c r="H40" s="436">
        <v>9129</v>
      </c>
    </row>
    <row r="41" spans="1:3" ht="12.75">
      <c r="A41" s="433" t="s">
        <v>159</v>
      </c>
      <c r="B41" s="434" t="s">
        <v>378</v>
      </c>
      <c r="C41" s="434"/>
    </row>
    <row r="42" spans="1:8" ht="12.75">
      <c r="A42" s="433" t="s">
        <v>160</v>
      </c>
      <c r="B42" s="434" t="s">
        <v>379</v>
      </c>
      <c r="C42" s="434"/>
      <c r="D42" s="436"/>
      <c r="E42" s="436"/>
      <c r="F42" s="436"/>
      <c r="G42" s="436"/>
      <c r="H42" s="436"/>
    </row>
    <row r="44" spans="2:8" ht="12.75">
      <c r="B44" s="434" t="s">
        <v>380</v>
      </c>
      <c r="C44" s="435">
        <f aca="true" t="shared" si="2" ref="C44:H44">+C37+C20+C12</f>
        <v>347630096.7</v>
      </c>
      <c r="D44" s="435">
        <f t="shared" si="2"/>
        <v>571351630</v>
      </c>
      <c r="E44" s="435">
        <f t="shared" si="2"/>
        <v>1490494670</v>
      </c>
      <c r="F44" s="435">
        <f t="shared" si="2"/>
        <v>660291476.86</v>
      </c>
      <c r="G44" s="435">
        <f t="shared" si="2"/>
        <v>149809156.86</v>
      </c>
      <c r="H44" s="435">
        <f t="shared" si="2"/>
        <v>43267689</v>
      </c>
    </row>
    <row r="46" spans="2:3" ht="12.75">
      <c r="B46" s="434" t="s">
        <v>381</v>
      </c>
      <c r="C46" s="434"/>
    </row>
    <row r="47" spans="2:3" ht="12.75">
      <c r="B47" s="434" t="s">
        <v>382</v>
      </c>
      <c r="C47" s="434"/>
    </row>
    <row r="48" spans="1:3" ht="12.75">
      <c r="A48" s="433" t="s">
        <v>161</v>
      </c>
      <c r="B48" s="434" t="s">
        <v>383</v>
      </c>
      <c r="C48" s="434"/>
    </row>
    <row r="49" spans="2:3" ht="12.75">
      <c r="B49" s="434" t="s">
        <v>384</v>
      </c>
      <c r="C49" s="434"/>
    </row>
    <row r="50" spans="2:3" ht="12.75">
      <c r="B50" s="434" t="s">
        <v>382</v>
      </c>
      <c r="C50" s="434"/>
    </row>
    <row r="51" spans="1:3" ht="12.75">
      <c r="A51" s="433" t="s">
        <v>162</v>
      </c>
      <c r="B51" s="434" t="s">
        <v>385</v>
      </c>
      <c r="C51" s="434"/>
    </row>
    <row r="52" spans="2:3" ht="12.75">
      <c r="B52" s="434" t="s">
        <v>382</v>
      </c>
      <c r="C52" s="434"/>
    </row>
    <row r="53" spans="2:3" ht="12.75">
      <c r="B53" s="434"/>
      <c r="C53" s="434"/>
    </row>
    <row r="54" spans="2:3" ht="12.75">
      <c r="B54" s="434"/>
      <c r="C54" s="434"/>
    </row>
    <row r="55" spans="2:3" ht="12.75">
      <c r="B55" s="434"/>
      <c r="C55" s="434"/>
    </row>
    <row r="56" spans="2:3" ht="12.75">
      <c r="B56" s="434"/>
      <c r="C56" s="434"/>
    </row>
    <row r="57" spans="2:3" ht="12.75">
      <c r="B57" s="434"/>
      <c r="C57" s="434"/>
    </row>
    <row r="58" spans="2:3" ht="12.75">
      <c r="B58" s="434"/>
      <c r="C58" s="434"/>
    </row>
    <row r="59" spans="2:3" ht="12.75">
      <c r="B59" s="434"/>
      <c r="C59" s="434"/>
    </row>
    <row r="61" spans="1:8" ht="15">
      <c r="A61" s="431" t="s">
        <v>351</v>
      </c>
      <c r="B61" s="432" t="s">
        <v>386</v>
      </c>
      <c r="C61" s="431" t="str">
        <f>+C9</f>
        <v>Vlefta 2013</v>
      </c>
      <c r="D61" s="431" t="str">
        <f>+D9</f>
        <v>Vlefta 2012</v>
      </c>
      <c r="E61" s="431" t="str">
        <f>+E9</f>
        <v>Vlefta 2011</v>
      </c>
      <c r="F61" s="431" t="s">
        <v>557</v>
      </c>
      <c r="G61" s="431" t="s">
        <v>545</v>
      </c>
      <c r="H61" s="431" t="s">
        <v>450</v>
      </c>
    </row>
    <row r="64" spans="1:6" ht="12.75">
      <c r="A64" s="433" t="s">
        <v>144</v>
      </c>
      <c r="B64" s="434" t="s">
        <v>387</v>
      </c>
      <c r="C64" s="42">
        <v>0</v>
      </c>
      <c r="D64" s="42">
        <v>0</v>
      </c>
      <c r="E64" s="42">
        <v>0</v>
      </c>
      <c r="F64" s="42">
        <v>0</v>
      </c>
    </row>
    <row r="65" spans="1:8" ht="12.75">
      <c r="A65" s="433" t="s">
        <v>145</v>
      </c>
      <c r="B65" s="434" t="s">
        <v>388</v>
      </c>
      <c r="C65" s="435">
        <f>+C66+C69+C72+C73+C77+C78+C82</f>
        <v>340360703.25000006</v>
      </c>
      <c r="D65" s="435">
        <f>+D66+D69+D72+D73+D77+D78+D82</f>
        <v>557406199</v>
      </c>
      <c r="E65" s="435">
        <f>+E66+E69+E72+E73+E77+E78+E82</f>
        <v>1478410087</v>
      </c>
      <c r="F65" s="435">
        <f>+F66+F69+F72+F73+F77+F78+F82</f>
        <v>650407398.0600001</v>
      </c>
      <c r="G65" s="435">
        <f>+G66+G72+G73+G77+G82</f>
        <v>144124063</v>
      </c>
      <c r="H65" s="435">
        <f>+H66+H72+H73+H77+H82</f>
        <v>36674219</v>
      </c>
    </row>
    <row r="66" spans="1:8" ht="12.75">
      <c r="A66" s="433" t="s">
        <v>134</v>
      </c>
      <c r="B66" s="434" t="s">
        <v>389</v>
      </c>
      <c r="C66" s="437">
        <f>+C67+C68</f>
        <v>145938252.34</v>
      </c>
      <c r="D66" s="437">
        <f>+D67+D68</f>
        <v>65097347</v>
      </c>
      <c r="E66" s="437">
        <f>+E67+E68</f>
        <v>865723847</v>
      </c>
      <c r="F66" s="437">
        <f>+F67+F68</f>
        <v>375466199.66</v>
      </c>
      <c r="G66" s="437">
        <f>+G67</f>
        <v>110255969</v>
      </c>
      <c r="H66" s="437">
        <f>+H67</f>
        <v>6368015</v>
      </c>
    </row>
    <row r="67" spans="1:12" ht="12.75">
      <c r="A67" s="433" t="s">
        <v>149</v>
      </c>
      <c r="B67" s="434" t="s">
        <v>390</v>
      </c>
      <c r="C67" s="434">
        <v>147409971.34</v>
      </c>
      <c r="D67" s="436">
        <v>65097347</v>
      </c>
      <c r="E67" s="436">
        <f>767839602+72909369+37974876-13000000</f>
        <v>865723847</v>
      </c>
      <c r="F67" s="436">
        <v>375418216.66</v>
      </c>
      <c r="G67" s="436">
        <v>110255969</v>
      </c>
      <c r="H67" s="436">
        <v>6368015</v>
      </c>
      <c r="L67" s="558">
        <f>+C66+C69</f>
        <v>309166273.94</v>
      </c>
    </row>
    <row r="68" spans="1:6" ht="12.75">
      <c r="A68" s="433" t="s">
        <v>150</v>
      </c>
      <c r="B68" s="434" t="s">
        <v>391</v>
      </c>
      <c r="C68" s="434">
        <v>-1471719</v>
      </c>
      <c r="D68" s="436">
        <v>0</v>
      </c>
      <c r="E68" s="436">
        <v>0</v>
      </c>
      <c r="F68" s="436">
        <v>47983</v>
      </c>
    </row>
    <row r="69" spans="1:8" ht="12.75">
      <c r="A69" s="433" t="s">
        <v>135</v>
      </c>
      <c r="B69" s="434" t="s">
        <v>392</v>
      </c>
      <c r="C69" s="437">
        <f>+C70+C71</f>
        <v>163228021.6</v>
      </c>
      <c r="D69" s="437">
        <f>+D70+D71</f>
        <v>469097463</v>
      </c>
      <c r="E69" s="437">
        <f>+E70+E71</f>
        <v>557516718</v>
      </c>
      <c r="F69" s="437">
        <f>+F70+F71</f>
        <v>150202698.93</v>
      </c>
      <c r="G69" s="437"/>
      <c r="H69" s="437"/>
    </row>
    <row r="70" spans="1:8" ht="12.75">
      <c r="A70" s="433" t="s">
        <v>149</v>
      </c>
      <c r="B70" s="434" t="s">
        <v>393</v>
      </c>
      <c r="C70" s="434">
        <v>163228021.6</v>
      </c>
      <c r="D70" s="436">
        <f>43948449+342594032+64814094+23105431</f>
        <v>474462006</v>
      </c>
      <c r="E70" s="436">
        <f>544516718+13000000</f>
        <v>557516718</v>
      </c>
      <c r="F70" s="436">
        <v>150202698.93</v>
      </c>
      <c r="G70" s="436"/>
      <c r="H70" s="436"/>
    </row>
    <row r="71" spans="1:8" ht="12.75">
      <c r="A71" s="433" t="s">
        <v>150</v>
      </c>
      <c r="B71" s="434" t="s">
        <v>394</v>
      </c>
      <c r="C71" s="434">
        <v>0</v>
      </c>
      <c r="D71" s="436">
        <v>-5364543</v>
      </c>
      <c r="E71" s="436">
        <v>0</v>
      </c>
      <c r="F71" s="436">
        <v>0</v>
      </c>
      <c r="G71" s="436"/>
      <c r="H71" s="436"/>
    </row>
    <row r="72" spans="1:8" ht="12.75">
      <c r="A72" s="433" t="s">
        <v>136</v>
      </c>
      <c r="B72" s="434" t="s">
        <v>395</v>
      </c>
      <c r="C72" s="434">
        <f>3805286.34+525000+5320901.15+462398.18+1068551+4938+492916.47+524531.14+7497.82</f>
        <v>12212020.100000001</v>
      </c>
      <c r="D72" s="436">
        <v>3374980</v>
      </c>
      <c r="E72" s="436">
        <f>486218+762083+2080818</f>
        <v>3329119</v>
      </c>
      <c r="F72" s="436">
        <f>25498171.09+13804581.66+459849.02+133469+17540666+821421.52+20358861.8+349335.38</f>
        <v>78966355.47</v>
      </c>
      <c r="G72" s="436">
        <v>22206812</v>
      </c>
      <c r="H72" s="436">
        <v>20454707</v>
      </c>
    </row>
    <row r="73" spans="1:8" ht="12.75">
      <c r="A73" s="433" t="s">
        <v>137</v>
      </c>
      <c r="B73" s="434" t="s">
        <v>396</v>
      </c>
      <c r="C73" s="436">
        <f aca="true" t="shared" si="3" ref="C73:H73">+C74+C76</f>
        <v>4081339</v>
      </c>
      <c r="D73" s="436">
        <f t="shared" si="3"/>
        <v>5616459</v>
      </c>
      <c r="E73" s="436">
        <f t="shared" si="3"/>
        <v>6306168</v>
      </c>
      <c r="F73" s="436">
        <f t="shared" si="3"/>
        <v>6164717</v>
      </c>
      <c r="G73" s="436">
        <f t="shared" si="3"/>
        <v>7495042</v>
      </c>
      <c r="H73" s="436">
        <f t="shared" si="3"/>
        <v>4865951</v>
      </c>
    </row>
    <row r="74" spans="1:8" ht="12.75">
      <c r="A74" s="433" t="s">
        <v>149</v>
      </c>
      <c r="B74" s="434" t="s">
        <v>397</v>
      </c>
      <c r="C74" s="434">
        <v>3661000</v>
      </c>
      <c r="D74" s="436">
        <v>4969000</v>
      </c>
      <c r="E74" s="436">
        <v>5554000</v>
      </c>
      <c r="F74" s="436">
        <v>5424092</v>
      </c>
      <c r="G74" s="436">
        <v>6445964</v>
      </c>
      <c r="H74" s="436">
        <v>4083904</v>
      </c>
    </row>
    <row r="75" spans="1:3" ht="12.75">
      <c r="A75" s="433" t="s">
        <v>150</v>
      </c>
      <c r="B75" s="434" t="s">
        <v>398</v>
      </c>
      <c r="C75" s="434"/>
    </row>
    <row r="76" spans="1:8" ht="12.75">
      <c r="A76" s="433" t="s">
        <v>151</v>
      </c>
      <c r="B76" s="434" t="s">
        <v>399</v>
      </c>
      <c r="C76" s="434">
        <v>420339</v>
      </c>
      <c r="D76" s="436">
        <v>647459</v>
      </c>
      <c r="E76" s="436">
        <v>752168</v>
      </c>
      <c r="F76" s="436">
        <v>740625</v>
      </c>
      <c r="G76" s="436">
        <v>1049078</v>
      </c>
      <c r="H76" s="436">
        <v>782047</v>
      </c>
    </row>
    <row r="77" spans="1:14" ht="12.75">
      <c r="A77" s="433" t="s">
        <v>138</v>
      </c>
      <c r="B77" s="434" t="s">
        <v>400</v>
      </c>
      <c r="C77" s="434">
        <f>4065542+354159.72+721812+229403+93332</f>
        <v>5464248.72</v>
      </c>
      <c r="D77" s="436">
        <v>25120</v>
      </c>
      <c r="E77" s="436">
        <f>32239043+65120+300000+324195+149278+12677</f>
        <v>33090313</v>
      </c>
      <c r="F77" s="436">
        <f>14632575+40120+1570011</f>
        <v>16242706</v>
      </c>
      <c r="G77" s="436">
        <v>301219</v>
      </c>
      <c r="H77" s="436">
        <v>78921</v>
      </c>
      <c r="L77" s="451"/>
      <c r="M77" s="555"/>
      <c r="N77" s="555"/>
    </row>
    <row r="78" spans="1:8" ht="12.75">
      <c r="A78" s="433" t="s">
        <v>146</v>
      </c>
      <c r="B78" s="434" t="s">
        <v>401</v>
      </c>
      <c r="C78" s="436">
        <f>+C79+C80+C81</f>
        <v>2053970.49</v>
      </c>
      <c r="D78" s="436">
        <f>+D79+D80+D81</f>
        <v>568378</v>
      </c>
      <c r="E78" s="436">
        <f>+E79+E80+E81</f>
        <v>1570707</v>
      </c>
      <c r="F78" s="436">
        <f>+F79+F80+F81</f>
        <v>8382399</v>
      </c>
      <c r="G78" s="436"/>
      <c r="H78" s="436"/>
    </row>
    <row r="79" spans="1:8" ht="12.75">
      <c r="A79" s="433" t="s">
        <v>149</v>
      </c>
      <c r="B79" s="434" t="s">
        <v>402</v>
      </c>
      <c r="C79" s="434"/>
      <c r="D79" s="436">
        <v>0</v>
      </c>
      <c r="E79" s="436">
        <v>0</v>
      </c>
      <c r="F79" s="436">
        <v>7908000</v>
      </c>
      <c r="G79" s="436"/>
      <c r="H79" s="436"/>
    </row>
    <row r="80" spans="1:6" ht="12.75">
      <c r="A80" s="433" t="s">
        <v>150</v>
      </c>
      <c r="B80" s="434" t="s">
        <v>403</v>
      </c>
      <c r="C80" s="434"/>
      <c r="D80" s="436">
        <v>0</v>
      </c>
      <c r="E80" s="436">
        <v>0</v>
      </c>
      <c r="F80" s="436">
        <v>72392</v>
      </c>
    </row>
    <row r="81" spans="1:8" ht="12.75">
      <c r="A81" s="433" t="s">
        <v>151</v>
      </c>
      <c r="B81" s="434" t="s">
        <v>113</v>
      </c>
      <c r="C81" s="434">
        <v>2053970.49</v>
      </c>
      <c r="D81" s="436">
        <v>568378</v>
      </c>
      <c r="E81" s="436">
        <v>1570707</v>
      </c>
      <c r="F81" s="436">
        <v>402007</v>
      </c>
      <c r="G81" s="436"/>
      <c r="H81" s="436"/>
    </row>
    <row r="82" spans="1:8" ht="12.75">
      <c r="A82" s="433" t="s">
        <v>147</v>
      </c>
      <c r="B82" s="434" t="s">
        <v>404</v>
      </c>
      <c r="C82" s="436">
        <f>+C83+C86</f>
        <v>7382851</v>
      </c>
      <c r="D82" s="436">
        <f>+D83+D86</f>
        <v>13626452</v>
      </c>
      <c r="E82" s="436">
        <f>+E83+E86</f>
        <v>10873215</v>
      </c>
      <c r="F82" s="436">
        <f>+F83+F86</f>
        <v>14982322</v>
      </c>
      <c r="G82" s="436">
        <f>+G83</f>
        <v>3865021</v>
      </c>
      <c r="H82" s="436">
        <f>+H83</f>
        <v>4906625</v>
      </c>
    </row>
    <row r="83" spans="1:8" ht="12.75">
      <c r="A83" s="433" t="s">
        <v>149</v>
      </c>
      <c r="B83" s="434" t="s">
        <v>405</v>
      </c>
      <c r="C83" s="434">
        <f>+'Aq&amp;AM'!L22</f>
        <v>7382851</v>
      </c>
      <c r="D83" s="436">
        <v>13626452</v>
      </c>
      <c r="E83" s="436">
        <v>10873215</v>
      </c>
      <c r="F83" s="436">
        <v>14982322</v>
      </c>
      <c r="G83" s="436">
        <v>3865021</v>
      </c>
      <c r="H83" s="436">
        <v>4906625</v>
      </c>
    </row>
    <row r="84" spans="1:3" ht="12.75">
      <c r="A84" s="433" t="s">
        <v>150</v>
      </c>
      <c r="B84" s="434" t="s">
        <v>406</v>
      </c>
      <c r="C84" s="434"/>
    </row>
    <row r="85" spans="1:3" ht="12.75">
      <c r="A85" s="433" t="s">
        <v>151</v>
      </c>
      <c r="B85" s="434" t="s">
        <v>407</v>
      </c>
      <c r="C85" s="434"/>
    </row>
    <row r="86" spans="1:3" ht="12.75">
      <c r="A86" s="433" t="s">
        <v>153</v>
      </c>
      <c r="B86" s="434" t="s">
        <v>143</v>
      </c>
      <c r="C86" s="434"/>
    </row>
    <row r="87" spans="1:3" ht="12.75">
      <c r="A87" s="433" t="s">
        <v>154</v>
      </c>
      <c r="B87" s="434" t="s">
        <v>408</v>
      </c>
      <c r="C87" s="434"/>
    </row>
    <row r="88" spans="1:3" ht="12.75">
      <c r="A88" s="433" t="s">
        <v>163</v>
      </c>
      <c r="B88" s="434" t="s">
        <v>113</v>
      </c>
      <c r="C88" s="434"/>
    </row>
    <row r="89" spans="2:8" ht="12.75">
      <c r="B89" s="434" t="s">
        <v>373</v>
      </c>
      <c r="C89" s="436">
        <f aca="true" t="shared" si="4" ref="C89:H89">+C64+C65</f>
        <v>340360703.25000006</v>
      </c>
      <c r="D89" s="436">
        <f t="shared" si="4"/>
        <v>557406199</v>
      </c>
      <c r="E89" s="436">
        <f t="shared" si="4"/>
        <v>1478410087</v>
      </c>
      <c r="F89" s="436">
        <f t="shared" si="4"/>
        <v>650407398.0600001</v>
      </c>
      <c r="G89" s="436">
        <f t="shared" si="4"/>
        <v>144124063</v>
      </c>
      <c r="H89" s="436">
        <f t="shared" si="4"/>
        <v>36674219</v>
      </c>
    </row>
    <row r="90" spans="1:8" ht="12.75">
      <c r="A90" s="433" t="s">
        <v>155</v>
      </c>
      <c r="B90" s="434" t="s">
        <v>409</v>
      </c>
      <c r="C90" s="435">
        <f>+C91+C93</f>
        <v>5625233.76</v>
      </c>
      <c r="D90" s="435">
        <f>+D91+D93</f>
        <v>9298031</v>
      </c>
      <c r="E90" s="435">
        <f>+E91+E93</f>
        <v>8052834</v>
      </c>
      <c r="F90" s="435">
        <f>+F91+F93</f>
        <v>3002610.3000000003</v>
      </c>
      <c r="G90" s="435">
        <f>+G91</f>
        <v>3614454</v>
      </c>
      <c r="H90" s="435">
        <f>+H91+H92+H93+H94+H95+H96</f>
        <v>3289804</v>
      </c>
    </row>
    <row r="91" spans="1:8" ht="12.75">
      <c r="A91" s="433" t="s">
        <v>148</v>
      </c>
      <c r="B91" s="434" t="s">
        <v>410</v>
      </c>
      <c r="C91" s="434">
        <f>15559078.04+162920.07-8696764.35-1400000</f>
        <v>5625233.76</v>
      </c>
      <c r="D91" s="436">
        <v>8683483</v>
      </c>
      <c r="E91" s="436">
        <v>7541208</v>
      </c>
      <c r="F91" s="436">
        <f>2781877.33</f>
        <v>2781877.33</v>
      </c>
      <c r="G91" s="436">
        <v>3614454</v>
      </c>
      <c r="H91" s="436">
        <v>3260306</v>
      </c>
    </row>
    <row r="92" spans="1:3" ht="12.75">
      <c r="A92" s="433" t="s">
        <v>152</v>
      </c>
      <c r="B92" s="434" t="s">
        <v>411</v>
      </c>
      <c r="C92" s="434"/>
    </row>
    <row r="93" spans="1:8" ht="12.75">
      <c r="A93" s="433" t="s">
        <v>156</v>
      </c>
      <c r="B93" s="434" t="s">
        <v>412</v>
      </c>
      <c r="C93" s="434"/>
      <c r="D93" s="436">
        <f>614649-101</f>
        <v>614548</v>
      </c>
      <c r="E93" s="436">
        <f>488626+23000</f>
        <v>511626</v>
      </c>
      <c r="F93" s="436">
        <v>220732.97</v>
      </c>
      <c r="G93" s="436"/>
      <c r="H93" s="436">
        <v>29498</v>
      </c>
    </row>
    <row r="94" spans="1:3" ht="12.75">
      <c r="A94" s="433" t="s">
        <v>157</v>
      </c>
      <c r="B94" s="434" t="s">
        <v>413</v>
      </c>
      <c r="C94" s="434"/>
    </row>
    <row r="95" spans="1:3" ht="12.75">
      <c r="A95" s="433" t="s">
        <v>158</v>
      </c>
      <c r="B95" s="434" t="s">
        <v>414</v>
      </c>
      <c r="C95" s="434"/>
    </row>
    <row r="96" spans="1:3" ht="12.75">
      <c r="A96" s="433" t="s">
        <v>159</v>
      </c>
      <c r="B96" s="434" t="s">
        <v>113</v>
      </c>
      <c r="C96" s="434"/>
    </row>
    <row r="97" spans="2:8" ht="12.75">
      <c r="B97" s="434" t="s">
        <v>415</v>
      </c>
      <c r="C97" s="435">
        <f aca="true" t="shared" si="5" ref="C97:H97">+C90+C65+C64</f>
        <v>345985937.01000005</v>
      </c>
      <c r="D97" s="435">
        <f t="shared" si="5"/>
        <v>566704230</v>
      </c>
      <c r="E97" s="435">
        <f t="shared" si="5"/>
        <v>1486462921</v>
      </c>
      <c r="F97" s="435">
        <f t="shared" si="5"/>
        <v>653410008.36</v>
      </c>
      <c r="G97" s="435">
        <f t="shared" si="5"/>
        <v>147738517</v>
      </c>
      <c r="H97" s="435">
        <f t="shared" si="5"/>
        <v>39964023</v>
      </c>
    </row>
    <row r="98" spans="2:8" ht="12.75">
      <c r="B98" s="434" t="s">
        <v>416</v>
      </c>
      <c r="C98" s="434"/>
      <c r="D98" s="436"/>
      <c r="E98" s="436"/>
      <c r="F98" s="436"/>
      <c r="G98" s="436"/>
      <c r="H98" s="436"/>
    </row>
    <row r="99" spans="1:3" ht="12.75">
      <c r="A99" s="433" t="s">
        <v>161</v>
      </c>
      <c r="B99" s="434" t="s">
        <v>417</v>
      </c>
      <c r="C99" s="434"/>
    </row>
    <row r="100" spans="2:3" ht="12.75">
      <c r="B100" s="434" t="s">
        <v>384</v>
      </c>
      <c r="C100" s="434"/>
    </row>
    <row r="101" spans="1:8" ht="12.75">
      <c r="A101" s="433" t="s">
        <v>162</v>
      </c>
      <c r="B101" s="434" t="s">
        <v>418</v>
      </c>
      <c r="C101" s="436">
        <f>+C44-C97</f>
        <v>1644159.689999938</v>
      </c>
      <c r="D101" s="436">
        <f>+D44-D97</f>
        <v>4647400</v>
      </c>
      <c r="E101" s="436">
        <f>+E44-E97</f>
        <v>4031749</v>
      </c>
      <c r="F101" s="436">
        <f>+F44-F97</f>
        <v>6881468.5</v>
      </c>
      <c r="G101" s="436">
        <v>2146125</v>
      </c>
      <c r="H101" s="436">
        <v>3303665</v>
      </c>
    </row>
    <row r="102" spans="1:8" ht="12.75">
      <c r="A102" s="433" t="s">
        <v>419</v>
      </c>
      <c r="B102" s="434" t="s">
        <v>420</v>
      </c>
      <c r="C102" s="436">
        <f>+(C101+C78)*10%</f>
        <v>369813.01799999387</v>
      </c>
      <c r="D102" s="436">
        <f>+(D101+D81)*10%</f>
        <v>521577.80000000005</v>
      </c>
      <c r="E102" s="436">
        <f>+(E101+E81)*10%</f>
        <v>560245.6</v>
      </c>
      <c r="F102" s="436">
        <f>+(F101+F81)*10%</f>
        <v>728347.55</v>
      </c>
      <c r="G102" s="436">
        <v>214612</v>
      </c>
      <c r="H102" s="436">
        <v>333517</v>
      </c>
    </row>
    <row r="103" spans="1:8" ht="12.75">
      <c r="A103" s="433" t="s">
        <v>149</v>
      </c>
      <c r="B103" s="434" t="s">
        <v>421</v>
      </c>
      <c r="C103" s="435">
        <f aca="true" t="shared" si="6" ref="C103:H103">+C102</f>
        <v>369813.01799999387</v>
      </c>
      <c r="D103" s="435">
        <f t="shared" si="6"/>
        <v>521577.80000000005</v>
      </c>
      <c r="E103" s="435">
        <f t="shared" si="6"/>
        <v>560245.6</v>
      </c>
      <c r="F103" s="435">
        <f t="shared" si="6"/>
        <v>728347.55</v>
      </c>
      <c r="G103" s="435">
        <f t="shared" si="6"/>
        <v>214612</v>
      </c>
      <c r="H103" s="435">
        <f t="shared" si="6"/>
        <v>333517</v>
      </c>
    </row>
    <row r="104" spans="2:3" ht="12.75">
      <c r="B104" s="434" t="s">
        <v>422</v>
      </c>
      <c r="C104" s="434"/>
    </row>
    <row r="105" spans="1:3" ht="12.75">
      <c r="A105" s="433" t="s">
        <v>150</v>
      </c>
      <c r="B105" s="434" t="s">
        <v>423</v>
      </c>
      <c r="C105" s="434"/>
    </row>
    <row r="106" spans="1:8" ht="12.75">
      <c r="A106" s="433" t="s">
        <v>424</v>
      </c>
      <c r="B106" s="434" t="s">
        <v>425</v>
      </c>
      <c r="C106" s="435">
        <f>+C101-C103</f>
        <v>1274346.6719999441</v>
      </c>
      <c r="D106" s="435">
        <f>+D101-D103</f>
        <v>4125822.2</v>
      </c>
      <c r="E106" s="435">
        <f>+E101-E103</f>
        <v>3471503.4</v>
      </c>
      <c r="F106" s="435">
        <f>+F101-F103</f>
        <v>6153120.95</v>
      </c>
      <c r="G106" s="435">
        <f>+G101-G102</f>
        <v>1931513</v>
      </c>
      <c r="H106" s="435">
        <f>+H101-H102</f>
        <v>2970148</v>
      </c>
    </row>
    <row r="109" spans="4:7" ht="12.75">
      <c r="D109" s="451"/>
      <c r="E109" s="451"/>
      <c r="F109" s="451"/>
      <c r="G109" s="452"/>
    </row>
    <row r="111" spans="1:6" ht="13.5">
      <c r="A111" s="438"/>
      <c r="D111" s="451"/>
      <c r="E111" s="451"/>
      <c r="F111" s="451"/>
    </row>
    <row r="113" spans="4:6" ht="12.75">
      <c r="D113" s="453"/>
      <c r="E113" s="453"/>
      <c r="F113" s="453"/>
    </row>
  </sheetData>
  <sheetProtection/>
  <printOptions/>
  <pageMargins left="0.16944444444444445" right="0.1" top="0.4" bottom="0.2993055555555555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3">
      <selection activeCell="D103" sqref="D103"/>
    </sheetView>
  </sheetViews>
  <sheetFormatPr defaultColWidth="11.421875" defaultRowHeight="12.75"/>
  <cols>
    <col min="1" max="1" width="5.7109375" style="41" customWidth="1"/>
    <col min="2" max="2" width="42.7109375" style="41" bestFit="1" customWidth="1"/>
    <col min="3" max="3" width="4.421875" style="41" customWidth="1"/>
    <col min="4" max="4" width="20.421875" style="41" customWidth="1"/>
    <col min="5" max="6" width="19.57421875" style="41" customWidth="1"/>
    <col min="7" max="7" width="19.57421875" style="41" hidden="1" customWidth="1"/>
    <col min="8" max="8" width="20.28125" style="41" hidden="1" customWidth="1"/>
    <col min="9" max="9" width="21.421875" style="41" hidden="1" customWidth="1"/>
    <col min="10" max="16384" width="11.421875" style="41" customWidth="1"/>
  </cols>
  <sheetData>
    <row r="1" ht="16.5">
      <c r="B1" s="439" t="s">
        <v>164</v>
      </c>
    </row>
    <row r="2" spans="2:10" ht="13.5">
      <c r="B2" s="559" t="s">
        <v>815</v>
      </c>
      <c r="J2" s="440"/>
    </row>
    <row r="3" ht="12.75">
      <c r="B3" s="441" t="s">
        <v>426</v>
      </c>
    </row>
    <row r="5" ht="12.75" hidden="1"/>
    <row r="6" ht="12.75" hidden="1"/>
    <row r="8" spans="2:9" ht="15">
      <c r="B8" s="442" t="s">
        <v>165</v>
      </c>
      <c r="C8" s="443" t="s">
        <v>166</v>
      </c>
      <c r="D8" s="557" t="s">
        <v>813</v>
      </c>
      <c r="E8" s="440" t="s">
        <v>801</v>
      </c>
      <c r="F8" s="440" t="s">
        <v>780</v>
      </c>
      <c r="G8" s="440" t="s">
        <v>758</v>
      </c>
      <c r="H8" s="440" t="s">
        <v>759</v>
      </c>
      <c r="I8" s="440" t="s">
        <v>760</v>
      </c>
    </row>
    <row r="11" spans="1:9" ht="12.75">
      <c r="A11" s="444" t="s">
        <v>167</v>
      </c>
      <c r="B11" s="445" t="s">
        <v>168</v>
      </c>
      <c r="C11" s="445" t="s">
        <v>134</v>
      </c>
      <c r="D11" s="446">
        <v>0</v>
      </c>
      <c r="E11" s="446">
        <v>0</v>
      </c>
      <c r="F11" s="446">
        <v>0</v>
      </c>
      <c r="G11" s="446">
        <v>0</v>
      </c>
      <c r="H11" s="446">
        <v>0</v>
      </c>
      <c r="I11" s="446">
        <v>0</v>
      </c>
    </row>
    <row r="12" spans="1:9" ht="12.75">
      <c r="A12" s="444" t="s">
        <v>169</v>
      </c>
      <c r="B12" s="445" t="s">
        <v>170</v>
      </c>
      <c r="C12" s="445" t="s">
        <v>135</v>
      </c>
      <c r="D12" s="446">
        <f>+D20+D13+D27+D32</f>
        <v>58789955</v>
      </c>
      <c r="E12" s="446">
        <f>+E20+E13+E27+E32</f>
        <v>73430917</v>
      </c>
      <c r="F12" s="446">
        <f>+F20+F13+F27+F32</f>
        <v>43209456</v>
      </c>
      <c r="G12" s="446">
        <f>+G20+G13+G27+G32</f>
        <v>51477671.269999996</v>
      </c>
      <c r="H12" s="446">
        <f>+H13+H20+H27+H32</f>
        <v>74003210</v>
      </c>
      <c r="I12" s="446">
        <f>+I13+I20+I27+I32</f>
        <v>55842745</v>
      </c>
    </row>
    <row r="13" spans="1:9" ht="12.75">
      <c r="A13" s="444" t="s">
        <v>144</v>
      </c>
      <c r="B13" s="445" t="s">
        <v>171</v>
      </c>
      <c r="C13" s="445" t="s">
        <v>136</v>
      </c>
      <c r="D13" s="447">
        <f aca="true" t="shared" si="0" ref="D13:I13">+D14+D15+D16+D17+D18+D19</f>
        <v>0</v>
      </c>
      <c r="E13" s="447">
        <f t="shared" si="0"/>
        <v>0</v>
      </c>
      <c r="F13" s="447">
        <f t="shared" si="0"/>
        <v>0</v>
      </c>
      <c r="G13" s="447">
        <f t="shared" si="0"/>
        <v>0</v>
      </c>
      <c r="H13" s="447">
        <f t="shared" si="0"/>
        <v>0</v>
      </c>
      <c r="I13" s="447">
        <f t="shared" si="0"/>
        <v>0</v>
      </c>
    </row>
    <row r="14" spans="1:4" ht="12.75">
      <c r="A14" s="444" t="s">
        <v>149</v>
      </c>
      <c r="B14" s="445" t="s">
        <v>172</v>
      </c>
      <c r="C14" s="445" t="s">
        <v>137</v>
      </c>
      <c r="D14" s="445"/>
    </row>
    <row r="15" spans="1:4" ht="12.75">
      <c r="A15" s="444" t="s">
        <v>150</v>
      </c>
      <c r="B15" s="445" t="s">
        <v>173</v>
      </c>
      <c r="C15" s="445" t="s">
        <v>138</v>
      </c>
      <c r="D15" s="445"/>
    </row>
    <row r="16" spans="1:4" ht="12.75">
      <c r="A16" s="444" t="s">
        <v>151</v>
      </c>
      <c r="B16" s="445" t="s">
        <v>174</v>
      </c>
      <c r="C16" s="445" t="s">
        <v>146</v>
      </c>
      <c r="D16" s="445"/>
    </row>
    <row r="17" spans="1:4" ht="12.75">
      <c r="A17" s="444" t="s">
        <v>153</v>
      </c>
      <c r="B17" s="445" t="s">
        <v>175</v>
      </c>
      <c r="C17" s="445" t="s">
        <v>147</v>
      </c>
      <c r="D17" s="445"/>
    </row>
    <row r="18" spans="1:4" ht="12.75">
      <c r="A18" s="444" t="s">
        <v>154</v>
      </c>
      <c r="B18" s="445" t="s">
        <v>176</v>
      </c>
      <c r="C18" s="445" t="s">
        <v>148</v>
      </c>
      <c r="D18" s="445"/>
    </row>
    <row r="19" spans="1:4" ht="12.75">
      <c r="A19" s="444" t="s">
        <v>177</v>
      </c>
      <c r="B19" s="445" t="s">
        <v>178</v>
      </c>
      <c r="C19" s="445" t="s">
        <v>152</v>
      </c>
      <c r="D19" s="445"/>
    </row>
    <row r="20" spans="1:11" ht="12.75">
      <c r="A20" s="444" t="s">
        <v>145</v>
      </c>
      <c r="B20" s="445" t="s">
        <v>179</v>
      </c>
      <c r="C20" s="445" t="s">
        <v>156</v>
      </c>
      <c r="D20" s="447">
        <f>+D22+D25+D23+D24+D26+D27+D28+D29+D30+D31</f>
        <v>58789955</v>
      </c>
      <c r="E20" s="447">
        <f>+E22+E25+E23+E24+E26+E27+E28+E29+E30+E31</f>
        <v>73430917</v>
      </c>
      <c r="F20" s="447">
        <f>+F22+F25+F23+F24+F26+F27+F28+F29+F30+F31</f>
        <v>43209456</v>
      </c>
      <c r="G20" s="447">
        <f>+G22+G25+G23+G24+G26+G27+G28+G29+G30+G31</f>
        <v>51477671.269999996</v>
      </c>
      <c r="H20" s="447">
        <f>+H21+H22+H23+H24+H25+H26</f>
        <v>74003210</v>
      </c>
      <c r="I20" s="447">
        <f>+I21+I22+I23+I24+I25+I26</f>
        <v>55842745</v>
      </c>
      <c r="K20" s="41">
        <f>51162875-4540645</f>
        <v>46622230</v>
      </c>
    </row>
    <row r="21" spans="1:4" ht="12.75">
      <c r="A21" s="444" t="s">
        <v>149</v>
      </c>
      <c r="B21" s="445" t="s">
        <v>180</v>
      </c>
      <c r="C21" s="445" t="s">
        <v>157</v>
      </c>
      <c r="D21" s="445"/>
    </row>
    <row r="22" spans="1:9" ht="12.75">
      <c r="A22" s="444" t="s">
        <v>150</v>
      </c>
      <c r="B22" s="445" t="s">
        <v>181</v>
      </c>
      <c r="C22" s="445" t="s">
        <v>158</v>
      </c>
      <c r="D22" s="560">
        <f>+'aktivet sips udhez'!G17</f>
        <v>121810847</v>
      </c>
      <c r="E22" s="447">
        <v>121686107</v>
      </c>
      <c r="F22" s="447">
        <v>77838194</v>
      </c>
      <c r="G22" s="447">
        <f>1951149+67416.67+69923331+1838767+1246730.6+205800</f>
        <v>75233194.27</v>
      </c>
      <c r="H22" s="447">
        <v>82776411</v>
      </c>
      <c r="I22" s="447">
        <v>60750925</v>
      </c>
    </row>
    <row r="23" spans="1:9" ht="12.75">
      <c r="A23" s="444" t="s">
        <v>151</v>
      </c>
      <c r="B23" s="445" t="s">
        <v>182</v>
      </c>
      <c r="C23" s="445" t="s">
        <v>159</v>
      </c>
      <c r="D23" s="445"/>
      <c r="E23" s="447"/>
      <c r="F23" s="447"/>
      <c r="G23" s="447"/>
      <c r="H23" s="447"/>
      <c r="I23" s="447"/>
    </row>
    <row r="24" spans="1:4" ht="12.75">
      <c r="A24" s="444" t="s">
        <v>153</v>
      </c>
      <c r="B24" s="445" t="s">
        <v>183</v>
      </c>
      <c r="C24" s="445" t="s">
        <v>160</v>
      </c>
      <c r="D24" s="445"/>
    </row>
    <row r="25" spans="1:9" ht="12.75">
      <c r="A25" s="444" t="s">
        <v>154</v>
      </c>
      <c r="B25" s="445" t="s">
        <v>176</v>
      </c>
      <c r="C25" s="445" t="s">
        <v>184</v>
      </c>
      <c r="D25" s="561">
        <f>+E25-14765702</f>
        <v>-63020892</v>
      </c>
      <c r="E25" s="447">
        <v>-48255190</v>
      </c>
      <c r="F25" s="447">
        <v>-34628738</v>
      </c>
      <c r="G25" s="447">
        <v>-23755523</v>
      </c>
      <c r="H25" s="447">
        <v>-8773201</v>
      </c>
      <c r="I25" s="447">
        <v>-4908180</v>
      </c>
    </row>
    <row r="26" spans="1:4" ht="12.75">
      <c r="A26" s="444" t="s">
        <v>177</v>
      </c>
      <c r="B26" s="445" t="s">
        <v>178</v>
      </c>
      <c r="C26" s="445" t="s">
        <v>185</v>
      </c>
      <c r="D26" s="445"/>
    </row>
    <row r="27" spans="1:9" ht="12.75">
      <c r="A27" s="444" t="s">
        <v>155</v>
      </c>
      <c r="B27" s="445" t="s">
        <v>186</v>
      </c>
      <c r="C27" s="445" t="s">
        <v>187</v>
      </c>
      <c r="D27" s="41">
        <f aca="true" t="shared" si="1" ref="D27:I27">+D28+D29+D30+D31</f>
        <v>0</v>
      </c>
      <c r="E27" s="41">
        <f t="shared" si="1"/>
        <v>0</v>
      </c>
      <c r="F27" s="41">
        <f t="shared" si="1"/>
        <v>0</v>
      </c>
      <c r="G27" s="41">
        <f t="shared" si="1"/>
        <v>0</v>
      </c>
      <c r="H27" s="41">
        <f t="shared" si="1"/>
        <v>0</v>
      </c>
      <c r="I27" s="41">
        <f t="shared" si="1"/>
        <v>0</v>
      </c>
    </row>
    <row r="28" spans="1:4" ht="12.75">
      <c r="A28" s="444" t="s">
        <v>149</v>
      </c>
      <c r="B28" s="445" t="s">
        <v>188</v>
      </c>
      <c r="C28" s="445" t="s">
        <v>189</v>
      </c>
      <c r="D28" s="445"/>
    </row>
    <row r="29" spans="1:4" ht="12.75">
      <c r="A29" s="444" t="s">
        <v>150</v>
      </c>
      <c r="B29" s="445" t="s">
        <v>190</v>
      </c>
      <c r="C29" s="445" t="s">
        <v>191</v>
      </c>
      <c r="D29" s="445"/>
    </row>
    <row r="30" spans="1:4" ht="12.75">
      <c r="A30" s="444" t="s">
        <v>151</v>
      </c>
      <c r="B30" s="445" t="s">
        <v>192</v>
      </c>
      <c r="C30" s="445" t="s">
        <v>193</v>
      </c>
      <c r="D30" s="445"/>
    </row>
    <row r="31" spans="1:4" ht="12.75">
      <c r="A31" s="444" t="s">
        <v>153</v>
      </c>
      <c r="B31" s="445" t="s">
        <v>194</v>
      </c>
      <c r="C31" s="445" t="s">
        <v>195</v>
      </c>
      <c r="D31" s="445"/>
    </row>
    <row r="32" spans="1:9" ht="12.75">
      <c r="A32" s="444" t="s">
        <v>161</v>
      </c>
      <c r="B32" s="445" t="s">
        <v>196</v>
      </c>
      <c r="C32" s="445" t="s">
        <v>197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447">
        <v>0</v>
      </c>
    </row>
    <row r="33" spans="1:9" ht="12.75">
      <c r="A33" s="444" t="s">
        <v>198</v>
      </c>
      <c r="B33" s="445" t="s">
        <v>199</v>
      </c>
      <c r="C33" s="445" t="s">
        <v>200</v>
      </c>
      <c r="D33" s="446">
        <f aca="true" t="shared" si="2" ref="D33:I33">+D34+D40+D47+D50+D54</f>
        <v>270506209.03000003</v>
      </c>
      <c r="E33" s="446">
        <f t="shared" si="2"/>
        <v>149723870</v>
      </c>
      <c r="F33" s="446">
        <f t="shared" si="2"/>
        <v>152403465.4</v>
      </c>
      <c r="G33" s="446">
        <f t="shared" si="2"/>
        <v>136846781.32000002</v>
      </c>
      <c r="H33" s="446">
        <f t="shared" si="2"/>
        <v>194329679</v>
      </c>
      <c r="I33" s="446">
        <f t="shared" si="2"/>
        <v>3199441</v>
      </c>
    </row>
    <row r="34" spans="1:9" ht="12.75">
      <c r="A34" s="444" t="s">
        <v>144</v>
      </c>
      <c r="B34" s="445" t="s">
        <v>201</v>
      </c>
      <c r="C34" s="445" t="s">
        <v>202</v>
      </c>
      <c r="D34" s="446">
        <f aca="true" t="shared" si="3" ref="D34:I34">+D35+D36+D37+D38+D39</f>
        <v>1471719</v>
      </c>
      <c r="E34" s="446">
        <f t="shared" si="3"/>
        <v>5364543</v>
      </c>
      <c r="F34" s="446">
        <f t="shared" si="3"/>
        <v>0</v>
      </c>
      <c r="G34" s="446">
        <f t="shared" si="3"/>
        <v>0</v>
      </c>
      <c r="H34" s="446">
        <f t="shared" si="3"/>
        <v>47983</v>
      </c>
      <c r="I34" s="446">
        <f t="shared" si="3"/>
        <v>388386</v>
      </c>
    </row>
    <row r="35" spans="1:9" ht="12.75">
      <c r="A35" s="444" t="s">
        <v>149</v>
      </c>
      <c r="B35" s="445" t="s">
        <v>203</v>
      </c>
      <c r="C35" s="445" t="s">
        <v>204</v>
      </c>
      <c r="D35" s="445">
        <v>1471719</v>
      </c>
      <c r="E35" s="550">
        <v>5364543</v>
      </c>
      <c r="F35" s="41">
        <v>0</v>
      </c>
      <c r="G35" s="41">
        <v>0</v>
      </c>
      <c r="H35" s="447">
        <v>47983</v>
      </c>
      <c r="I35" s="447">
        <v>47983</v>
      </c>
    </row>
    <row r="36" spans="1:9" ht="12.75">
      <c r="A36" s="444" t="s">
        <v>150</v>
      </c>
      <c r="B36" s="445" t="s">
        <v>205</v>
      </c>
      <c r="C36" s="445" t="s">
        <v>206</v>
      </c>
      <c r="D36" s="445"/>
      <c r="I36" s="447"/>
    </row>
    <row r="37" spans="1:9" ht="12.75">
      <c r="A37" s="444" t="s">
        <v>151</v>
      </c>
      <c r="B37" s="445" t="s">
        <v>141</v>
      </c>
      <c r="C37" s="445" t="s">
        <v>207</v>
      </c>
      <c r="D37" s="445"/>
      <c r="E37" s="447"/>
      <c r="F37" s="447"/>
      <c r="G37" s="447"/>
      <c r="H37" s="447"/>
      <c r="I37" s="447"/>
    </row>
    <row r="38" spans="1:9" ht="12.75">
      <c r="A38" s="444" t="s">
        <v>153</v>
      </c>
      <c r="B38" s="445" t="s">
        <v>208</v>
      </c>
      <c r="C38" s="445" t="s">
        <v>209</v>
      </c>
      <c r="D38" s="445"/>
      <c r="I38" s="447">
        <v>340403</v>
      </c>
    </row>
    <row r="39" spans="1:4" ht="12.75">
      <c r="A39" s="444" t="s">
        <v>154</v>
      </c>
      <c r="B39" s="445" t="s">
        <v>194</v>
      </c>
      <c r="C39" s="445" t="s">
        <v>210</v>
      </c>
      <c r="D39" s="445"/>
    </row>
    <row r="40" spans="1:9" ht="12.75">
      <c r="A40" s="444" t="s">
        <v>145</v>
      </c>
      <c r="B40" s="445" t="s">
        <v>211</v>
      </c>
      <c r="C40" s="445" t="s">
        <v>212</v>
      </c>
      <c r="D40" s="446">
        <f aca="true" t="shared" si="4" ref="D40:I40">+D42+D43+D44+D45+D46</f>
        <v>267629731.98</v>
      </c>
      <c r="E40" s="446">
        <f t="shared" si="4"/>
        <v>143919167</v>
      </c>
      <c r="F40" s="446">
        <f t="shared" si="4"/>
        <v>150863453</v>
      </c>
      <c r="G40" s="446">
        <f t="shared" si="4"/>
        <v>135876462.11</v>
      </c>
      <c r="H40" s="446">
        <f t="shared" si="4"/>
        <v>193464555</v>
      </c>
      <c r="I40" s="446">
        <f t="shared" si="4"/>
        <v>622480</v>
      </c>
    </row>
    <row r="41" ht="12.75">
      <c r="B41" s="445" t="s">
        <v>213</v>
      </c>
    </row>
    <row r="42" spans="1:9" ht="12.75">
      <c r="A42" s="444" t="s">
        <v>149</v>
      </c>
      <c r="B42" s="445" t="s">
        <v>214</v>
      </c>
      <c r="C42" s="445" t="s">
        <v>215</v>
      </c>
      <c r="D42" s="445">
        <v>267545167</v>
      </c>
      <c r="E42" s="447">
        <v>143142250</v>
      </c>
      <c r="F42" s="447">
        <v>142905109</v>
      </c>
      <c r="G42" s="447">
        <v>134274288.11</v>
      </c>
      <c r="H42" s="447">
        <v>130608794</v>
      </c>
      <c r="I42" s="447">
        <v>537064</v>
      </c>
    </row>
    <row r="43" spans="1:6" ht="12.75">
      <c r="A43" s="444" t="s">
        <v>150</v>
      </c>
      <c r="B43" s="445" t="s">
        <v>216</v>
      </c>
      <c r="C43" s="445" t="s">
        <v>217</v>
      </c>
      <c r="D43" s="445">
        <v>0</v>
      </c>
      <c r="E43" s="447">
        <v>0</v>
      </c>
      <c r="F43" s="447">
        <v>6389177</v>
      </c>
    </row>
    <row r="44" spans="1:9" ht="12.75">
      <c r="A44" s="444" t="s">
        <v>151</v>
      </c>
      <c r="B44" s="445" t="s">
        <v>761</v>
      </c>
      <c r="C44" s="445" t="s">
        <v>218</v>
      </c>
      <c r="D44" s="445"/>
      <c r="E44" s="447"/>
      <c r="F44" s="447"/>
      <c r="G44" s="447"/>
      <c r="H44" s="447"/>
      <c r="I44" s="447"/>
    </row>
    <row r="45" spans="1:9" ht="12.75">
      <c r="A45" s="444" t="s">
        <v>153</v>
      </c>
      <c r="B45" s="445" t="s">
        <v>836</v>
      </c>
      <c r="C45" s="445" t="s">
        <v>219</v>
      </c>
      <c r="D45" s="445">
        <f>454378-369813.02</f>
        <v>84564.97999999998</v>
      </c>
      <c r="E45" s="447">
        <v>776917</v>
      </c>
      <c r="F45" s="447">
        <v>1569167</v>
      </c>
      <c r="G45" s="447">
        <f>1510734+56258+35182</f>
        <v>1602174</v>
      </c>
      <c r="H45" s="447">
        <v>62855761</v>
      </c>
      <c r="I45" s="447">
        <v>85416</v>
      </c>
    </row>
    <row r="46" spans="1:4" ht="12.75">
      <c r="A46" s="444" t="s">
        <v>154</v>
      </c>
      <c r="B46" s="445" t="s">
        <v>194</v>
      </c>
      <c r="C46" s="445" t="s">
        <v>220</v>
      </c>
      <c r="D46" s="445"/>
    </row>
    <row r="47" spans="1:9" ht="12.75">
      <c r="A47" s="444" t="s">
        <v>155</v>
      </c>
      <c r="B47" s="445" t="s">
        <v>221</v>
      </c>
      <c r="C47" s="445" t="s">
        <v>222</v>
      </c>
      <c r="D47" s="445"/>
      <c r="E47" s="41">
        <f>+E48+E49</f>
        <v>0</v>
      </c>
      <c r="F47" s="41">
        <f>+F48+F49</f>
        <v>0</v>
      </c>
      <c r="G47" s="41">
        <f>+G48+G49</f>
        <v>0</v>
      </c>
      <c r="H47" s="41">
        <f>+H48+H49</f>
        <v>0</v>
      </c>
      <c r="I47" s="41">
        <f>+I48+I49</f>
        <v>0</v>
      </c>
    </row>
    <row r="48" spans="1:4" ht="12.75">
      <c r="A48" s="444" t="s">
        <v>149</v>
      </c>
      <c r="B48" s="445" t="s">
        <v>223</v>
      </c>
      <c r="C48" s="445" t="s">
        <v>224</v>
      </c>
      <c r="D48" s="445"/>
    </row>
    <row r="49" spans="1:4" ht="12.75">
      <c r="A49" s="444" t="s">
        <v>150</v>
      </c>
      <c r="B49" s="445" t="s">
        <v>194</v>
      </c>
      <c r="C49" s="445" t="s">
        <v>225</v>
      </c>
      <c r="D49" s="445"/>
    </row>
    <row r="50" spans="1:9" ht="12.75">
      <c r="A50" s="444" t="s">
        <v>161</v>
      </c>
      <c r="B50" s="445" t="s">
        <v>226</v>
      </c>
      <c r="C50" s="445" t="s">
        <v>227</v>
      </c>
      <c r="D50" s="446">
        <f aca="true" t="shared" si="5" ref="D50:I50">+D51+D52+D53</f>
        <v>1404758.05</v>
      </c>
      <c r="E50" s="446">
        <f t="shared" si="5"/>
        <v>440160</v>
      </c>
      <c r="F50" s="446">
        <f t="shared" si="5"/>
        <v>1540012.4</v>
      </c>
      <c r="G50" s="446">
        <f t="shared" si="5"/>
        <v>970319.21</v>
      </c>
      <c r="H50" s="446">
        <f t="shared" si="5"/>
        <v>817141</v>
      </c>
      <c r="I50" s="446">
        <f t="shared" si="5"/>
        <v>2188575</v>
      </c>
    </row>
    <row r="51" spans="1:9" ht="12.75">
      <c r="A51" s="444" t="s">
        <v>149</v>
      </c>
      <c r="B51" s="445" t="s">
        <v>228</v>
      </c>
      <c r="C51" s="445" t="s">
        <v>229</v>
      </c>
      <c r="D51" s="445">
        <f>1281887.55-11488.4+9358.9</f>
        <v>1279758.05</v>
      </c>
      <c r="E51" s="447">
        <v>139040</v>
      </c>
      <c r="F51" s="447">
        <v>219864</v>
      </c>
      <c r="G51" s="447">
        <v>132813.93</v>
      </c>
      <c r="H51" s="447">
        <v>186610</v>
      </c>
      <c r="I51" s="447">
        <v>433052</v>
      </c>
    </row>
    <row r="52" spans="1:9" ht="12.75">
      <c r="A52" s="444" t="s">
        <v>150</v>
      </c>
      <c r="B52" s="445" t="s">
        <v>230</v>
      </c>
      <c r="C52" s="445" t="s">
        <v>231</v>
      </c>
      <c r="D52" s="445">
        <v>125000</v>
      </c>
      <c r="E52" s="447">
        <v>301120</v>
      </c>
      <c r="F52" s="447">
        <f>1309827+4581.21+5742.63-2.44</f>
        <v>1320148.4</v>
      </c>
      <c r="G52" s="447">
        <f>797509.64+39995.64</f>
        <v>837505.28</v>
      </c>
      <c r="H52" s="447">
        <v>630531</v>
      </c>
      <c r="I52" s="447">
        <v>1755523</v>
      </c>
    </row>
    <row r="53" spans="1:9" ht="12.75">
      <c r="A53" s="444" t="s">
        <v>151</v>
      </c>
      <c r="B53" s="445" t="s">
        <v>232</v>
      </c>
      <c r="C53" s="445" t="s">
        <v>233</v>
      </c>
      <c r="D53" s="445"/>
      <c r="E53" s="447"/>
      <c r="F53" s="447"/>
      <c r="G53" s="447"/>
      <c r="H53" s="447"/>
      <c r="I53" s="447"/>
    </row>
    <row r="54" spans="1:10" ht="12.75">
      <c r="A54" s="444" t="s">
        <v>162</v>
      </c>
      <c r="B54" s="445" t="s">
        <v>234</v>
      </c>
      <c r="C54" s="445" t="s">
        <v>235</v>
      </c>
      <c r="D54" s="445"/>
      <c r="E54" s="446">
        <f>+E55+E55</f>
        <v>0</v>
      </c>
      <c r="F54" s="446">
        <f>+F55+F55</f>
        <v>0</v>
      </c>
      <c r="G54" s="446">
        <f>+G55+G55</f>
        <v>0</v>
      </c>
      <c r="H54" s="446">
        <f>+H55+H55</f>
        <v>0</v>
      </c>
      <c r="I54" s="446">
        <f>+I55+I55</f>
        <v>0</v>
      </c>
      <c r="J54" s="446"/>
    </row>
    <row r="55" ht="12.75">
      <c r="B55" s="445" t="s">
        <v>236</v>
      </c>
    </row>
    <row r="56" spans="1:10" ht="12.75">
      <c r="A56" s="444" t="s">
        <v>237</v>
      </c>
      <c r="B56" s="445" t="s">
        <v>238</v>
      </c>
      <c r="C56" s="445" t="s">
        <v>239</v>
      </c>
      <c r="D56" s="446">
        <f aca="true" t="shared" si="6" ref="D56:I56">+D57</f>
        <v>10096764.35</v>
      </c>
      <c r="E56" s="446">
        <f t="shared" si="6"/>
        <v>2223154</v>
      </c>
      <c r="F56" s="446">
        <f t="shared" si="6"/>
        <v>25775804</v>
      </c>
      <c r="G56" s="446">
        <f t="shared" si="6"/>
        <v>36947756.99</v>
      </c>
      <c r="H56" s="446">
        <f t="shared" si="6"/>
        <v>14158876</v>
      </c>
      <c r="I56" s="446">
        <f t="shared" si="6"/>
        <v>19417672</v>
      </c>
      <c r="J56" s="446"/>
    </row>
    <row r="57" spans="1:9" ht="12.75">
      <c r="A57" s="444" t="s">
        <v>149</v>
      </c>
      <c r="B57" s="445" t="s">
        <v>240</v>
      </c>
      <c r="C57" s="445" t="s">
        <v>241</v>
      </c>
      <c r="D57" s="445">
        <f>8696764.35+1400000</f>
        <v>10096764.35</v>
      </c>
      <c r="E57" s="447">
        <v>2223154</v>
      </c>
      <c r="F57" s="447">
        <v>25775804</v>
      </c>
      <c r="G57" s="447">
        <v>36947756.99</v>
      </c>
      <c r="H57" s="447">
        <v>14158876</v>
      </c>
      <c r="I57" s="447">
        <v>19417672</v>
      </c>
    </row>
    <row r="58" spans="1:9" ht="12.75">
      <c r="A58" s="444" t="s">
        <v>150</v>
      </c>
      <c r="B58" s="445" t="s">
        <v>242</v>
      </c>
      <c r="C58" s="445" t="s">
        <v>243</v>
      </c>
      <c r="D58" s="445"/>
      <c r="E58" s="447"/>
      <c r="F58" s="447"/>
      <c r="G58" s="447"/>
      <c r="H58" s="447"/>
      <c r="I58" s="447"/>
    </row>
    <row r="59" spans="1:4" ht="12.75">
      <c r="A59" s="444" t="s">
        <v>151</v>
      </c>
      <c r="B59" s="445" t="s">
        <v>140</v>
      </c>
      <c r="C59" s="445" t="s">
        <v>244</v>
      </c>
      <c r="D59" s="445"/>
    </row>
    <row r="60" spans="2:9" ht="12.75">
      <c r="B60" s="445" t="s">
        <v>245</v>
      </c>
      <c r="C60" s="445" t="s">
        <v>246</v>
      </c>
      <c r="D60" s="446">
        <f aca="true" t="shared" si="7" ref="D60:I60">+D56+D33+D12</f>
        <v>339392928.38000005</v>
      </c>
      <c r="E60" s="446">
        <f t="shared" si="7"/>
        <v>225377941</v>
      </c>
      <c r="F60" s="446">
        <f t="shared" si="7"/>
        <v>221388725.4</v>
      </c>
      <c r="G60" s="446">
        <f t="shared" si="7"/>
        <v>225272209.58000004</v>
      </c>
      <c r="H60" s="446">
        <f t="shared" si="7"/>
        <v>282491765</v>
      </c>
      <c r="I60" s="446">
        <f t="shared" si="7"/>
        <v>78459858</v>
      </c>
    </row>
    <row r="61" spans="1:4" ht="12.75">
      <c r="A61" s="444" t="s">
        <v>247</v>
      </c>
      <c r="B61" s="445" t="s">
        <v>248</v>
      </c>
      <c r="C61" s="445" t="s">
        <v>249</v>
      </c>
      <c r="D61" s="445"/>
    </row>
    <row r="62" spans="1:4" ht="12.75">
      <c r="A62" s="444" t="s">
        <v>144</v>
      </c>
      <c r="B62" s="445" t="s">
        <v>250</v>
      </c>
      <c r="C62" s="445" t="s">
        <v>251</v>
      </c>
      <c r="D62" s="445"/>
    </row>
    <row r="63" spans="1:4" ht="12.75">
      <c r="A63" s="444" t="s">
        <v>145</v>
      </c>
      <c r="B63" s="445" t="s">
        <v>252</v>
      </c>
      <c r="C63" s="445" t="s">
        <v>253</v>
      </c>
      <c r="D63" s="445"/>
    </row>
    <row r="64" spans="1:4" ht="12.75">
      <c r="A64" s="444" t="s">
        <v>155</v>
      </c>
      <c r="B64" s="445" t="s">
        <v>254</v>
      </c>
      <c r="C64" s="445" t="s">
        <v>255</v>
      </c>
      <c r="D64" s="445"/>
    </row>
    <row r="66" spans="1:10" ht="12.75">
      <c r="A66" s="444" t="s">
        <v>167</v>
      </c>
      <c r="B66" s="448" t="s">
        <v>256</v>
      </c>
      <c r="C66" s="445" t="s">
        <v>257</v>
      </c>
      <c r="D66" s="447">
        <f>+D67</f>
        <v>18187154.671999943</v>
      </c>
      <c r="E66" s="447">
        <f>+E67</f>
        <v>16912808.6</v>
      </c>
      <c r="F66" s="447">
        <f>+F67</f>
        <v>12786986.4</v>
      </c>
      <c r="G66" s="447">
        <f>SUM(G69+G72+G77)</f>
        <v>9315482.67</v>
      </c>
      <c r="H66" s="446">
        <f>+H67+H79+H84+H85</f>
        <v>3162363</v>
      </c>
      <c r="I66" s="446">
        <f>+I67+I79+I84+I85</f>
        <v>1230850</v>
      </c>
      <c r="J66" s="447"/>
    </row>
    <row r="67" spans="1:9" ht="12.75">
      <c r="A67" s="444" t="s">
        <v>144</v>
      </c>
      <c r="B67" s="445" t="s">
        <v>258</v>
      </c>
      <c r="C67" s="445" t="s">
        <v>259</v>
      </c>
      <c r="D67" s="447">
        <f>+D69+D72+D76+D77</f>
        <v>18187154.671999943</v>
      </c>
      <c r="E67" s="447">
        <f>+E69+E72+E76+E77</f>
        <v>16912808.6</v>
      </c>
      <c r="F67" s="447">
        <f>+F69+F72+F76+F77</f>
        <v>12786986.4</v>
      </c>
      <c r="G67" s="447">
        <f>+G66</f>
        <v>9315482.67</v>
      </c>
      <c r="H67" s="447">
        <f>+H68+H69+H70+H71+H72+H73+H74+H75+H76+H77</f>
        <v>3162363</v>
      </c>
      <c r="I67" s="447">
        <f>+I68+I69+I70+I71+I72+I73+I74+I75+I76+I77</f>
        <v>1230850</v>
      </c>
    </row>
    <row r="68" ht="12.75">
      <c r="B68" s="445" t="s">
        <v>260</v>
      </c>
    </row>
    <row r="69" spans="1:9" ht="12.75">
      <c r="A69" s="444" t="s">
        <v>149</v>
      </c>
      <c r="B69" s="445" t="s">
        <v>261</v>
      </c>
      <c r="C69" s="445" t="s">
        <v>262</v>
      </c>
      <c r="D69" s="445">
        <v>16000000</v>
      </c>
      <c r="E69" s="447">
        <v>3100000</v>
      </c>
      <c r="F69" s="447">
        <v>3100000</v>
      </c>
      <c r="G69" s="447">
        <v>3100000</v>
      </c>
      <c r="H69" s="447">
        <v>100000</v>
      </c>
      <c r="I69" s="447">
        <v>100000</v>
      </c>
    </row>
    <row r="70" spans="1:9" ht="12.75">
      <c r="A70" s="444" t="s">
        <v>150</v>
      </c>
      <c r="B70" s="445" t="s">
        <v>263</v>
      </c>
      <c r="C70" s="445" t="s">
        <v>264</v>
      </c>
      <c r="D70" s="445"/>
      <c r="E70" s="447"/>
      <c r="F70" s="447"/>
      <c r="G70" s="447"/>
      <c r="H70" s="447"/>
      <c r="I70" s="447"/>
    </row>
    <row r="71" spans="1:4" ht="12.75">
      <c r="A71" s="444" t="s">
        <v>151</v>
      </c>
      <c r="B71" s="445" t="s">
        <v>265</v>
      </c>
      <c r="C71" s="445" t="s">
        <v>266</v>
      </c>
      <c r="D71" s="445"/>
    </row>
    <row r="72" spans="1:9" ht="12.75">
      <c r="A72" s="444" t="s">
        <v>153</v>
      </c>
      <c r="B72" s="445" t="s">
        <v>267</v>
      </c>
      <c r="C72" s="445" t="s">
        <v>268</v>
      </c>
      <c r="D72" s="447">
        <f>+D73+D74+D75</f>
        <v>912808</v>
      </c>
      <c r="E72" s="447">
        <f>+E73+E74+E75</f>
        <v>62362</v>
      </c>
      <c r="F72" s="447">
        <f>+F73+F74+F75</f>
        <v>62362</v>
      </c>
      <c r="G72" s="447">
        <v>62362</v>
      </c>
      <c r="H72" s="447"/>
      <c r="I72" s="447"/>
    </row>
    <row r="73" spans="2:9" ht="12.75">
      <c r="B73" s="445" t="s">
        <v>269</v>
      </c>
      <c r="C73" s="445" t="s">
        <v>270</v>
      </c>
      <c r="D73" s="447">
        <v>62362</v>
      </c>
      <c r="E73" s="447">
        <v>62362</v>
      </c>
      <c r="F73" s="447">
        <v>62362</v>
      </c>
      <c r="G73" s="447">
        <v>62362</v>
      </c>
      <c r="H73" s="447"/>
      <c r="I73" s="447"/>
    </row>
    <row r="74" spans="2:9" ht="12.75">
      <c r="B74" s="445" t="s">
        <v>271</v>
      </c>
      <c r="C74" s="445" t="s">
        <v>272</v>
      </c>
      <c r="D74" s="445">
        <v>850446</v>
      </c>
      <c r="E74" s="447"/>
      <c r="F74" s="447"/>
      <c r="G74" s="447"/>
      <c r="H74" s="447"/>
      <c r="I74" s="447"/>
    </row>
    <row r="75" spans="2:9" ht="12.75">
      <c r="B75" s="445" t="s">
        <v>273</v>
      </c>
      <c r="C75" s="445" t="s">
        <v>274</v>
      </c>
      <c r="D75" s="445"/>
      <c r="E75" s="447"/>
      <c r="F75" s="447"/>
      <c r="G75" s="447"/>
      <c r="H75" s="447"/>
      <c r="I75" s="447"/>
    </row>
    <row r="76" spans="1:9" ht="12.75">
      <c r="A76" s="444" t="s">
        <v>154</v>
      </c>
      <c r="B76" s="445" t="s">
        <v>275</v>
      </c>
      <c r="C76" s="445" t="s">
        <v>276</v>
      </c>
      <c r="D76" s="447">
        <v>0</v>
      </c>
      <c r="E76" s="447">
        <f>+F76+F77</f>
        <v>9624624.4</v>
      </c>
      <c r="F76" s="447">
        <v>6153121</v>
      </c>
      <c r="G76" s="447"/>
      <c r="H76" s="447">
        <v>1130850</v>
      </c>
      <c r="I76" s="447"/>
    </row>
    <row r="77" spans="1:9" ht="12.75">
      <c r="A77" s="444" t="s">
        <v>177</v>
      </c>
      <c r="B77" s="445" t="s">
        <v>277</v>
      </c>
      <c r="C77" s="445" t="s">
        <v>278</v>
      </c>
      <c r="D77" s="447">
        <f>+'Ardh shpenz alpha'!C106</f>
        <v>1274346.6719999441</v>
      </c>
      <c r="E77" s="447">
        <f>+'Ardh shpenz alpha'!D106</f>
        <v>4125822.2</v>
      </c>
      <c r="F77" s="447">
        <f>+'Ardh shpenz alpha'!E106</f>
        <v>3471503.4</v>
      </c>
      <c r="G77" s="447">
        <v>6153120.67</v>
      </c>
      <c r="H77" s="447">
        <v>1931513</v>
      </c>
      <c r="I77" s="447">
        <v>1130850</v>
      </c>
    </row>
    <row r="78" spans="1:4" ht="12.75">
      <c r="A78" s="444" t="s">
        <v>163</v>
      </c>
      <c r="B78" s="445" t="s">
        <v>279</v>
      </c>
      <c r="C78" s="445" t="s">
        <v>280</v>
      </c>
      <c r="D78" s="445"/>
    </row>
    <row r="79" spans="1:9" ht="12.75">
      <c r="A79" s="444" t="s">
        <v>145</v>
      </c>
      <c r="B79" s="445" t="s">
        <v>281</v>
      </c>
      <c r="C79" s="445" t="s">
        <v>282</v>
      </c>
      <c r="D79" s="41">
        <f aca="true" t="shared" si="8" ref="D79:I79">+D80+D81+D82+D83</f>
        <v>0</v>
      </c>
      <c r="E79" s="41">
        <f t="shared" si="8"/>
        <v>0</v>
      </c>
      <c r="F79" s="41">
        <f t="shared" si="8"/>
        <v>0</v>
      </c>
      <c r="G79" s="41">
        <f t="shared" si="8"/>
        <v>0</v>
      </c>
      <c r="H79" s="41">
        <f t="shared" si="8"/>
        <v>0</v>
      </c>
      <c r="I79" s="41">
        <f t="shared" si="8"/>
        <v>0</v>
      </c>
    </row>
    <row r="80" spans="1:4" ht="12.75">
      <c r="A80" s="444" t="s">
        <v>149</v>
      </c>
      <c r="B80" s="445" t="s">
        <v>283</v>
      </c>
      <c r="C80" s="445" t="s">
        <v>284</v>
      </c>
      <c r="D80" s="445"/>
    </row>
    <row r="81" spans="1:4" ht="12.75">
      <c r="A81" s="444" t="s">
        <v>150</v>
      </c>
      <c r="B81" s="445" t="s">
        <v>285</v>
      </c>
      <c r="C81" s="445" t="s">
        <v>286</v>
      </c>
      <c r="D81" s="445"/>
    </row>
    <row r="82" spans="1:4" ht="12.75">
      <c r="A82" s="444" t="s">
        <v>151</v>
      </c>
      <c r="B82" s="445" t="s">
        <v>287</v>
      </c>
      <c r="C82" s="445" t="s">
        <v>288</v>
      </c>
      <c r="D82" s="445"/>
    </row>
    <row r="83" spans="1:4" ht="12.75">
      <c r="A83" s="444" t="s">
        <v>153</v>
      </c>
      <c r="B83" s="445" t="s">
        <v>289</v>
      </c>
      <c r="C83" s="445" t="s">
        <v>290</v>
      </c>
      <c r="D83" s="445"/>
    </row>
    <row r="84" spans="1:4" ht="12.75">
      <c r="A84" s="444" t="s">
        <v>155</v>
      </c>
      <c r="B84" s="445" t="s">
        <v>291</v>
      </c>
      <c r="C84" s="445" t="s">
        <v>292</v>
      </c>
      <c r="D84" s="445"/>
    </row>
    <row r="85" spans="1:4" ht="12.75">
      <c r="A85" s="444" t="s">
        <v>161</v>
      </c>
      <c r="B85" s="445" t="s">
        <v>293</v>
      </c>
      <c r="C85" s="445" t="s">
        <v>294</v>
      </c>
      <c r="D85" s="445"/>
    </row>
    <row r="86" spans="1:4" ht="12.75">
      <c r="A86" s="444" t="s">
        <v>149</v>
      </c>
      <c r="B86" s="445" t="s">
        <v>295</v>
      </c>
      <c r="C86" s="445" t="s">
        <v>296</v>
      </c>
      <c r="D86" s="445"/>
    </row>
    <row r="87" spans="1:4" ht="12.75">
      <c r="A87" s="444" t="s">
        <v>150</v>
      </c>
      <c r="B87" s="445" t="s">
        <v>297</v>
      </c>
      <c r="C87" s="445" t="s">
        <v>298</v>
      </c>
      <c r="D87" s="445"/>
    </row>
    <row r="88" spans="1:9" ht="12.75">
      <c r="A88" s="444" t="s">
        <v>169</v>
      </c>
      <c r="B88" s="445" t="s">
        <v>299</v>
      </c>
      <c r="C88" s="445" t="s">
        <v>300</v>
      </c>
      <c r="D88" s="447">
        <f aca="true" t="shared" si="9" ref="D88:I88">+D89+D97+D107</f>
        <v>321205773.71</v>
      </c>
      <c r="E88" s="447">
        <f t="shared" si="9"/>
        <v>208465132.4</v>
      </c>
      <c r="F88" s="447">
        <f t="shared" si="9"/>
        <v>208601739</v>
      </c>
      <c r="G88" s="447">
        <f t="shared" si="9"/>
        <v>215956726.91000003</v>
      </c>
      <c r="H88" s="447">
        <f t="shared" si="9"/>
        <v>279329402</v>
      </c>
      <c r="I88" s="447">
        <f t="shared" si="9"/>
        <v>77229008</v>
      </c>
    </row>
    <row r="89" spans="1:9" ht="12.75">
      <c r="A89" s="444" t="s">
        <v>144</v>
      </c>
      <c r="B89" s="445" t="s">
        <v>301</v>
      </c>
      <c r="C89" s="445" t="s">
        <v>302</v>
      </c>
      <c r="D89" s="445"/>
      <c r="E89" s="447"/>
      <c r="F89" s="447"/>
      <c r="G89" s="447"/>
      <c r="H89" s="447">
        <f>+H90+H91+H92+H93+H94+H95+H96</f>
        <v>0</v>
      </c>
      <c r="I89" s="447">
        <f>+I90+I91+I92+I93+I94+I95+I96</f>
        <v>0</v>
      </c>
    </row>
    <row r="90" spans="1:9" ht="12.75">
      <c r="A90" s="444" t="s">
        <v>149</v>
      </c>
      <c r="B90" s="445" t="s">
        <v>303</v>
      </c>
      <c r="C90" s="445" t="s">
        <v>304</v>
      </c>
      <c r="D90" s="445"/>
      <c r="E90" s="449"/>
      <c r="F90" s="449"/>
      <c r="G90" s="449"/>
      <c r="H90" s="449"/>
      <c r="I90" s="449"/>
    </row>
    <row r="91" spans="1:4" ht="12.75">
      <c r="A91" s="444" t="s">
        <v>150</v>
      </c>
      <c r="B91" s="445" t="s">
        <v>305</v>
      </c>
      <c r="C91" s="445" t="s">
        <v>306</v>
      </c>
      <c r="D91" s="445"/>
    </row>
    <row r="92" spans="1:9" ht="12.75">
      <c r="A92" s="444" t="s">
        <v>151</v>
      </c>
      <c r="B92" s="445" t="s">
        <v>307</v>
      </c>
      <c r="C92" s="445" t="s">
        <v>308</v>
      </c>
      <c r="D92" s="445"/>
      <c r="E92" s="449"/>
      <c r="F92" s="449"/>
      <c r="G92" s="449"/>
      <c r="H92" s="449"/>
      <c r="I92" s="449"/>
    </row>
    <row r="93" spans="1:9" ht="12.75">
      <c r="A93" s="444" t="s">
        <v>153</v>
      </c>
      <c r="B93" s="445" t="s">
        <v>309</v>
      </c>
      <c r="C93" s="445" t="s">
        <v>310</v>
      </c>
      <c r="D93" s="445"/>
      <c r="E93" s="449"/>
      <c r="F93" s="449"/>
      <c r="G93" s="449"/>
      <c r="H93" s="449"/>
      <c r="I93" s="449"/>
    </row>
    <row r="94" spans="1:4" ht="12.75">
      <c r="A94" s="444" t="s">
        <v>154</v>
      </c>
      <c r="B94" s="445" t="s">
        <v>311</v>
      </c>
      <c r="C94" s="445" t="s">
        <v>312</v>
      </c>
      <c r="D94" s="445"/>
    </row>
    <row r="95" spans="1:4" ht="12.75">
      <c r="A95" s="444" t="s">
        <v>177</v>
      </c>
      <c r="B95" s="445" t="s">
        <v>123</v>
      </c>
      <c r="C95" s="445" t="s">
        <v>313</v>
      </c>
      <c r="D95" s="445"/>
    </row>
    <row r="96" spans="1:9" ht="12.75">
      <c r="A96" s="444" t="s">
        <v>163</v>
      </c>
      <c r="B96" s="445" t="s">
        <v>314</v>
      </c>
      <c r="C96" s="445" t="s">
        <v>315</v>
      </c>
      <c r="D96" s="445"/>
      <c r="E96" s="447"/>
      <c r="F96" s="447"/>
      <c r="G96" s="447"/>
      <c r="H96" s="447"/>
      <c r="I96" s="447"/>
    </row>
    <row r="97" spans="1:9" ht="12.75">
      <c r="A97" s="444" t="s">
        <v>145</v>
      </c>
      <c r="B97" s="445" t="s">
        <v>316</v>
      </c>
      <c r="C97" s="445" t="s">
        <v>317</v>
      </c>
      <c r="D97" s="447">
        <f aca="true" t="shared" si="10" ref="D97:I97">+D98+D99+D100+D101+D102+D103+D104+D105+D106</f>
        <v>321205773.71</v>
      </c>
      <c r="E97" s="447">
        <f t="shared" si="10"/>
        <v>208465132.4</v>
      </c>
      <c r="F97" s="447">
        <f t="shared" si="10"/>
        <v>208601739</v>
      </c>
      <c r="G97" s="447">
        <f t="shared" si="10"/>
        <v>215956726.91000003</v>
      </c>
      <c r="H97" s="447">
        <f t="shared" si="10"/>
        <v>279329402</v>
      </c>
      <c r="I97" s="447">
        <f t="shared" si="10"/>
        <v>77229008</v>
      </c>
    </row>
    <row r="98" spans="1:9" ht="12.75">
      <c r="A98" s="444" t="s">
        <v>149</v>
      </c>
      <c r="B98" s="445" t="s">
        <v>303</v>
      </c>
      <c r="C98" s="445" t="s">
        <v>318</v>
      </c>
      <c r="D98" s="445">
        <f>1104000*140</f>
        <v>154560000</v>
      </c>
      <c r="E98" s="447">
        <v>145345780</v>
      </c>
      <c r="F98" s="447">
        <v>141732161</v>
      </c>
      <c r="G98" s="447">
        <v>0</v>
      </c>
      <c r="H98" s="447">
        <v>0</v>
      </c>
      <c r="I98" s="447">
        <v>0</v>
      </c>
    </row>
    <row r="99" spans="1:4" ht="12.75">
      <c r="A99" s="444" t="s">
        <v>150</v>
      </c>
      <c r="B99" s="445" t="s">
        <v>305</v>
      </c>
      <c r="C99" s="445" t="s">
        <v>319</v>
      </c>
      <c r="D99" s="445"/>
    </row>
    <row r="100" spans="1:8" ht="12.75">
      <c r="A100" s="444" t="s">
        <v>151</v>
      </c>
      <c r="B100" s="445" t="s">
        <v>320</v>
      </c>
      <c r="C100" s="445" t="s">
        <v>321</v>
      </c>
      <c r="D100" s="445"/>
      <c r="H100" s="447">
        <v>67207917</v>
      </c>
    </row>
    <row r="101" spans="1:9" ht="12.75">
      <c r="A101" s="444" t="s">
        <v>153</v>
      </c>
      <c r="B101" s="445" t="s">
        <v>309</v>
      </c>
      <c r="C101" s="445" t="s">
        <v>322</v>
      </c>
      <c r="D101" s="445">
        <f>14596303+92579461.5-2.03+505296+53461243+40000+1377082.6-4446050+4736433.97-78718211</f>
        <v>84131557.03999999</v>
      </c>
      <c r="E101" s="447">
        <f>45960441+7283064+2440188+256.5</f>
        <v>55683949.5</v>
      </c>
      <c r="F101" s="447">
        <v>66489817</v>
      </c>
      <c r="G101" s="447">
        <f>146998547.02+68631287.89+148500</f>
        <v>215778334.91000003</v>
      </c>
      <c r="H101" s="447">
        <v>199599676</v>
      </c>
      <c r="I101" s="447">
        <v>69162893</v>
      </c>
    </row>
    <row r="102" spans="1:9" ht="12.75">
      <c r="A102" s="444" t="s">
        <v>154</v>
      </c>
      <c r="B102" s="445" t="s">
        <v>323</v>
      </c>
      <c r="C102" s="445" t="s">
        <v>324</v>
      </c>
      <c r="D102" s="445"/>
      <c r="E102" s="449">
        <v>0</v>
      </c>
      <c r="F102" s="449">
        <v>205108</v>
      </c>
      <c r="G102" s="449"/>
      <c r="H102" s="449">
        <v>0</v>
      </c>
      <c r="I102" s="449"/>
    </row>
    <row r="103" spans="1:9" ht="12.75">
      <c r="A103" s="444" t="s">
        <v>177</v>
      </c>
      <c r="B103" s="445" t="s">
        <v>325</v>
      </c>
      <c r="C103" s="445" t="s">
        <v>326</v>
      </c>
      <c r="D103" s="445">
        <f>70308+13500</f>
        <v>83808</v>
      </c>
      <c r="E103" s="449">
        <v>56916</v>
      </c>
      <c r="F103" s="449">
        <v>108810</v>
      </c>
      <c r="G103" s="449">
        <v>97092</v>
      </c>
      <c r="H103" s="449">
        <v>114237</v>
      </c>
      <c r="I103" s="449">
        <v>218604</v>
      </c>
    </row>
    <row r="104" spans="1:9" ht="12.75">
      <c r="A104" s="444" t="s">
        <v>163</v>
      </c>
      <c r="B104" s="445" t="s">
        <v>835</v>
      </c>
      <c r="C104" s="445" t="s">
        <v>327</v>
      </c>
      <c r="D104" s="445">
        <f>567525</f>
        <v>567525</v>
      </c>
      <c r="E104" s="449">
        <f>23600+51575</f>
        <v>75175</v>
      </c>
      <c r="F104" s="449">
        <f>34000+31843</f>
        <v>65843</v>
      </c>
      <c r="G104" s="449">
        <v>81300</v>
      </c>
      <c r="H104" s="449">
        <v>55319</v>
      </c>
      <c r="I104" s="449">
        <v>43445</v>
      </c>
    </row>
    <row r="105" spans="1:9" ht="12.75">
      <c r="A105" s="444" t="s">
        <v>328</v>
      </c>
      <c r="B105" s="445" t="s">
        <v>123</v>
      </c>
      <c r="C105" s="445" t="s">
        <v>329</v>
      </c>
      <c r="D105" s="449"/>
      <c r="E105" s="449">
        <v>7303311.9</v>
      </c>
      <c r="F105" s="449"/>
      <c r="G105" s="449"/>
      <c r="H105" s="449">
        <v>12352253</v>
      </c>
      <c r="I105" s="449">
        <v>7804066</v>
      </c>
    </row>
    <row r="106" spans="1:11" ht="12.75">
      <c r="A106" s="444" t="s">
        <v>330</v>
      </c>
      <c r="B106" s="445" t="s">
        <v>838</v>
      </c>
      <c r="C106" s="445" t="s">
        <v>331</v>
      </c>
      <c r="D106" s="445">
        <f>82975046.49-1148546.8-127616.02+164000</f>
        <v>81862883.67</v>
      </c>
      <c r="E106" s="449"/>
      <c r="F106" s="449"/>
      <c r="G106" s="449"/>
      <c r="H106" s="449"/>
      <c r="I106" s="449"/>
      <c r="K106" s="72"/>
    </row>
    <row r="107" spans="1:9" ht="12.75">
      <c r="A107" s="444" t="s">
        <v>155</v>
      </c>
      <c r="B107" s="445" t="s">
        <v>332</v>
      </c>
      <c r="C107" s="445" t="s">
        <v>333</v>
      </c>
      <c r="D107" s="445"/>
      <c r="E107" s="43"/>
      <c r="F107" s="43"/>
      <c r="G107" s="43"/>
      <c r="H107" s="43"/>
      <c r="I107" s="43"/>
    </row>
    <row r="108" spans="1:9" ht="12.75">
      <c r="A108" s="444" t="s">
        <v>198</v>
      </c>
      <c r="B108" s="445" t="s">
        <v>238</v>
      </c>
      <c r="C108" s="445" t="s">
        <v>334</v>
      </c>
      <c r="D108" s="445"/>
      <c r="E108" s="449"/>
      <c r="F108" s="449"/>
      <c r="G108" s="449"/>
      <c r="H108" s="449"/>
      <c r="I108" s="449"/>
    </row>
    <row r="109" spans="1:9" ht="12.75">
      <c r="A109" s="444" t="s">
        <v>149</v>
      </c>
      <c r="B109" s="445" t="s">
        <v>335</v>
      </c>
      <c r="C109" s="445" t="s">
        <v>336</v>
      </c>
      <c r="D109" s="445"/>
      <c r="E109" s="447"/>
      <c r="F109" s="447"/>
      <c r="G109" s="447"/>
      <c r="H109" s="447"/>
      <c r="I109" s="447"/>
    </row>
    <row r="110" spans="1:4" ht="12.75">
      <c r="A110" s="444" t="s">
        <v>150</v>
      </c>
      <c r="B110" s="445" t="s">
        <v>113</v>
      </c>
      <c r="C110" s="445" t="s">
        <v>337</v>
      </c>
      <c r="D110" s="445"/>
    </row>
    <row r="111" spans="2:10" ht="12.75">
      <c r="B111" s="445" t="s">
        <v>338</v>
      </c>
      <c r="C111" s="445" t="s">
        <v>339</v>
      </c>
      <c r="D111" s="446">
        <f>+D88+D66</f>
        <v>339392928.3819999</v>
      </c>
      <c r="E111" s="446">
        <f>+E88+E66</f>
        <v>225377941</v>
      </c>
      <c r="F111" s="446">
        <f>+F88+F66</f>
        <v>221388725.4</v>
      </c>
      <c r="G111" s="446">
        <f>+G66+G88</f>
        <v>225272209.58</v>
      </c>
      <c r="H111" s="446">
        <f>+H66+H88</f>
        <v>282491765</v>
      </c>
      <c r="I111" s="446">
        <f>+I66+I88</f>
        <v>78459858</v>
      </c>
      <c r="J111" s="446"/>
    </row>
    <row r="112" spans="2:4" ht="12.75">
      <c r="B112" s="445" t="s">
        <v>248</v>
      </c>
      <c r="C112" s="445" t="s">
        <v>340</v>
      </c>
      <c r="D112" s="445"/>
    </row>
    <row r="113" spans="1:4" ht="12.75">
      <c r="A113" s="444" t="s">
        <v>149</v>
      </c>
      <c r="B113" s="445" t="s">
        <v>341</v>
      </c>
      <c r="C113" s="445" t="s">
        <v>342</v>
      </c>
      <c r="D113" s="445"/>
    </row>
    <row r="114" spans="1:4" ht="12.75">
      <c r="A114" s="444" t="s">
        <v>150</v>
      </c>
      <c r="B114" s="445" t="s">
        <v>343</v>
      </c>
      <c r="C114" s="445" t="s">
        <v>344</v>
      </c>
      <c r="D114" s="445"/>
    </row>
    <row r="115" spans="1:4" ht="12.75">
      <c r="A115" s="444" t="s">
        <v>151</v>
      </c>
      <c r="B115" s="445" t="s">
        <v>345</v>
      </c>
      <c r="C115" s="445" t="s">
        <v>346</v>
      </c>
      <c r="D115" s="445"/>
    </row>
    <row r="116" spans="3:4" ht="12.75">
      <c r="C116" s="445" t="s">
        <v>347</v>
      </c>
      <c r="D116" s="445"/>
    </row>
    <row r="118" spans="1:9" ht="12.75">
      <c r="A118" s="450"/>
      <c r="D118" s="48">
        <f aca="true" t="shared" si="11" ref="D118:I118">+D60-D111</f>
        <v>-0.0019998550415039062</v>
      </c>
      <c r="E118" s="48">
        <f t="shared" si="11"/>
        <v>0</v>
      </c>
      <c r="F118" s="48">
        <f t="shared" si="11"/>
        <v>0</v>
      </c>
      <c r="G118" s="48">
        <f t="shared" si="11"/>
        <v>0</v>
      </c>
      <c r="H118" s="48">
        <f t="shared" si="11"/>
        <v>0</v>
      </c>
      <c r="I118" s="48">
        <f t="shared" si="11"/>
        <v>0</v>
      </c>
    </row>
    <row r="120" spans="5:9" ht="12.75">
      <c r="E120" s="72">
        <f>+E60-E111</f>
        <v>0</v>
      </c>
      <c r="F120" s="72"/>
      <c r="G120" s="72"/>
      <c r="H120" s="72"/>
      <c r="I120" s="72"/>
    </row>
    <row r="124" spans="5:9" ht="12.75">
      <c r="E124" s="72"/>
      <c r="F124" s="72"/>
      <c r="G124" s="72"/>
      <c r="H124" s="72"/>
      <c r="I124" s="72"/>
    </row>
  </sheetData>
  <sheetProtection/>
  <printOptions/>
  <pageMargins left="0.23" right="0.25" top="0.4" bottom="0.5" header="0" footer="0"/>
  <pageSetup blackAndWhite="1" errors="NA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Q8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57421875" style="76" customWidth="1"/>
    <col min="2" max="2" width="52.8515625" style="73" customWidth="1"/>
    <col min="3" max="3" width="11.28125" style="74" customWidth="1"/>
    <col min="4" max="5" width="24.00390625" style="454" customWidth="1"/>
    <col min="6" max="9" width="24.00390625" style="454" hidden="1" customWidth="1"/>
    <col min="10" max="10" width="8.421875" style="75" hidden="1" customWidth="1"/>
    <col min="11" max="11" width="17.421875" style="75" hidden="1" customWidth="1"/>
    <col min="12" max="12" width="13.00390625" style="75" hidden="1" customWidth="1"/>
    <col min="13" max="13" width="17.421875" style="75" hidden="1" customWidth="1"/>
    <col min="14" max="14" width="9.140625" style="76" hidden="1" customWidth="1"/>
    <col min="15" max="15" width="9.140625" style="76" customWidth="1"/>
    <col min="16" max="16" width="16.140625" style="76" customWidth="1"/>
    <col min="17" max="16384" width="9.140625" style="76" customWidth="1"/>
  </cols>
  <sheetData>
    <row r="1" ht="15.75">
      <c r="A1" s="29" t="s">
        <v>781</v>
      </c>
    </row>
    <row r="2" ht="15.75">
      <c r="A2" s="77" t="s">
        <v>865</v>
      </c>
    </row>
    <row r="3" ht="15.75">
      <c r="A3" s="77" t="s">
        <v>97</v>
      </c>
    </row>
    <row r="5" spans="1:13" ht="33" customHeight="1" thickBot="1">
      <c r="A5" s="78" t="s">
        <v>0</v>
      </c>
      <c r="C5" s="74" t="s">
        <v>446</v>
      </c>
      <c r="D5" s="455" t="s">
        <v>814</v>
      </c>
      <c r="E5" s="455" t="s">
        <v>798</v>
      </c>
      <c r="F5" s="455" t="s">
        <v>782</v>
      </c>
      <c r="G5" s="455" t="s">
        <v>558</v>
      </c>
      <c r="H5" s="455" t="s">
        <v>546</v>
      </c>
      <c r="I5" s="455" t="s">
        <v>546</v>
      </c>
      <c r="K5" s="79" t="s">
        <v>447</v>
      </c>
      <c r="M5" s="79" t="s">
        <v>531</v>
      </c>
    </row>
    <row r="6" ht="16.5" thickTop="1">
      <c r="A6" s="78" t="s">
        <v>42</v>
      </c>
    </row>
    <row r="7" spans="4:13" ht="15.75">
      <c r="D7" s="456"/>
      <c r="E7" s="456"/>
      <c r="F7" s="456"/>
      <c r="G7" s="456"/>
      <c r="H7" s="456"/>
      <c r="I7" s="456"/>
      <c r="K7" s="80"/>
      <c r="M7" s="80"/>
    </row>
    <row r="8" spans="2:13" ht="15.75">
      <c r="B8" s="73" t="s">
        <v>1</v>
      </c>
      <c r="C8" s="74" t="s">
        <v>438</v>
      </c>
      <c r="D8" s="457">
        <f>+'Bilanci Alpha'!D50</f>
        <v>1404758.05</v>
      </c>
      <c r="E8" s="457">
        <f>+'Bilanci Alpha'!E50</f>
        <v>440160</v>
      </c>
      <c r="F8" s="457">
        <f>+'Bilanci Alpha'!F50</f>
        <v>1540012.4</v>
      </c>
      <c r="G8" s="457">
        <f>+'Bilanci Alpha'!G50</f>
        <v>970319.21</v>
      </c>
      <c r="H8" s="457">
        <f>+'Bilanci Alpha'!H50</f>
        <v>817141</v>
      </c>
      <c r="I8" s="457">
        <f>+'Bilanci Alpha'!I50</f>
        <v>2188575</v>
      </c>
      <c r="J8" s="81"/>
      <c r="K8" s="81">
        <f>+'Bilanci Alpha'!J48</f>
        <v>0</v>
      </c>
      <c r="L8" s="82"/>
      <c r="M8" s="81" t="e">
        <f>+'Bilanci Alpha'!#REF!</f>
        <v>#REF!</v>
      </c>
    </row>
    <row r="9" spans="2:13" ht="15.75">
      <c r="B9" s="73" t="s">
        <v>41</v>
      </c>
      <c r="D9" s="456"/>
      <c r="E9" s="456"/>
      <c r="F9" s="456"/>
      <c r="G9" s="456"/>
      <c r="H9" s="456"/>
      <c r="I9" s="456"/>
      <c r="K9" s="80"/>
      <c r="L9" s="82"/>
      <c r="M9" s="80"/>
    </row>
    <row r="10" spans="2:13" ht="15.75">
      <c r="B10" s="78"/>
      <c r="D10" s="458">
        <f aca="true" t="shared" si="0" ref="D10:I10">SUM(D8:D9)</f>
        <v>1404758.05</v>
      </c>
      <c r="E10" s="458">
        <f t="shared" si="0"/>
        <v>440160</v>
      </c>
      <c r="F10" s="458">
        <f t="shared" si="0"/>
        <v>1540012.4</v>
      </c>
      <c r="G10" s="458">
        <f t="shared" si="0"/>
        <v>970319.21</v>
      </c>
      <c r="H10" s="458">
        <f t="shared" si="0"/>
        <v>817141</v>
      </c>
      <c r="I10" s="458">
        <f t="shared" si="0"/>
        <v>2188575</v>
      </c>
      <c r="K10" s="83">
        <f>SUM(K8:K9)</f>
        <v>0</v>
      </c>
      <c r="L10" s="82"/>
      <c r="M10" s="83" t="e">
        <f>SUM(M8:M9)</f>
        <v>#REF!</v>
      </c>
    </row>
    <row r="11" spans="1:13" ht="15.75">
      <c r="A11" s="73" t="s">
        <v>43</v>
      </c>
      <c r="D11" s="456"/>
      <c r="E11" s="456"/>
      <c r="F11" s="456"/>
      <c r="G11" s="456"/>
      <c r="H11" s="456"/>
      <c r="I11" s="456"/>
      <c r="K11" s="80"/>
      <c r="L11" s="82"/>
      <c r="M11" s="80"/>
    </row>
    <row r="12" spans="2:13" ht="15.75">
      <c r="B12" s="73" t="s">
        <v>52</v>
      </c>
      <c r="C12" s="74" t="s">
        <v>437</v>
      </c>
      <c r="D12" s="459">
        <f>+'Bilanci Alpha'!D42</f>
        <v>267545167</v>
      </c>
      <c r="E12" s="459">
        <f>+'Bilanci Alpha'!E42</f>
        <v>143142250</v>
      </c>
      <c r="F12" s="459">
        <f>+'Bilanci Alpha'!F42</f>
        <v>142905109</v>
      </c>
      <c r="G12" s="459">
        <f>+'Bilanci Alpha'!G42</f>
        <v>134274288.11</v>
      </c>
      <c r="H12" s="459">
        <f>+'Bilanci Alpha'!H42</f>
        <v>130608794</v>
      </c>
      <c r="I12" s="459">
        <f>+'Bilanci Alpha'!I42</f>
        <v>537064</v>
      </c>
      <c r="K12" s="84">
        <f>+'Bilanci Alpha'!J40</f>
        <v>0</v>
      </c>
      <c r="L12" s="82"/>
      <c r="M12" s="84" t="e">
        <f>+'Bilanci Alpha'!#REF!</f>
        <v>#REF!</v>
      </c>
    </row>
    <row r="13" spans="2:13" ht="15.75">
      <c r="B13" s="73" t="s">
        <v>44</v>
      </c>
      <c r="C13" s="74" t="s">
        <v>437</v>
      </c>
      <c r="D13" s="459">
        <f>+'Bilanci Alpha'!D43+'Bilanci Alpha'!D45</f>
        <v>84564.97999999998</v>
      </c>
      <c r="E13" s="459">
        <f>+'Bilanci Alpha'!E43+'Bilanci Alpha'!E45</f>
        <v>776917</v>
      </c>
      <c r="F13" s="459">
        <f>+'Bilanci Alpha'!F43+'Bilanci Alpha'!F45</f>
        <v>7958344</v>
      </c>
      <c r="G13" s="459">
        <f>+'Bilanci Alpha'!G43+'Bilanci Alpha'!G45</f>
        <v>1602174</v>
      </c>
      <c r="H13" s="459">
        <f>+'Bilanci Alpha'!H43</f>
        <v>0</v>
      </c>
      <c r="I13" s="459">
        <f>+'Bilanci Alpha'!I43</f>
        <v>0</v>
      </c>
      <c r="K13" s="84">
        <f>+'Bilanci Alpha'!J43+'Bilanci Alpha'!J42</f>
        <v>0</v>
      </c>
      <c r="L13" s="82"/>
      <c r="M13" s="84" t="e">
        <f>+'Bilanci Alpha'!#REF!+'Bilanci Alpha'!#REF!+'Bilanci Alpha'!#REF!</f>
        <v>#REF!</v>
      </c>
    </row>
    <row r="14" spans="2:13" ht="15.75">
      <c r="B14" s="73" t="s">
        <v>3</v>
      </c>
      <c r="D14" s="454">
        <v>0</v>
      </c>
      <c r="E14" s="454">
        <v>0</v>
      </c>
      <c r="F14" s="454">
        <v>0</v>
      </c>
      <c r="G14" s="454">
        <v>0</v>
      </c>
      <c r="H14" s="459">
        <f>+'Bilanci Alpha'!H44</f>
        <v>0</v>
      </c>
      <c r="I14" s="459">
        <f>+'Bilanci Alpha'!I44</f>
        <v>0</v>
      </c>
      <c r="J14" s="85"/>
      <c r="K14" s="85">
        <v>0</v>
      </c>
      <c r="L14" s="82"/>
      <c r="M14" s="85">
        <v>0</v>
      </c>
    </row>
    <row r="15" spans="2:13" ht="15.75">
      <c r="B15" s="73" t="s">
        <v>4</v>
      </c>
      <c r="D15" s="454">
        <v>0</v>
      </c>
      <c r="E15" s="454">
        <v>0</v>
      </c>
      <c r="F15" s="454">
        <v>0</v>
      </c>
      <c r="G15" s="454">
        <v>0</v>
      </c>
      <c r="H15" s="459">
        <f>+'Bilanci Alpha'!H45</f>
        <v>62855761</v>
      </c>
      <c r="I15" s="459">
        <f>+'Bilanci Alpha'!I45</f>
        <v>85416</v>
      </c>
      <c r="J15" s="85"/>
      <c r="K15" s="85">
        <v>0</v>
      </c>
      <c r="L15" s="82"/>
      <c r="M15" s="85">
        <v>0</v>
      </c>
    </row>
    <row r="16" spans="4:13" ht="15.75">
      <c r="D16" s="458">
        <f aca="true" t="shared" si="1" ref="D16:I16">SUM(D12:D15)</f>
        <v>267629731.98</v>
      </c>
      <c r="E16" s="458">
        <f t="shared" si="1"/>
        <v>143919167</v>
      </c>
      <c r="F16" s="458">
        <f t="shared" si="1"/>
        <v>150863453</v>
      </c>
      <c r="G16" s="458">
        <f t="shared" si="1"/>
        <v>135876462.11</v>
      </c>
      <c r="H16" s="458">
        <f t="shared" si="1"/>
        <v>193464555</v>
      </c>
      <c r="I16" s="458">
        <f t="shared" si="1"/>
        <v>622480</v>
      </c>
      <c r="K16" s="83">
        <f>SUM(K12:K15)</f>
        <v>0</v>
      </c>
      <c r="L16" s="82"/>
      <c r="M16" s="83" t="e">
        <f>SUM(M12:M15)</f>
        <v>#REF!</v>
      </c>
    </row>
    <row r="17" spans="1:13" ht="15.75">
      <c r="A17" s="73" t="s">
        <v>5</v>
      </c>
      <c r="D17" s="456"/>
      <c r="E17" s="456"/>
      <c r="F17" s="456"/>
      <c r="G17" s="456"/>
      <c r="H17" s="456"/>
      <c r="I17" s="456"/>
      <c r="K17" s="80"/>
      <c r="L17" s="82"/>
      <c r="M17" s="80"/>
    </row>
    <row r="18" spans="2:13" ht="15.75">
      <c r="B18" s="73" t="s">
        <v>810</v>
      </c>
      <c r="D18" s="454">
        <f>+'Bilanci Alpha'!D35</f>
        <v>1471719</v>
      </c>
      <c r="E18" s="454">
        <f>+'Bilanci Alpha'!E35</f>
        <v>5364543</v>
      </c>
      <c r="F18" s="454">
        <f>+'Bilanci Alpha'!F35</f>
        <v>0</v>
      </c>
      <c r="G18" s="454">
        <f>+'Bilanci Alpha'!G35</f>
        <v>0</v>
      </c>
      <c r="H18" s="454">
        <f>+'Bilanci Alpha'!H35</f>
        <v>47983</v>
      </c>
      <c r="I18" s="454">
        <f>+'Bilanci Alpha'!I35</f>
        <v>47983</v>
      </c>
      <c r="J18" s="85"/>
      <c r="K18" s="85">
        <f>+'Bilanci Alpha'!J33</f>
        <v>0</v>
      </c>
      <c r="L18" s="82"/>
      <c r="M18" s="85" t="e">
        <f>+'Bilanci Alpha'!#REF!</f>
        <v>#REF!</v>
      </c>
    </row>
    <row r="19" spans="2:13" ht="15.75">
      <c r="B19" s="73" t="s">
        <v>6</v>
      </c>
      <c r="F19" s="454">
        <f>+'Bilanci Alpha'!F34</f>
        <v>0</v>
      </c>
      <c r="G19" s="454">
        <f>+'Bilanci Alpha'!G34</f>
        <v>0</v>
      </c>
      <c r="H19" s="454">
        <f>+'Bilanci Alpha'!H36</f>
        <v>0</v>
      </c>
      <c r="I19" s="454">
        <f>+'Bilanci Alpha'!I36</f>
        <v>0</v>
      </c>
      <c r="J19" s="85"/>
      <c r="K19" s="85">
        <f>+'Bilanci Alpha'!J34</f>
        <v>0</v>
      </c>
      <c r="L19" s="82"/>
      <c r="M19" s="85" t="e">
        <f>+'Bilanci Alpha'!#REF!</f>
        <v>#REF!</v>
      </c>
    </row>
    <row r="20" spans="2:13" ht="15.75">
      <c r="B20" s="73" t="s">
        <v>128</v>
      </c>
      <c r="C20" s="74" t="s">
        <v>436</v>
      </c>
      <c r="D20" s="456"/>
      <c r="E20" s="456"/>
      <c r="F20" s="456">
        <f>+'Bilanci Alpha'!F35</f>
        <v>0</v>
      </c>
      <c r="G20" s="456">
        <f>+'Bilanci Alpha'!G35</f>
        <v>0</v>
      </c>
      <c r="H20" s="454">
        <f>+'Bilanci Alpha'!H37</f>
        <v>0</v>
      </c>
      <c r="I20" s="454">
        <f>+'Bilanci Alpha'!I37</f>
        <v>0</v>
      </c>
      <c r="K20" s="80">
        <f>+'Bilanci Alpha'!J35</f>
        <v>0</v>
      </c>
      <c r="L20" s="82"/>
      <c r="M20" s="80" t="e">
        <f>+'Bilanci Alpha'!#REF!</f>
        <v>#REF!</v>
      </c>
    </row>
    <row r="21" spans="2:13" ht="15.75">
      <c r="B21" s="73" t="s">
        <v>45</v>
      </c>
      <c r="D21" s="454">
        <f>+'Bilanci Alpha'!D36</f>
        <v>0</v>
      </c>
      <c r="E21" s="454">
        <f>+'Bilanci Alpha'!E36</f>
        <v>0</v>
      </c>
      <c r="F21" s="454">
        <f>+'Bilanci Alpha'!F36</f>
        <v>0</v>
      </c>
      <c r="G21" s="454">
        <f>+'Bilanci Alpha'!G36</f>
        <v>0</v>
      </c>
      <c r="H21" s="454">
        <f>+'Bilanci Alpha'!H38</f>
        <v>0</v>
      </c>
      <c r="I21" s="454">
        <f>+'Bilanci Alpha'!I38</f>
        <v>340403</v>
      </c>
      <c r="J21" s="85"/>
      <c r="K21" s="85">
        <f>+'Bilanci Alpha'!J36</f>
        <v>0</v>
      </c>
      <c r="L21" s="82"/>
      <c r="M21" s="85" t="e">
        <f>+'Bilanci Alpha'!#REF!</f>
        <v>#REF!</v>
      </c>
    </row>
    <row r="22" spans="2:13" ht="15.75">
      <c r="B22" s="73" t="s">
        <v>46</v>
      </c>
      <c r="C22" s="74" t="s">
        <v>439</v>
      </c>
      <c r="D22" s="456"/>
      <c r="E22" s="456"/>
      <c r="F22" s="456"/>
      <c r="G22" s="456"/>
      <c r="H22" s="454">
        <f>+'Bilanci Alpha'!H39</f>
        <v>0</v>
      </c>
      <c r="I22" s="454">
        <f>+'Bilanci Alpha'!I39</f>
        <v>0</v>
      </c>
      <c r="K22" s="80">
        <v>0</v>
      </c>
      <c r="L22" s="82"/>
      <c r="M22" s="80">
        <v>0</v>
      </c>
    </row>
    <row r="23" spans="4:13" ht="21" customHeight="1">
      <c r="D23" s="458">
        <f aca="true" t="shared" si="2" ref="D23:I23">SUM(D18:D22)</f>
        <v>1471719</v>
      </c>
      <c r="E23" s="458">
        <f t="shared" si="2"/>
        <v>5364543</v>
      </c>
      <c r="F23" s="458">
        <f t="shared" si="2"/>
        <v>0</v>
      </c>
      <c r="G23" s="458">
        <f t="shared" si="2"/>
        <v>0</v>
      </c>
      <c r="H23" s="458">
        <f t="shared" si="2"/>
        <v>47983</v>
      </c>
      <c r="I23" s="458">
        <f t="shared" si="2"/>
        <v>388386</v>
      </c>
      <c r="K23" s="83">
        <f>SUM(K17:K22)</f>
        <v>0</v>
      </c>
      <c r="L23" s="82"/>
      <c r="M23" s="83" t="e">
        <f>SUM(M17:M22)</f>
        <v>#REF!</v>
      </c>
    </row>
    <row r="24" spans="2:13" ht="15.75">
      <c r="B24" s="73" t="s">
        <v>47</v>
      </c>
      <c r="D24" s="456"/>
      <c r="E24" s="456"/>
      <c r="F24" s="456"/>
      <c r="G24" s="456"/>
      <c r="H24" s="456"/>
      <c r="I24" s="456"/>
      <c r="K24" s="80"/>
      <c r="L24" s="82"/>
      <c r="M24" s="80"/>
    </row>
    <row r="25" spans="2:13" ht="15.75">
      <c r="B25" s="73" t="s">
        <v>48</v>
      </c>
      <c r="D25" s="456"/>
      <c r="E25" s="456"/>
      <c r="F25" s="456"/>
      <c r="G25" s="456"/>
      <c r="H25" s="456"/>
      <c r="I25" s="456"/>
      <c r="K25" s="80"/>
      <c r="L25" s="82"/>
      <c r="M25" s="80"/>
    </row>
    <row r="26" spans="2:13" ht="15.75">
      <c r="B26" s="73" t="s">
        <v>49</v>
      </c>
      <c r="C26" s="74" t="s">
        <v>440</v>
      </c>
      <c r="D26" s="456">
        <f>+'Bilanci Alpha'!D57</f>
        <v>10096764.35</v>
      </c>
      <c r="E26" s="456">
        <f>+'Bilanci Alpha'!E57</f>
        <v>2223154</v>
      </c>
      <c r="F26" s="456">
        <f>+'Bilanci Alpha'!F57</f>
        <v>25775804</v>
      </c>
      <c r="G26" s="456">
        <f>+'Bilanci Alpha'!G57</f>
        <v>36947756.99</v>
      </c>
      <c r="H26" s="456">
        <f>+'Bilanci Alpha'!H57</f>
        <v>14158876</v>
      </c>
      <c r="I26" s="456">
        <f>+'Bilanci Alpha'!I57</f>
        <v>19417672</v>
      </c>
      <c r="J26" s="80"/>
      <c r="K26" s="80">
        <f>+'Bilanci Alpha'!J52</f>
        <v>0</v>
      </c>
      <c r="L26" s="82"/>
      <c r="M26" s="80" t="e">
        <f>+'Bilanci Alpha'!#REF!</f>
        <v>#REF!</v>
      </c>
    </row>
    <row r="27" spans="2:13" ht="15.75">
      <c r="B27" s="73" t="s">
        <v>124</v>
      </c>
      <c r="E27" s="454">
        <f>+'Bilanci Alpha'!C55</f>
        <v>0</v>
      </c>
      <c r="F27" s="454">
        <f>+'Bilanci Alpha'!F55</f>
        <v>0</v>
      </c>
      <c r="G27" s="454">
        <f>+'Bilanci Alpha'!G55</f>
        <v>0</v>
      </c>
      <c r="H27" s="454">
        <f>+'Bilanci Alpha'!H55</f>
        <v>0</v>
      </c>
      <c r="I27" s="454">
        <f>+'Bilanci Alpha'!I55</f>
        <v>0</v>
      </c>
      <c r="K27" s="85">
        <f>+'Bilanci Alpha'!J56</f>
        <v>0</v>
      </c>
      <c r="L27" s="82"/>
      <c r="M27" s="85" t="e">
        <f>+'Bilanci Alpha'!#REF!</f>
        <v>#REF!</v>
      </c>
    </row>
    <row r="28" spans="4:13" ht="15.75">
      <c r="D28" s="456"/>
      <c r="E28" s="456"/>
      <c r="F28" s="456"/>
      <c r="G28" s="456"/>
      <c r="H28" s="456"/>
      <c r="I28" s="456"/>
      <c r="K28" s="80"/>
      <c r="L28" s="82"/>
      <c r="M28" s="80"/>
    </row>
    <row r="29" spans="2:13" ht="16.5" thickBot="1">
      <c r="B29" s="86" t="s">
        <v>50</v>
      </c>
      <c r="D29" s="460">
        <f aca="true" t="shared" si="3" ref="D29:I29">+D23+D16+D10+D26+D27</f>
        <v>280602973.38000005</v>
      </c>
      <c r="E29" s="460">
        <f t="shared" si="3"/>
        <v>151947024</v>
      </c>
      <c r="F29" s="460">
        <f t="shared" si="3"/>
        <v>178179269.4</v>
      </c>
      <c r="G29" s="460">
        <f t="shared" si="3"/>
        <v>173794538.31000003</v>
      </c>
      <c r="H29" s="460">
        <f t="shared" si="3"/>
        <v>208488555</v>
      </c>
      <c r="I29" s="460">
        <f t="shared" si="3"/>
        <v>22617113</v>
      </c>
      <c r="K29" s="87">
        <f>+K23+K16+K10+K26+K27</f>
        <v>0</v>
      </c>
      <c r="L29" s="82"/>
      <c r="M29" s="87" t="e">
        <f>+M23+M16+M10+M26+M27</f>
        <v>#REF!</v>
      </c>
    </row>
    <row r="30" spans="4:13" ht="12" customHeight="1" thickTop="1">
      <c r="D30" s="456"/>
      <c r="E30" s="456"/>
      <c r="F30" s="456"/>
      <c r="G30" s="456"/>
      <c r="H30" s="456"/>
      <c r="I30" s="456"/>
      <c r="K30" s="80"/>
      <c r="L30" s="82"/>
      <c r="M30" s="80"/>
    </row>
    <row r="31" spans="1:13" ht="15.75">
      <c r="A31" s="78" t="s">
        <v>7</v>
      </c>
      <c r="D31" s="456"/>
      <c r="E31" s="456"/>
      <c r="F31" s="456"/>
      <c r="G31" s="456"/>
      <c r="H31" s="456"/>
      <c r="I31" s="456"/>
      <c r="K31" s="80"/>
      <c r="L31" s="82"/>
      <c r="M31" s="80"/>
    </row>
    <row r="32" spans="2:13" ht="15.75">
      <c r="B32" s="73" t="s">
        <v>51</v>
      </c>
      <c r="D32" s="456"/>
      <c r="E32" s="456"/>
      <c r="F32" s="456"/>
      <c r="G32" s="456"/>
      <c r="H32" s="456"/>
      <c r="I32" s="456"/>
      <c r="K32" s="80"/>
      <c r="L32" s="82"/>
      <c r="M32" s="80"/>
    </row>
    <row r="33" spans="2:13" ht="15.75">
      <c r="B33" s="73" t="s">
        <v>53</v>
      </c>
      <c r="C33" s="74">
        <v>4</v>
      </c>
      <c r="D33" s="457">
        <f>+'Bilanci Alpha'!D20</f>
        <v>58789955</v>
      </c>
      <c r="E33" s="457">
        <f>+'Bilanci Alpha'!E20</f>
        <v>73430917</v>
      </c>
      <c r="F33" s="457">
        <f>+'Bilanci Alpha'!F20</f>
        <v>43209456</v>
      </c>
      <c r="G33" s="457">
        <f>+'Bilanci Alpha'!G20</f>
        <v>51477671.269999996</v>
      </c>
      <c r="H33" s="457">
        <f>+'Bilanci Alpha'!H20</f>
        <v>74003210</v>
      </c>
      <c r="I33" s="457">
        <f>+'Bilanci Alpha'!I20</f>
        <v>55842745</v>
      </c>
      <c r="K33" s="81">
        <f>+'Bilanci Alpha'!J18</f>
        <v>0</v>
      </c>
      <c r="L33" s="82"/>
      <c r="M33" s="81" t="e">
        <f>+'Bilanci Alpha'!#REF!</f>
        <v>#REF!</v>
      </c>
    </row>
    <row r="34" spans="2:13" ht="15.75">
      <c r="B34" s="73" t="s">
        <v>54</v>
      </c>
      <c r="D34" s="456"/>
      <c r="E34" s="456"/>
      <c r="F34" s="456"/>
      <c r="G34" s="456"/>
      <c r="H34" s="456"/>
      <c r="I34" s="456"/>
      <c r="K34" s="80"/>
      <c r="L34" s="82"/>
      <c r="M34" s="80"/>
    </row>
    <row r="35" spans="2:13" ht="15.75">
      <c r="B35" s="73" t="s">
        <v>55</v>
      </c>
      <c r="D35" s="456"/>
      <c r="E35" s="456"/>
      <c r="F35" s="456"/>
      <c r="G35" s="456"/>
      <c r="H35" s="456"/>
      <c r="I35" s="456"/>
      <c r="K35" s="80"/>
      <c r="L35" s="82"/>
      <c r="M35" s="80"/>
    </row>
    <row r="36" spans="2:13" ht="16.5" thickBot="1">
      <c r="B36" s="86" t="s">
        <v>56</v>
      </c>
      <c r="D36" s="460">
        <f aca="true" t="shared" si="4" ref="D36:I36">SUM(D33:D35)</f>
        <v>58789955</v>
      </c>
      <c r="E36" s="460">
        <f t="shared" si="4"/>
        <v>73430917</v>
      </c>
      <c r="F36" s="460">
        <f t="shared" si="4"/>
        <v>43209456</v>
      </c>
      <c r="G36" s="460">
        <f t="shared" si="4"/>
        <v>51477671.269999996</v>
      </c>
      <c r="H36" s="460">
        <f t="shared" si="4"/>
        <v>74003210</v>
      </c>
      <c r="I36" s="460">
        <f t="shared" si="4"/>
        <v>55842745</v>
      </c>
      <c r="K36" s="87">
        <f>SUM(K33:K35)</f>
        <v>0</v>
      </c>
      <c r="L36" s="82"/>
      <c r="M36" s="87" t="e">
        <f>SUM(M33:M35)</f>
        <v>#REF!</v>
      </c>
    </row>
    <row r="37" spans="4:13" ht="16.5" thickTop="1">
      <c r="D37" s="456"/>
      <c r="E37" s="456"/>
      <c r="F37" s="456"/>
      <c r="G37" s="456"/>
      <c r="H37" s="456"/>
      <c r="I37" s="456"/>
      <c r="K37" s="80"/>
      <c r="L37" s="82"/>
      <c r="M37" s="80"/>
    </row>
    <row r="38" spans="2:13" ht="15.75">
      <c r="B38" s="78" t="s">
        <v>57</v>
      </c>
      <c r="D38" s="461">
        <f aca="true" t="shared" si="5" ref="D38:I38">+D29+D36</f>
        <v>339392928.38000005</v>
      </c>
      <c r="E38" s="461">
        <f t="shared" si="5"/>
        <v>225377941</v>
      </c>
      <c r="F38" s="461">
        <f t="shared" si="5"/>
        <v>221388725.4</v>
      </c>
      <c r="G38" s="461">
        <f t="shared" si="5"/>
        <v>225272209.58000004</v>
      </c>
      <c r="H38" s="461">
        <f t="shared" si="5"/>
        <v>282491765</v>
      </c>
      <c r="I38" s="461">
        <f t="shared" si="5"/>
        <v>78459858</v>
      </c>
      <c r="J38" s="82"/>
      <c r="K38" s="88">
        <f>+K29+K36</f>
        <v>0</v>
      </c>
      <c r="L38" s="82"/>
      <c r="M38" s="88" t="e">
        <f>+M29+M36</f>
        <v>#REF!</v>
      </c>
    </row>
    <row r="39" spans="4:13" ht="15.75">
      <c r="D39" s="456"/>
      <c r="E39" s="456"/>
      <c r="F39" s="456"/>
      <c r="G39" s="456"/>
      <c r="H39" s="456"/>
      <c r="I39" s="456"/>
      <c r="J39" s="82"/>
      <c r="K39" s="80"/>
      <c r="L39" s="82"/>
      <c r="M39" s="80"/>
    </row>
    <row r="40" spans="1:13" ht="15.75">
      <c r="A40" s="29" t="s">
        <v>77</v>
      </c>
      <c r="D40" s="456"/>
      <c r="E40" s="456"/>
      <c r="F40" s="456"/>
      <c r="G40" s="456"/>
      <c r="H40" s="456"/>
      <c r="I40" s="456"/>
      <c r="K40" s="80"/>
      <c r="L40" s="82"/>
      <c r="M40" s="80"/>
    </row>
    <row r="41" spans="4:13" ht="9.75" customHeight="1">
      <c r="D41" s="456"/>
      <c r="E41" s="456"/>
      <c r="F41" s="456"/>
      <c r="G41" s="456"/>
      <c r="H41" s="456"/>
      <c r="I41" s="456"/>
      <c r="K41" s="80"/>
      <c r="L41" s="82"/>
      <c r="M41" s="80"/>
    </row>
    <row r="42" spans="1:13" ht="15.75">
      <c r="A42" s="29" t="s">
        <v>111</v>
      </c>
      <c r="D42" s="456"/>
      <c r="E42" s="456"/>
      <c r="F42" s="456"/>
      <c r="G42" s="456"/>
      <c r="H42" s="456"/>
      <c r="I42" s="456"/>
      <c r="K42" s="80"/>
      <c r="L42" s="82"/>
      <c r="M42" s="80"/>
    </row>
    <row r="43" spans="2:13" ht="15.75">
      <c r="B43" s="76" t="s">
        <v>58</v>
      </c>
      <c r="C43" s="74" t="s">
        <v>442</v>
      </c>
      <c r="D43" s="459">
        <f>'Bilanci Alpha'!D98</f>
        <v>154560000</v>
      </c>
      <c r="E43" s="459">
        <f>'Bilanci Alpha'!E98</f>
        <v>145345780</v>
      </c>
      <c r="F43" s="459">
        <f>'Bilanci Alpha'!F98</f>
        <v>141732161</v>
      </c>
      <c r="G43" s="459">
        <f>'Bilanci Alpha'!G96</f>
        <v>0</v>
      </c>
      <c r="H43" s="459">
        <f>'Bilanci Alpha'!H96</f>
        <v>0</v>
      </c>
      <c r="I43" s="459">
        <f>'Bilanci Alpha'!I96</f>
        <v>0</v>
      </c>
      <c r="K43" s="84">
        <f>'Bilanci Alpha'!J96</f>
        <v>0</v>
      </c>
      <c r="L43" s="82"/>
      <c r="M43" s="84" t="e">
        <f>'Bilanci Alpha'!#REF!</f>
        <v>#REF!</v>
      </c>
    </row>
    <row r="44" spans="2:13" ht="15.75">
      <c r="B44" s="76" t="s">
        <v>59</v>
      </c>
      <c r="D44" s="454">
        <v>0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K44" s="85">
        <v>0</v>
      </c>
      <c r="L44" s="82"/>
      <c r="M44" s="85">
        <v>0</v>
      </c>
    </row>
    <row r="45" spans="2:13" ht="15.75">
      <c r="B45" s="77" t="s">
        <v>60</v>
      </c>
      <c r="C45" s="74" t="s">
        <v>441</v>
      </c>
      <c r="D45" s="456">
        <f>'Bilanci Alpha'!D101</f>
        <v>84131557.03999999</v>
      </c>
      <c r="E45" s="456">
        <f>'Bilanci Alpha'!E101</f>
        <v>55683949.5</v>
      </c>
      <c r="F45" s="456">
        <f>'Bilanci Alpha'!F101</f>
        <v>66489817</v>
      </c>
      <c r="G45" s="456">
        <f>'Bilanci Alpha'!G101</f>
        <v>215778334.91000003</v>
      </c>
      <c r="H45" s="456">
        <f>'Bilanci Alpha'!H101</f>
        <v>199599676</v>
      </c>
      <c r="I45" s="456">
        <f>'Bilanci Alpha'!I101</f>
        <v>69162893</v>
      </c>
      <c r="K45" s="80">
        <f>'Bilanci Alpha'!J99</f>
        <v>0</v>
      </c>
      <c r="L45" s="82"/>
      <c r="M45" s="80" t="e">
        <f>'Bilanci Alpha'!#REF!</f>
        <v>#REF!</v>
      </c>
    </row>
    <row r="46" spans="2:13" ht="15.75">
      <c r="B46" s="77" t="s">
        <v>61</v>
      </c>
      <c r="D46" s="459">
        <f>+'Bilanci Alpha'!D102</f>
        <v>0</v>
      </c>
      <c r="E46" s="459">
        <f>+'Bilanci Alpha'!E102</f>
        <v>0</v>
      </c>
      <c r="F46" s="459">
        <f>+'Bilanci Alpha'!F102</f>
        <v>205108</v>
      </c>
      <c r="G46" s="459">
        <f>+'Bilanci Alpha'!G100</f>
        <v>0</v>
      </c>
      <c r="H46" s="459">
        <f>+'Bilanci Alpha'!H100</f>
        <v>67207917</v>
      </c>
      <c r="I46" s="459">
        <f>+'Bilanci Alpha'!I100</f>
        <v>0</v>
      </c>
      <c r="K46" s="84">
        <f>+'Bilanci Alpha'!J100</f>
        <v>0</v>
      </c>
      <c r="L46" s="82"/>
      <c r="M46" s="84" t="e">
        <f>+'Bilanci Alpha'!#REF!</f>
        <v>#REF!</v>
      </c>
    </row>
    <row r="47" spans="2:13" ht="15.75">
      <c r="B47" s="77" t="s">
        <v>8</v>
      </c>
      <c r="C47" s="74" t="s">
        <v>444</v>
      </c>
      <c r="D47" s="459">
        <f>+'Bilanci Alpha'!D104+'Bilanci Alpha'!D103</f>
        <v>651333</v>
      </c>
      <c r="E47" s="459">
        <f>+'Bilanci Alpha'!E104+'Bilanci Alpha'!E103</f>
        <v>132091</v>
      </c>
      <c r="F47" s="459">
        <f>+'Bilanci Alpha'!F104+'Bilanci Alpha'!F103</f>
        <v>174653</v>
      </c>
      <c r="G47" s="459">
        <f>+'Bilanci Alpha'!G104+'Bilanci Alpha'!G103</f>
        <v>178392</v>
      </c>
      <c r="H47" s="459">
        <f>+'Bilanci Alpha'!H104+'Bilanci Alpha'!H103</f>
        <v>169556</v>
      </c>
      <c r="I47" s="459">
        <f>+'Bilanci Alpha'!I104+'Bilanci Alpha'!I103</f>
        <v>262049</v>
      </c>
      <c r="K47" s="80">
        <f>+'Bilanci Alpha'!J101+'Bilanci Alpha'!J102</f>
        <v>0</v>
      </c>
      <c r="L47" s="82"/>
      <c r="M47" s="80" t="e">
        <f>+'Bilanci Alpha'!#REF!+'Bilanci Alpha'!#REF!</f>
        <v>#REF!</v>
      </c>
    </row>
    <row r="48" spans="2:13" ht="15.75">
      <c r="B48" s="77" t="s">
        <v>95</v>
      </c>
      <c r="C48" s="74" t="s">
        <v>445</v>
      </c>
      <c r="D48" s="454">
        <f>+'Bilanci Alpha'!D105</f>
        <v>0</v>
      </c>
      <c r="E48" s="454">
        <f>+'Bilanci Alpha'!E105</f>
        <v>7303311.9</v>
      </c>
      <c r="F48" s="454">
        <f>+'Bilanci Alpha'!F105</f>
        <v>0</v>
      </c>
      <c r="G48" s="454">
        <f>+'Bilanci Alpha'!G105</f>
        <v>0</v>
      </c>
      <c r="H48" s="454">
        <f>+'Bilanci Alpha'!H105</f>
        <v>12352253</v>
      </c>
      <c r="I48" s="454">
        <f>+'Bilanci Alpha'!I105</f>
        <v>7804066</v>
      </c>
      <c r="K48" s="84">
        <f>+'Bilanci Alpha'!J104+'Bilanci Alpha'!J103</f>
        <v>0</v>
      </c>
      <c r="L48" s="82"/>
      <c r="M48" s="84" t="e">
        <f>+'Bilanci Alpha'!#REF!+'Bilanci Alpha'!#REF!</f>
        <v>#REF!</v>
      </c>
    </row>
    <row r="49" spans="2:13" ht="15.75">
      <c r="B49" s="77" t="s">
        <v>62</v>
      </c>
      <c r="D49" s="459">
        <f>+'Bilanci Alpha'!D106</f>
        <v>81862883.67</v>
      </c>
      <c r="E49" s="459">
        <v>0</v>
      </c>
      <c r="F49" s="459">
        <v>0</v>
      </c>
      <c r="G49" s="459">
        <v>0</v>
      </c>
      <c r="H49" s="459">
        <v>0</v>
      </c>
      <c r="I49" s="459">
        <v>0</v>
      </c>
      <c r="K49" s="84">
        <v>0</v>
      </c>
      <c r="L49" s="82"/>
      <c r="M49" s="84">
        <v>0</v>
      </c>
    </row>
    <row r="50" spans="2:13" ht="15.75">
      <c r="B50" s="77" t="s">
        <v>63</v>
      </c>
      <c r="C50" s="74" t="s">
        <v>443</v>
      </c>
      <c r="D50" s="459">
        <f>+'Bilanci Alpha'!D90</f>
        <v>0</v>
      </c>
      <c r="E50" s="459">
        <f>+'Bilanci Alpha'!E90</f>
        <v>0</v>
      </c>
      <c r="F50" s="459">
        <f>+'Bilanci Alpha'!F90</f>
        <v>0</v>
      </c>
      <c r="G50" s="459">
        <f>+'Bilanci Alpha'!G90</f>
        <v>0</v>
      </c>
      <c r="H50" s="459">
        <f>+'Bilanci Alpha'!H90</f>
        <v>0</v>
      </c>
      <c r="I50" s="459">
        <f>+'Bilanci Alpha'!I90</f>
        <v>0</v>
      </c>
      <c r="K50" s="84">
        <f>+'Bilanci Alpha'!J90</f>
        <v>0</v>
      </c>
      <c r="L50" s="82"/>
      <c r="M50" s="84" t="e">
        <f>+'Bilanci Alpha'!#REF!</f>
        <v>#REF!</v>
      </c>
    </row>
    <row r="51" spans="2:13" ht="15.75">
      <c r="B51" s="76" t="s">
        <v>98</v>
      </c>
      <c r="D51" s="459">
        <v>0</v>
      </c>
      <c r="E51" s="459">
        <v>0</v>
      </c>
      <c r="F51" s="459">
        <v>0</v>
      </c>
      <c r="G51" s="459">
        <v>0</v>
      </c>
      <c r="H51" s="459">
        <v>0</v>
      </c>
      <c r="I51" s="459">
        <v>0</v>
      </c>
      <c r="K51" s="84">
        <v>0</v>
      </c>
      <c r="L51" s="82"/>
      <c r="M51" s="84">
        <v>0</v>
      </c>
    </row>
    <row r="52" spans="2:13" ht="15.75">
      <c r="B52" s="76" t="s">
        <v>64</v>
      </c>
      <c r="D52" s="454">
        <v>0</v>
      </c>
      <c r="E52" s="454">
        <v>0</v>
      </c>
      <c r="F52" s="454">
        <v>0</v>
      </c>
      <c r="G52" s="454">
        <v>0</v>
      </c>
      <c r="H52" s="454">
        <v>0</v>
      </c>
      <c r="I52" s="454">
        <v>0</v>
      </c>
      <c r="K52" s="85">
        <v>0</v>
      </c>
      <c r="L52" s="82"/>
      <c r="M52" s="85">
        <v>0</v>
      </c>
    </row>
    <row r="53" spans="2:13" ht="15.75">
      <c r="B53" s="76" t="s">
        <v>65</v>
      </c>
      <c r="D53" s="454">
        <v>0</v>
      </c>
      <c r="E53" s="454">
        <v>0</v>
      </c>
      <c r="F53" s="454">
        <v>0</v>
      </c>
      <c r="G53" s="454">
        <v>0</v>
      </c>
      <c r="H53" s="454">
        <v>0</v>
      </c>
      <c r="I53" s="454">
        <v>0</v>
      </c>
      <c r="K53" s="85">
        <v>0</v>
      </c>
      <c r="L53" s="82"/>
      <c r="M53" s="85">
        <v>0</v>
      </c>
    </row>
    <row r="54" spans="2:13" ht="15.75">
      <c r="B54" s="76"/>
      <c r="D54" s="456"/>
      <c r="E54" s="456"/>
      <c r="F54" s="456"/>
      <c r="G54" s="456"/>
      <c r="H54" s="456"/>
      <c r="I54" s="456"/>
      <c r="K54" s="80"/>
      <c r="L54" s="82"/>
      <c r="M54" s="80"/>
    </row>
    <row r="55" spans="2:17" ht="16.5" thickBot="1">
      <c r="B55" s="86" t="s">
        <v>66</v>
      </c>
      <c r="D55" s="460">
        <f aca="true" t="shared" si="6" ref="D55:I55">SUM(D43:D54)</f>
        <v>321205773.71</v>
      </c>
      <c r="E55" s="460">
        <f t="shared" si="6"/>
        <v>208465132.4</v>
      </c>
      <c r="F55" s="460">
        <f t="shared" si="6"/>
        <v>208601739</v>
      </c>
      <c r="G55" s="460">
        <f t="shared" si="6"/>
        <v>215956726.91000003</v>
      </c>
      <c r="H55" s="460">
        <f t="shared" si="6"/>
        <v>279329402</v>
      </c>
      <c r="I55" s="460">
        <f t="shared" si="6"/>
        <v>77229008</v>
      </c>
      <c r="K55" s="87">
        <f>SUM(K43:K54)</f>
        <v>0</v>
      </c>
      <c r="L55" s="82"/>
      <c r="M55" s="87" t="e">
        <f>SUM(M43:M54)</f>
        <v>#REF!</v>
      </c>
      <c r="P55" s="73"/>
      <c r="Q55" s="73"/>
    </row>
    <row r="56" spans="1:17" ht="16.5" thickTop="1">
      <c r="A56" s="29" t="s">
        <v>67</v>
      </c>
      <c r="D56" s="456"/>
      <c r="E56" s="456"/>
      <c r="F56" s="456"/>
      <c r="G56" s="456"/>
      <c r="H56" s="456"/>
      <c r="I56" s="456"/>
      <c r="K56" s="80"/>
      <c r="L56" s="82"/>
      <c r="M56" s="80"/>
      <c r="P56" s="73"/>
      <c r="Q56" s="73"/>
    </row>
    <row r="57" spans="2:17" ht="15.75">
      <c r="B57" s="76" t="s">
        <v>68</v>
      </c>
      <c r="C57" s="74">
        <v>6</v>
      </c>
      <c r="D57" s="459"/>
      <c r="E57" s="459"/>
      <c r="F57" s="459"/>
      <c r="G57" s="459"/>
      <c r="H57" s="459"/>
      <c r="I57" s="459"/>
      <c r="K57" s="84">
        <f>'Bilanci Alpha'!J87</f>
        <v>0</v>
      </c>
      <c r="L57" s="82"/>
      <c r="M57" s="84" t="e">
        <f>'Bilanci Alpha'!#REF!</f>
        <v>#REF!</v>
      </c>
      <c r="P57" s="73"/>
      <c r="Q57" s="73"/>
    </row>
    <row r="58" spans="2:17" ht="15.75">
      <c r="B58" s="76" t="s">
        <v>69</v>
      </c>
      <c r="D58" s="459"/>
      <c r="E58" s="459"/>
      <c r="F58" s="459"/>
      <c r="G58" s="459"/>
      <c r="H58" s="459"/>
      <c r="I58" s="459"/>
      <c r="J58" s="84"/>
      <c r="K58" s="84"/>
      <c r="L58" s="82"/>
      <c r="M58" s="84"/>
      <c r="P58" s="73"/>
      <c r="Q58" s="73"/>
    </row>
    <row r="59" spans="2:13" ht="15.75">
      <c r="B59" s="76" t="s">
        <v>70</v>
      </c>
      <c r="D59" s="459">
        <v>0</v>
      </c>
      <c r="E59" s="459">
        <v>0</v>
      </c>
      <c r="F59" s="459">
        <v>0</v>
      </c>
      <c r="G59" s="459">
        <v>0</v>
      </c>
      <c r="H59" s="459">
        <v>0</v>
      </c>
      <c r="I59" s="459">
        <v>0</v>
      </c>
      <c r="J59" s="84"/>
      <c r="K59" s="84">
        <v>0</v>
      </c>
      <c r="L59" s="82"/>
      <c r="M59" s="84">
        <v>0</v>
      </c>
    </row>
    <row r="60" spans="2:13" ht="15.75">
      <c r="B60" s="76" t="s">
        <v>64</v>
      </c>
      <c r="D60" s="456"/>
      <c r="E60" s="456"/>
      <c r="F60" s="456"/>
      <c r="G60" s="456"/>
      <c r="H60" s="456"/>
      <c r="I60" s="456"/>
      <c r="K60" s="80"/>
      <c r="L60" s="82"/>
      <c r="M60" s="80"/>
    </row>
    <row r="61" spans="2:16" ht="16.5" thickBot="1">
      <c r="B61" s="86" t="s">
        <v>71</v>
      </c>
      <c r="D61" s="460">
        <f aca="true" t="shared" si="7" ref="D61:I61">SUM(D57:D60)</f>
        <v>0</v>
      </c>
      <c r="E61" s="460">
        <f t="shared" si="7"/>
        <v>0</v>
      </c>
      <c r="F61" s="460">
        <f t="shared" si="7"/>
        <v>0</v>
      </c>
      <c r="G61" s="460">
        <f t="shared" si="7"/>
        <v>0</v>
      </c>
      <c r="H61" s="460">
        <f t="shared" si="7"/>
        <v>0</v>
      </c>
      <c r="I61" s="460">
        <f t="shared" si="7"/>
        <v>0</v>
      </c>
      <c r="K61" s="89">
        <f>SUM(K57:K60)</f>
        <v>0</v>
      </c>
      <c r="L61" s="82"/>
      <c r="M61" s="89" t="e">
        <f>SUM(M57:M60)</f>
        <v>#REF!</v>
      </c>
      <c r="P61" s="90"/>
    </row>
    <row r="62" spans="4:13" ht="12.75" customHeight="1" thickTop="1">
      <c r="D62" s="456"/>
      <c r="E62" s="456"/>
      <c r="F62" s="456"/>
      <c r="G62" s="456"/>
      <c r="H62" s="456"/>
      <c r="I62" s="456"/>
      <c r="K62" s="80"/>
      <c r="L62" s="82"/>
      <c r="M62" s="80"/>
    </row>
    <row r="63" spans="1:16" ht="15.75">
      <c r="A63" s="29" t="s">
        <v>72</v>
      </c>
      <c r="L63" s="82"/>
      <c r="P63" s="90"/>
    </row>
    <row r="64" spans="2:13" ht="15.75">
      <c r="B64" s="76" t="s">
        <v>40</v>
      </c>
      <c r="C64" s="74">
        <v>7</v>
      </c>
      <c r="D64" s="456">
        <f>+'Bilanci Alpha'!D69</f>
        <v>16000000</v>
      </c>
      <c r="E64" s="456">
        <f>+'Bilanci Alpha'!E69</f>
        <v>3100000</v>
      </c>
      <c r="F64" s="456">
        <f>+'Bilanci Alpha'!F69</f>
        <v>3100000</v>
      </c>
      <c r="G64" s="456">
        <f>+'Bilanci Alpha'!G69</f>
        <v>3100000</v>
      </c>
      <c r="H64" s="456">
        <f>+'Bilanci Alpha'!H69</f>
        <v>100000</v>
      </c>
      <c r="I64" s="456">
        <f>+'Bilanci Alpha'!I69</f>
        <v>100000</v>
      </c>
      <c r="K64" s="80">
        <v>100000</v>
      </c>
      <c r="L64" s="82"/>
      <c r="M64" s="80">
        <v>100000</v>
      </c>
    </row>
    <row r="65" spans="2:13" ht="15.75">
      <c r="B65" s="76" t="s">
        <v>427</v>
      </c>
      <c r="C65" s="74">
        <v>7</v>
      </c>
      <c r="D65" s="456">
        <f>+'Bilanci Alpha'!DA68</f>
        <v>0</v>
      </c>
      <c r="E65" s="456">
        <f>+'Bilanci Alpha'!DB68</f>
        <v>0</v>
      </c>
      <c r="F65" s="456">
        <f>+'Bilanci Alpha'!F68</f>
        <v>0</v>
      </c>
      <c r="G65" s="456">
        <f>+'Bilanci Alpha'!G68</f>
        <v>0</v>
      </c>
      <c r="H65" s="456">
        <f>+'Bilanci Alpha'!H68</f>
        <v>0</v>
      </c>
      <c r="I65" s="456">
        <f>+'Bilanci Alpha'!I68</f>
        <v>0</v>
      </c>
      <c r="K65" s="84">
        <v>0</v>
      </c>
      <c r="L65" s="82"/>
      <c r="M65" s="84">
        <v>0</v>
      </c>
    </row>
    <row r="66" spans="2:16" ht="15.75">
      <c r="B66" s="76" t="s">
        <v>73</v>
      </c>
      <c r="D66" s="459">
        <f>+'Bilanci Alpha'!D72</f>
        <v>912808</v>
      </c>
      <c r="E66" s="459">
        <f>+'Bilanci Alpha'!E72</f>
        <v>62362</v>
      </c>
      <c r="F66" s="459">
        <f>+'Bilanci Alpha'!F72</f>
        <v>62362</v>
      </c>
      <c r="G66" s="459">
        <f>+'Bilanci Alpha'!G72</f>
        <v>62362</v>
      </c>
      <c r="H66" s="459">
        <f>+'Bilanci Alpha'!H72</f>
        <v>0</v>
      </c>
      <c r="I66" s="459">
        <f>+'Bilanci Alpha'!I72</f>
        <v>0</v>
      </c>
      <c r="K66" s="84">
        <f>+'Bilanci Alpha'!J72</f>
        <v>0</v>
      </c>
      <c r="L66" s="82"/>
      <c r="M66" s="84" t="e">
        <f>+'Bilanci Alpha'!#REF!</f>
        <v>#REF!</v>
      </c>
      <c r="P66" s="90"/>
    </row>
    <row r="67" spans="2:13" ht="15.75">
      <c r="B67" s="76" t="s">
        <v>74</v>
      </c>
      <c r="D67" s="459">
        <f>+'Bilanci Alpha'!D71</f>
        <v>0</v>
      </c>
      <c r="E67" s="459">
        <f>+'Bilanci Alpha'!E71</f>
        <v>0</v>
      </c>
      <c r="F67" s="459">
        <f>+'Bilanci Alpha'!F71</f>
        <v>0</v>
      </c>
      <c r="G67" s="459">
        <f>+'Bilanci Alpha'!G71</f>
        <v>0</v>
      </c>
      <c r="H67" s="459">
        <f>+'Bilanci Alpha'!H71</f>
        <v>0</v>
      </c>
      <c r="I67" s="459">
        <f>+'Bilanci Alpha'!I71</f>
        <v>0</v>
      </c>
      <c r="K67" s="84">
        <f>+'Bilanci Alpha'!J71</f>
        <v>0</v>
      </c>
      <c r="L67" s="82"/>
      <c r="M67" s="84" t="e">
        <f>+'Bilanci Alpha'!#REF!</f>
        <v>#REF!</v>
      </c>
    </row>
    <row r="68" spans="2:13" ht="15.75">
      <c r="B68" s="76" t="s">
        <v>9</v>
      </c>
      <c r="D68" s="459">
        <f>+'Bilanci Alpha'!D75</f>
        <v>0</v>
      </c>
      <c r="E68" s="459">
        <f>+'Bilanci Alpha'!E75</f>
        <v>0</v>
      </c>
      <c r="F68" s="459">
        <f>+'Bilanci Alpha'!F75</f>
        <v>0</v>
      </c>
      <c r="G68" s="459">
        <f>+'Bilanci Alpha'!G75</f>
        <v>0</v>
      </c>
      <c r="H68" s="459">
        <f>+'Bilanci Alpha'!H75</f>
        <v>0</v>
      </c>
      <c r="I68" s="459">
        <f>+'Bilanci Alpha'!I75</f>
        <v>0</v>
      </c>
      <c r="K68" s="84">
        <f>+'Bilanci Alpha'!J73</f>
        <v>0</v>
      </c>
      <c r="L68" s="82"/>
      <c r="M68" s="84" t="e">
        <f>+'Bilanci Alpha'!#REF!</f>
        <v>#REF!</v>
      </c>
    </row>
    <row r="69" spans="2:13" ht="15.75">
      <c r="B69" s="76" t="s">
        <v>75</v>
      </c>
      <c r="C69" s="74">
        <v>7</v>
      </c>
      <c r="D69" s="456">
        <f>+'Bilanci Alpha'!D76</f>
        <v>0</v>
      </c>
      <c r="E69" s="456">
        <f>+'Bilanci Alpha'!E76</f>
        <v>9624624.4</v>
      </c>
      <c r="F69" s="456">
        <f>+'Bilanci Alpha'!F76</f>
        <v>6153121</v>
      </c>
      <c r="G69" s="456">
        <f>+'Bilanci Alpha'!G74</f>
        <v>0</v>
      </c>
      <c r="H69" s="456">
        <f>+'Bilanci Alpha'!H76</f>
        <v>1130850</v>
      </c>
      <c r="I69" s="456">
        <f>+'Bilanci Alpha'!I76</f>
        <v>0</v>
      </c>
      <c r="K69" s="80">
        <f>+'Bilanci Alpha'!J74</f>
        <v>0</v>
      </c>
      <c r="L69" s="82"/>
      <c r="M69" s="80" t="e">
        <f>+'Bilanci Alpha'!#REF!</f>
        <v>#REF!</v>
      </c>
    </row>
    <row r="70" spans="2:13" ht="15.75">
      <c r="B70" s="76" t="s">
        <v>76</v>
      </c>
      <c r="C70" s="74">
        <v>7</v>
      </c>
      <c r="D70" s="456">
        <f>+'Bilanci Alpha'!D77</f>
        <v>1274346.6719999441</v>
      </c>
      <c r="E70" s="456">
        <f>+'Bilanci Alpha'!E77</f>
        <v>4125822.2</v>
      </c>
      <c r="F70" s="456">
        <f>+'Bilanci Alpha'!F77</f>
        <v>3471503.4</v>
      </c>
      <c r="G70" s="456">
        <f>+'Bilanci Alpha'!G77</f>
        <v>6153120.67</v>
      </c>
      <c r="H70" s="456">
        <f>+'Bilanci Alpha'!H77</f>
        <v>1931513</v>
      </c>
      <c r="I70" s="456">
        <f>+'Bilanci Alpha'!I77</f>
        <v>1130850</v>
      </c>
      <c r="K70" s="80">
        <f>+'Bilanci Alpha'!J75</f>
        <v>0</v>
      </c>
      <c r="L70" s="82"/>
      <c r="M70" s="80" t="e">
        <f>+'Bilanci Alpha'!#REF!</f>
        <v>#REF!</v>
      </c>
    </row>
    <row r="71" spans="2:13" ht="16.5" thickBot="1">
      <c r="B71" s="86" t="s">
        <v>129</v>
      </c>
      <c r="D71" s="460">
        <f aca="true" t="shared" si="8" ref="D71:I71">SUM(D64:D70)</f>
        <v>18187154.671999943</v>
      </c>
      <c r="E71" s="460">
        <f t="shared" si="8"/>
        <v>16912808.6</v>
      </c>
      <c r="F71" s="460">
        <f t="shared" si="8"/>
        <v>12786986.4</v>
      </c>
      <c r="G71" s="460">
        <f t="shared" si="8"/>
        <v>9315482.67</v>
      </c>
      <c r="H71" s="460">
        <f t="shared" si="8"/>
        <v>3162363</v>
      </c>
      <c r="I71" s="460">
        <f t="shared" si="8"/>
        <v>1230850</v>
      </c>
      <c r="K71" s="87">
        <f>SUM(K64:K70)</f>
        <v>100000</v>
      </c>
      <c r="L71" s="82"/>
      <c r="M71" s="87" t="e">
        <f>SUM(M64:M70)</f>
        <v>#REF!</v>
      </c>
    </row>
    <row r="72" spans="2:13" ht="16.5" thickTop="1">
      <c r="B72" s="76"/>
      <c r="D72" s="459"/>
      <c r="E72" s="459"/>
      <c r="F72" s="459"/>
      <c r="G72" s="459"/>
      <c r="H72" s="459"/>
      <c r="I72" s="459"/>
      <c r="K72" s="84"/>
      <c r="M72" s="84"/>
    </row>
    <row r="73" spans="2:16" ht="15.75">
      <c r="B73" s="86" t="s">
        <v>78</v>
      </c>
      <c r="D73" s="461">
        <f aca="true" t="shared" si="9" ref="D73:I73">+D71+D61+D55</f>
        <v>339392928.3819999</v>
      </c>
      <c r="E73" s="461">
        <f t="shared" si="9"/>
        <v>225377941</v>
      </c>
      <c r="F73" s="461">
        <f t="shared" si="9"/>
        <v>221388725.4</v>
      </c>
      <c r="G73" s="461">
        <f t="shared" si="9"/>
        <v>225272209.58</v>
      </c>
      <c r="H73" s="461">
        <f t="shared" si="9"/>
        <v>282491765</v>
      </c>
      <c r="I73" s="461">
        <f t="shared" si="9"/>
        <v>78459858</v>
      </c>
      <c r="J73" s="91"/>
      <c r="K73" s="88">
        <f>+K71+K61+K55</f>
        <v>100000</v>
      </c>
      <c r="L73" s="82"/>
      <c r="M73" s="88" t="e">
        <f>+M71+M61+M55</f>
        <v>#REF!</v>
      </c>
      <c r="P73" s="90"/>
    </row>
    <row r="75" spans="10:13" ht="15.75">
      <c r="J75" s="82"/>
      <c r="K75" s="82"/>
      <c r="M75" s="82"/>
    </row>
    <row r="76" spans="2:13" ht="15.75">
      <c r="B76" s="86" t="s">
        <v>762</v>
      </c>
      <c r="C76" s="86"/>
      <c r="D76" s="86"/>
      <c r="E76" s="86"/>
      <c r="F76" s="86" t="s">
        <v>448</v>
      </c>
      <c r="G76" s="462"/>
      <c r="H76" s="462"/>
      <c r="I76" s="462"/>
      <c r="J76" s="93" t="s">
        <v>448</v>
      </c>
      <c r="K76" s="92"/>
      <c r="M76" s="92"/>
    </row>
    <row r="77" spans="2:13" ht="15.75">
      <c r="B77" s="86"/>
      <c r="C77" s="86"/>
      <c r="D77" s="462"/>
      <c r="E77" s="462"/>
      <c r="F77" s="462"/>
      <c r="G77" s="462"/>
      <c r="H77" s="462"/>
      <c r="I77" s="462"/>
      <c r="J77" s="93"/>
      <c r="K77" s="92"/>
      <c r="M77" s="92"/>
    </row>
    <row r="78" spans="2:13" ht="15.75">
      <c r="B78" s="74"/>
      <c r="J78" s="94"/>
      <c r="K78" s="82"/>
      <c r="M78" s="82"/>
    </row>
    <row r="79" spans="4:13" ht="15.75">
      <c r="D79" s="454">
        <f aca="true" t="shared" si="10" ref="D79:I79">+D73-D38</f>
        <v>0.0019998550415039062</v>
      </c>
      <c r="E79" s="454">
        <f t="shared" si="10"/>
        <v>0</v>
      </c>
      <c r="F79" s="454">
        <f t="shared" si="10"/>
        <v>0</v>
      </c>
      <c r="G79" s="454">
        <f t="shared" si="10"/>
        <v>0</v>
      </c>
      <c r="H79" s="454">
        <f t="shared" si="10"/>
        <v>0</v>
      </c>
      <c r="I79" s="454">
        <f t="shared" si="10"/>
        <v>0</v>
      </c>
      <c r="K79" s="82">
        <f>+K73-K38</f>
        <v>100000</v>
      </c>
      <c r="M79" s="82" t="e">
        <f>+M73-M38</f>
        <v>#REF!</v>
      </c>
    </row>
    <row r="80" spans="4:10" ht="15.75">
      <c r="D80" s="463"/>
      <c r="E80" s="463"/>
      <c r="F80" s="463"/>
      <c r="G80" s="463"/>
      <c r="H80" s="463"/>
      <c r="I80" s="463"/>
      <c r="J80" s="95"/>
    </row>
    <row r="81" spans="4:10" ht="15.75">
      <c r="D81" s="463"/>
      <c r="E81" s="463"/>
      <c r="F81" s="463"/>
      <c r="G81" s="463"/>
      <c r="H81" s="463"/>
      <c r="I81" s="463"/>
      <c r="J81" s="95"/>
    </row>
    <row r="82" spans="4:10" ht="15.75">
      <c r="D82" s="463"/>
      <c r="E82" s="463"/>
      <c r="F82" s="463"/>
      <c r="G82" s="463"/>
      <c r="H82" s="463"/>
      <c r="I82" s="463"/>
      <c r="J82" s="95"/>
    </row>
    <row r="83" spans="4:10" ht="15.75">
      <c r="D83" s="463"/>
      <c r="E83" s="463"/>
      <c r="F83" s="463"/>
      <c r="G83" s="463"/>
      <c r="H83" s="463"/>
      <c r="I83" s="463"/>
      <c r="J83" s="95"/>
    </row>
    <row r="84" spans="4:10" ht="15.75">
      <c r="D84" s="463"/>
      <c r="E84" s="463"/>
      <c r="F84" s="463"/>
      <c r="G84" s="463"/>
      <c r="H84" s="463"/>
      <c r="I84" s="463"/>
      <c r="J84" s="95"/>
    </row>
  </sheetData>
  <sheetProtection/>
  <printOptions/>
  <pageMargins left="0.46" right="0.4" top="0.34" bottom="0.3" header="0.22" footer="0.2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3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7.57421875" style="12" customWidth="1"/>
    <col min="4" max="4" width="17.57421875" style="12" customWidth="1"/>
    <col min="5" max="5" width="16.28125" style="464" customWidth="1"/>
    <col min="6" max="8" width="16.28125" style="464" hidden="1" customWidth="1"/>
    <col min="9" max="9" width="15.57421875" style="8" hidden="1" customWidth="1"/>
    <col min="10" max="10" width="4.28125" style="1" hidden="1" customWidth="1"/>
    <col min="11" max="11" width="14.8515625" style="1" hidden="1" customWidth="1"/>
    <col min="12" max="12" width="14.00390625" style="22" customWidth="1"/>
    <col min="13" max="13" width="12.8515625" style="1" customWidth="1"/>
    <col min="14" max="14" width="11.140625" style="1" bestFit="1" customWidth="1"/>
    <col min="15" max="16384" width="9.140625" style="1" customWidth="1"/>
  </cols>
  <sheetData>
    <row r="1" ht="15.75">
      <c r="A1" s="29" t="s">
        <v>784</v>
      </c>
    </row>
    <row r="2" ht="15.75">
      <c r="A2" s="14" t="s">
        <v>816</v>
      </c>
    </row>
    <row r="3" ht="15.75">
      <c r="A3" s="14" t="s">
        <v>97</v>
      </c>
    </row>
    <row r="4" ht="15.75">
      <c r="A4" s="14"/>
    </row>
    <row r="5" spans="3:11" ht="26.25" thickBot="1">
      <c r="C5" s="12" t="s">
        <v>446</v>
      </c>
      <c r="D5" s="465" t="s">
        <v>814</v>
      </c>
      <c r="E5" s="465" t="s">
        <v>798</v>
      </c>
      <c r="F5" s="465" t="s">
        <v>782</v>
      </c>
      <c r="G5" s="465" t="s">
        <v>558</v>
      </c>
      <c r="H5" s="465" t="s">
        <v>546</v>
      </c>
      <c r="I5" s="16" t="s">
        <v>88</v>
      </c>
      <c r="K5" s="44" t="s">
        <v>447</v>
      </c>
    </row>
    <row r="6" ht="13.5" thickTop="1"/>
    <row r="8" spans="2:11" ht="12.75">
      <c r="B8" s="1" t="s">
        <v>10</v>
      </c>
      <c r="C8" s="12">
        <v>8</v>
      </c>
      <c r="D8" s="464">
        <f>+'Ardh shpenz alpha'!C12</f>
        <v>347629126</v>
      </c>
      <c r="E8" s="464">
        <f>+'Ardh shpenz alpha'!D12</f>
        <v>571351515</v>
      </c>
      <c r="F8" s="464">
        <f>+'Ardh shpenz alpha'!E12</f>
        <v>1490491515</v>
      </c>
      <c r="G8" s="464">
        <f>+'Ardh shpenz alpha'!F12</f>
        <v>660246136</v>
      </c>
      <c r="H8" s="464">
        <f>+'Ardh shpenz alpha'!G12</f>
        <v>149763816</v>
      </c>
      <c r="I8" s="8">
        <f>+'Ardh shpenz alpha'!H12</f>
        <v>43258113</v>
      </c>
      <c r="K8" s="8">
        <f>+'Ardh shpenz alpha'!I12</f>
        <v>0</v>
      </c>
    </row>
    <row r="9" spans="2:11" ht="12.75">
      <c r="B9" s="1" t="s">
        <v>79</v>
      </c>
      <c r="C9" s="12">
        <v>9</v>
      </c>
      <c r="E9" s="464">
        <f>+'Ardh shpenz alpha'!D20</f>
        <v>0</v>
      </c>
      <c r="F9" s="464">
        <f>+'Ardh shpenz alpha'!E20</f>
        <v>0</v>
      </c>
      <c r="G9" s="464">
        <f>+'Ardh shpenz alpha'!F20</f>
        <v>0</v>
      </c>
      <c r="H9" s="464">
        <f>+'Ardh shpenz alpha'!G20</f>
        <v>0</v>
      </c>
      <c r="I9" s="8">
        <f>+'Ardh shpenz alpha'!H20</f>
        <v>0</v>
      </c>
      <c r="K9" s="8">
        <f>+'Ardh shpenz alpha'!I20</f>
        <v>0</v>
      </c>
    </row>
    <row r="10" spans="2:11" ht="25.5">
      <c r="B10" s="4" t="s">
        <v>80</v>
      </c>
      <c r="K10" s="8"/>
    </row>
    <row r="11" ht="25.5">
      <c r="B11" s="4" t="s">
        <v>81</v>
      </c>
    </row>
    <row r="12" spans="2:13" ht="12.75">
      <c r="B12" s="1" t="s">
        <v>82</v>
      </c>
      <c r="C12" s="12">
        <v>10</v>
      </c>
      <c r="D12" s="464">
        <f>-'Ardh shpenz alpha'!C66-'Ardh shpenz alpha'!C69</f>
        <v>-309166273.94</v>
      </c>
      <c r="E12" s="464">
        <f>-'Ardh shpenz alpha'!D66-'Ardh shpenz alpha'!D69</f>
        <v>-534194810</v>
      </c>
      <c r="F12" s="464">
        <f>-'Ardh shpenz alpha'!E66-'Ardh shpenz alpha'!E69</f>
        <v>-1423240565</v>
      </c>
      <c r="G12" s="464">
        <f>-'Ardh shpenz alpha'!F66-'Ardh shpenz alpha'!F69</f>
        <v>-525668898.59000003</v>
      </c>
      <c r="H12" s="464">
        <f>-'Ardh shpenz alpha'!G66-'Ardh shpenz alpha'!G69</f>
        <v>-110255969</v>
      </c>
      <c r="I12" s="8">
        <f>-'Ardh shpenz alpha'!H66-'Ardh shpenz alpha'!H69</f>
        <v>-6368015</v>
      </c>
      <c r="K12" s="8">
        <f>-'Ardh shpenz alpha'!I66-'Ardh shpenz alpha'!I69</f>
        <v>0</v>
      </c>
      <c r="L12" s="28"/>
      <c r="M12" s="8"/>
    </row>
    <row r="13" spans="2:13" ht="12.75">
      <c r="B13" s="1" t="s">
        <v>83</v>
      </c>
      <c r="C13" s="12">
        <v>11</v>
      </c>
      <c r="D13" s="464">
        <f>-'Ardh shpenz alpha'!C72-'Ardh shpenz alpha'!C77-'Ardh shpenz alpha'!C78</f>
        <v>-19730239.31</v>
      </c>
      <c r="E13" s="464">
        <f>-'Ardh shpenz alpha'!D72-'Ardh shpenz alpha'!D77-'Ardh shpenz alpha'!D78</f>
        <v>-3968478</v>
      </c>
      <c r="F13" s="464">
        <f>-'Ardh shpenz alpha'!E72-'Ardh shpenz alpha'!E77-'Ardh shpenz alpha'!E78</f>
        <v>-37990139</v>
      </c>
      <c r="G13" s="464">
        <f>-'Ardh shpenz alpha'!F72-'Ardh shpenz alpha'!F77-'Ardh shpenz alpha'!F78</f>
        <v>-103591460.47</v>
      </c>
      <c r="H13" s="464">
        <f>-'Ardh shpenz alpha'!G72-'Ardh shpenz alpha'!G77-'Ardh shpenz alpha'!G78</f>
        <v>-22508031</v>
      </c>
      <c r="I13" s="8">
        <f>-'Ardh shpenz alpha'!H72-'Ardh shpenz alpha'!H77-'Ardh shpenz alpha'!H78</f>
        <v>-20533628</v>
      </c>
      <c r="K13" s="8">
        <f>-'Ardh shpenz alpha'!I72-'Ardh shpenz alpha'!I77-'Ardh shpenz alpha'!I78</f>
        <v>0</v>
      </c>
      <c r="L13" s="27"/>
      <c r="M13" s="8"/>
    </row>
    <row r="14" spans="2:12" ht="12.75">
      <c r="B14" s="1" t="s">
        <v>11</v>
      </c>
      <c r="C14" s="12">
        <v>12</v>
      </c>
      <c r="D14" s="464">
        <f>-'Ardh shpenz alpha'!C73</f>
        <v>-4081339</v>
      </c>
      <c r="E14" s="464">
        <f>-'Ardh shpenz alpha'!D73</f>
        <v>-5616459</v>
      </c>
      <c r="F14" s="464">
        <f>-'Ardh shpenz alpha'!E73</f>
        <v>-6306168</v>
      </c>
      <c r="G14" s="464">
        <f>-'Ardh shpenz alpha'!F73</f>
        <v>-6164717</v>
      </c>
      <c r="H14" s="464">
        <f>-'Ardh shpenz alpha'!G73</f>
        <v>-7495042</v>
      </c>
      <c r="I14" s="8">
        <f>-'Ardh shpenz alpha'!H73</f>
        <v>-4865951</v>
      </c>
      <c r="K14" s="8">
        <f>-'Ardh shpenz alpha'!I73</f>
        <v>0</v>
      </c>
      <c r="L14" s="27"/>
    </row>
    <row r="15" spans="2:12" ht="12.75">
      <c r="B15" s="1" t="s">
        <v>84</v>
      </c>
      <c r="D15" s="466">
        <f>-'Ardh shpenz alpha'!C82</f>
        <v>-7382851</v>
      </c>
      <c r="E15" s="466">
        <f>-'Ardh shpenz alpha'!D82</f>
        <v>-13626452</v>
      </c>
      <c r="F15" s="466">
        <f>-'Ardh shpenz alpha'!E82</f>
        <v>-10873215</v>
      </c>
      <c r="G15" s="466">
        <f>-'Ardh shpenz alpha'!F82</f>
        <v>-14982322</v>
      </c>
      <c r="H15" s="466">
        <f>-'Ardh shpenz alpha'!G82+75485</f>
        <v>-3789536</v>
      </c>
      <c r="I15" s="21">
        <f>-'Ardh shpenz alpha'!H82</f>
        <v>-4906625</v>
      </c>
      <c r="J15" s="22"/>
      <c r="K15" s="21">
        <f>-'Ardh shpenz alpha'!I82</f>
        <v>0</v>
      </c>
      <c r="L15" s="40"/>
    </row>
    <row r="16" spans="4:11" ht="13.5" thickBot="1">
      <c r="D16" s="467">
        <f aca="true" t="shared" si="0" ref="D16:I16">SUM(D8:D15)</f>
        <v>7268422.750000004</v>
      </c>
      <c r="E16" s="467">
        <f t="shared" si="0"/>
        <v>13945316</v>
      </c>
      <c r="F16" s="467">
        <f t="shared" si="0"/>
        <v>12081428</v>
      </c>
      <c r="G16" s="467">
        <f t="shared" si="0"/>
        <v>9838737.939999968</v>
      </c>
      <c r="H16" s="467">
        <f t="shared" si="0"/>
        <v>5715238</v>
      </c>
      <c r="I16" s="9">
        <f t="shared" si="0"/>
        <v>6583894</v>
      </c>
      <c r="J16" s="2"/>
      <c r="K16" s="15">
        <f>SUM(K8:K15)</f>
        <v>0</v>
      </c>
    </row>
    <row r="17" spans="1:12" s="2" customFormat="1" ht="13.5" thickTop="1">
      <c r="A17" s="3" t="s">
        <v>85</v>
      </c>
      <c r="C17" s="7"/>
      <c r="D17" s="7"/>
      <c r="E17" s="468"/>
      <c r="F17" s="468"/>
      <c r="G17" s="468"/>
      <c r="H17" s="468"/>
      <c r="I17" s="10"/>
      <c r="L17" s="24"/>
    </row>
    <row r="18" spans="2:12" s="2" customFormat="1" ht="12.75">
      <c r="B18" s="5"/>
      <c r="C18" s="7"/>
      <c r="D18" s="7"/>
      <c r="E18" s="468"/>
      <c r="F18" s="468"/>
      <c r="G18" s="468"/>
      <c r="H18" s="468"/>
      <c r="I18" s="10"/>
      <c r="L18" s="24"/>
    </row>
    <row r="19" spans="2:12" s="2" customFormat="1" ht="25.5">
      <c r="B19" s="4" t="s">
        <v>86</v>
      </c>
      <c r="C19" s="7"/>
      <c r="D19" s="7"/>
      <c r="E19" s="464"/>
      <c r="F19" s="464"/>
      <c r="G19" s="464"/>
      <c r="H19" s="464"/>
      <c r="I19" s="8"/>
      <c r="J19" s="1"/>
      <c r="K19" s="1"/>
      <c r="L19" s="24"/>
    </row>
    <row r="20" ht="12.75">
      <c r="B20" s="4" t="s">
        <v>87</v>
      </c>
    </row>
    <row r="21" spans="2:14" ht="12.75">
      <c r="B21" s="1" t="s">
        <v>12</v>
      </c>
      <c r="C21" s="12">
        <v>13</v>
      </c>
      <c r="D21" s="464">
        <f>+'Ardh shpenz alpha'!C37-'Ardh shpenz alpha'!C90</f>
        <v>-5624263.06</v>
      </c>
      <c r="E21" s="464">
        <f>+'Ardh shpenz alpha'!D37-'Ardh shpenz alpha'!D90</f>
        <v>-9297916</v>
      </c>
      <c r="F21" s="464">
        <f>+'Ardh shpenz alpha'!E37-'Ardh shpenz alpha'!E90</f>
        <v>-8049679</v>
      </c>
      <c r="G21" s="464">
        <f>+'Ardh shpenz alpha'!F37-'Ardh shpenz alpha'!F90</f>
        <v>-2957269.4400000004</v>
      </c>
      <c r="H21" s="464">
        <f>+'Ardh shpenz alpha'!G37-'Ardh shpenz alpha'!G90</f>
        <v>-3569113.14</v>
      </c>
      <c r="I21" s="8">
        <f>+'Ardh shpenz alpha'!H37-'Ardh shpenz alpha'!H90</f>
        <v>-3280228</v>
      </c>
      <c r="K21" s="8">
        <f>+'Ardh shpenz alpha'!I37-'Ardh shpenz alpha'!I90</f>
        <v>0</v>
      </c>
      <c r="M21" s="8"/>
      <c r="N21" s="8"/>
    </row>
    <row r="22" spans="13:14" ht="12.75">
      <c r="M22" s="8"/>
      <c r="N22" s="8"/>
    </row>
    <row r="23" spans="2:13" ht="13.5" thickBot="1">
      <c r="B23" s="6" t="s">
        <v>13</v>
      </c>
      <c r="C23" s="13"/>
      <c r="D23" s="469">
        <f aca="true" t="shared" si="1" ref="D23:I23">+D16+D21</f>
        <v>1644159.6900000041</v>
      </c>
      <c r="E23" s="469">
        <f t="shared" si="1"/>
        <v>4647400</v>
      </c>
      <c r="F23" s="469">
        <f t="shared" si="1"/>
        <v>4031749</v>
      </c>
      <c r="G23" s="469">
        <f t="shared" si="1"/>
        <v>6881468.499999967</v>
      </c>
      <c r="H23" s="469">
        <f t="shared" si="1"/>
        <v>2146124.86</v>
      </c>
      <c r="I23" s="23">
        <f t="shared" si="1"/>
        <v>3303666</v>
      </c>
      <c r="J23" s="24"/>
      <c r="K23" s="23">
        <f>+K16+K21</f>
        <v>0</v>
      </c>
      <c r="M23" s="492"/>
    </row>
    <row r="24" spans="3:12" s="2" customFormat="1" ht="13.5" thickTop="1">
      <c r="C24" s="13"/>
      <c r="D24" s="13"/>
      <c r="E24" s="468"/>
      <c r="F24" s="468"/>
      <c r="G24" s="468"/>
      <c r="H24" s="468"/>
      <c r="I24" s="10"/>
      <c r="L24" s="24"/>
    </row>
    <row r="25" spans="2:12" s="2" customFormat="1" ht="12.75">
      <c r="B25" s="5" t="s">
        <v>14</v>
      </c>
      <c r="C25" s="13">
        <v>14</v>
      </c>
      <c r="D25" s="468">
        <f>-'Ardh shpenz alpha'!C103</f>
        <v>-369813.01799999387</v>
      </c>
      <c r="E25" s="468">
        <f>-'Ardh shpenz alpha'!D103</f>
        <v>-521577.80000000005</v>
      </c>
      <c r="F25" s="468">
        <f>-'Ardh shpenz alpha'!E103</f>
        <v>-560245.6</v>
      </c>
      <c r="G25" s="468">
        <f>-'Ardh shpenz alpha'!F103</f>
        <v>-728347.55</v>
      </c>
      <c r="H25" s="468">
        <f>-'Ardh shpenz alpha'!G103</f>
        <v>-214612</v>
      </c>
      <c r="I25" s="10">
        <f>-'Ardh shpenz alpha'!H103</f>
        <v>-333517</v>
      </c>
      <c r="K25" s="10">
        <f>-'Ardh shpenz alpha'!I103</f>
        <v>0</v>
      </c>
      <c r="L25" s="24"/>
    </row>
    <row r="26" spans="2:12" s="2" customFormat="1" ht="12.75">
      <c r="B26" s="5"/>
      <c r="C26" s="13"/>
      <c r="D26" s="13"/>
      <c r="E26" s="468"/>
      <c r="F26" s="468"/>
      <c r="G26" s="468"/>
      <c r="H26" s="468"/>
      <c r="I26" s="10"/>
      <c r="L26" s="24"/>
    </row>
    <row r="27" spans="2:12" s="2" customFormat="1" ht="13.5" thickBot="1">
      <c r="B27" s="6" t="s">
        <v>15</v>
      </c>
      <c r="C27" s="7"/>
      <c r="D27" s="470">
        <f aca="true" t="shared" si="2" ref="D27:I27">+D23+D25</f>
        <v>1274346.6720000103</v>
      </c>
      <c r="E27" s="470">
        <f t="shared" si="2"/>
        <v>4125822.2</v>
      </c>
      <c r="F27" s="470">
        <f t="shared" si="2"/>
        <v>3471503.4</v>
      </c>
      <c r="G27" s="470">
        <f t="shared" si="2"/>
        <v>6153120.949999968</v>
      </c>
      <c r="H27" s="470">
        <f t="shared" si="2"/>
        <v>1931512.8599999999</v>
      </c>
      <c r="I27" s="15">
        <f t="shared" si="2"/>
        <v>2970149</v>
      </c>
      <c r="K27" s="15">
        <f>+K23+K25</f>
        <v>0</v>
      </c>
      <c r="L27" s="24"/>
    </row>
    <row r="28" spans="5:12" s="2" customFormat="1" ht="13.5" thickTop="1">
      <c r="E28" s="468"/>
      <c r="F28" s="468"/>
      <c r="G28" s="468"/>
      <c r="H28" s="468"/>
      <c r="I28" s="10"/>
      <c r="L28" s="24"/>
    </row>
    <row r="29" spans="5:12" s="2" customFormat="1" ht="12.75">
      <c r="E29" s="468"/>
      <c r="F29" s="468"/>
      <c r="G29" s="468"/>
      <c r="H29" s="468"/>
      <c r="I29" s="10"/>
      <c r="L29" s="24"/>
    </row>
    <row r="30" spans="5:12" s="2" customFormat="1" ht="12.75">
      <c r="E30" s="468"/>
      <c r="F30" s="468"/>
      <c r="G30" s="468"/>
      <c r="H30" s="468"/>
      <c r="I30" s="10"/>
      <c r="L30" s="24"/>
    </row>
    <row r="31" spans="5:12" s="2" customFormat="1" ht="12.75">
      <c r="E31" s="468"/>
      <c r="F31" s="468"/>
      <c r="G31" s="468"/>
      <c r="H31" s="468"/>
      <c r="I31" s="10"/>
      <c r="L31" s="24"/>
    </row>
    <row r="32" spans="5:12" s="2" customFormat="1" ht="12.75">
      <c r="E32" s="468"/>
      <c r="F32" s="468"/>
      <c r="G32" s="468"/>
      <c r="H32" s="468"/>
      <c r="I32" s="10"/>
      <c r="L32" s="24"/>
    </row>
    <row r="33" spans="5:12" s="2" customFormat="1" ht="12.75">
      <c r="E33" s="468"/>
      <c r="F33" s="468"/>
      <c r="G33" s="468"/>
      <c r="H33" s="468"/>
      <c r="I33" s="10"/>
      <c r="L33" s="24"/>
    </row>
    <row r="34" spans="5:12" s="2" customFormat="1" ht="12.75">
      <c r="E34" s="468"/>
      <c r="F34" s="468"/>
      <c r="G34" s="468"/>
      <c r="H34" s="468"/>
      <c r="I34" s="10"/>
      <c r="L34" s="24"/>
    </row>
    <row r="35" spans="3:12" s="2" customFormat="1" ht="12.75">
      <c r="C35" s="7"/>
      <c r="D35" s="7"/>
      <c r="E35" s="464"/>
      <c r="F35" s="464"/>
      <c r="G35" s="464"/>
      <c r="H35" s="464"/>
      <c r="I35" s="8"/>
      <c r="J35" s="1"/>
      <c r="K35" s="8"/>
      <c r="L35" s="24"/>
    </row>
    <row r="36" spans="2:11" ht="14.25">
      <c r="B36" s="19" t="s">
        <v>762</v>
      </c>
      <c r="C36" s="19"/>
      <c r="D36" s="19"/>
      <c r="F36" s="19" t="s">
        <v>448</v>
      </c>
      <c r="I36" s="46"/>
      <c r="K36" s="46"/>
    </row>
    <row r="37" spans="2:11" ht="14.25">
      <c r="B37" s="19"/>
      <c r="C37" s="19"/>
      <c r="D37" s="19"/>
      <c r="E37" s="471"/>
      <c r="F37" s="471"/>
      <c r="G37" s="471"/>
      <c r="H37" s="471"/>
      <c r="I37" s="46"/>
      <c r="J37" s="47"/>
      <c r="K37" s="46"/>
    </row>
    <row r="38" spans="2:11" ht="15">
      <c r="B38" s="18"/>
      <c r="C38" s="18"/>
      <c r="D38" s="18"/>
      <c r="E38" s="472"/>
      <c r="F38" s="472"/>
      <c r="G38" s="472"/>
      <c r="H38" s="472"/>
      <c r="I38" s="20"/>
      <c r="J38" s="45"/>
      <c r="K38" s="20"/>
    </row>
  </sheetData>
  <sheetProtection/>
  <printOptions/>
  <pageMargins left="0.45" right="0.55" top="0.86" bottom="0.9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80" zoomScaleNormal="80" zoomScalePageLayoutView="0" workbookViewId="0" topLeftCell="A1">
      <selection activeCell="N14" sqref="N14"/>
    </sheetView>
  </sheetViews>
  <sheetFormatPr defaultColWidth="9.140625" defaultRowHeight="12.75"/>
  <cols>
    <col min="1" max="1" width="3.140625" style="76" customWidth="1"/>
    <col min="2" max="2" width="64.8515625" style="76" customWidth="1"/>
    <col min="3" max="3" width="22.00390625" style="76" customWidth="1"/>
    <col min="4" max="4" width="17.28125" style="96" customWidth="1"/>
    <col min="5" max="6" width="17.28125" style="96" hidden="1" customWidth="1"/>
    <col min="7" max="7" width="19.00390625" style="96" hidden="1" customWidth="1"/>
    <col min="8" max="8" width="15.7109375" style="96" hidden="1" customWidth="1"/>
    <col min="9" max="9" width="3.28125" style="97" hidden="1" customWidth="1"/>
    <col min="10" max="10" width="16.28125" style="96" hidden="1" customWidth="1"/>
    <col min="11" max="11" width="2.8515625" style="76" hidden="1" customWidth="1"/>
    <col min="12" max="12" width="1.421875" style="75" customWidth="1"/>
    <col min="13" max="13" width="13.140625" style="75" bestFit="1" customWidth="1"/>
    <col min="14" max="14" width="13.8515625" style="76" bestFit="1" customWidth="1"/>
    <col min="15" max="15" width="9.8515625" style="76" bestFit="1" customWidth="1"/>
    <col min="16" max="16" width="9.140625" style="76" customWidth="1"/>
    <col min="17" max="17" width="13.140625" style="76" bestFit="1" customWidth="1"/>
    <col min="18" max="16384" width="9.140625" style="76" customWidth="1"/>
  </cols>
  <sheetData>
    <row r="1" ht="15.75">
      <c r="A1" s="29" t="s">
        <v>785</v>
      </c>
    </row>
    <row r="2" ht="15.75">
      <c r="A2" s="98" t="s">
        <v>25</v>
      </c>
    </row>
    <row r="3" spans="1:13" s="73" customFormat="1" ht="15.75">
      <c r="A3" s="99" t="s">
        <v>817</v>
      </c>
      <c r="D3" s="100"/>
      <c r="E3" s="100"/>
      <c r="F3" s="100"/>
      <c r="G3" s="100"/>
      <c r="H3" s="100"/>
      <c r="I3" s="101"/>
      <c r="J3" s="100"/>
      <c r="L3" s="95"/>
      <c r="M3" s="95"/>
    </row>
    <row r="4" spans="1:13" s="73" customFormat="1" ht="15.75">
      <c r="A4" s="77" t="s">
        <v>97</v>
      </c>
      <c r="D4" s="100"/>
      <c r="E4" s="100"/>
      <c r="F4" s="100"/>
      <c r="G4" s="100"/>
      <c r="H4" s="100"/>
      <c r="I4" s="101"/>
      <c r="J4" s="100"/>
      <c r="L4" s="95"/>
      <c r="M4" s="95"/>
    </row>
    <row r="5" spans="4:13" s="73" customFormat="1" ht="15.75">
      <c r="D5" s="103"/>
      <c r="E5" s="103"/>
      <c r="F5" s="103"/>
      <c r="G5" s="103"/>
      <c r="H5" s="103"/>
      <c r="I5" s="101"/>
      <c r="J5" s="103"/>
      <c r="L5" s="95"/>
      <c r="M5" s="95"/>
    </row>
    <row r="6" spans="2:13" s="73" customFormat="1" ht="16.5" customHeight="1" thickBot="1">
      <c r="B6" s="102"/>
      <c r="C6" s="104" t="s">
        <v>811</v>
      </c>
      <c r="D6" s="104" t="s">
        <v>799</v>
      </c>
      <c r="E6" s="104" t="s">
        <v>777</v>
      </c>
      <c r="F6" s="104" t="s">
        <v>559</v>
      </c>
      <c r="G6" s="104" t="s">
        <v>547</v>
      </c>
      <c r="H6" s="104" t="s">
        <v>94</v>
      </c>
      <c r="I6" s="101"/>
      <c r="J6" s="104" t="s">
        <v>96</v>
      </c>
      <c r="L6" s="95"/>
      <c r="M6" s="95"/>
    </row>
    <row r="7" spans="1:13" s="73" customFormat="1" ht="16.5" thickTop="1">
      <c r="A7" s="78" t="s">
        <v>26</v>
      </c>
      <c r="D7" s="103"/>
      <c r="E7" s="103"/>
      <c r="F7" s="103"/>
      <c r="G7" s="103"/>
      <c r="H7" s="103"/>
      <c r="I7" s="101"/>
      <c r="J7" s="103"/>
      <c r="L7" s="95"/>
      <c r="M7" s="95"/>
    </row>
    <row r="8" spans="2:13" s="73" customFormat="1" ht="15.75">
      <c r="B8" s="73" t="s">
        <v>27</v>
      </c>
      <c r="C8" s="105">
        <f>+'ardh-shpenz'!D23</f>
        <v>1644159.6900000041</v>
      </c>
      <c r="D8" s="105">
        <f>+'ardh-shpenz'!E23</f>
        <v>4647400</v>
      </c>
      <c r="E8" s="105">
        <f>+'ardh-shpenz'!F23</f>
        <v>4031749</v>
      </c>
      <c r="F8" s="105">
        <f>+'ardh-shpenz'!G23</f>
        <v>6881468.499999967</v>
      </c>
      <c r="G8" s="105">
        <f>+'ardh-shpenz'!H23</f>
        <v>2146124.86</v>
      </c>
      <c r="H8" s="105">
        <f>+'ardh-shpenz'!I23</f>
        <v>3303666</v>
      </c>
      <c r="I8" s="101"/>
      <c r="J8" s="105">
        <f>+'ardh-shpenz'!K23</f>
        <v>0</v>
      </c>
      <c r="L8" s="95"/>
      <c r="M8" s="95"/>
    </row>
    <row r="9" spans="2:13" s="73" customFormat="1" ht="15.75">
      <c r="B9" s="73" t="s">
        <v>28</v>
      </c>
      <c r="D9" s="105"/>
      <c r="E9" s="105"/>
      <c r="F9" s="105"/>
      <c r="G9" s="105"/>
      <c r="H9" s="105"/>
      <c r="I9" s="101"/>
      <c r="J9" s="100"/>
      <c r="L9" s="95"/>
      <c r="M9" s="95"/>
    </row>
    <row r="10" spans="2:13" s="73" customFormat="1" ht="15.75">
      <c r="B10" s="73" t="s">
        <v>29</v>
      </c>
      <c r="C10" s="105">
        <f>-'ardh-shpenz'!D15</f>
        <v>7382851</v>
      </c>
      <c r="D10" s="105">
        <f>-'ardh-shpenz'!E15</f>
        <v>13626452</v>
      </c>
      <c r="E10" s="105">
        <f>-'ardh-shpenz'!F15</f>
        <v>10873215</v>
      </c>
      <c r="F10" s="105">
        <f>-'ardh-shpenz'!G15</f>
        <v>14982322</v>
      </c>
      <c r="G10" s="105">
        <f>-'ardh-shpenz'!H15</f>
        <v>3789536</v>
      </c>
      <c r="H10" s="105">
        <f>-'ardh-shpenz'!I15</f>
        <v>4906625</v>
      </c>
      <c r="I10" s="101"/>
      <c r="J10" s="105">
        <f>-'ardh-shpenz'!K15</f>
        <v>0</v>
      </c>
      <c r="L10" s="95"/>
      <c r="M10" s="95"/>
    </row>
    <row r="11" spans="2:16" s="73" customFormat="1" ht="15.75">
      <c r="B11" s="73" t="s">
        <v>30</v>
      </c>
      <c r="C11" s="105">
        <f>+'BK'!F27-'BK'!D27+'BK'!D51-'BK'!F51</f>
        <v>0</v>
      </c>
      <c r="D11" s="105">
        <f>+'BK'!G27-'BK'!E27+'BK'!E51-'BK'!G51</f>
        <v>0</v>
      </c>
      <c r="E11" s="105">
        <f>+'BK'!H27-'BK'!F27+'BK'!F51-'BK'!H51</f>
        <v>0</v>
      </c>
      <c r="F11" s="105">
        <f>+'BK'!I27-'BK'!G27+'BK'!G51-'BK'!I51</f>
        <v>0</v>
      </c>
      <c r="G11" s="105">
        <f>+'BK'!J27-'BK'!H27+'BK'!H51-'BK'!J51</f>
        <v>0</v>
      </c>
      <c r="H11" s="105">
        <f>+'BK'!K27-'BK'!I27+'BK'!I51-'BK'!K51</f>
        <v>0</v>
      </c>
      <c r="I11" s="101"/>
      <c r="J11" s="105" t="e">
        <f>+'BK'!M27-'BK'!K27+'BK'!K51-'BK'!M51</f>
        <v>#REF!</v>
      </c>
      <c r="L11" s="95"/>
      <c r="M11" s="95"/>
      <c r="P11" s="105"/>
    </row>
    <row r="12" spans="2:13" s="73" customFormat="1" ht="15.75">
      <c r="B12" s="73" t="s">
        <v>31</v>
      </c>
      <c r="D12" s="103"/>
      <c r="E12" s="103"/>
      <c r="F12" s="103"/>
      <c r="G12" s="103"/>
      <c r="H12" s="103"/>
      <c r="I12" s="101"/>
      <c r="J12" s="103"/>
      <c r="L12" s="100"/>
      <c r="M12" s="95"/>
    </row>
    <row r="13" spans="2:13" s="73" customFormat="1" ht="15.75">
      <c r="B13" s="73" t="s">
        <v>32</v>
      </c>
      <c r="D13" s="103"/>
      <c r="E13" s="103"/>
      <c r="F13" s="103"/>
      <c r="G13" s="103"/>
      <c r="H13" s="103"/>
      <c r="I13" s="101"/>
      <c r="J13" s="103"/>
      <c r="L13" s="95"/>
      <c r="M13" s="95"/>
    </row>
    <row r="14" spans="2:13" s="73" customFormat="1" ht="15.75">
      <c r="B14" s="102"/>
      <c r="C14" s="102"/>
      <c r="D14" s="103"/>
      <c r="E14" s="103"/>
      <c r="F14" s="103"/>
      <c r="G14" s="103"/>
      <c r="H14" s="103"/>
      <c r="I14" s="101"/>
      <c r="J14" s="103"/>
      <c r="L14" s="95"/>
      <c r="M14" s="95"/>
    </row>
    <row r="15" spans="2:13" s="73" customFormat="1" ht="31.5">
      <c r="B15" s="106" t="s">
        <v>89</v>
      </c>
      <c r="C15" s="100">
        <f>+'BK'!F12-'BK'!D12+'BK'!F13-'BK'!D13+'BK'!F25-'BK'!D25+'BK'!F26-'BK'!D26</f>
        <v>-101087239.33</v>
      </c>
      <c r="D15" s="100">
        <f>+'BK'!G12-'BK'!E12+'BK'!G13-'BK'!E13+'BK'!G25-'BK'!E25+'BK'!G26-'BK'!E26</f>
        <v>26681898.100000016</v>
      </c>
      <c r="E15" s="100">
        <f>+'BK'!H12-'BK'!F12+'BK'!H13-'BK'!F13+'BK'!H25-'BK'!F25+'BK'!H26-'BK'!F26</f>
        <v>-31871587</v>
      </c>
      <c r="F15" s="100">
        <f>+'BK'!I12-'BK'!G12+'BK'!I13-'BK'!G13+'BK'!I25-'BK'!G25+'BK'!I26-'BK'!G26</f>
        <v>-152869483.10000002</v>
      </c>
      <c r="G15" s="100">
        <f>+'BK'!J12-'BK'!H12+'BK'!J13-'BK'!H13+'BK'!J25-'BK'!H25+'BK'!J26-'BK'!H26</f>
        <v>-144767670</v>
      </c>
      <c r="H15" s="100">
        <f>+'BK'!K12-'BK'!I12+'BK'!K13-'BK'!I13+'BK'!K25-'BK'!I25+'BK'!K26-'BK'!I26</f>
        <v>-19954736</v>
      </c>
      <c r="I15" s="107"/>
      <c r="J15" s="100" t="e">
        <f>+'BK'!M12-'BK'!K12+'BK'!M13-'BK'!K13+'BK'!M25-'BK'!K25+'BK'!M26-'BK'!K26</f>
        <v>#REF!</v>
      </c>
      <c r="L15" s="95"/>
      <c r="M15" s="95"/>
    </row>
    <row r="16" spans="4:13" s="73" customFormat="1" ht="15.75">
      <c r="D16" s="103"/>
      <c r="E16" s="103"/>
      <c r="F16" s="103"/>
      <c r="G16" s="103"/>
      <c r="H16" s="103"/>
      <c r="I16" s="108"/>
      <c r="J16" s="103"/>
      <c r="L16" s="95"/>
      <c r="M16" s="95"/>
    </row>
    <row r="17" spans="2:13" s="73" customFormat="1" ht="15.75">
      <c r="B17" s="73" t="s">
        <v>33</v>
      </c>
      <c r="C17" s="105">
        <f>+'BK'!F18+'BK'!F19+'BK'!F20+'BK'!F21+'BK'!F22-'BK'!D22-'BK'!D21-'BK'!D20-'BK'!D19-'BK'!D18</f>
        <v>-1471719</v>
      </c>
      <c r="D17" s="105">
        <f>+'BK'!G18+'BK'!G19+'BK'!G20+'BK'!G21+'BK'!G22-'BK'!E22-'BK'!E21-'BK'!E20-'BK'!E19-'BK'!E18</f>
        <v>-5364543</v>
      </c>
      <c r="E17" s="105">
        <f>+'BK'!H18+'BK'!H19+'BK'!H20+'BK'!H21+'BK'!H22-'BK'!F22-'BK'!F21-'BK'!F20-'BK'!F19-'BK'!F18</f>
        <v>47983</v>
      </c>
      <c r="F17" s="105">
        <f>+'BK'!I18+'BK'!I19+'BK'!I20+'BK'!I21+'BK'!I22-'BK'!G22-'BK'!G21-'BK'!G20-'BK'!G19-'BK'!G18</f>
        <v>388386</v>
      </c>
      <c r="G17" s="105">
        <f>+'BK'!J18+'BK'!J19+'BK'!J20+'BK'!J21+'BK'!J22-'BK'!H22-'BK'!H21-'BK'!H20-'BK'!H19-'BK'!H18</f>
        <v>-47983</v>
      </c>
      <c r="H17" s="105">
        <f>+'BK'!K18+'BK'!K19+'BK'!K20+'BK'!K21+'BK'!K22-'BK'!I22-'BK'!I21-'BK'!I20-'BK'!I19-'BK'!I18</f>
        <v>-388386</v>
      </c>
      <c r="I17" s="109"/>
      <c r="J17" s="105" t="e">
        <f>+'BK'!M18+'BK'!M19+'BK'!M20+'BK'!M21+'BK'!M22-'BK'!K22-'BK'!K21-'BK'!K20-'BK'!K19-'BK'!K18</f>
        <v>#REF!</v>
      </c>
      <c r="L17" s="95"/>
      <c r="M17" s="95"/>
    </row>
    <row r="18" spans="2:13" s="73" customFormat="1" ht="15.75">
      <c r="B18" s="73" t="s">
        <v>130</v>
      </c>
      <c r="C18" s="100">
        <f>'BK'!D43-'BK'!F43+'BK'!D45-'BK'!F45+'BK'!D46-'BK'!F46+'BK'!D47-'BK'!F47+'BK'!D48-'BK'!F48+'BK'!D49-'BK'!F49+'BK'!D50-'BK'!F50-C21+'ardh-shpenz'!D25</f>
        <v>112777442.692</v>
      </c>
      <c r="D18" s="100">
        <f>'BK'!E43-'BK'!G43+'BK'!E45-'BK'!G45+'BK'!E46-'BK'!G46+'BK'!E47-'BK'!G47+'BK'!E48-'BK'!G48+'BK'!E49-'BK'!G49+'BK'!E50-'BK'!G50-D21+'ardh-shpenz'!E25</f>
        <v>-7469951.310000026</v>
      </c>
      <c r="E18" s="100">
        <f>'BK'!F43-'BK'!H43+'BK'!F45-'BK'!H45+'BK'!F46-'BK'!H46+'BK'!F47-'BK'!H47+'BK'!F48-'BK'!H48+'BK'!F49-'BK'!H49+'BK'!F50-'BK'!H50-E21+'ardh-shpenz'!F25</f>
        <v>-70744687.6</v>
      </c>
      <c r="F18" s="100">
        <f>'BK'!G43-'BK'!I43+'BK'!G45-'BK'!I45+'BK'!G46-'BK'!I46+'BK'!G47-'BK'!I47+'BK'!G48-'BK'!I48+'BK'!G49-'BK'!I49+'BK'!G50-'BK'!I50-F21+'ardh-shpenz'!G25</f>
        <v>138407140.36</v>
      </c>
      <c r="G18" s="100">
        <f>'BK'!H43-'BK'!J43+'BK'!H45-'BK'!J45+'BK'!H46-'BK'!J46+'BK'!H47-'BK'!J47+'BK'!H48-'BK'!J48+'BK'!H49-'BK'!J49+'BK'!H50-'BK'!J50-G21+'ardh-shpenz'!H25</f>
        <v>279291726</v>
      </c>
      <c r="H18" s="100">
        <f>'BK'!I43-'BK'!K43+'BK'!I45-'BK'!K45+'BK'!I46-'BK'!K46+'BK'!I47-'BK'!K47+'BK'!I48-'BK'!K48+'BK'!I49-'BK'!K49+'BK'!I50-'BK'!K50-H21+'ardh-shpenz'!I25</f>
        <v>77072427</v>
      </c>
      <c r="I18" s="107"/>
      <c r="J18" s="100" t="e">
        <f>'BK'!K43-'BK'!M43+'BK'!K45-'BK'!M45+'BK'!K46-'BK'!M46+'BK'!K47-'BK'!M47+'BK'!K48-'BK'!M48+'BK'!K49-'BK'!M49+'BK'!K50-'BK'!M50-J21+'ardh-shpenz'!K25</f>
        <v>#REF!</v>
      </c>
      <c r="L18" s="95"/>
      <c r="M18" s="95"/>
    </row>
    <row r="19" spans="2:17" s="73" customFormat="1" ht="15.75">
      <c r="B19" s="99" t="s">
        <v>34</v>
      </c>
      <c r="C19" s="110">
        <f aca="true" t="shared" si="0" ref="C19:H19">SUM(C8:C18)</f>
        <v>19245495.052000016</v>
      </c>
      <c r="D19" s="110">
        <f t="shared" si="0"/>
        <v>32121255.78999999</v>
      </c>
      <c r="E19" s="110">
        <f t="shared" si="0"/>
        <v>-87663327.6</v>
      </c>
      <c r="F19" s="110">
        <f t="shared" si="0"/>
        <v>7789833.759999961</v>
      </c>
      <c r="G19" s="110">
        <f t="shared" si="0"/>
        <v>140411733.86</v>
      </c>
      <c r="H19" s="110">
        <f t="shared" si="0"/>
        <v>64939596</v>
      </c>
      <c r="I19" s="111"/>
      <c r="J19" s="110" t="e">
        <f>SUM(J8:J18)</f>
        <v>#REF!</v>
      </c>
      <c r="L19" s="95"/>
      <c r="M19" s="95"/>
      <c r="Q19" s="112"/>
    </row>
    <row r="20" spans="2:13" s="73" customFormat="1" ht="12.75" customHeight="1">
      <c r="B20" s="73" t="s">
        <v>16</v>
      </c>
      <c r="D20" s="103"/>
      <c r="E20" s="103"/>
      <c r="F20" s="103"/>
      <c r="G20" s="103"/>
      <c r="H20" s="103"/>
      <c r="I20" s="108"/>
      <c r="J20" s="103"/>
      <c r="L20" s="95"/>
      <c r="M20" s="95"/>
    </row>
    <row r="21" spans="2:13" s="73" customFormat="1" ht="12.75" customHeight="1">
      <c r="B21" s="73" t="s">
        <v>17</v>
      </c>
      <c r="C21" s="105">
        <v>-543221</v>
      </c>
      <c r="D21" s="105">
        <v>-543221</v>
      </c>
      <c r="E21" s="105">
        <v>-543221</v>
      </c>
      <c r="F21" s="105">
        <v>-407769</v>
      </c>
      <c r="G21" s="105">
        <v>-176936</v>
      </c>
      <c r="H21" s="105">
        <v>-176936</v>
      </c>
      <c r="I21" s="108"/>
      <c r="J21" s="105">
        <v>-1000000</v>
      </c>
      <c r="L21" s="95"/>
      <c r="M21" s="95"/>
    </row>
    <row r="22" spans="4:13" s="73" customFormat="1" ht="15.75">
      <c r="D22" s="103"/>
      <c r="E22" s="103"/>
      <c r="F22" s="103"/>
      <c r="G22" s="103"/>
      <c r="H22" s="103"/>
      <c r="I22" s="108"/>
      <c r="J22" s="103"/>
      <c r="L22" s="95"/>
      <c r="M22" s="95"/>
    </row>
    <row r="23" spans="1:13" s="73" customFormat="1" ht="15.75">
      <c r="A23" s="113" t="s">
        <v>18</v>
      </c>
      <c r="C23" s="114">
        <f aca="true" t="shared" si="1" ref="C23:H23">SUM(C19:C22)</f>
        <v>18702274.052000016</v>
      </c>
      <c r="D23" s="114">
        <f t="shared" si="1"/>
        <v>31578034.78999999</v>
      </c>
      <c r="E23" s="114">
        <f t="shared" si="1"/>
        <v>-88206548.6</v>
      </c>
      <c r="F23" s="114">
        <f t="shared" si="1"/>
        <v>7382064.759999961</v>
      </c>
      <c r="G23" s="114">
        <f t="shared" si="1"/>
        <v>140234797.86</v>
      </c>
      <c r="H23" s="114">
        <f t="shared" si="1"/>
        <v>64762660</v>
      </c>
      <c r="I23" s="108"/>
      <c r="J23" s="114" t="e">
        <f>SUM(J19:J22)</f>
        <v>#REF!</v>
      </c>
      <c r="L23" s="95"/>
      <c r="M23" s="95"/>
    </row>
    <row r="24" spans="1:13" s="73" customFormat="1" ht="15.75">
      <c r="A24" s="113"/>
      <c r="D24" s="100"/>
      <c r="E24" s="100"/>
      <c r="F24" s="100"/>
      <c r="G24" s="100"/>
      <c r="H24" s="100"/>
      <c r="I24" s="108"/>
      <c r="J24" s="100"/>
      <c r="L24" s="95"/>
      <c r="M24" s="95"/>
    </row>
    <row r="25" spans="2:13" s="73" customFormat="1" ht="15.75">
      <c r="B25" s="73" t="s">
        <v>35</v>
      </c>
      <c r="D25" s="100"/>
      <c r="E25" s="100"/>
      <c r="F25" s="100"/>
      <c r="G25" s="100"/>
      <c r="H25" s="100"/>
      <c r="I25" s="108"/>
      <c r="J25" s="100"/>
      <c r="L25" s="95"/>
      <c r="M25" s="95"/>
    </row>
    <row r="26" spans="2:13" s="73" customFormat="1" ht="15.75">
      <c r="B26" s="73" t="s">
        <v>36</v>
      </c>
      <c r="C26" s="105">
        <f>-'BK'!D33+'BK'!F33+'ardh-shpenz'!D15</f>
        <v>-22963350</v>
      </c>
      <c r="D26" s="105">
        <f>-'BK'!E33+'BK'!G33+'ardh-shpenz'!E15</f>
        <v>-35579697.730000004</v>
      </c>
      <c r="E26" s="105">
        <f>-'BK'!F33+'BK'!H33+'ardh-shpenz'!F15</f>
        <v>19920539</v>
      </c>
      <c r="F26" s="105">
        <f>-'BK'!G33+'BK'!I33+'ardh-shpenz'!G15</f>
        <v>-10617248.269999996</v>
      </c>
      <c r="G26" s="105">
        <f>-'BK'!H33+'BK'!J33+'ardh-shpenz'!H15</f>
        <v>-77792746</v>
      </c>
      <c r="H26" s="105">
        <f>-'BK'!I33+'BK'!K33+'ardh-shpenz'!I15</f>
        <v>-60749370</v>
      </c>
      <c r="I26" s="111"/>
      <c r="J26" s="105" t="e">
        <f>-'BK'!K33+'BK'!M33+'ardh-shpenz'!K15</f>
        <v>#REF!</v>
      </c>
      <c r="L26" s="95"/>
      <c r="M26" s="95"/>
    </row>
    <row r="27" spans="2:13" s="73" customFormat="1" ht="15.75">
      <c r="B27" s="73" t="s">
        <v>37</v>
      </c>
      <c r="D27" s="103"/>
      <c r="E27" s="103"/>
      <c r="F27" s="103"/>
      <c r="G27" s="103"/>
      <c r="H27" s="103"/>
      <c r="I27" s="108"/>
      <c r="J27" s="103"/>
      <c r="L27" s="95"/>
      <c r="M27" s="95"/>
    </row>
    <row r="28" spans="2:13" s="73" customFormat="1" ht="12.75" customHeight="1">
      <c r="B28" s="73" t="s">
        <v>19</v>
      </c>
      <c r="D28" s="103"/>
      <c r="E28" s="103"/>
      <c r="F28" s="103"/>
      <c r="G28" s="103"/>
      <c r="H28" s="103"/>
      <c r="I28" s="108"/>
      <c r="J28" s="103"/>
      <c r="L28" s="95"/>
      <c r="M28" s="95"/>
    </row>
    <row r="29" spans="2:13" s="73" customFormat="1" ht="12.75" customHeight="1">
      <c r="B29" s="73" t="s">
        <v>20</v>
      </c>
      <c r="D29" s="115"/>
      <c r="E29" s="115"/>
      <c r="F29" s="115"/>
      <c r="G29" s="115"/>
      <c r="H29" s="115"/>
      <c r="I29" s="108"/>
      <c r="J29" s="103"/>
      <c r="L29" s="95"/>
      <c r="M29" s="95"/>
    </row>
    <row r="30" spans="2:13" s="73" customFormat="1" ht="15.75">
      <c r="B30" s="102"/>
      <c r="C30" s="102"/>
      <c r="D30" s="103"/>
      <c r="E30" s="103"/>
      <c r="F30" s="103"/>
      <c r="G30" s="103"/>
      <c r="H30" s="103"/>
      <c r="I30" s="108"/>
      <c r="J30" s="103"/>
      <c r="L30" s="95"/>
      <c r="M30" s="95"/>
    </row>
    <row r="31" spans="2:13" s="73" customFormat="1" ht="15.75">
      <c r="B31" s="74" t="s">
        <v>90</v>
      </c>
      <c r="C31" s="114">
        <f aca="true" t="shared" si="2" ref="C31:H31">SUM(C25:C29)</f>
        <v>-22963350</v>
      </c>
      <c r="D31" s="114">
        <f t="shared" si="2"/>
        <v>-35579697.730000004</v>
      </c>
      <c r="E31" s="114">
        <f t="shared" si="2"/>
        <v>19920539</v>
      </c>
      <c r="F31" s="114">
        <f t="shared" si="2"/>
        <v>-10617248.269999996</v>
      </c>
      <c r="G31" s="114">
        <f t="shared" si="2"/>
        <v>-77792746</v>
      </c>
      <c r="H31" s="114">
        <f t="shared" si="2"/>
        <v>-60749370</v>
      </c>
      <c r="I31" s="108"/>
      <c r="J31" s="114" t="e">
        <f>SUM(J25:J29)</f>
        <v>#REF!</v>
      </c>
      <c r="L31" s="95"/>
      <c r="M31" s="95"/>
    </row>
    <row r="32" spans="2:13" s="73" customFormat="1" ht="15.75">
      <c r="B32" s="102"/>
      <c r="C32" s="102"/>
      <c r="D32" s="103"/>
      <c r="E32" s="103"/>
      <c r="F32" s="103"/>
      <c r="G32" s="103"/>
      <c r="H32" s="103"/>
      <c r="I32" s="108"/>
      <c r="J32" s="103"/>
      <c r="L32" s="95"/>
      <c r="M32" s="95"/>
    </row>
    <row r="33" spans="2:13" s="73" customFormat="1" ht="15.75">
      <c r="B33" s="73" t="s">
        <v>92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8"/>
      <c r="J33" s="100">
        <v>0</v>
      </c>
      <c r="L33" s="95"/>
      <c r="M33" s="95"/>
    </row>
    <row r="34" spans="2:13" s="73" customFormat="1" ht="15.75">
      <c r="B34" s="73" t="s">
        <v>21</v>
      </c>
      <c r="D34" s="100"/>
      <c r="E34" s="100"/>
      <c r="F34" s="100"/>
      <c r="G34" s="100"/>
      <c r="H34" s="100"/>
      <c r="I34" s="108"/>
      <c r="J34" s="100"/>
      <c r="L34" s="95"/>
      <c r="M34" s="95"/>
    </row>
    <row r="35" spans="2:13" s="73" customFormat="1" ht="15.75">
      <c r="B35" s="73" t="s">
        <v>38</v>
      </c>
      <c r="C35" s="105">
        <f>+'BK'!D57-'BK'!F57</f>
        <v>0</v>
      </c>
      <c r="D35" s="105">
        <f>+'BK'!E57-'BK'!G57</f>
        <v>0</v>
      </c>
      <c r="E35" s="105">
        <f>+'BK'!F57-'BK'!H57</f>
        <v>0</v>
      </c>
      <c r="F35" s="105">
        <f>+'BK'!G57-'BK'!I57</f>
        <v>0</v>
      </c>
      <c r="G35" s="105">
        <f>+'BK'!H57-'BK'!J57</f>
        <v>0</v>
      </c>
      <c r="H35" s="105">
        <f>+'BK'!I57-'BK'!K57</f>
        <v>0</v>
      </c>
      <c r="I35" s="108"/>
      <c r="J35" s="105" t="e">
        <f>+'BK'!K57-'BK'!M57</f>
        <v>#REF!</v>
      </c>
      <c r="L35" s="105"/>
      <c r="M35" s="95"/>
    </row>
    <row r="36" spans="2:13" s="73" customFormat="1" ht="15.75">
      <c r="B36" s="73" t="s">
        <v>22</v>
      </c>
      <c r="D36" s="103"/>
      <c r="E36" s="103"/>
      <c r="F36" s="103"/>
      <c r="G36" s="103"/>
      <c r="H36" s="103"/>
      <c r="I36" s="108"/>
      <c r="J36" s="103"/>
      <c r="L36" s="95"/>
      <c r="M36" s="95"/>
    </row>
    <row r="37" spans="2:13" s="73" customFormat="1" ht="15.75" customHeight="1">
      <c r="B37" s="73" t="s">
        <v>39</v>
      </c>
      <c r="C37" s="116">
        <f>+'BK'!D64+'BK'!D65+'BK'!D66+'BK'!D67+'BK'!D68+'BK'!D69-'BK'!F64-'BK'!F65-'BK'!F66-'BK'!F67-'BK'!F68-'BK'!F69+-'BK'!F70</f>
        <v>4125821.6</v>
      </c>
      <c r="D37" s="116">
        <f>+'BK'!E64+'BK'!E65+'BK'!E66+'BK'!E67+'BK'!E68+'BK'!E69-'BK'!G64-'BK'!G65-'BK'!G66-'BK'!G67-'BK'!G68-'BK'!G69+-'BK'!G70</f>
        <v>3471503.7300000004</v>
      </c>
      <c r="E37" s="116">
        <f>+'BK'!F64+'BK'!F65+'BK'!F66+'BK'!F67+'BK'!F68+'BK'!F69-'BK'!H64-'BK'!H65-'BK'!H66-'BK'!H67-'BK'!H68-'BK'!H69+-'BK'!H70</f>
        <v>6153120</v>
      </c>
      <c r="F37" s="116">
        <f>+'BK'!G64+'BK'!G65+'BK'!G66+'BK'!G67+'BK'!G68+'BK'!G69-'BK'!I64-'BK'!I65-'BK'!I66-'BK'!I67-'BK'!I68-'BK'!I69+-'BK'!I70</f>
        <v>1931512</v>
      </c>
      <c r="G37" s="116">
        <f>+'BK'!H64+'BK'!H65+'BK'!H66+'BK'!H67+'BK'!H68+'BK'!H69-'BK'!J64-'BK'!J65-'BK'!J66-'BK'!J67-'BK'!J68-'BK'!J69+-'BK'!J70</f>
        <v>1230850</v>
      </c>
      <c r="H37" s="116">
        <f>+'BK'!I64+'BK'!I65+'BK'!I66+'BK'!I67+'BK'!I68+'BK'!I69-'BK'!K64-'BK'!K65-'BK'!K66-'BK'!K67-'BK'!K68-'BK'!K69+-'BK'!K70</f>
        <v>0</v>
      </c>
      <c r="I37" s="111"/>
      <c r="J37" s="105">
        <v>0</v>
      </c>
      <c r="L37" s="95"/>
      <c r="M37" s="95"/>
    </row>
    <row r="38" spans="2:13" s="73" customFormat="1" ht="15.75">
      <c r="B38" s="102"/>
      <c r="C38" s="102"/>
      <c r="D38" s="103"/>
      <c r="E38" s="103"/>
      <c r="F38" s="103"/>
      <c r="G38" s="103"/>
      <c r="H38" s="103"/>
      <c r="I38" s="108"/>
      <c r="J38" s="103"/>
      <c r="L38" s="95"/>
      <c r="M38" s="95"/>
    </row>
    <row r="39" spans="2:14" s="73" customFormat="1" ht="15.75">
      <c r="B39" s="74" t="s">
        <v>131</v>
      </c>
      <c r="C39" s="114">
        <f aca="true" t="shared" si="3" ref="C39:H39">SUM(C33:C38)</f>
        <v>4125821.6</v>
      </c>
      <c r="D39" s="114">
        <f t="shared" si="3"/>
        <v>3471503.7300000004</v>
      </c>
      <c r="E39" s="114">
        <f t="shared" si="3"/>
        <v>6153120</v>
      </c>
      <c r="F39" s="114">
        <f t="shared" si="3"/>
        <v>1931512</v>
      </c>
      <c r="G39" s="114">
        <f t="shared" si="3"/>
        <v>1230850</v>
      </c>
      <c r="H39" s="114">
        <f t="shared" si="3"/>
        <v>0</v>
      </c>
      <c r="I39" s="108"/>
      <c r="J39" s="114" t="e">
        <f>SUM(J33:J38)</f>
        <v>#REF!</v>
      </c>
      <c r="L39" s="95"/>
      <c r="M39" s="95"/>
      <c r="N39" s="112"/>
    </row>
    <row r="40" spans="2:13" s="73" customFormat="1" ht="15.75">
      <c r="B40" s="102"/>
      <c r="C40" s="102"/>
      <c r="D40" s="103"/>
      <c r="E40" s="103"/>
      <c r="F40" s="103"/>
      <c r="G40" s="103"/>
      <c r="H40" s="103"/>
      <c r="I40" s="108"/>
      <c r="J40" s="103"/>
      <c r="L40" s="95"/>
      <c r="M40" s="100"/>
    </row>
    <row r="41" spans="2:13" s="73" customFormat="1" ht="15.75">
      <c r="B41" s="113" t="s">
        <v>23</v>
      </c>
      <c r="C41" s="117">
        <f aca="true" t="shared" si="4" ref="C41:H41">+C39+C23+C31</f>
        <v>-135254.34799998254</v>
      </c>
      <c r="D41" s="117">
        <f t="shared" si="4"/>
        <v>-530159.2100000083</v>
      </c>
      <c r="E41" s="117">
        <f t="shared" si="4"/>
        <v>-62132889.599999994</v>
      </c>
      <c r="F41" s="117">
        <f t="shared" si="4"/>
        <v>-1303671.5100000352</v>
      </c>
      <c r="G41" s="117">
        <f t="shared" si="4"/>
        <v>63672901.860000014</v>
      </c>
      <c r="H41" s="117">
        <f t="shared" si="4"/>
        <v>4013290</v>
      </c>
      <c r="I41" s="108"/>
      <c r="J41" s="117" t="e">
        <f>+J39+J23+J31</f>
        <v>#REF!</v>
      </c>
      <c r="L41" s="95"/>
      <c r="M41" s="100"/>
    </row>
    <row r="42" spans="2:13" s="73" customFormat="1" ht="15.75">
      <c r="B42" s="113"/>
      <c r="C42" s="113"/>
      <c r="D42" s="105"/>
      <c r="E42" s="105"/>
      <c r="F42" s="105"/>
      <c r="G42" s="105"/>
      <c r="H42" s="105"/>
      <c r="I42" s="108"/>
      <c r="J42" s="105"/>
      <c r="L42" s="95"/>
      <c r="M42" s="95"/>
    </row>
    <row r="43" spans="2:13" s="73" customFormat="1" ht="15.75">
      <c r="B43" s="113" t="s">
        <v>91</v>
      </c>
      <c r="C43" s="118">
        <f>+D44</f>
        <v>440160</v>
      </c>
      <c r="D43" s="118">
        <f>+E44</f>
        <v>1540012.4</v>
      </c>
      <c r="E43" s="118">
        <f>+F44</f>
        <v>970319.21</v>
      </c>
      <c r="F43" s="118">
        <f>+G44</f>
        <v>817141</v>
      </c>
      <c r="G43" s="118">
        <f>+H44</f>
        <v>2188575</v>
      </c>
      <c r="H43" s="118">
        <f>+J44</f>
        <v>0</v>
      </c>
      <c r="I43" s="119"/>
      <c r="J43" s="118" t="e">
        <f>+'BK'!M8</f>
        <v>#REF!</v>
      </c>
      <c r="L43" s="95"/>
      <c r="M43" s="95"/>
    </row>
    <row r="44" spans="2:13" s="73" customFormat="1" ht="15.75">
      <c r="B44" s="113" t="s">
        <v>24</v>
      </c>
      <c r="C44" s="120">
        <f>+'BK'!D8</f>
        <v>1404758.05</v>
      </c>
      <c r="D44" s="120">
        <f>+'BK'!E8</f>
        <v>440160</v>
      </c>
      <c r="E44" s="120">
        <f>+'BK'!F8</f>
        <v>1540012.4</v>
      </c>
      <c r="F44" s="120">
        <f>+'BK'!G8</f>
        <v>970319.21</v>
      </c>
      <c r="G44" s="120">
        <f>+'BK'!H8</f>
        <v>817141</v>
      </c>
      <c r="H44" s="120">
        <f>+'BK'!I8</f>
        <v>2188575</v>
      </c>
      <c r="I44" s="121"/>
      <c r="J44" s="120">
        <f>+'BK'!K8</f>
        <v>0</v>
      </c>
      <c r="L44" s="95"/>
      <c r="M44" s="95"/>
    </row>
    <row r="45" spans="4:13" s="73" customFormat="1" ht="15.75">
      <c r="D45" s="100"/>
      <c r="E45" s="100"/>
      <c r="F45" s="100"/>
      <c r="G45" s="100"/>
      <c r="H45" s="100"/>
      <c r="I45" s="101"/>
      <c r="J45" s="100"/>
      <c r="L45" s="95"/>
      <c r="M45" s="95"/>
    </row>
    <row r="46" spans="4:13" s="73" customFormat="1" ht="15.75">
      <c r="D46" s="100"/>
      <c r="E46" s="100"/>
      <c r="F46" s="100"/>
      <c r="G46" s="100"/>
      <c r="H46" s="100"/>
      <c r="I46" s="107"/>
      <c r="J46" s="100"/>
      <c r="L46" s="95"/>
      <c r="M46" s="95"/>
    </row>
    <row r="49" spans="2:3" ht="15.75">
      <c r="B49" s="90"/>
      <c r="C49" s="90"/>
    </row>
    <row r="50" spans="2:10" ht="15.75">
      <c r="B50" s="86" t="s">
        <v>762</v>
      </c>
      <c r="C50" s="86"/>
      <c r="D50" s="548" t="s">
        <v>448</v>
      </c>
      <c r="E50" s="19"/>
      <c r="F50" s="92"/>
      <c r="G50" s="92"/>
      <c r="H50" s="92"/>
      <c r="I50" s="93" t="s">
        <v>448</v>
      </c>
      <c r="J50" s="92"/>
    </row>
    <row r="51" spans="2:10" ht="15.75">
      <c r="B51" s="86"/>
      <c r="C51" s="86"/>
      <c r="D51" s="92"/>
      <c r="E51" s="92"/>
      <c r="F51" s="92"/>
      <c r="G51" s="92"/>
      <c r="H51" s="92"/>
      <c r="I51" s="93"/>
      <c r="J51" s="92"/>
    </row>
    <row r="52" spans="2:10" ht="15.75">
      <c r="B52" s="74"/>
      <c r="C52" s="74"/>
      <c r="D52" s="82"/>
      <c r="E52" s="82"/>
      <c r="F52" s="82"/>
      <c r="G52" s="82"/>
      <c r="H52" s="82"/>
      <c r="I52" s="94"/>
      <c r="J52" s="82"/>
    </row>
  </sheetData>
  <sheetProtection/>
  <printOptions/>
  <pageMargins left="0.59" right="0.59" top="0.81" bottom="0.67" header="0.5" footer="0.5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421875" style="50" customWidth="1"/>
    <col min="2" max="2" width="35.28125" style="50" customWidth="1"/>
    <col min="3" max="3" width="9.8515625" style="50" bestFit="1" customWidth="1"/>
    <col min="4" max="4" width="11.7109375" style="50" customWidth="1"/>
    <col min="5" max="5" width="9.7109375" style="50" customWidth="1"/>
    <col min="6" max="6" width="9.140625" style="50" customWidth="1"/>
    <col min="7" max="7" width="13.140625" style="50" customWidth="1"/>
    <col min="8" max="8" width="10.421875" style="50" bestFit="1" customWidth="1"/>
    <col min="9" max="9" width="9.8515625" style="50" bestFit="1" customWidth="1"/>
    <col min="10" max="10" width="9.8515625" style="50" customWidth="1"/>
    <col min="11" max="11" width="9.8515625" style="50" bestFit="1" customWidth="1"/>
    <col min="12" max="12" width="9.140625" style="50" customWidth="1"/>
    <col min="13" max="13" width="9.8515625" style="50" bestFit="1" customWidth="1"/>
    <col min="14" max="16384" width="9.140625" style="50" customWidth="1"/>
  </cols>
  <sheetData>
    <row r="1" ht="15.75">
      <c r="A1" s="29" t="s">
        <v>787</v>
      </c>
    </row>
    <row r="2" ht="16.5">
      <c r="A2" s="11" t="s">
        <v>818</v>
      </c>
    </row>
    <row r="3" ht="16.5">
      <c r="A3" s="11" t="s">
        <v>97</v>
      </c>
    </row>
    <row r="5" spans="2:11" ht="13.5" thickBot="1">
      <c r="B5" s="588"/>
      <c r="C5" s="590" t="s">
        <v>451</v>
      </c>
      <c r="D5" s="590"/>
      <c r="E5" s="590"/>
      <c r="F5" s="590"/>
      <c r="G5" s="590"/>
      <c r="H5" s="590"/>
      <c r="I5" s="590"/>
      <c r="J5" s="49"/>
      <c r="K5" s="123"/>
    </row>
    <row r="6" spans="2:11" ht="63" customHeight="1" thickBot="1">
      <c r="B6" s="589"/>
      <c r="C6" s="500" t="s">
        <v>93</v>
      </c>
      <c r="D6" s="500" t="s">
        <v>452</v>
      </c>
      <c r="E6" s="500" t="s">
        <v>453</v>
      </c>
      <c r="F6" s="500" t="s">
        <v>454</v>
      </c>
      <c r="G6" s="500" t="s">
        <v>455</v>
      </c>
      <c r="H6" s="500" t="s">
        <v>456</v>
      </c>
      <c r="I6" s="500" t="s">
        <v>2</v>
      </c>
      <c r="J6" s="501" t="s">
        <v>457</v>
      </c>
      <c r="K6" s="502" t="s">
        <v>2</v>
      </c>
    </row>
    <row r="7" spans="1:11" ht="26.25" customHeight="1" thickBot="1">
      <c r="A7" s="50" t="s">
        <v>471</v>
      </c>
      <c r="B7" s="130" t="s">
        <v>806</v>
      </c>
      <c r="C7" s="131">
        <v>3100000</v>
      </c>
      <c r="D7" s="131"/>
      <c r="E7" s="131"/>
      <c r="F7" s="131">
        <v>62362</v>
      </c>
      <c r="G7" s="131"/>
      <c r="H7" s="132">
        <v>6153121</v>
      </c>
      <c r="I7" s="133">
        <f>+C7+H7+F7</f>
        <v>9315483</v>
      </c>
      <c r="J7" s="503"/>
      <c r="K7" s="133">
        <f>+I7</f>
        <v>9315483</v>
      </c>
    </row>
    <row r="8" spans="1:11" ht="12.75">
      <c r="A8" s="50" t="s">
        <v>167</v>
      </c>
      <c r="B8" s="496" t="s">
        <v>458</v>
      </c>
      <c r="C8" s="497"/>
      <c r="D8" s="497"/>
      <c r="E8" s="497"/>
      <c r="F8" s="497"/>
      <c r="G8" s="497"/>
      <c r="H8" s="498"/>
      <c r="I8" s="499"/>
      <c r="J8" s="504"/>
      <c r="K8" s="499"/>
    </row>
    <row r="9" spans="1:11" ht="12.75">
      <c r="A9" s="50" t="s">
        <v>169</v>
      </c>
      <c r="B9" s="53" t="s">
        <v>459</v>
      </c>
      <c r="C9" s="52"/>
      <c r="D9" s="52"/>
      <c r="E9" s="52"/>
      <c r="F9" s="52"/>
      <c r="G9" s="52"/>
      <c r="H9" s="122"/>
      <c r="I9" s="124"/>
      <c r="J9" s="505"/>
      <c r="K9" s="124"/>
    </row>
    <row r="10" spans="1:11" ht="25.5">
      <c r="A10" s="50">
        <v>1</v>
      </c>
      <c r="B10" s="53" t="s">
        <v>460</v>
      </c>
      <c r="C10" s="52"/>
      <c r="D10" s="52"/>
      <c r="E10" s="52"/>
      <c r="F10" s="52"/>
      <c r="G10" s="52"/>
      <c r="H10" s="122"/>
      <c r="I10" s="124"/>
      <c r="J10" s="505"/>
      <c r="K10" s="124"/>
    </row>
    <row r="11" spans="1:11" ht="38.25">
      <c r="A11" s="50">
        <v>2</v>
      </c>
      <c r="B11" s="53" t="s">
        <v>461</v>
      </c>
      <c r="C11" s="52"/>
      <c r="D11" s="52"/>
      <c r="E11" s="52"/>
      <c r="F11" s="52"/>
      <c r="G11" s="52"/>
      <c r="H11" s="122"/>
      <c r="I11" s="124"/>
      <c r="J11" s="505"/>
      <c r="K11" s="124"/>
    </row>
    <row r="12" spans="1:11" ht="12.75">
      <c r="A12" s="50">
        <v>3</v>
      </c>
      <c r="B12" s="53" t="s">
        <v>462</v>
      </c>
      <c r="C12" s="52"/>
      <c r="D12" s="52"/>
      <c r="E12" s="52"/>
      <c r="F12" s="52"/>
      <c r="G12" s="52"/>
      <c r="H12" s="122">
        <v>3471503</v>
      </c>
      <c r="I12" s="124">
        <f>+C12+H12+F12</f>
        <v>3471503</v>
      </c>
      <c r="J12" s="505"/>
      <c r="K12" s="124">
        <f>+H12</f>
        <v>3471503</v>
      </c>
    </row>
    <row r="13" spans="1:11" ht="12.75">
      <c r="A13" s="50">
        <v>4</v>
      </c>
      <c r="B13" s="53" t="s">
        <v>463</v>
      </c>
      <c r="C13" s="52"/>
      <c r="D13" s="52"/>
      <c r="E13" s="52"/>
      <c r="F13" s="52"/>
      <c r="G13" s="52"/>
      <c r="H13" s="122"/>
      <c r="I13" s="124"/>
      <c r="J13" s="505"/>
      <c r="K13" s="124"/>
    </row>
    <row r="14" spans="1:11" ht="25.5">
      <c r="A14" s="50">
        <v>5</v>
      </c>
      <c r="B14" s="53" t="s">
        <v>464</v>
      </c>
      <c r="C14" s="52"/>
      <c r="D14" s="52"/>
      <c r="E14" s="52"/>
      <c r="F14" s="52"/>
      <c r="G14" s="52"/>
      <c r="H14" s="122">
        <v>0</v>
      </c>
      <c r="I14" s="124">
        <f>+C14+D14+E14+F14+G14+H14</f>
        <v>0</v>
      </c>
      <c r="J14" s="505"/>
      <c r="K14" s="124">
        <f>+I14</f>
        <v>0</v>
      </c>
    </row>
    <row r="15" spans="1:11" ht="13.5" thickBot="1">
      <c r="A15" s="50">
        <v>6</v>
      </c>
      <c r="B15" s="126" t="s">
        <v>465</v>
      </c>
      <c r="C15" s="127">
        <v>0</v>
      </c>
      <c r="D15" s="127"/>
      <c r="E15" s="127"/>
      <c r="F15" s="127">
        <v>0</v>
      </c>
      <c r="G15" s="127"/>
      <c r="H15" s="128">
        <v>0</v>
      </c>
      <c r="I15" s="129">
        <f>SUM(C15:H15)</f>
        <v>0</v>
      </c>
      <c r="J15" s="506"/>
      <c r="K15" s="129"/>
    </row>
    <row r="16" spans="1:11" ht="13.5" thickBot="1">
      <c r="A16" s="50" t="s">
        <v>145</v>
      </c>
      <c r="B16" s="130" t="s">
        <v>807</v>
      </c>
      <c r="C16" s="494">
        <f>SUM(C7:C15)</f>
        <v>3100000</v>
      </c>
      <c r="D16" s="494">
        <f>SUM(D7:D15)</f>
        <v>0</v>
      </c>
      <c r="E16" s="494">
        <f>SUM(E7:E15)</f>
        <v>0</v>
      </c>
      <c r="F16" s="494">
        <f>SUM(F7:F15)</f>
        <v>62362</v>
      </c>
      <c r="G16" s="494">
        <v>4125822</v>
      </c>
      <c r="H16" s="494">
        <f>SUM(H7:H15)</f>
        <v>9624624</v>
      </c>
      <c r="I16" s="494">
        <f>SUM(C16:H16)</f>
        <v>16912808</v>
      </c>
      <c r="J16" s="503"/>
      <c r="K16" s="133">
        <f>+I16</f>
        <v>16912808</v>
      </c>
    </row>
    <row r="17" spans="1:11" ht="25.5">
      <c r="A17" s="50">
        <v>1</v>
      </c>
      <c r="B17" s="496" t="s">
        <v>466</v>
      </c>
      <c r="C17" s="497"/>
      <c r="D17" s="497"/>
      <c r="E17" s="497"/>
      <c r="F17" s="497"/>
      <c r="G17" s="497"/>
      <c r="H17" s="498"/>
      <c r="I17" s="499"/>
      <c r="J17" s="504"/>
      <c r="K17" s="499"/>
    </row>
    <row r="18" spans="1:11" ht="38.25">
      <c r="A18" s="50">
        <v>2</v>
      </c>
      <c r="B18" s="53" t="s">
        <v>467</v>
      </c>
      <c r="C18" s="52"/>
      <c r="D18" s="52"/>
      <c r="E18" s="52"/>
      <c r="F18" s="52"/>
      <c r="G18" s="52"/>
      <c r="H18" s="122"/>
      <c r="I18" s="124"/>
      <c r="J18" s="505"/>
      <c r="K18" s="124"/>
    </row>
    <row r="19" spans="1:11" ht="15.75" customHeight="1">
      <c r="A19" s="50">
        <v>3</v>
      </c>
      <c r="B19" s="51" t="s">
        <v>468</v>
      </c>
      <c r="C19" s="52"/>
      <c r="D19" s="52"/>
      <c r="E19" s="52"/>
      <c r="F19" s="52"/>
      <c r="G19" s="52">
        <f>+'BK'!D70</f>
        <v>1274346.6719999441</v>
      </c>
      <c r="H19" s="122"/>
      <c r="I19" s="125">
        <f>SUM(G19:H19)</f>
        <v>1274346.6719999441</v>
      </c>
      <c r="J19" s="505"/>
      <c r="K19" s="125">
        <f>+I19</f>
        <v>1274346.6719999441</v>
      </c>
    </row>
    <row r="20" spans="1:11" ht="12.75">
      <c r="A20" s="50">
        <v>4</v>
      </c>
      <c r="B20" s="53" t="s">
        <v>463</v>
      </c>
      <c r="C20" s="52"/>
      <c r="D20" s="52"/>
      <c r="E20" s="52"/>
      <c r="F20" s="52"/>
      <c r="G20" s="52"/>
      <c r="H20" s="122"/>
      <c r="I20" s="124">
        <f>+C20+D20+E20+F20+G20+H20</f>
        <v>0</v>
      </c>
      <c r="J20" s="505"/>
      <c r="K20" s="124">
        <f>+I20</f>
        <v>0</v>
      </c>
    </row>
    <row r="21" spans="1:11" ht="12.75">
      <c r="A21" s="50">
        <v>5</v>
      </c>
      <c r="B21" s="53" t="s">
        <v>469</v>
      </c>
      <c r="C21" s="52">
        <v>16000000</v>
      </c>
      <c r="D21" s="52"/>
      <c r="E21" s="52"/>
      <c r="F21" s="52">
        <f>+'BK'!D66</f>
        <v>912808</v>
      </c>
      <c r="G21" s="52"/>
      <c r="H21" s="122"/>
      <c r="I21" s="124">
        <f>+C21+D21+E21+F21+G21+H21</f>
        <v>16912808</v>
      </c>
      <c r="J21" s="505"/>
      <c r="K21" s="124">
        <f>+I21</f>
        <v>16912808</v>
      </c>
    </row>
    <row r="22" spans="1:11" ht="13.5" thickBot="1">
      <c r="A22" s="50">
        <v>6</v>
      </c>
      <c r="B22" s="126" t="s">
        <v>470</v>
      </c>
      <c r="C22" s="127"/>
      <c r="D22" s="127"/>
      <c r="E22" s="127"/>
      <c r="F22" s="127"/>
      <c r="G22" s="127"/>
      <c r="H22" s="128"/>
      <c r="I22" s="124">
        <f>+C22+D22+E22+F22+G22+H22</f>
        <v>0</v>
      </c>
      <c r="J22" s="506"/>
      <c r="K22" s="129"/>
    </row>
    <row r="23" spans="1:13" ht="13.5" thickBot="1">
      <c r="A23" s="50" t="s">
        <v>155</v>
      </c>
      <c r="B23" s="130" t="s">
        <v>837</v>
      </c>
      <c r="C23" s="494">
        <f aca="true" t="shared" si="0" ref="C23:I23">SUM(C17:C22)</f>
        <v>16000000</v>
      </c>
      <c r="D23" s="494">
        <f t="shared" si="0"/>
        <v>0</v>
      </c>
      <c r="E23" s="494">
        <f t="shared" si="0"/>
        <v>0</v>
      </c>
      <c r="F23" s="494">
        <f t="shared" si="0"/>
        <v>912808</v>
      </c>
      <c r="G23" s="494">
        <f t="shared" si="0"/>
        <v>1274346.6719999441</v>
      </c>
      <c r="H23" s="494">
        <f t="shared" si="0"/>
        <v>0</v>
      </c>
      <c r="I23" s="133">
        <f t="shared" si="0"/>
        <v>18187154.671999943</v>
      </c>
      <c r="J23" s="503"/>
      <c r="K23" s="133">
        <f>SUM(K17:K22)</f>
        <v>18187154.671999943</v>
      </c>
      <c r="M23" s="495"/>
    </row>
    <row r="25" ht="12.75">
      <c r="I25" s="250"/>
    </row>
    <row r="26" spans="3:7" ht="15.75">
      <c r="C26" s="86" t="s">
        <v>449</v>
      </c>
      <c r="G26" s="19" t="s">
        <v>448</v>
      </c>
    </row>
    <row r="28" ht="12.75">
      <c r="K28" s="250"/>
    </row>
  </sheetData>
  <sheetProtection/>
  <mergeCells count="2">
    <mergeCell ref="B5:B6"/>
    <mergeCell ref="C5:I5"/>
  </mergeCells>
  <printOptions/>
  <pageMargins left="0.26" right="0.4" top="0.34" bottom="1" header="0.22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C1">
      <selection activeCell="J18" sqref="J18"/>
    </sheetView>
  </sheetViews>
  <sheetFormatPr defaultColWidth="9.140625" defaultRowHeight="12.75"/>
  <cols>
    <col min="1" max="1" width="12.140625" style="50" hidden="1" customWidth="1"/>
    <col min="2" max="2" width="9.421875" style="50" hidden="1" customWidth="1"/>
    <col min="3" max="3" width="30.57421875" style="50" customWidth="1"/>
    <col min="4" max="4" width="21.28125" style="50" customWidth="1"/>
    <col min="5" max="5" width="4.57421875" style="50" customWidth="1"/>
    <col min="6" max="6" width="9.00390625" style="50" customWidth="1"/>
    <col min="7" max="7" width="9.28125" style="50" customWidth="1"/>
    <col min="8" max="8" width="12.140625" style="50" customWidth="1"/>
    <col min="9" max="9" width="13.57421875" style="50" customWidth="1"/>
    <col min="10" max="10" width="15.7109375" style="50" customWidth="1"/>
    <col min="11" max="11" width="9.140625" style="50" customWidth="1"/>
    <col min="12" max="12" width="12.28125" style="50" customWidth="1"/>
    <col min="13" max="13" width="13.8515625" style="50" customWidth="1"/>
    <col min="14" max="16" width="9.140625" style="50" hidden="1" customWidth="1"/>
    <col min="17" max="17" width="9.140625" style="50" customWidth="1"/>
    <col min="18" max="18" width="9.57421875" style="50" customWidth="1"/>
    <col min="19" max="21" width="9.140625" style="50" customWidth="1"/>
    <col min="22" max="22" width="9.57421875" style="50" bestFit="1" customWidth="1"/>
    <col min="23" max="16384" width="9.140625" style="50" customWidth="1"/>
  </cols>
  <sheetData>
    <row r="1" ht="15" customHeight="1">
      <c r="C1" s="3" t="s">
        <v>784</v>
      </c>
    </row>
    <row r="2" ht="13.5">
      <c r="C2" s="139" t="s">
        <v>532</v>
      </c>
    </row>
    <row r="3" ht="13.5" customHeight="1">
      <c r="C3" s="140" t="s">
        <v>819</v>
      </c>
    </row>
    <row r="4" spans="1:15" ht="15" customHeight="1">
      <c r="A4" s="141"/>
      <c r="B4" s="141"/>
      <c r="C4" s="142" t="s">
        <v>97</v>
      </c>
      <c r="D4" s="141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>
      <c r="A5" s="141"/>
      <c r="B5" s="141"/>
      <c r="C5" s="141"/>
      <c r="D5" s="14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3.5" thickBot="1">
      <c r="A6" s="141"/>
      <c r="B6" s="141"/>
      <c r="C6" s="141"/>
      <c r="D6" s="141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2.75" customHeight="1">
      <c r="A7" s="593"/>
      <c r="B7" s="593"/>
      <c r="C7" s="145" t="s">
        <v>472</v>
      </c>
      <c r="D7" s="146"/>
      <c r="E7" s="147"/>
      <c r="F7" s="148" t="s">
        <v>473</v>
      </c>
      <c r="G7" s="149" t="s">
        <v>474</v>
      </c>
      <c r="H7" s="150" t="s">
        <v>348</v>
      </c>
      <c r="I7" s="149" t="s">
        <v>475</v>
      </c>
      <c r="J7" s="151" t="s">
        <v>554</v>
      </c>
      <c r="K7" s="138" t="s">
        <v>476</v>
      </c>
      <c r="L7" s="152" t="s">
        <v>477</v>
      </c>
      <c r="M7" s="153"/>
      <c r="N7" s="154"/>
      <c r="O7" s="591" t="s">
        <v>478</v>
      </c>
    </row>
    <row r="8" spans="1:15" ht="13.5" thickBot="1">
      <c r="A8" s="144"/>
      <c r="B8" s="144"/>
      <c r="C8" s="155"/>
      <c r="D8" s="156"/>
      <c r="E8" s="147"/>
      <c r="F8" s="157"/>
      <c r="G8" s="158"/>
      <c r="H8" s="158"/>
      <c r="I8" s="158"/>
      <c r="J8" s="249" t="s">
        <v>555</v>
      </c>
      <c r="K8" s="159"/>
      <c r="L8" s="159"/>
      <c r="M8" s="153"/>
      <c r="N8" s="154"/>
      <c r="O8" s="592"/>
    </row>
    <row r="9" spans="1:15" ht="12.75">
      <c r="A9" s="144"/>
      <c r="B9" s="144"/>
      <c r="C9" s="144"/>
      <c r="D9" s="144"/>
      <c r="E9" s="147"/>
      <c r="F9" s="160"/>
      <c r="G9" s="160"/>
      <c r="H9" s="161"/>
      <c r="I9" s="160"/>
      <c r="J9" s="161"/>
      <c r="K9" s="161"/>
      <c r="L9" s="153"/>
      <c r="M9" s="153"/>
      <c r="N9" s="154"/>
      <c r="O9" s="162"/>
    </row>
    <row r="10" spans="1:15" ht="12.75">
      <c r="A10" s="144"/>
      <c r="B10" s="144"/>
      <c r="C10" s="163"/>
      <c r="D10" s="164"/>
      <c r="E10" s="147"/>
      <c r="F10" s="165"/>
      <c r="G10" s="166"/>
      <c r="H10" s="167"/>
      <c r="I10" s="166"/>
      <c r="J10" s="168"/>
      <c r="K10" s="168"/>
      <c r="L10" s="169"/>
      <c r="M10" s="153"/>
      <c r="N10" s="154"/>
      <c r="O10" s="170"/>
    </row>
    <row r="11" spans="1:15" ht="12.75">
      <c r="A11" s="144"/>
      <c r="B11" s="144"/>
      <c r="C11" s="171"/>
      <c r="D11" s="172"/>
      <c r="E11" s="147"/>
      <c r="F11" s="173"/>
      <c r="G11" s="174"/>
      <c r="H11" s="175" t="s">
        <v>549</v>
      </c>
      <c r="I11" s="174"/>
      <c r="J11" s="176"/>
      <c r="K11" s="176"/>
      <c r="L11" s="177"/>
      <c r="M11" s="153"/>
      <c r="N11" s="154"/>
      <c r="O11" s="178"/>
    </row>
    <row r="12" spans="1:15" ht="13.5" thickBot="1">
      <c r="A12" s="144"/>
      <c r="B12" s="144"/>
      <c r="C12" s="171"/>
      <c r="D12" s="172"/>
      <c r="E12" s="179"/>
      <c r="F12" s="180"/>
      <c r="G12" s="181"/>
      <c r="H12" s="182"/>
      <c r="I12" s="181"/>
      <c r="J12" s="183"/>
      <c r="K12" s="183"/>
      <c r="L12" s="184"/>
      <c r="M12" s="153"/>
      <c r="N12" s="154"/>
      <c r="O12" s="185"/>
    </row>
    <row r="13" spans="1:15" ht="13.5">
      <c r="A13" s="186" t="s">
        <v>479</v>
      </c>
      <c r="B13" s="186" t="s">
        <v>480</v>
      </c>
      <c r="C13" s="187" t="s">
        <v>831</v>
      </c>
      <c r="D13" s="188" t="s">
        <v>481</v>
      </c>
      <c r="E13" s="189" t="s">
        <v>482</v>
      </c>
      <c r="F13" s="253"/>
      <c r="G13" s="254"/>
      <c r="H13" s="255">
        <v>48299062</v>
      </c>
      <c r="I13" s="256">
        <f>56580000+13343331</f>
        <v>69923331</v>
      </c>
      <c r="J13" s="256">
        <v>3463714</v>
      </c>
      <c r="K13" s="261"/>
      <c r="L13" s="190">
        <f>SUM(F13:K13)</f>
        <v>121686107</v>
      </c>
      <c r="M13" s="191"/>
      <c r="N13" s="192"/>
      <c r="O13" s="190"/>
    </row>
    <row r="14" spans="1:15" ht="13.5">
      <c r="A14" s="186" t="s">
        <v>479</v>
      </c>
      <c r="B14" s="193" t="s">
        <v>483</v>
      </c>
      <c r="C14" s="194" t="str">
        <f>+C13</f>
        <v>Bilanci i Celjes     01.01.2013</v>
      </c>
      <c r="D14" s="195" t="s">
        <v>484</v>
      </c>
      <c r="E14" s="189" t="s">
        <v>482</v>
      </c>
      <c r="F14" s="257"/>
      <c r="G14" s="251"/>
      <c r="H14" s="252">
        <v>4032800</v>
      </c>
      <c r="I14" s="251">
        <v>42328842</v>
      </c>
      <c r="J14" s="251">
        <v>1893548</v>
      </c>
      <c r="K14" s="262"/>
      <c r="L14" s="196">
        <f>SUM(F14:K14)</f>
        <v>48255190</v>
      </c>
      <c r="M14" s="191"/>
      <c r="N14" s="192"/>
      <c r="O14" s="196"/>
    </row>
    <row r="15" spans="1:18" ht="14.25" thickBot="1">
      <c r="A15" s="186" t="s">
        <v>479</v>
      </c>
      <c r="B15" s="193" t="s">
        <v>485</v>
      </c>
      <c r="C15" s="197" t="str">
        <f>+C13</f>
        <v>Bilanci i Celjes     01.01.2013</v>
      </c>
      <c r="D15" s="198" t="s">
        <v>486</v>
      </c>
      <c r="E15" s="189" t="s">
        <v>482</v>
      </c>
      <c r="F15" s="258"/>
      <c r="G15" s="259"/>
      <c r="H15" s="260"/>
      <c r="I15" s="260"/>
      <c r="J15" s="260"/>
      <c r="K15" s="263"/>
      <c r="L15" s="264"/>
      <c r="M15" s="191"/>
      <c r="N15" s="192"/>
      <c r="O15" s="199"/>
      <c r="R15" s="200"/>
    </row>
    <row r="16" spans="1:15" ht="14.25" thickBot="1">
      <c r="A16" s="186"/>
      <c r="B16" s="193"/>
      <c r="C16" s="201"/>
      <c r="D16" s="202"/>
      <c r="E16" s="189"/>
      <c r="F16" s="203"/>
      <c r="G16" s="204"/>
      <c r="H16" s="205"/>
      <c r="I16" s="204"/>
      <c r="J16" s="206"/>
      <c r="K16" s="207"/>
      <c r="L16" s="208"/>
      <c r="M16" s="209"/>
      <c r="N16" s="192"/>
      <c r="O16" s="208"/>
    </row>
    <row r="17" spans="1:15" ht="13.5">
      <c r="A17" s="186" t="s">
        <v>487</v>
      </c>
      <c r="B17" s="186" t="s">
        <v>480</v>
      </c>
      <c r="C17" s="210" t="s">
        <v>833</v>
      </c>
      <c r="D17" s="211" t="s">
        <v>488</v>
      </c>
      <c r="E17" s="189" t="s">
        <v>482</v>
      </c>
      <c r="F17" s="212"/>
      <c r="G17" s="213"/>
      <c r="H17" s="214">
        <v>0</v>
      </c>
      <c r="I17" s="213">
        <v>0</v>
      </c>
      <c r="J17" s="215">
        <f>56100+10340+73200+23100+46200+27100+4200+82000</f>
        <v>322240</v>
      </c>
      <c r="K17" s="216"/>
      <c r="L17" s="217">
        <f>SUM(F17:K17)</f>
        <v>322240</v>
      </c>
      <c r="M17" s="209"/>
      <c r="N17" s="192"/>
      <c r="O17" s="190"/>
    </row>
    <row r="18" spans="1:15" ht="13.5">
      <c r="A18" s="186" t="s">
        <v>489</v>
      </c>
      <c r="B18" s="186" t="s">
        <v>480</v>
      </c>
      <c r="C18" s="210" t="s">
        <v>834</v>
      </c>
      <c r="D18" s="211" t="s">
        <v>488</v>
      </c>
      <c r="E18" s="189" t="s">
        <v>490</v>
      </c>
      <c r="F18" s="212"/>
      <c r="G18" s="213"/>
      <c r="H18" s="214">
        <v>0</v>
      </c>
      <c r="I18" s="213">
        <v>0</v>
      </c>
      <c r="J18" s="215">
        <f>125000+72500</f>
        <v>197500</v>
      </c>
      <c r="K18" s="218"/>
      <c r="L18" s="217">
        <f>SUM(F18:K18)</f>
        <v>197500</v>
      </c>
      <c r="M18" s="209"/>
      <c r="N18" s="192"/>
      <c r="O18" s="217"/>
    </row>
    <row r="19" spans="1:15" ht="13.5">
      <c r="A19" s="186" t="s">
        <v>491</v>
      </c>
      <c r="B19" s="186" t="s">
        <v>492</v>
      </c>
      <c r="C19" s="210" t="s">
        <v>493</v>
      </c>
      <c r="D19" s="211"/>
      <c r="E19" s="189" t="s">
        <v>494</v>
      </c>
      <c r="F19" s="212"/>
      <c r="G19" s="213"/>
      <c r="H19" s="214"/>
      <c r="I19" s="213"/>
      <c r="J19" s="215"/>
      <c r="K19" s="216"/>
      <c r="L19" s="217">
        <f>SUM(F19:K19)</f>
        <v>0</v>
      </c>
      <c r="M19" s="209"/>
      <c r="N19" s="192"/>
      <c r="O19" s="217"/>
    </row>
    <row r="20" spans="1:15" ht="13.5">
      <c r="A20" s="186"/>
      <c r="B20" s="186"/>
      <c r="C20" s="210"/>
      <c r="D20" s="211"/>
      <c r="E20" s="189"/>
      <c r="F20" s="212"/>
      <c r="G20" s="213"/>
      <c r="H20" s="214"/>
      <c r="I20" s="213"/>
      <c r="J20" s="215"/>
      <c r="K20" s="216"/>
      <c r="L20" s="217">
        <v>0</v>
      </c>
      <c r="M20" s="209"/>
      <c r="N20" s="192"/>
      <c r="O20" s="217"/>
    </row>
    <row r="21" spans="1:15" ht="13.5">
      <c r="A21" s="186" t="s">
        <v>485</v>
      </c>
      <c r="B21" s="186"/>
      <c r="C21" s="210" t="s">
        <v>495</v>
      </c>
      <c r="D21" s="211"/>
      <c r="E21" s="189" t="s">
        <v>482</v>
      </c>
      <c r="F21" s="212"/>
      <c r="G21" s="213"/>
      <c r="H21" s="214"/>
      <c r="I21" s="213"/>
      <c r="J21" s="215"/>
      <c r="K21" s="216"/>
      <c r="L21" s="217">
        <f>SUM(F21:K21)</f>
        <v>0</v>
      </c>
      <c r="M21" s="209"/>
      <c r="N21" s="192"/>
      <c r="O21" s="217"/>
    </row>
    <row r="22" spans="1:15" ht="13.5">
      <c r="A22" s="186" t="s">
        <v>496</v>
      </c>
      <c r="B22" s="186"/>
      <c r="C22" s="210" t="s">
        <v>497</v>
      </c>
      <c r="D22" s="211"/>
      <c r="E22" s="189" t="s">
        <v>482</v>
      </c>
      <c r="F22" s="212"/>
      <c r="G22" s="213"/>
      <c r="H22" s="213">
        <f>8853252/2</f>
        <v>4426626</v>
      </c>
      <c r="I22" s="213">
        <f>5518898/2</f>
        <v>2759449</v>
      </c>
      <c r="J22" s="215">
        <f>(314033+44044+22354+7190+5931)/2</f>
        <v>196776</v>
      </c>
      <c r="K22" s="216"/>
      <c r="L22" s="217">
        <f>SUM(F22:K22)</f>
        <v>7382851</v>
      </c>
      <c r="M22" s="209"/>
      <c r="N22" s="192"/>
      <c r="O22" s="196"/>
    </row>
    <row r="23" spans="1:15" ht="13.5">
      <c r="A23" s="186"/>
      <c r="B23" s="186"/>
      <c r="C23" s="210"/>
      <c r="D23" s="211"/>
      <c r="E23" s="189"/>
      <c r="F23" s="212"/>
      <c r="G23" s="213"/>
      <c r="H23" s="214"/>
      <c r="I23" s="213"/>
      <c r="J23" s="215"/>
      <c r="K23" s="216"/>
      <c r="L23" s="217">
        <v>0</v>
      </c>
      <c r="M23" s="209"/>
      <c r="N23" s="192"/>
      <c r="O23" s="217"/>
    </row>
    <row r="24" spans="1:15" ht="13.5">
      <c r="A24" s="186" t="s">
        <v>498</v>
      </c>
      <c r="B24" s="193" t="s">
        <v>483</v>
      </c>
      <c r="C24" s="210" t="s">
        <v>499</v>
      </c>
      <c r="D24" s="211"/>
      <c r="E24" s="189" t="s">
        <v>490</v>
      </c>
      <c r="F24" s="212"/>
      <c r="G24" s="213"/>
      <c r="H24" s="214">
        <v>0</v>
      </c>
      <c r="I24" s="213">
        <v>0</v>
      </c>
      <c r="J24" s="215">
        <v>0</v>
      </c>
      <c r="K24" s="216"/>
      <c r="L24" s="217">
        <f>SUM(F24:K24)</f>
        <v>0</v>
      </c>
      <c r="M24" s="209"/>
      <c r="N24" s="192"/>
      <c r="O24" s="217"/>
    </row>
    <row r="25" spans="1:15" ht="13.5">
      <c r="A25" s="186" t="s">
        <v>498</v>
      </c>
      <c r="B25" s="193" t="s">
        <v>485</v>
      </c>
      <c r="C25" s="210" t="s">
        <v>500</v>
      </c>
      <c r="D25" s="211"/>
      <c r="E25" s="189" t="s">
        <v>490</v>
      </c>
      <c r="F25" s="212"/>
      <c r="G25" s="213"/>
      <c r="H25" s="214"/>
      <c r="I25" s="213"/>
      <c r="J25" s="215"/>
      <c r="K25" s="216"/>
      <c r="L25" s="217">
        <f>SUM(F25:K25)</f>
        <v>0</v>
      </c>
      <c r="M25" s="209"/>
      <c r="N25" s="192"/>
      <c r="O25" s="217"/>
    </row>
    <row r="26" spans="1:15" ht="13.5">
      <c r="A26" s="186" t="s">
        <v>491</v>
      </c>
      <c r="B26" s="186" t="s">
        <v>501</v>
      </c>
      <c r="C26" s="210" t="s">
        <v>502</v>
      </c>
      <c r="D26" s="211"/>
      <c r="E26" s="189" t="s">
        <v>494</v>
      </c>
      <c r="F26" s="212"/>
      <c r="G26" s="213"/>
      <c r="H26" s="214"/>
      <c r="I26" s="213"/>
      <c r="J26" s="215"/>
      <c r="K26" s="216"/>
      <c r="L26" s="217">
        <f>SUM(F26:K26)</f>
        <v>0</v>
      </c>
      <c r="M26" s="209"/>
      <c r="N26" s="192"/>
      <c r="O26" s="217"/>
    </row>
    <row r="27" spans="1:15" ht="14.25" thickBot="1">
      <c r="A27" s="186"/>
      <c r="B27" s="186"/>
      <c r="C27" s="219"/>
      <c r="D27" s="220"/>
      <c r="E27" s="189"/>
      <c r="F27" s="221"/>
      <c r="G27" s="222"/>
      <c r="H27" s="223"/>
      <c r="I27" s="222"/>
      <c r="J27" s="224"/>
      <c r="K27" s="225"/>
      <c r="L27" s="226"/>
      <c r="M27" s="209"/>
      <c r="N27" s="192"/>
      <c r="O27" s="226"/>
    </row>
    <row r="28" spans="1:22" ht="13.5">
      <c r="A28" s="186" t="s">
        <v>503</v>
      </c>
      <c r="B28" s="186" t="s">
        <v>504</v>
      </c>
      <c r="C28" s="227" t="s">
        <v>832</v>
      </c>
      <c r="D28" s="228" t="s">
        <v>481</v>
      </c>
      <c r="E28" s="229"/>
      <c r="F28" s="230">
        <f aca="true" t="shared" si="0" ref="F28:K28">F13+F17+F18+F19</f>
        <v>0</v>
      </c>
      <c r="G28" s="231">
        <f t="shared" si="0"/>
        <v>0</v>
      </c>
      <c r="H28" s="231">
        <f>H13+H17+H18+H19</f>
        <v>48299062</v>
      </c>
      <c r="I28" s="231">
        <f t="shared" si="0"/>
        <v>69923331</v>
      </c>
      <c r="J28" s="232">
        <f>J13+J17-J18+J19</f>
        <v>3588454</v>
      </c>
      <c r="K28" s="233">
        <f t="shared" si="0"/>
        <v>0</v>
      </c>
      <c r="L28" s="190">
        <f>SUM(F28:K28)</f>
        <v>121810847</v>
      </c>
      <c r="M28" s="191"/>
      <c r="N28" s="192"/>
      <c r="O28" s="190"/>
      <c r="V28" s="200"/>
    </row>
    <row r="29" spans="1:24" ht="13.5">
      <c r="A29" s="186" t="s">
        <v>503</v>
      </c>
      <c r="B29" s="186" t="s">
        <v>505</v>
      </c>
      <c r="C29" s="234" t="str">
        <f>+C28</f>
        <v>Bilanci i Mbylljes 31.12.2013</v>
      </c>
      <c r="D29" s="195" t="s">
        <v>484</v>
      </c>
      <c r="E29" s="229"/>
      <c r="F29" s="235">
        <f aca="true" t="shared" si="1" ref="F29:K29">F14+F22+F24+F26</f>
        <v>0</v>
      </c>
      <c r="G29" s="236">
        <f t="shared" si="1"/>
        <v>0</v>
      </c>
      <c r="H29" s="236">
        <f>H14+H22+H24+H26</f>
        <v>8459426</v>
      </c>
      <c r="I29" s="236">
        <f t="shared" si="1"/>
        <v>45088291</v>
      </c>
      <c r="J29" s="237">
        <f>J14+J22+J24+J26</f>
        <v>2090324</v>
      </c>
      <c r="K29" s="238">
        <f t="shared" si="1"/>
        <v>0</v>
      </c>
      <c r="L29" s="196">
        <f>SUM(F29:K29)</f>
        <v>55638041</v>
      </c>
      <c r="M29" s="191"/>
      <c r="N29" s="192"/>
      <c r="O29" s="196"/>
      <c r="X29" s="200"/>
    </row>
    <row r="30" spans="1:15" ht="13.5" thickBot="1">
      <c r="A30" s="239" t="s">
        <v>503</v>
      </c>
      <c r="B30" s="186" t="s">
        <v>506</v>
      </c>
      <c r="C30" s="234" t="str">
        <f>+C28</f>
        <v>Bilanci i Mbylljes 31.12.2013</v>
      </c>
      <c r="D30" s="240" t="s">
        <v>507</v>
      </c>
      <c r="E30" s="241"/>
      <c r="F30" s="242">
        <f aca="true" t="shared" si="2" ref="F30:K30">F28-F29</f>
        <v>0</v>
      </c>
      <c r="G30" s="243">
        <f t="shared" si="2"/>
        <v>0</v>
      </c>
      <c r="H30" s="243">
        <f t="shared" si="2"/>
        <v>39839636</v>
      </c>
      <c r="I30" s="243">
        <f t="shared" si="2"/>
        <v>24835040</v>
      </c>
      <c r="J30" s="244">
        <f t="shared" si="2"/>
        <v>1498130</v>
      </c>
      <c r="K30" s="245">
        <f t="shared" si="2"/>
        <v>0</v>
      </c>
      <c r="L30" s="199">
        <f>L28-L29</f>
        <v>66172806</v>
      </c>
      <c r="M30" s="191"/>
      <c r="N30" s="192"/>
      <c r="O30" s="199"/>
    </row>
    <row r="31" spans="1:15" ht="12.75">
      <c r="A31" s="246"/>
      <c r="B31" s="246"/>
      <c r="C31" s="246"/>
      <c r="D31" s="246"/>
      <c r="E31" s="192"/>
      <c r="F31" s="192"/>
      <c r="G31" s="192"/>
      <c r="H31" s="192"/>
      <c r="I31" s="192"/>
      <c r="J31" s="192"/>
      <c r="K31" s="192"/>
      <c r="L31" s="192"/>
      <c r="M31" s="192"/>
      <c r="N31" s="143"/>
      <c r="O31" s="143"/>
    </row>
    <row r="32" spans="1:15" ht="12.75">
      <c r="A32" s="246"/>
      <c r="B32" s="246"/>
      <c r="C32" s="246"/>
      <c r="D32" s="246"/>
      <c r="E32" s="192"/>
      <c r="F32" s="192"/>
      <c r="G32" s="192"/>
      <c r="H32" s="192"/>
      <c r="I32" s="247"/>
      <c r="J32" s="192"/>
      <c r="K32" s="192"/>
      <c r="L32" s="247"/>
      <c r="M32" s="247"/>
      <c r="N32" s="143"/>
      <c r="O32" s="143"/>
    </row>
    <row r="33" spans="1:15" ht="12.75">
      <c r="A33" s="246"/>
      <c r="B33" s="246"/>
      <c r="C33" s="246"/>
      <c r="D33" s="246"/>
      <c r="E33" s="192"/>
      <c r="F33" s="192"/>
      <c r="G33" s="192"/>
      <c r="H33" s="192"/>
      <c r="I33" s="192"/>
      <c r="J33" s="247"/>
      <c r="K33" s="192"/>
      <c r="L33" s="247"/>
      <c r="M33" s="247"/>
      <c r="N33" s="143"/>
      <c r="O33" s="143"/>
    </row>
    <row r="34" spans="1:15" ht="12.75">
      <c r="A34" s="141"/>
      <c r="B34" s="141"/>
      <c r="C34" s="141"/>
      <c r="D34" s="141"/>
      <c r="E34" s="143"/>
      <c r="F34" s="143"/>
      <c r="G34" s="143"/>
      <c r="H34" s="143"/>
      <c r="I34" s="143"/>
      <c r="J34" s="248"/>
      <c r="K34" s="143"/>
      <c r="L34" s="143"/>
      <c r="M34" s="143"/>
      <c r="N34" s="143"/>
      <c r="O34" s="143"/>
    </row>
    <row r="35" spans="1:15" ht="12.75">
      <c r="A35" s="141"/>
      <c r="B35" s="141"/>
      <c r="C35" s="141"/>
      <c r="D35" s="141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</sheetData>
  <sheetProtection/>
  <mergeCells count="2">
    <mergeCell ref="O7:O8"/>
    <mergeCell ref="A7:B7"/>
  </mergeCells>
  <printOptions/>
  <pageMargins left="0.2" right="0.21" top="1" bottom="1" header="0.5" footer="0.5"/>
  <pageSetup fitToHeight="1" fitToWidth="1"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2.14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265" t="s">
        <v>786</v>
      </c>
    </row>
    <row r="2" ht="12.75">
      <c r="B2" s="266" t="s">
        <v>763</v>
      </c>
    </row>
    <row r="3" ht="12.75">
      <c r="B3" s="266"/>
    </row>
    <row r="4" spans="2:7" ht="15.75">
      <c r="B4" s="596" t="s">
        <v>820</v>
      </c>
      <c r="C4" s="596"/>
      <c r="D4" s="596"/>
      <c r="E4" s="596"/>
      <c r="F4" s="596"/>
      <c r="G4" s="596"/>
    </row>
    <row r="6" spans="1:7" ht="12.75">
      <c r="A6" s="597" t="s">
        <v>166</v>
      </c>
      <c r="B6" s="563" t="s">
        <v>561</v>
      </c>
      <c r="C6" s="597" t="s">
        <v>562</v>
      </c>
      <c r="D6" s="267" t="s">
        <v>563</v>
      </c>
      <c r="E6" s="597" t="s">
        <v>564</v>
      </c>
      <c r="F6" s="597" t="s">
        <v>565</v>
      </c>
      <c r="G6" s="267" t="s">
        <v>563</v>
      </c>
    </row>
    <row r="7" spans="1:9" ht="12.75">
      <c r="A7" s="598"/>
      <c r="B7" s="564"/>
      <c r="C7" s="598"/>
      <c r="D7" s="268">
        <v>41275</v>
      </c>
      <c r="E7" s="598"/>
      <c r="F7" s="598"/>
      <c r="G7" s="268">
        <v>41639</v>
      </c>
      <c r="H7" s="269"/>
      <c r="I7" s="269"/>
    </row>
    <row r="8" spans="1:9" ht="12.75">
      <c r="A8" s="270">
        <v>1</v>
      </c>
      <c r="B8" s="271" t="s">
        <v>473</v>
      </c>
      <c r="C8" s="270"/>
      <c r="D8" s="272"/>
      <c r="E8" s="272"/>
      <c r="F8" s="272"/>
      <c r="G8" s="272">
        <f aca="true" t="shared" si="0" ref="G8:G16">D8+E8-F8</f>
        <v>0</v>
      </c>
      <c r="H8" s="269"/>
      <c r="I8" s="269"/>
    </row>
    <row r="9" spans="1:9" ht="12.75">
      <c r="A9" s="270">
        <v>2</v>
      </c>
      <c r="B9" s="271" t="s">
        <v>566</v>
      </c>
      <c r="C9" s="270"/>
      <c r="D9" s="272"/>
      <c r="E9" s="272"/>
      <c r="F9" s="272"/>
      <c r="G9" s="272">
        <f t="shared" si="0"/>
        <v>0</v>
      </c>
      <c r="H9" s="273"/>
      <c r="I9" s="274"/>
    </row>
    <row r="10" spans="1:9" ht="12.75">
      <c r="A10" s="270">
        <v>3</v>
      </c>
      <c r="B10" s="275" t="s">
        <v>567</v>
      </c>
      <c r="C10" s="270"/>
      <c r="D10" s="272">
        <f>+'Aq&amp;AM'!H13</f>
        <v>48299062</v>
      </c>
      <c r="E10" s="272">
        <f>+'Aq&amp;AM'!H17</f>
        <v>0</v>
      </c>
      <c r="F10" s="272">
        <v>0</v>
      </c>
      <c r="G10" s="272">
        <f t="shared" si="0"/>
        <v>48299062</v>
      </c>
      <c r="H10" s="273"/>
      <c r="I10" s="274"/>
    </row>
    <row r="11" spans="1:9" ht="12.75">
      <c r="A11" s="270">
        <v>4</v>
      </c>
      <c r="B11" s="275" t="s">
        <v>568</v>
      </c>
      <c r="C11" s="270"/>
      <c r="D11" s="272">
        <f>+'Aq&amp;AM'!I13</f>
        <v>69923331</v>
      </c>
      <c r="E11" s="272">
        <f>+'Aq&amp;AM'!I17</f>
        <v>0</v>
      </c>
      <c r="F11" s="272">
        <f>+'Aq&amp;AM'!I18</f>
        <v>0</v>
      </c>
      <c r="G11" s="272">
        <f t="shared" si="0"/>
        <v>69923331</v>
      </c>
      <c r="H11" s="273"/>
      <c r="I11" s="274"/>
    </row>
    <row r="12" spans="1:9" ht="12.75">
      <c r="A12" s="270">
        <v>5</v>
      </c>
      <c r="B12" s="275" t="s">
        <v>729</v>
      </c>
      <c r="C12" s="270"/>
      <c r="D12" s="272">
        <f>+'Aq&amp;AM'!J13</f>
        <v>3463714</v>
      </c>
      <c r="E12" s="368">
        <f>+'Aq&amp;AM'!J17</f>
        <v>322240</v>
      </c>
      <c r="F12" s="272">
        <f>+'Aq&amp;AM'!J18</f>
        <v>197500</v>
      </c>
      <c r="G12" s="272">
        <f t="shared" si="0"/>
        <v>3588454</v>
      </c>
      <c r="H12" s="273"/>
      <c r="I12" s="274"/>
    </row>
    <row r="13" spans="1:9" ht="12.75">
      <c r="A13" s="270">
        <v>1</v>
      </c>
      <c r="B13" s="275"/>
      <c r="C13" s="270"/>
      <c r="D13" s="272"/>
      <c r="E13" s="272"/>
      <c r="F13" s="272"/>
      <c r="G13" s="272">
        <f t="shared" si="0"/>
        <v>0</v>
      </c>
      <c r="H13" s="273"/>
      <c r="I13" s="274"/>
    </row>
    <row r="14" spans="1:9" ht="12.75">
      <c r="A14" s="270">
        <v>2</v>
      </c>
      <c r="B14" s="277"/>
      <c r="C14" s="270"/>
      <c r="D14" s="272"/>
      <c r="E14" s="272"/>
      <c r="F14" s="272"/>
      <c r="G14" s="272">
        <f t="shared" si="0"/>
        <v>0</v>
      </c>
      <c r="H14" s="269"/>
      <c r="I14" s="269"/>
    </row>
    <row r="15" spans="1:9" ht="12.75">
      <c r="A15" s="270">
        <v>3</v>
      </c>
      <c r="B15" s="277"/>
      <c r="C15" s="270"/>
      <c r="D15" s="272"/>
      <c r="E15" s="272"/>
      <c r="F15" s="272"/>
      <c r="G15" s="272">
        <f t="shared" si="0"/>
        <v>0</v>
      </c>
      <c r="H15" s="269"/>
      <c r="I15" s="269"/>
    </row>
    <row r="16" spans="1:9" ht="13.5" thickBot="1">
      <c r="A16" s="278">
        <v>4</v>
      </c>
      <c r="B16" s="279"/>
      <c r="C16" s="278"/>
      <c r="D16" s="280"/>
      <c r="E16" s="280"/>
      <c r="F16" s="280"/>
      <c r="G16" s="280">
        <f t="shared" si="0"/>
        <v>0</v>
      </c>
      <c r="H16" s="269"/>
      <c r="I16" s="269"/>
    </row>
    <row r="17" spans="1:9" ht="13.5" thickBot="1">
      <c r="A17" s="281"/>
      <c r="B17" s="282" t="s">
        <v>569</v>
      </c>
      <c r="C17" s="283"/>
      <c r="D17" s="284">
        <f>SUM(D8:D16)</f>
        <v>121686107</v>
      </c>
      <c r="E17" s="284">
        <f>SUM(E8:E16)</f>
        <v>322240</v>
      </c>
      <c r="F17" s="284">
        <f>SUM(F8:F16)</f>
        <v>197500</v>
      </c>
      <c r="G17" s="285">
        <f>SUM(G8:G16)</f>
        <v>121810847</v>
      </c>
      <c r="I17" s="286"/>
    </row>
    <row r="20" spans="2:9" ht="15.75">
      <c r="B20" s="596" t="s">
        <v>821</v>
      </c>
      <c r="C20" s="596"/>
      <c r="D20" s="596"/>
      <c r="E20" s="596"/>
      <c r="F20" s="596"/>
      <c r="G20" s="596"/>
      <c r="I20" s="286"/>
    </row>
    <row r="22" spans="1:7" ht="12.75">
      <c r="A22" s="597" t="s">
        <v>166</v>
      </c>
      <c r="B22" s="563" t="s">
        <v>561</v>
      </c>
      <c r="C22" s="597" t="s">
        <v>562</v>
      </c>
      <c r="D22" s="267" t="s">
        <v>563</v>
      </c>
      <c r="E22" s="597" t="s">
        <v>564</v>
      </c>
      <c r="F22" s="597" t="s">
        <v>565</v>
      </c>
      <c r="G22" s="267" t="s">
        <v>563</v>
      </c>
    </row>
    <row r="23" spans="1:7" ht="12.75">
      <c r="A23" s="598"/>
      <c r="B23" s="564"/>
      <c r="C23" s="598"/>
      <c r="D23" s="268">
        <f>+D7</f>
        <v>41275</v>
      </c>
      <c r="E23" s="598"/>
      <c r="F23" s="598"/>
      <c r="G23" s="268">
        <f>+G7</f>
        <v>41639</v>
      </c>
    </row>
    <row r="24" spans="1:7" ht="12.75">
      <c r="A24" s="270">
        <v>1</v>
      </c>
      <c r="B24" s="271" t="s">
        <v>473</v>
      </c>
      <c r="C24" s="270"/>
      <c r="D24" s="272">
        <v>0</v>
      </c>
      <c r="E24" s="272">
        <v>0</v>
      </c>
      <c r="F24" s="272"/>
      <c r="G24" s="272">
        <f>D24+E24</f>
        <v>0</v>
      </c>
    </row>
    <row r="25" spans="1:7" ht="12.75">
      <c r="A25" s="270">
        <v>2</v>
      </c>
      <c r="B25" s="271" t="s">
        <v>566</v>
      </c>
      <c r="C25" s="270"/>
      <c r="D25" s="272"/>
      <c r="E25" s="272"/>
      <c r="F25" s="272"/>
      <c r="G25" s="272">
        <f>D25+E25</f>
        <v>0</v>
      </c>
    </row>
    <row r="26" spans="1:7" ht="12.75">
      <c r="A26" s="270">
        <v>3</v>
      </c>
      <c r="B26" s="275" t="s">
        <v>570</v>
      </c>
      <c r="C26" s="270"/>
      <c r="D26" s="272">
        <f>+'Aq&amp;AM'!H14</f>
        <v>4032800</v>
      </c>
      <c r="E26" s="369">
        <f>+'Aq&amp;AM'!H22</f>
        <v>4426626</v>
      </c>
      <c r="F26" s="272"/>
      <c r="G26" s="272">
        <f>D26+E26-F26</f>
        <v>8459426</v>
      </c>
    </row>
    <row r="27" spans="1:7" ht="12.75">
      <c r="A27" s="270">
        <v>4</v>
      </c>
      <c r="B27" s="275" t="s">
        <v>568</v>
      </c>
      <c r="C27" s="270"/>
      <c r="D27" s="272">
        <f>+'Aq&amp;AM'!I14</f>
        <v>42328842</v>
      </c>
      <c r="E27" s="370">
        <f>+'Aq&amp;AM'!I22</f>
        <v>2759449</v>
      </c>
      <c r="F27" s="272"/>
      <c r="G27" s="272">
        <f>D27+E27</f>
        <v>45088291</v>
      </c>
    </row>
    <row r="28" spans="1:7" ht="12.75">
      <c r="A28" s="270">
        <v>5</v>
      </c>
      <c r="B28" s="275" t="s">
        <v>729</v>
      </c>
      <c r="C28" s="270"/>
      <c r="D28" s="272">
        <f>+'Aq&amp;AM'!J14</f>
        <v>1893548</v>
      </c>
      <c r="E28" s="369">
        <f>+'Aq&amp;AM'!J22</f>
        <v>196776</v>
      </c>
      <c r="F28" s="272"/>
      <c r="G28" s="272">
        <f>D28+E28</f>
        <v>2090324</v>
      </c>
    </row>
    <row r="29" spans="1:7" ht="12.75">
      <c r="A29" s="270">
        <v>1</v>
      </c>
      <c r="B29" s="275"/>
      <c r="C29" s="270"/>
      <c r="D29" s="272"/>
      <c r="E29" s="272"/>
      <c r="F29" s="272"/>
      <c r="G29" s="272"/>
    </row>
    <row r="30" spans="1:7" ht="12.75">
      <c r="A30" s="270">
        <v>2</v>
      </c>
      <c r="B30" s="277"/>
      <c r="C30" s="270"/>
      <c r="D30" s="272"/>
      <c r="E30" s="272"/>
      <c r="F30" s="272"/>
      <c r="G30" s="272">
        <f>D30+E30-F30</f>
        <v>0</v>
      </c>
    </row>
    <row r="31" spans="1:7" ht="12.75">
      <c r="A31" s="270">
        <v>3</v>
      </c>
      <c r="B31" s="277"/>
      <c r="C31" s="270"/>
      <c r="D31" s="272"/>
      <c r="E31" s="272"/>
      <c r="F31" s="272"/>
      <c r="G31" s="272">
        <f>D31+E31-F31</f>
        <v>0</v>
      </c>
    </row>
    <row r="32" spans="1:7" ht="13.5" thickBot="1">
      <c r="A32" s="278">
        <v>4</v>
      </c>
      <c r="B32" s="279"/>
      <c r="C32" s="278"/>
      <c r="D32" s="280"/>
      <c r="E32" s="280"/>
      <c r="F32" s="280"/>
      <c r="G32" s="280">
        <f>D32+E32-F32</f>
        <v>0</v>
      </c>
    </row>
    <row r="33" spans="1:10" ht="13.5" thickBot="1">
      <c r="A33" s="281"/>
      <c r="B33" s="282" t="s">
        <v>569</v>
      </c>
      <c r="C33" s="283"/>
      <c r="D33" s="284">
        <f>SUM(D24:D32)</f>
        <v>48255190</v>
      </c>
      <c r="E33" s="284">
        <f>SUM(E24:E32)</f>
        <v>7382851</v>
      </c>
      <c r="F33" s="284">
        <f>SUM(F24:F32)</f>
        <v>0</v>
      </c>
      <c r="G33" s="285">
        <f>SUM(G24:G32)</f>
        <v>55638041</v>
      </c>
      <c r="H33" s="287"/>
      <c r="I33" s="286"/>
      <c r="J33" s="286"/>
    </row>
    <row r="34" ht="12.75">
      <c r="G34" s="287"/>
    </row>
    <row r="36" spans="2:7" ht="15.75">
      <c r="B36" s="596" t="s">
        <v>822</v>
      </c>
      <c r="C36" s="596"/>
      <c r="D36" s="596"/>
      <c r="E36" s="596"/>
      <c r="F36" s="596"/>
      <c r="G36" s="596"/>
    </row>
    <row r="38" spans="1:7" ht="12.75">
      <c r="A38" s="597" t="s">
        <v>166</v>
      </c>
      <c r="B38" s="563" t="s">
        <v>561</v>
      </c>
      <c r="C38" s="597" t="s">
        <v>562</v>
      </c>
      <c r="D38" s="267" t="s">
        <v>563</v>
      </c>
      <c r="E38" s="597" t="s">
        <v>564</v>
      </c>
      <c r="F38" s="597" t="s">
        <v>565</v>
      </c>
      <c r="G38" s="267" t="s">
        <v>563</v>
      </c>
    </row>
    <row r="39" spans="1:7" ht="12.75">
      <c r="A39" s="598"/>
      <c r="B39" s="564"/>
      <c r="C39" s="598"/>
      <c r="D39" s="268">
        <f>+D7</f>
        <v>41275</v>
      </c>
      <c r="E39" s="598"/>
      <c r="F39" s="598"/>
      <c r="G39" s="268">
        <f>+G7</f>
        <v>41639</v>
      </c>
    </row>
    <row r="40" spans="1:7" ht="12.75">
      <c r="A40" s="270">
        <v>1</v>
      </c>
      <c r="B40" s="271" t="s">
        <v>473</v>
      </c>
      <c r="C40" s="270"/>
      <c r="D40" s="272">
        <v>0</v>
      </c>
      <c r="E40" s="272"/>
      <c r="F40" s="272">
        <v>0</v>
      </c>
      <c r="G40" s="272">
        <f aca="true" t="shared" si="1" ref="G40:G48">D40+E40-F40</f>
        <v>0</v>
      </c>
    </row>
    <row r="41" spans="1:14" ht="12.75">
      <c r="A41" s="270">
        <v>2</v>
      </c>
      <c r="B41" s="275" t="s">
        <v>566</v>
      </c>
      <c r="C41" s="270"/>
      <c r="D41" s="272"/>
      <c r="E41" s="272"/>
      <c r="F41" s="272"/>
      <c r="G41" s="272">
        <f t="shared" si="1"/>
        <v>0</v>
      </c>
      <c r="M41" s="269"/>
      <c r="N41" s="269"/>
    </row>
    <row r="42" spans="1:14" ht="12.75">
      <c r="A42" s="270">
        <v>3</v>
      </c>
      <c r="B42" s="275" t="s">
        <v>570</v>
      </c>
      <c r="C42" s="270"/>
      <c r="D42" s="370">
        <f>+D10-D26</f>
        <v>44266262</v>
      </c>
      <c r="E42" s="369">
        <f>+E10-E26</f>
        <v>-4426626</v>
      </c>
      <c r="F42" s="370">
        <f>+F10-F26</f>
        <v>0</v>
      </c>
      <c r="G42" s="272">
        <f t="shared" si="1"/>
        <v>39839636</v>
      </c>
      <c r="M42" s="269"/>
      <c r="N42" s="269"/>
    </row>
    <row r="43" spans="1:14" ht="12.75">
      <c r="A43" s="270">
        <v>4</v>
      </c>
      <c r="B43" s="275" t="s">
        <v>568</v>
      </c>
      <c r="C43" s="270"/>
      <c r="D43" s="370">
        <f aca="true" t="shared" si="2" ref="D43:F44">+D11-D27</f>
        <v>27594489</v>
      </c>
      <c r="E43" s="369">
        <f t="shared" si="2"/>
        <v>-2759449</v>
      </c>
      <c r="F43" s="370">
        <f t="shared" si="2"/>
        <v>0</v>
      </c>
      <c r="G43" s="272">
        <f t="shared" si="1"/>
        <v>24835040</v>
      </c>
      <c r="M43" s="269"/>
      <c r="N43" s="269"/>
    </row>
    <row r="44" spans="1:14" ht="12.75">
      <c r="A44" s="270">
        <v>5</v>
      </c>
      <c r="B44" s="275" t="s">
        <v>729</v>
      </c>
      <c r="C44" s="270"/>
      <c r="D44" s="370">
        <f t="shared" si="2"/>
        <v>1570166</v>
      </c>
      <c r="E44" s="369">
        <f t="shared" si="2"/>
        <v>125464</v>
      </c>
      <c r="F44" s="370">
        <f t="shared" si="2"/>
        <v>197500</v>
      </c>
      <c r="G44" s="272">
        <f>D44+E44-F44</f>
        <v>1498130</v>
      </c>
      <c r="M44" s="269"/>
      <c r="N44" s="269"/>
    </row>
    <row r="45" spans="1:14" ht="12.75">
      <c r="A45" s="270">
        <v>1</v>
      </c>
      <c r="B45" s="275"/>
      <c r="C45" s="270"/>
      <c r="D45" s="272"/>
      <c r="E45" s="272"/>
      <c r="F45" s="272"/>
      <c r="G45" s="272">
        <f t="shared" si="1"/>
        <v>0</v>
      </c>
      <c r="M45" s="269"/>
      <c r="N45" s="269"/>
    </row>
    <row r="46" spans="1:14" ht="12.75">
      <c r="A46" s="270">
        <v>2</v>
      </c>
      <c r="B46" s="275"/>
      <c r="C46" s="270"/>
      <c r="D46" s="272"/>
      <c r="E46" s="272"/>
      <c r="F46" s="272"/>
      <c r="G46" s="272">
        <f t="shared" si="1"/>
        <v>0</v>
      </c>
      <c r="M46" s="269"/>
      <c r="N46" s="269"/>
    </row>
    <row r="47" spans="1:14" ht="12.75">
      <c r="A47" s="270">
        <v>3</v>
      </c>
      <c r="B47" s="277"/>
      <c r="C47" s="270"/>
      <c r="D47" s="272"/>
      <c r="E47" s="272"/>
      <c r="F47" s="272"/>
      <c r="G47" s="272">
        <f t="shared" si="1"/>
        <v>0</v>
      </c>
      <c r="M47" s="269"/>
      <c r="N47" s="269"/>
    </row>
    <row r="48" spans="1:14" ht="13.5" thickBot="1">
      <c r="A48" s="278">
        <v>4</v>
      </c>
      <c r="B48" s="279"/>
      <c r="C48" s="278"/>
      <c r="D48" s="280"/>
      <c r="E48" s="280"/>
      <c r="F48" s="280"/>
      <c r="G48" s="280">
        <f t="shared" si="1"/>
        <v>0</v>
      </c>
      <c r="M48" s="269"/>
      <c r="N48" s="269"/>
    </row>
    <row r="49" spans="1:14" ht="13.5" thickBot="1">
      <c r="A49" s="281"/>
      <c r="B49" s="282" t="s">
        <v>569</v>
      </c>
      <c r="C49" s="283"/>
      <c r="D49" s="284">
        <f>SUM(D40:D48)</f>
        <v>73430917</v>
      </c>
      <c r="E49" s="284">
        <f>SUM(E40:E48)</f>
        <v>-7060611</v>
      </c>
      <c r="F49" s="284">
        <f>SUM(F40:F48)</f>
        <v>197500</v>
      </c>
      <c r="G49" s="285">
        <f>SUM(G40:G48)</f>
        <v>66172806</v>
      </c>
      <c r="I49" s="287"/>
      <c r="J49" s="286"/>
      <c r="M49" s="288"/>
      <c r="N49" s="269"/>
    </row>
    <row r="50" spans="6:10" s="269" customFormat="1" ht="12.75">
      <c r="F50" s="274"/>
      <c r="G50" s="289"/>
      <c r="J50" s="274"/>
    </row>
    <row r="51" spans="4:14" ht="12.75">
      <c r="D51" s="286"/>
      <c r="G51" s="286"/>
      <c r="I51" s="287"/>
      <c r="M51" s="269"/>
      <c r="N51" s="269"/>
    </row>
    <row r="52" spans="4:14" ht="12.75">
      <c r="D52" s="286"/>
      <c r="G52" s="286"/>
      <c r="I52" s="286"/>
      <c r="M52" s="269"/>
      <c r="N52" s="269"/>
    </row>
    <row r="53" spans="5:14" ht="15.75">
      <c r="E53" s="594" t="s">
        <v>571</v>
      </c>
      <c r="F53" s="594"/>
      <c r="G53" s="594"/>
      <c r="M53" s="269"/>
      <c r="N53" s="269"/>
    </row>
    <row r="54" spans="5:7" ht="12.75">
      <c r="E54" s="595" t="s">
        <v>730</v>
      </c>
      <c r="F54" s="595"/>
      <c r="G54" s="59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43" bottom="0.75" header="0.24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Owner</cp:lastModifiedBy>
  <cp:lastPrinted>2014-03-26T13:28:43Z</cp:lastPrinted>
  <dcterms:created xsi:type="dcterms:W3CDTF">2008-12-17T10:29:05Z</dcterms:created>
  <dcterms:modified xsi:type="dcterms:W3CDTF">2014-07-21T19:24:12Z</dcterms:modified>
  <cp:category/>
  <cp:version/>
  <cp:contentType/>
  <cp:contentStatus/>
</cp:coreProperties>
</file>