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5640" tabRatio="596" firstSheet="2" activeTab="9"/>
  </bookViews>
  <sheets>
    <sheet name="Risku i kursit te kembimit" sheetId="1" r:id="rId1"/>
    <sheet name="Risku i likuiditetit" sheetId="2" r:id="rId2"/>
    <sheet name="Chart1" sheetId="3" r:id="rId3"/>
    <sheet name="BK" sheetId="4" r:id="rId4"/>
    <sheet name="ardh-shpenz" sheetId="5" r:id="rId5"/>
    <sheet name="Sheet2" sheetId="6" r:id="rId6"/>
    <sheet name="cash-flow" sheetId="7" r:id="rId7"/>
    <sheet name="kap veta" sheetId="8" r:id="rId8"/>
    <sheet name="AQ" sheetId="9" r:id="rId9"/>
    <sheet name="tjera" sheetId="10" r:id="rId10"/>
    <sheet name="shpa" sheetId="11" r:id="rId11"/>
    <sheet name="sigurimet pagat" sheetId="12" r:id="rId12"/>
    <sheet name="fdp09" sheetId="13" r:id="rId13"/>
    <sheet name="fd08" sheetId="14" r:id="rId14"/>
    <sheet name="TVSH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<sst xmlns="http://schemas.openxmlformats.org/spreadsheetml/2006/main" count="740" uniqueCount="504">
  <si>
    <t>AKTlVET</t>
  </si>
  <si>
    <t>Mjete monetare</t>
  </si>
  <si>
    <t>Totali</t>
  </si>
  <si>
    <t>lnstrumente te tjera borxhi</t>
  </si>
  <si>
    <t>lnvestime te tjera financiare</t>
  </si>
  <si>
    <t>Inventari</t>
  </si>
  <si>
    <t>Prodhim ne proces</t>
  </si>
  <si>
    <t>Produkte te Ratshme</t>
  </si>
  <si>
    <t>Aktivet afatgjata</t>
  </si>
  <si>
    <t>Rezerva te tjera</t>
  </si>
  <si>
    <t>Shitjet neto</t>
  </si>
  <si>
    <t>Shpenzime te personelit</t>
  </si>
  <si>
    <t>Te ardhurat dhe shpenzimet financiare</t>
  </si>
  <si>
    <t>Fitimi (humbja) para tatimit</t>
  </si>
  <si>
    <t>Shpenzimet e tatimit mbi fitimin</t>
  </si>
  <si>
    <t>Fitimi (humbja) neto e vitit financiar</t>
  </si>
  <si>
    <t>Interesi i paguar</t>
  </si>
  <si>
    <t>Tatimfitimi i paguar</t>
  </si>
  <si>
    <t>Fluksi i parave nga veprimtarite investuese</t>
  </si>
  <si>
    <t>Interesi i arketuar</t>
  </si>
  <si>
    <t>Dividendet e arketuar</t>
  </si>
  <si>
    <t>Te ardhura nga emetimi i kapitalit aksionar</t>
  </si>
  <si>
    <t>Pagesat e detyrimeve te qirase financiare</t>
  </si>
  <si>
    <t>Rritja/renia neto e mjeteve monetare</t>
  </si>
  <si>
    <t>Mjetet monetare ne fund te periudhes kontabel</t>
  </si>
  <si>
    <t>Pasqyra e fluksit te parave - Metoda indirekte</t>
  </si>
  <si>
    <t>Fluksi i parave nga veprimtarite e shfrvtezimit</t>
  </si>
  <si>
    <t>Fitimi para tatimit</t>
  </si>
  <si>
    <t>RreguIIime per:</t>
  </si>
  <si>
    <t>Amortizimin</t>
  </si>
  <si>
    <t>Te ardhura nga investimet</t>
  </si>
  <si>
    <t>Shpenzime per interesa</t>
  </si>
  <si>
    <t>Rritie/renie ne tepricen inventarit</t>
  </si>
  <si>
    <t>Parate e perftuara nga aktivitetet</t>
  </si>
  <si>
    <t>Bleria e shoqerise se kontrolluar X minus parate e arketuara</t>
  </si>
  <si>
    <t>Te ardhura nga shitja e paiisjeve</t>
  </si>
  <si>
    <t>Te ardhura nga huamarrie afatgjata</t>
  </si>
  <si>
    <t>Dividendet e paguar</t>
  </si>
  <si>
    <t>Kapitali</t>
  </si>
  <si>
    <t>Derivative dhe aktive financiare te mbajtura per tregtim</t>
  </si>
  <si>
    <t>Aktivet afatshkurtra</t>
  </si>
  <si>
    <t>Aktive te tjera financiare afatshkurtra</t>
  </si>
  <si>
    <t>Llogari/Kerkesa te tjera te arketueshme</t>
  </si>
  <si>
    <t>Mallra per rishitje</t>
  </si>
  <si>
    <t>Parapagesat per furnizime</t>
  </si>
  <si>
    <t>Aktivet afatshkurtra te mbajtura per shitje</t>
  </si>
  <si>
    <t>Parapagimet dhe shpenzimet e shtyra</t>
  </si>
  <si>
    <t>Aktivet totale afatshkurtra</t>
  </si>
  <si>
    <t>Investimet financiare afatgjata</t>
  </si>
  <si>
    <t>Llogari / Kerkesa te arketueshme</t>
  </si>
  <si>
    <t>Aktive afatgjata materiale</t>
  </si>
  <si>
    <t>Aktivet afatgjata jomateriale</t>
  </si>
  <si>
    <t>TOTALl I AKTIVEVE</t>
  </si>
  <si>
    <t>Huamarjet</t>
  </si>
  <si>
    <t>Huate dhe parapagimet</t>
  </si>
  <si>
    <t>Te pagueshme ndaj furnitoreve</t>
  </si>
  <si>
    <t>Parapagime te arketuara</t>
  </si>
  <si>
    <t>Grande dhe te ardhura te shtyra</t>
  </si>
  <si>
    <t>Provizionet afatshkurter</t>
  </si>
  <si>
    <t>Totali i pasiveve Afatshkurter</t>
  </si>
  <si>
    <t>Pasivet Afatgjata</t>
  </si>
  <si>
    <t>Hua Afatgjata</t>
  </si>
  <si>
    <t>Huamarje te tjera Afatgjata</t>
  </si>
  <si>
    <t>Provizione Afatgjata</t>
  </si>
  <si>
    <t>Totali i pasiveve Afatgjata</t>
  </si>
  <si>
    <t>KAPITALI</t>
  </si>
  <si>
    <t>Rezerva Statutore</t>
  </si>
  <si>
    <t>Rezerva Ligjore</t>
  </si>
  <si>
    <t>Fitime te pa shperndara</t>
  </si>
  <si>
    <t xml:space="preserve">P ASIVET DHE KAPIT ALl </t>
  </si>
  <si>
    <t>TOTALl I PASIVEVE DHE KAPITALIT</t>
  </si>
  <si>
    <t>Te ardhura te tjera nga veprimtarite e shfrytezimit</t>
  </si>
  <si>
    <t>Ndryshimet ne inventarin e produkteve te gatshme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</si>
  <si>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</si>
  <si>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</si>
  <si>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</si>
  <si>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Renia ne vlere (zhvleresimi) dhe amortizimi</t>
  </si>
  <si>
    <t>Fitimi (humbja) nga veprimtarite e shfrytezimit</t>
  </si>
  <si>
    <t>Te ardhurat dhe shpenzimet financiare nga njesite e kontrolluara</t>
  </si>
  <si>
    <t>Te ardhurat dhe shpenzimet financiare nga pjesmarrjet</t>
  </si>
  <si>
    <t>Viti 2008</t>
  </si>
  <si>
    <t>Rritje/renie ne tepricen e kerkesave te arketueshme nga aktiviteti, si dhe kerkesave te arketueshme te tjera</t>
  </si>
  <si>
    <t>Paraja neto, e perdorur ne aktivitetet investuese</t>
  </si>
  <si>
    <t>Mjetet monetare ne tilIim te periudhes kontabel</t>
  </si>
  <si>
    <t>Fluksi i parave nga veprimtarite financiare</t>
  </si>
  <si>
    <t>Efekti i ndryshimeve ne politikat kontabel</t>
  </si>
  <si>
    <t>Pozicioni i rregulluar</t>
  </si>
  <si>
    <t>Fitimi neto per periudhen kontabel</t>
  </si>
  <si>
    <t>Rritje e rezerves se kapitalit</t>
  </si>
  <si>
    <t>Kapitali aksionar</t>
  </si>
  <si>
    <t>Rezerva ligjore statutore</t>
  </si>
  <si>
    <t>Fitimi i pashperndare</t>
  </si>
  <si>
    <t>VITI 2008</t>
  </si>
  <si>
    <t>Prime te lidhura me Kapitalin</t>
  </si>
  <si>
    <t>Investime financiare  te vlefshme per shitje</t>
  </si>
  <si>
    <t>Total aktive afatgjate</t>
  </si>
  <si>
    <t>Total Iventari</t>
  </si>
  <si>
    <t>Total aktive te tjera afatshkurtet</t>
  </si>
  <si>
    <t>Total mjete monetare</t>
  </si>
  <si>
    <t>Hua afatshkurter</t>
  </si>
  <si>
    <t>Kesti afatshklurter i huase afatgjate</t>
  </si>
  <si>
    <t>Te ardhura te tjera</t>
  </si>
  <si>
    <t xml:space="preserve">Fit/humbja e vitit </t>
  </si>
  <si>
    <t>Te pagueshme ndaj punonjesve</t>
  </si>
  <si>
    <t>Blerja e aktiveve afatgjata materiale</t>
  </si>
  <si>
    <t>Shpenzime te nisjes e zgjerimit</t>
  </si>
  <si>
    <t>Inventar Ekonomik</t>
  </si>
  <si>
    <t>Aktive te Trupezuara</t>
  </si>
  <si>
    <t xml:space="preserve">Shtesa </t>
  </si>
  <si>
    <t>Pakesime</t>
  </si>
  <si>
    <t>Amortizimi</t>
  </si>
  <si>
    <t>Shtesa llogaritur</t>
  </si>
  <si>
    <t>Para ne dore</t>
  </si>
  <si>
    <t>Para ne Banka</t>
  </si>
  <si>
    <t>Magazinat</t>
  </si>
  <si>
    <t>Klientet</t>
  </si>
  <si>
    <t>Sigurime shoqerore</t>
  </si>
  <si>
    <t>Tatim Page</t>
  </si>
  <si>
    <t>31 Dhjetor 2008</t>
  </si>
  <si>
    <t>Materiale te para</t>
  </si>
  <si>
    <t xml:space="preserve">Paga  </t>
  </si>
  <si>
    <t>Fitim nga kembime valutore</t>
  </si>
  <si>
    <t>Te ardhura nga interesat</t>
  </si>
  <si>
    <t>Shpenzim nga kembime valutore</t>
  </si>
  <si>
    <t>Fitim Bruto</t>
  </si>
  <si>
    <t>Shpenzime te pa njohura</t>
  </si>
  <si>
    <t>Baza llogaritjes Tatimit</t>
  </si>
  <si>
    <t>% e tatim Fitimit</t>
  </si>
  <si>
    <t>Tatim Fitimi</t>
  </si>
  <si>
    <t>Fitimi NETO</t>
  </si>
  <si>
    <t>Kerkesa te arketueshme</t>
  </si>
  <si>
    <t>Te tjera Kerkesa te arketueshme</t>
  </si>
  <si>
    <t>Te tjera shpenzime</t>
  </si>
  <si>
    <t>(shumat ne Leke)</t>
  </si>
  <si>
    <t>Te pagueshme ndaj taksave</t>
  </si>
  <si>
    <t>Dif konv pasive</t>
  </si>
  <si>
    <t>Diferenca konvertimi Aktive</t>
  </si>
  <si>
    <t>Shenime</t>
  </si>
  <si>
    <t>shenime</t>
  </si>
  <si>
    <t>Rritje/renie ne tepricen e detyrimeve, per t'u paguar nga aktiviteti</t>
  </si>
  <si>
    <t>Paraja neto e verdorur ne aktivitetet financiare</t>
  </si>
  <si>
    <t>5a</t>
  </si>
  <si>
    <t>5c</t>
  </si>
  <si>
    <t>5b</t>
  </si>
  <si>
    <t>7a</t>
  </si>
  <si>
    <t>7b</t>
  </si>
  <si>
    <t xml:space="preserve"> Shoqeria  "Albanian Motor Company"  sh p k </t>
  </si>
  <si>
    <t xml:space="preserve"> Shoqeria  "Albanian Motor Company"   sh p k </t>
  </si>
  <si>
    <t>Ndryshime ne politika kontabel</t>
  </si>
  <si>
    <t>tatim fitimi</t>
  </si>
  <si>
    <t>tatim qeraje</t>
  </si>
  <si>
    <t>Tvsh</t>
  </si>
  <si>
    <t>shoqata e makinave</t>
  </si>
  <si>
    <t>Trajnime</t>
  </si>
  <si>
    <t>shpenzime te panjohura</t>
  </si>
  <si>
    <t>parkime</t>
  </si>
  <si>
    <t>F.D.P.  VITI 2008</t>
  </si>
  <si>
    <t>TE PERJASHTUARA</t>
  </si>
  <si>
    <t>EKSPORTE</t>
  </si>
  <si>
    <t xml:space="preserve">VLEFTE  E TATUSHME </t>
  </si>
  <si>
    <t>TVSH SHITJE</t>
  </si>
  <si>
    <t>BLERJE PA TVSH</t>
  </si>
  <si>
    <t>IMPORTE</t>
  </si>
  <si>
    <t>TVSH</t>
  </si>
  <si>
    <t>BLERJE BREND</t>
  </si>
  <si>
    <t xml:space="preserve">TVSH </t>
  </si>
  <si>
    <t>TVSH ZBRIT</t>
  </si>
  <si>
    <t>TVSH PAGUAR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</si>
  <si>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</si>
  <si>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</si>
  <si>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</si>
  <si>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</si>
  <si>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</si>
  <si>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</si>
  <si>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</si>
  <si>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</si>
  <si>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</si>
  <si>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 xml:space="preserve">TETOR </t>
  </si>
  <si>
    <t>NENTOR</t>
  </si>
  <si>
    <t>DHJETOR</t>
  </si>
  <si>
    <t>DETYRIM -31.12.2008</t>
  </si>
  <si>
    <t>parapagimet 2007</t>
  </si>
  <si>
    <t>parapagimet 2008</t>
  </si>
  <si>
    <t xml:space="preserve">total te ardhura </t>
  </si>
  <si>
    <t>Periudha</t>
  </si>
  <si>
    <t>paga  baze</t>
  </si>
  <si>
    <t xml:space="preserve">tatim te ardhura </t>
  </si>
  <si>
    <t>paga neto</t>
  </si>
  <si>
    <t>janari</t>
  </si>
  <si>
    <t>total sigurimet</t>
  </si>
  <si>
    <t>shkurti</t>
  </si>
  <si>
    <t>Marsi</t>
  </si>
  <si>
    <t>prill</t>
  </si>
  <si>
    <t>maj</t>
  </si>
  <si>
    <t>qershori</t>
  </si>
  <si>
    <t>korrik</t>
  </si>
  <si>
    <t>gushti</t>
  </si>
  <si>
    <t>Gjendje malli makinat</t>
  </si>
  <si>
    <t xml:space="preserve">gjendje malli  servisi minus povigjoni </t>
  </si>
  <si>
    <t>gjendje mall mjete uji</t>
  </si>
  <si>
    <t>Gjendje malli pjese kembimi brp</t>
  </si>
  <si>
    <t>materiale te para per konsum  servisi</t>
  </si>
  <si>
    <t xml:space="preserve">Inventari imet  per servisin </t>
  </si>
  <si>
    <t>Kibe laboratori</t>
  </si>
  <si>
    <t>Enel Sh.p.k</t>
  </si>
  <si>
    <t>Genci  Bregu</t>
  </si>
  <si>
    <t>Qendra Kristal</t>
  </si>
  <si>
    <t>Euron Aditiv</t>
  </si>
  <si>
    <t>Erion  Harizi</t>
  </si>
  <si>
    <t>Donika Aliaj</t>
  </si>
  <si>
    <t>Adrian Dulaku</t>
  </si>
  <si>
    <t>Fabrika Cimentos Fushe kruje</t>
  </si>
  <si>
    <t>Intergaz</t>
  </si>
  <si>
    <t>Luci Grup</t>
  </si>
  <si>
    <t>Enina  Juniku</t>
  </si>
  <si>
    <t xml:space="preserve">Kliente te tjere </t>
  </si>
  <si>
    <t xml:space="preserve">Mariana Daka </t>
  </si>
  <si>
    <t xml:space="preserve">Eldisa Zhebo </t>
  </si>
  <si>
    <t>Vodafone</t>
  </si>
  <si>
    <t>Kosova  Motor Company</t>
  </si>
  <si>
    <t>TOTALI</t>
  </si>
  <si>
    <t>Overdrafti nga banka linja  Instituti Credins</t>
  </si>
  <si>
    <t>Detyrimi hua  Dalewesst  Limited</t>
  </si>
  <si>
    <t>Detyrimi  Raiffeisen Leasing</t>
  </si>
  <si>
    <t>Ford Otomotiv  Sanay</t>
  </si>
  <si>
    <t>Intereuropa</t>
  </si>
  <si>
    <t>Ford  Werke  GBMBH</t>
  </si>
  <si>
    <t>Aeskjaer</t>
  </si>
  <si>
    <t>Guava  International</t>
  </si>
  <si>
    <t>Sumit Auto</t>
  </si>
  <si>
    <t>Te tjere furnitore</t>
  </si>
  <si>
    <t>total</t>
  </si>
  <si>
    <t>Furnitoret</t>
  </si>
  <si>
    <t>Kostua e targimit makinave</t>
  </si>
  <si>
    <t>provigjoni mall servisi</t>
  </si>
  <si>
    <t>amortizimi I inventarit imet + daljet jasht perd</t>
  </si>
  <si>
    <t xml:space="preserve">Materiale te para </t>
  </si>
  <si>
    <t>Kosto malli servisi + brp</t>
  </si>
  <si>
    <t xml:space="preserve"> Kosto Malli mjete uji </t>
  </si>
  <si>
    <t>mallrat</t>
  </si>
  <si>
    <t>Te tjera shpenzime sigurimi suplementar</t>
  </si>
  <si>
    <t>Blerje energji uje</t>
  </si>
  <si>
    <t>Sherbime  brenda garancise</t>
  </si>
  <si>
    <t>blerje broshura katallogje makinash</t>
  </si>
  <si>
    <t>blerje te tjera</t>
  </si>
  <si>
    <t>blerje te tjera te panjohura</t>
  </si>
  <si>
    <t>perkthim noterizime</t>
  </si>
  <si>
    <t>agjensite doganore</t>
  </si>
  <si>
    <t xml:space="preserve">Shpenzime avokatie </t>
  </si>
  <si>
    <t>Konsulence profesionale</t>
  </si>
  <si>
    <t>Mirembajtje ambienti + pastrimi</t>
  </si>
  <si>
    <t xml:space="preserve">Sherbim servisi ed </t>
  </si>
  <si>
    <t xml:space="preserve">Qera  </t>
  </si>
  <si>
    <t>Mirembajtje riparime</t>
  </si>
  <si>
    <t>Sherbim rojesh</t>
  </si>
  <si>
    <t>komisionerite</t>
  </si>
  <si>
    <t>Reklame publicitet + materiale publicitare</t>
  </si>
  <si>
    <t>udhetime dieta</t>
  </si>
  <si>
    <t>Transporte</t>
  </si>
  <si>
    <t>sherbime bankare + komisionet e garancise</t>
  </si>
  <si>
    <t>taksa   + siguracione</t>
  </si>
  <si>
    <t>daljet  jashte perdorimit</t>
  </si>
  <si>
    <t>sponsorizime</t>
  </si>
  <si>
    <t xml:space="preserve">Shpenzime  pritje dhurata + humbje </t>
  </si>
  <si>
    <t>Provigjini kosova</t>
  </si>
  <si>
    <t>Provigjoni kliente</t>
  </si>
  <si>
    <t xml:space="preserve">shpenzime te tjera panjohura </t>
  </si>
  <si>
    <t>Masglas</t>
  </si>
  <si>
    <t>Shpenzime postare  telefonike</t>
  </si>
  <si>
    <t>te ndrysheme+ leje higjeno sanitare</t>
  </si>
  <si>
    <t>Vlera kontabel e aktiveve te shitura</t>
  </si>
  <si>
    <t>detyrime</t>
  </si>
  <si>
    <t xml:space="preserve">detyrime fiskale </t>
  </si>
  <si>
    <t>Makineri paisje</t>
  </si>
  <si>
    <t xml:space="preserve">Mjete Transporti </t>
  </si>
  <si>
    <t>Ndertesa punime shtese</t>
  </si>
  <si>
    <t>5.d</t>
  </si>
  <si>
    <t>7c</t>
  </si>
  <si>
    <t>7d</t>
  </si>
  <si>
    <t>8.a</t>
  </si>
  <si>
    <t>8.b</t>
  </si>
  <si>
    <t>shitjet neto perfshire 2007 ndryshim politikash</t>
  </si>
  <si>
    <t>ilje fitimi + ndryshim politikash</t>
  </si>
  <si>
    <t>humbje ngsa kembimet valutore</t>
  </si>
  <si>
    <t>llogarite</t>
  </si>
  <si>
    <t>21201-2819</t>
  </si>
  <si>
    <t>;327;32901;3297</t>
  </si>
  <si>
    <t>311;351-395</t>
  </si>
  <si>
    <t>411;41102;41105;41106;41107;49101;151</t>
  </si>
  <si>
    <t>444;4454; 46102;4679;542;5425;</t>
  </si>
  <si>
    <t>512-53141</t>
  </si>
  <si>
    <t>401-401999</t>
  </si>
  <si>
    <t>431-442</t>
  </si>
  <si>
    <t>41905-41982</t>
  </si>
  <si>
    <t>4551;467,467002;467010;46705;46707;467072;46710;468;471</t>
  </si>
  <si>
    <t>5a1</t>
  </si>
  <si>
    <t>5a2</t>
  </si>
  <si>
    <t>5a3</t>
  </si>
  <si>
    <t>te ardhura te  shtyra diferenc mak lizi</t>
  </si>
  <si>
    <t>te ardhura neto    lizing  2007 dif kosto cmim</t>
  </si>
  <si>
    <t>shperndare per 4 vjet 14088000/4</t>
  </si>
  <si>
    <t>30 Dhjetor 2008</t>
  </si>
  <si>
    <t>Te ardhura nga qerate</t>
  </si>
  <si>
    <t>Te ardhura Komisioneri shitje jashte</t>
  </si>
  <si>
    <t>Te ardhura nga parkimi</t>
  </si>
  <si>
    <t>8b</t>
  </si>
  <si>
    <t>te ardhura te perjashtuara ( perfshire 2007)</t>
  </si>
  <si>
    <t xml:space="preserve">te tjera </t>
  </si>
  <si>
    <t xml:space="preserve">kursit të këmbimit </t>
  </si>
  <si>
    <t xml:space="preserve"> në EURO </t>
  </si>
  <si>
    <t xml:space="preserve"> në LEK </t>
  </si>
  <si>
    <t>te tjera</t>
  </si>
  <si>
    <t xml:space="preserve"> Totali </t>
  </si>
  <si>
    <t>AKTIVET</t>
  </si>
  <si>
    <t>Totali i aktiveve</t>
  </si>
  <si>
    <t>DETYRIMET</t>
  </si>
  <si>
    <t>Totali i detyrimeve</t>
  </si>
  <si>
    <t>Pozicioni neto i monedhës</t>
  </si>
  <si>
    <t>Rreziku i likuiditetit</t>
  </si>
  <si>
    <t>deri në 1 muaj</t>
  </si>
  <si>
    <t xml:space="preserve"> 1 – 3</t>
  </si>
  <si>
    <t xml:space="preserve"> 3 - 12 </t>
  </si>
  <si>
    <t xml:space="preserve"> 1 - 5 </t>
  </si>
  <si>
    <t xml:space="preserve"> muaj </t>
  </si>
  <si>
    <t>muaj</t>
  </si>
  <si>
    <t xml:space="preserve">vjet </t>
  </si>
  <si>
    <t>Sensitiviteti i interesit</t>
  </si>
  <si>
    <t>Gjendje malli magazine doganore</t>
  </si>
  <si>
    <t>Viti 2009</t>
  </si>
  <si>
    <t xml:space="preserve">SHPENZIME TE PANJOHURA </t>
  </si>
  <si>
    <t>60514</t>
  </si>
  <si>
    <t>Targat  e makinave</t>
  </si>
  <si>
    <t>60515</t>
  </si>
  <si>
    <t>BLERJE TE PANJOHURMAKINAT</t>
  </si>
  <si>
    <t>60523</t>
  </si>
  <si>
    <t>servisi te panjohura</t>
  </si>
  <si>
    <t>6085</t>
  </si>
  <si>
    <t xml:space="preserve">Blerje te panjohura </t>
  </si>
  <si>
    <t>611041</t>
  </si>
  <si>
    <t>auditimi huaj Guava</t>
  </si>
  <si>
    <t>611071</t>
  </si>
  <si>
    <t xml:space="preserve">Parkim  ne dogane te panjohura </t>
  </si>
  <si>
    <t>611121</t>
  </si>
  <si>
    <t>TRAJNIME TE PANJOHURA ( ALENKA)</t>
  </si>
  <si>
    <t>61114</t>
  </si>
  <si>
    <t>Sherbime lagermax E PANJOHUR</t>
  </si>
  <si>
    <t>62201</t>
  </si>
  <si>
    <t xml:space="preserve">Komisioneri </t>
  </si>
  <si>
    <t>62401</t>
  </si>
  <si>
    <t>REKLAMA TE PANJOHUR</t>
  </si>
  <si>
    <t>6251</t>
  </si>
  <si>
    <t>Udhetime dieta te panjohura</t>
  </si>
  <si>
    <t>62711</t>
  </si>
  <si>
    <t>transporte te panjohura</t>
  </si>
  <si>
    <t>645</t>
  </si>
  <si>
    <t>Kontribute dhe kuota te tjera  per personelin</t>
  </si>
  <si>
    <t>654</t>
  </si>
  <si>
    <t>Shpenzime per pritje dhe perfaqesime</t>
  </si>
  <si>
    <t>65411</t>
  </si>
  <si>
    <t>PRITJE TE PANJOHURA</t>
  </si>
  <si>
    <t>6542</t>
  </si>
  <si>
    <t>BAKSHISHE</t>
  </si>
  <si>
    <t>6561</t>
  </si>
  <si>
    <t xml:space="preserve">PROVIGJIONI KLIENT </t>
  </si>
  <si>
    <t>657</t>
  </si>
  <si>
    <t>Gjoba dhe demshperblime</t>
  </si>
  <si>
    <t>6672</t>
  </si>
  <si>
    <t xml:space="preserve">INTERESAT PENALITET  I PANJOHUR </t>
  </si>
  <si>
    <t>68111</t>
  </si>
  <si>
    <t>amortzim i panjohur</t>
  </si>
  <si>
    <t>total shpenzime te panjohura</t>
  </si>
  <si>
    <t>TE ARDHURA TE PERJASHTUARA</t>
  </si>
  <si>
    <t>llogaritje tatim fitimi</t>
  </si>
  <si>
    <t>fitimi</t>
  </si>
  <si>
    <t>te ardhura te perjashtuara</t>
  </si>
  <si>
    <t>fitimi I tatushem</t>
  </si>
  <si>
    <t>tatimi  fitim =(d31+d32-d33)*0.1</t>
  </si>
  <si>
    <t>shpenzime te panjohura makinat</t>
  </si>
  <si>
    <t>Reklama ( bileta)</t>
  </si>
  <si>
    <t>shpenzime te panjohura servisi</t>
  </si>
  <si>
    <t>makinat me qera   raifaizen</t>
  </si>
  <si>
    <t>amortizim i AQ afatgjate pa njoh</t>
  </si>
  <si>
    <t>gjoba e demshperblime</t>
  </si>
  <si>
    <t>total  shpenzime te panjohura</t>
  </si>
  <si>
    <t>makinat me qera    vodafon + tuborg</t>
  </si>
  <si>
    <t>penalitet</t>
  </si>
  <si>
    <t>Pasqyra  permbledhese e sigurimeve  2009</t>
  </si>
  <si>
    <t>%</t>
  </si>
  <si>
    <t>Shtator</t>
  </si>
  <si>
    <t>Tetor</t>
  </si>
  <si>
    <t>nentori</t>
  </si>
  <si>
    <t>dhjetori</t>
  </si>
  <si>
    <t>totali</t>
  </si>
  <si>
    <t>31 Dhjetor 2009</t>
  </si>
  <si>
    <t>r</t>
  </si>
  <si>
    <t>Vlera neto 01.01.2009</t>
  </si>
  <si>
    <t>Vlera neto 31.12.2009</t>
  </si>
  <si>
    <t>Gjendje ne 31.12.2009</t>
  </si>
  <si>
    <t>Gjendje 01.01.2009</t>
  </si>
  <si>
    <t>Gjendje 31.12.2009</t>
  </si>
  <si>
    <t>Pasqyra e levizjes se kapitaleve te veta  me 31 Dhjetor 2008 dhe 2009</t>
  </si>
  <si>
    <t>Landeslease</t>
  </si>
  <si>
    <t>Kredia Procredit</t>
  </si>
  <si>
    <t>shoqerite motra</t>
  </si>
  <si>
    <t>Autopasioni</t>
  </si>
  <si>
    <t>lagermax</t>
  </si>
  <si>
    <t>iceberg publicity</t>
  </si>
  <si>
    <t>Artan Dulaku per qerate</t>
  </si>
  <si>
    <t>Tirana leasing</t>
  </si>
  <si>
    <t>30 Dhjetor 2009</t>
  </si>
  <si>
    <t>te ardhur nga diference kosto cmim makinat leasing vodafon</t>
  </si>
  <si>
    <t>Rimbursim Reklama Ford + Guava</t>
  </si>
  <si>
    <t>rimbursim fordi garancia</t>
  </si>
  <si>
    <t xml:space="preserve">e drejte perdorimi programi </t>
  </si>
  <si>
    <t>Ekspertiza+ auditime</t>
  </si>
  <si>
    <t>Lagermax</t>
  </si>
  <si>
    <t xml:space="preserve">penalitete  </t>
  </si>
  <si>
    <t>Pozicioni me 31dhjetor 2007</t>
  </si>
  <si>
    <t>Pozicioni me 31 dhjetor 2008</t>
  </si>
  <si>
    <t>F.D.P.  VITI 2009</t>
  </si>
  <si>
    <t>AUTO FATURIMET</t>
  </si>
  <si>
    <t>World   Wision</t>
  </si>
  <si>
    <t xml:space="preserve">united albanian breweris </t>
  </si>
  <si>
    <t>Tirana Inerte</t>
  </si>
  <si>
    <t>Prifti shpk</t>
  </si>
  <si>
    <t>Mektrin Motors</t>
  </si>
  <si>
    <t>ite  grup</t>
  </si>
  <si>
    <t>Gareden line</t>
  </si>
  <si>
    <t>Shefki  Karamuca</t>
  </si>
  <si>
    <t>kibe 1 shpk</t>
  </si>
  <si>
    <t>Tirana Leasing</t>
  </si>
  <si>
    <t xml:space="preserve">Alisia </t>
  </si>
  <si>
    <t>Emporiki bank</t>
  </si>
  <si>
    <t>Eriol Tafa</t>
  </si>
  <si>
    <t xml:space="preserve"> Albert Dimce</t>
  </si>
  <si>
    <t>Sinteza Co</t>
  </si>
  <si>
    <t>Enver Dalipaj</t>
  </si>
  <si>
    <t>parapagesat per furnizime</t>
  </si>
  <si>
    <t>tatime te shtyra              203917</t>
  </si>
  <si>
    <t>tvsh e zbriteshme         3207593</t>
  </si>
  <si>
    <t>Paradhenie ( Hua te dhena )</t>
  </si>
  <si>
    <t>shpenzime te shtyra</t>
  </si>
  <si>
    <t>Te tjera detyrime  fitimi I periudhes-31.12.08  mbasi eshte paguartatim  dividenti</t>
  </si>
  <si>
    <t>mars</t>
  </si>
  <si>
    <t xml:space="preserve">maj </t>
  </si>
  <si>
    <t>qershor</t>
  </si>
  <si>
    <t>korik</t>
  </si>
  <si>
    <t>gusht</t>
  </si>
  <si>
    <t>shtator</t>
  </si>
  <si>
    <t>tetor</t>
  </si>
  <si>
    <t xml:space="preserve">nentor </t>
  </si>
  <si>
    <t>Dhjetor</t>
  </si>
  <si>
    <t>xhiro te deklaruar</t>
  </si>
  <si>
    <t>eksport</t>
  </si>
  <si>
    <t xml:space="preserve">shitje perjashtuar  auto fat </t>
  </si>
  <si>
    <t>zbriten</t>
  </si>
  <si>
    <t>auto faturimi shitj perjasht</t>
  </si>
  <si>
    <t>makinat me laesing landeslease</t>
  </si>
  <si>
    <t>Auto faturimi shitj me tvsh</t>
  </si>
  <si>
    <t>parapgimet gj 31.12.09</t>
  </si>
  <si>
    <t>gjendje</t>
  </si>
  <si>
    <t>deklarimi  per 3522078</t>
  </si>
  <si>
    <t>deklarimi I leasing -31.12</t>
  </si>
  <si>
    <t>parapagimet gj 31.12.08</t>
  </si>
  <si>
    <t>diference kursi fat 16 31.01 philip  Moris</t>
  </si>
  <si>
    <t>Bilanci   Kontabel  me  31 Dhjetor 2009</t>
  </si>
  <si>
    <t>Llogaria te Ardhura &amp; Shpenzime per vitin e mbyllur me 31 Dhjetor 2009</t>
  </si>
  <si>
    <t>Periudha kontabel     01 Janar-31 Dhjetor 2009</t>
  </si>
  <si>
    <t>VITI 2009</t>
  </si>
  <si>
    <t>Pozicioni me 31 Dhjetor 2009</t>
  </si>
  <si>
    <t>Gjendje ne 01.01.2009</t>
  </si>
  <si>
    <t xml:space="preserve">total invent </t>
  </si>
  <si>
    <t>Total  hua marje afat gjate</t>
  </si>
  <si>
    <t>detyrim afat shkurter</t>
  </si>
  <si>
    <r>
      <t>Lendet e para</t>
    </r>
    <r>
      <rPr>
        <i/>
        <sz val="14"/>
        <rFont val="Times New Roman"/>
        <family val="1"/>
      </rPr>
      <t xml:space="preserve"> </t>
    </r>
  </si>
  <si>
    <r>
      <t>Te tjera detyrime    (</t>
    </r>
    <r>
      <rPr>
        <b/>
        <i/>
        <sz val="14"/>
        <rFont val="Times New Roman"/>
        <family val="1"/>
      </rPr>
      <t>dividenti</t>
    </r>
    <r>
      <rPr>
        <i/>
        <sz val="14"/>
        <rFont val="Times New Roman"/>
        <family val="1"/>
      </rPr>
      <t>)</t>
    </r>
  </si>
  <si>
    <t>tatim fitimi  mbi paguar 2619068</t>
  </si>
  <si>
    <t>te ardhura  nga shitja e Aqt</t>
  </si>
  <si>
    <t>makinat</t>
  </si>
  <si>
    <t>Kosto malli makinat+ sherb</t>
  </si>
  <si>
    <t>provigjonet e krijuar</t>
  </si>
  <si>
    <t>elektronik h&amp;L</t>
  </si>
  <si>
    <t xml:space="preserve">Intersig </t>
  </si>
  <si>
    <t>total 2009 provigjon I krijuar</t>
  </si>
  <si>
    <t>Zbritet provigjon 2008 arket 2009 Orges Kilica</t>
  </si>
  <si>
    <t>Total shpenzim provigjon  2009</t>
  </si>
  <si>
    <t>ASSETS</t>
  </si>
  <si>
    <t>Property, plant and equipment</t>
  </si>
  <si>
    <t>Inventory</t>
  </si>
  <si>
    <t>Trade receivables</t>
  </si>
  <si>
    <t>Due from related parties</t>
  </si>
  <si>
    <t>Other assets</t>
  </si>
  <si>
    <t>Cash and cash equivalents</t>
  </si>
  <si>
    <t>Financial liabilities</t>
  </si>
  <si>
    <t>Due to related parties</t>
  </si>
  <si>
    <t>Trade payables</t>
  </si>
  <si>
    <t>Deferred income</t>
  </si>
  <si>
    <t>Accrued and other liabilities</t>
  </si>
  <si>
    <t xml:space="preserve"> në dollare</t>
  </si>
  <si>
    <t>ne dollare</t>
  </si>
  <si>
    <t>ADMINISTRATORI</t>
  </si>
  <si>
    <t>EKONOMISTI</t>
  </si>
  <si>
    <t>(ARETUZA KULECI)</t>
  </si>
  <si>
    <t>(ILIA CILI)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</si>
</sst>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_);\-#,##0.00"/>
    <numFmt numFmtId="177" formatCode="#,##0.00_ ;\-#,##0.00\ "/>
    <numFmt numFmtId="178" formatCode="#,##0.0_ ;\-#,##0.0\ "/>
    <numFmt numFmtId="179" formatCode="#,##0_ ;\-#,##0\ "/>
    <numFmt numFmtId="180" formatCode="_(* #,##0.0_);_(* \(#,##0.0\);_(* &quot;-&quot;??_);_(@_)"/>
    <numFmt numFmtId="181" formatCode="_(* #,##0_);_(* \(#,##0\);_(* &quot;-&quot;??_);_(@_)"/>
    <numFmt numFmtId="182" formatCode="#,##0.0_);\(#,##0.0\)"/>
    <numFmt numFmtId="183" formatCode="#,##0.00000000000000_);\(#,##0.00000000000000\)"/>
    <numFmt numFmtId="184" formatCode="#,##0.0000000000000_);\(#,##0.0000000000000\)"/>
    <numFmt numFmtId="185" formatCode="#,##0.000000000000_);\(#,##0.000000000000\)"/>
    <numFmt numFmtId="186" formatCode="#,##0.00000000000_);\(#,##0.00000000000\)"/>
    <numFmt numFmtId="187" formatCode="#,##0.0000000000_);\(#,##0.0000000000\)"/>
    <numFmt numFmtId="188" formatCode="#,##0.000000000_);\(#,##0.000000000\)"/>
    <numFmt numFmtId="189" formatCode="#,##0.00000000_);\(#,##0.00000000\)"/>
    <numFmt numFmtId="190" formatCode="#,##0.0000000_);\(#,##0.0000000\)"/>
    <numFmt numFmtId="191" formatCode="#,##0.000000_);\(#,##0.000000\)"/>
    <numFmt numFmtId="192" formatCode="#,##0.00000_);\(#,##0.00000\)"/>
    <numFmt numFmtId="193" formatCode="#,##0.0000_);\(#,##0.0000\)"/>
    <numFmt numFmtId="194" formatCode="#,##0.000_);\(#,##0.000\)"/>
    <numFmt numFmtId="195" formatCode="#,##0.0_);[Red]\(#,##0.0\)"/>
    <numFmt numFmtId="196" formatCode="_(* #,##0.000_);_(* \(#,##0.000\);_(* &quot;-&quot;??_);_(@_)"/>
    <numFmt numFmtId="197" formatCode="_(* #,##0.0_);_(* \(#,##0.0\);_(* &quot;-&quot;?_);_(@_)"/>
    <numFmt numFmtId="198" formatCode="0.0"/>
    <numFmt numFmtId="199" formatCode="_ &quot;$&quot;\ * #,##0_ ;_ &quot;$&quot;\ * \-#,##0_ ;_ &quot;$&quot;\ * &quot;-&quot;_ ;_ @_ "/>
    <numFmt numFmtId="200" formatCode="_ * #,##0_ ;_ * \-#,##0_ ;_ * &quot;-&quot;_ ;_ @_ "/>
    <numFmt numFmtId="201" formatCode="_ &quot;$&quot;\ * #,##0.00_ ;_ &quot;$&quot;\ * \-#,##0.00_ ;_ &quot;$&quot;\ * &quot;-&quot;??_ ;_ @_ "/>
    <numFmt numFmtId="202" formatCode="_ * #,##0.00_ ;_ * \-#,##0.00_ ;_ * &quot;-&quot;??_ ;_ @_ "/>
    <numFmt numFmtId="203" formatCode="_ * #,##0_ ;_ * \-#,##0_ ;_ * &quot;-&quot;??_ ;_ @_ "/>
    <numFmt numFmtId="204" formatCode="d\-mmm\-yyyy"/>
    <numFmt numFmtId="205" formatCode="[$-409]d\-mmm\-yy;@"/>
    <numFmt numFmtId="206" formatCode="_-* #,##0.00_L_e_k_-;\-* #,##0.00_L_e_k_-;_-* &quot;-&quot;??_L_e_k_-;_-@_-"/>
  </numFmts>
  <fonts count="75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name val="Garamond"/>
      <family val="1"/>
    </font>
    <font>
      <i/>
      <sz val="11"/>
      <name val="Garamond"/>
      <family val="1"/>
    </font>
    <font>
      <b/>
      <sz val="11"/>
      <name val="Garamond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i/>
      <sz val="13"/>
      <name val="Garamond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i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i/>
      <sz val="8"/>
      <color indexed="8"/>
      <name val="Arial"/>
      <family val="2"/>
    </font>
    <font>
      <b/>
      <i/>
      <u val="singleAccounting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Garamond"/>
      <family val="1"/>
    </font>
    <font>
      <i/>
      <sz val="9"/>
      <name val="Garamond"/>
      <family val="1"/>
    </font>
    <font>
      <b/>
      <sz val="9"/>
      <name val="Garamond"/>
      <family val="1"/>
    </font>
    <font>
      <sz val="8"/>
      <name val="Times New Roman"/>
      <family val="1"/>
    </font>
    <font>
      <sz val="8"/>
      <name val="Garamond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color indexed="10"/>
      <name val="Times New Roman"/>
      <family val="1"/>
    </font>
    <font>
      <sz val="10"/>
      <color indexed="10"/>
      <name val="Arial"/>
      <family val="0"/>
    </font>
    <font>
      <sz val="12"/>
      <color indexed="8"/>
      <name val="Times New Roman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u val="single"/>
      <sz val="12"/>
      <name val="Arial"/>
      <family val="0"/>
    </font>
    <font>
      <sz val="11"/>
      <color indexed="10"/>
      <name val="Garamond"/>
      <family val="1"/>
    </font>
    <font>
      <sz val="11"/>
      <color indexed="8"/>
      <name val="Garamond"/>
      <family val="1"/>
    </font>
    <font>
      <b/>
      <i/>
      <sz val="11"/>
      <name val="Garamond"/>
      <family val="1"/>
    </font>
    <font>
      <i/>
      <sz val="14"/>
      <name val="Garamond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i/>
      <u val="single"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vertical="justify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 wrapText="1"/>
    </xf>
    <xf numFmtId="3" fontId="1" fillId="0" borderId="0" xfId="42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4" fillId="0" borderId="10" xfId="0" applyNumberFormat="1" applyFont="1" applyFill="1" applyBorder="1" applyAlignment="1">
      <alignment horizontal="right" wrapText="1"/>
    </xf>
    <xf numFmtId="179" fontId="1" fillId="0" borderId="0" xfId="0" applyNumberFormat="1" applyFont="1" applyAlignment="1">
      <alignment/>
    </xf>
    <xf numFmtId="181" fontId="1" fillId="0" borderId="0" xfId="42" applyNumberFormat="1" applyFont="1" applyAlignment="1">
      <alignment/>
    </xf>
    <xf numFmtId="181" fontId="1" fillId="0" borderId="0" xfId="0" applyNumberFormat="1" applyFont="1" applyAlignment="1">
      <alignment/>
    </xf>
    <xf numFmtId="181" fontId="1" fillId="0" borderId="0" xfId="42" applyNumberFormat="1" applyFont="1" applyBorder="1" applyAlignment="1">
      <alignment/>
    </xf>
    <xf numFmtId="3" fontId="1" fillId="0" borderId="11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 wrapText="1"/>
    </xf>
    <xf numFmtId="181" fontId="6" fillId="0" borderId="0" xfId="0" applyNumberFormat="1" applyFont="1" applyAlignment="1">
      <alignment horizontal="right" vertical="center"/>
    </xf>
    <xf numFmtId="181" fontId="4" fillId="0" borderId="0" xfId="0" applyNumberFormat="1" applyFont="1" applyBorder="1" applyAlignment="1">
      <alignment horizontal="center" wrapText="1"/>
    </xf>
    <xf numFmtId="181" fontId="1" fillId="0" borderId="0" xfId="0" applyNumberFormat="1" applyFont="1" applyBorder="1" applyAlignment="1">
      <alignment/>
    </xf>
    <xf numFmtId="181" fontId="1" fillId="0" borderId="0" xfId="0" applyNumberFormat="1" applyFont="1" applyBorder="1" applyAlignment="1">
      <alignment horizontal="left" wrapText="1"/>
    </xf>
    <xf numFmtId="181" fontId="1" fillId="0" borderId="11" xfId="42" applyNumberFormat="1" applyFont="1" applyBorder="1" applyAlignment="1">
      <alignment horizontal="center" wrapText="1"/>
    </xf>
    <xf numFmtId="181" fontId="1" fillId="0" borderId="0" xfId="42" applyNumberFormat="1" applyFont="1" applyBorder="1" applyAlignment="1">
      <alignment horizontal="center" wrapText="1"/>
    </xf>
    <xf numFmtId="181" fontId="1" fillId="0" borderId="0" xfId="42" applyNumberFormat="1" applyFont="1" applyBorder="1" applyAlignment="1">
      <alignment horizontal="left" wrapText="1"/>
    </xf>
    <xf numFmtId="181" fontId="1" fillId="0" borderId="13" xfId="42" applyNumberFormat="1" applyFont="1" applyBorder="1" applyAlignment="1">
      <alignment horizontal="center" wrapText="1"/>
    </xf>
    <xf numFmtId="181" fontId="1" fillId="0" borderId="13" xfId="42" applyNumberFormat="1" applyFont="1" applyBorder="1" applyAlignment="1">
      <alignment horizontal="right" wrapText="1" indent="1"/>
    </xf>
    <xf numFmtId="181" fontId="1" fillId="0" borderId="0" xfId="42" applyNumberFormat="1" applyFont="1" applyBorder="1" applyAlignment="1">
      <alignment horizontal="right" wrapText="1" indent="3"/>
    </xf>
    <xf numFmtId="0" fontId="0" fillId="0" borderId="0" xfId="0" applyFont="1" applyAlignment="1">
      <alignment/>
    </xf>
    <xf numFmtId="39" fontId="7" fillId="0" borderId="0" xfId="0" applyNumberFormat="1" applyFont="1" applyAlignment="1">
      <alignment/>
    </xf>
    <xf numFmtId="39" fontId="8" fillId="0" borderId="10" xfId="0" applyNumberFormat="1" applyFont="1" applyBorder="1" applyAlignment="1">
      <alignment horizontal="center"/>
    </xf>
    <xf numFmtId="39" fontId="7" fillId="0" borderId="0" xfId="0" applyNumberFormat="1" applyFont="1" applyAlignment="1">
      <alignment horizontal="center"/>
    </xf>
    <xf numFmtId="39" fontId="9" fillId="0" borderId="0" xfId="0" applyNumberFormat="1" applyFont="1" applyAlignment="1">
      <alignment horizontal="center"/>
    </xf>
    <xf numFmtId="39" fontId="9" fillId="0" borderId="13" xfId="0" applyNumberFormat="1" applyFont="1" applyBorder="1" applyAlignment="1">
      <alignment/>
    </xf>
    <xf numFmtId="39" fontId="9" fillId="0" borderId="0" xfId="0" applyNumberFormat="1" applyFont="1" applyAlignment="1">
      <alignment/>
    </xf>
    <xf numFmtId="39" fontId="9" fillId="0" borderId="0" xfId="0" applyNumberFormat="1" applyFont="1" applyBorder="1" applyAlignment="1">
      <alignment/>
    </xf>
    <xf numFmtId="39" fontId="10" fillId="0" borderId="0" xfId="0" applyNumberFormat="1" applyFont="1" applyAlignment="1">
      <alignment/>
    </xf>
    <xf numFmtId="39" fontId="11" fillId="0" borderId="10" xfId="0" applyNumberFormat="1" applyFont="1" applyBorder="1" applyAlignment="1">
      <alignment horizontal="center"/>
    </xf>
    <xf numFmtId="39" fontId="10" fillId="0" borderId="0" xfId="0" applyNumberFormat="1" applyFont="1" applyAlignment="1">
      <alignment horizontal="center"/>
    </xf>
    <xf numFmtId="39" fontId="10" fillId="0" borderId="0" xfId="0" applyNumberFormat="1" applyFont="1" applyBorder="1" applyAlignment="1">
      <alignment horizontal="right"/>
    </xf>
    <xf numFmtId="39" fontId="10" fillId="0" borderId="0" xfId="0" applyNumberFormat="1" applyFont="1" applyAlignment="1">
      <alignment horizontal="right"/>
    </xf>
    <xf numFmtId="39" fontId="5" fillId="0" borderId="0" xfId="0" applyNumberFormat="1" applyFont="1" applyAlignment="1">
      <alignment horizontal="center"/>
    </xf>
    <xf numFmtId="39" fontId="5" fillId="0" borderId="13" xfId="0" applyNumberFormat="1" applyFont="1" applyBorder="1" applyAlignment="1">
      <alignment/>
    </xf>
    <xf numFmtId="39" fontId="5" fillId="0" borderId="0" xfId="0" applyNumberFormat="1" applyFont="1" applyAlignment="1">
      <alignment/>
    </xf>
    <xf numFmtId="39" fontId="12" fillId="0" borderId="0" xfId="0" applyNumberFormat="1" applyFont="1" applyAlignment="1">
      <alignment/>
    </xf>
    <xf numFmtId="39" fontId="10" fillId="0" borderId="0" xfId="0" applyNumberFormat="1" applyFont="1" applyBorder="1" applyAlignment="1">
      <alignment horizontal="left"/>
    </xf>
    <xf numFmtId="37" fontId="10" fillId="0" borderId="0" xfId="0" applyNumberFormat="1" applyFont="1" applyBorder="1" applyAlignment="1">
      <alignment horizontal="center"/>
    </xf>
    <xf numFmtId="37" fontId="10" fillId="0" borderId="0" xfId="0" applyNumberFormat="1" applyFont="1" applyAlignment="1">
      <alignment horizontal="center"/>
    </xf>
    <xf numFmtId="37" fontId="7" fillId="0" borderId="0" xfId="0" applyNumberFormat="1" applyFont="1" applyAlignment="1">
      <alignment/>
    </xf>
    <xf numFmtId="37" fontId="9" fillId="0" borderId="13" xfId="0" applyNumberFormat="1" applyFont="1" applyBorder="1" applyAlignment="1">
      <alignment/>
    </xf>
    <xf numFmtId="37" fontId="9" fillId="0" borderId="0" xfId="0" applyNumberFormat="1" applyFont="1" applyAlignment="1">
      <alignment/>
    </xf>
    <xf numFmtId="37" fontId="7" fillId="0" borderId="0" xfId="0" applyNumberFormat="1" applyFont="1" applyBorder="1" applyAlignment="1">
      <alignment/>
    </xf>
    <xf numFmtId="43" fontId="7" fillId="0" borderId="0" xfId="42" applyFont="1" applyAlignment="1">
      <alignment/>
    </xf>
    <xf numFmtId="43" fontId="9" fillId="0" borderId="13" xfId="42" applyFont="1" applyBorder="1" applyAlignment="1">
      <alignment/>
    </xf>
    <xf numFmtId="43" fontId="9" fillId="0" borderId="0" xfId="42" applyFont="1" applyAlignment="1">
      <alignment/>
    </xf>
    <xf numFmtId="37" fontId="9" fillId="0" borderId="0" xfId="0" applyNumberFormat="1" applyFont="1" applyBorder="1" applyAlignment="1">
      <alignment/>
    </xf>
    <xf numFmtId="182" fontId="0" fillId="0" borderId="0" xfId="0" applyNumberFormat="1" applyAlignment="1">
      <alignment/>
    </xf>
    <xf numFmtId="37" fontId="10" fillId="0" borderId="0" xfId="0" applyNumberFormat="1" applyFont="1" applyBorder="1" applyAlignment="1">
      <alignment horizontal="right"/>
    </xf>
    <xf numFmtId="37" fontId="10" fillId="0" borderId="0" xfId="42" applyNumberFormat="1" applyFont="1" applyAlignment="1">
      <alignment/>
    </xf>
    <xf numFmtId="37" fontId="10" fillId="0" borderId="0" xfId="0" applyNumberFormat="1" applyFont="1" applyAlignment="1">
      <alignment/>
    </xf>
    <xf numFmtId="37" fontId="5" fillId="0" borderId="13" xfId="0" applyNumberFormat="1" applyFont="1" applyBorder="1" applyAlignment="1">
      <alignment/>
    </xf>
    <xf numFmtId="37" fontId="0" fillId="0" borderId="0" xfId="0" applyNumberFormat="1" applyAlignment="1">
      <alignment/>
    </xf>
    <xf numFmtId="37" fontId="10" fillId="0" borderId="0" xfId="0" applyNumberFormat="1" applyFont="1" applyAlignment="1">
      <alignment horizontal="right"/>
    </xf>
    <xf numFmtId="37" fontId="11" fillId="0" borderId="10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center"/>
    </xf>
    <xf numFmtId="37" fontId="5" fillId="0" borderId="0" xfId="0" applyNumberFormat="1" applyFont="1" applyAlignment="1">
      <alignment/>
    </xf>
    <xf numFmtId="37" fontId="10" fillId="0" borderId="12" xfId="0" applyNumberFormat="1" applyFont="1" applyBorder="1" applyAlignment="1">
      <alignment/>
    </xf>
    <xf numFmtId="181" fontId="0" fillId="0" borderId="0" xfId="42" applyNumberFormat="1" applyFont="1" applyAlignment="1">
      <alignment/>
    </xf>
    <xf numFmtId="181" fontId="0" fillId="0" borderId="0" xfId="0" applyNumberFormat="1" applyAlignment="1">
      <alignment/>
    </xf>
    <xf numFmtId="181" fontId="0" fillId="0" borderId="0" xfId="42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181" fontId="16" fillId="0" borderId="0" xfId="42" applyNumberFormat="1" applyFont="1" applyAlignment="1">
      <alignment/>
    </xf>
    <xf numFmtId="181" fontId="16" fillId="0" borderId="0" xfId="0" applyNumberFormat="1" applyFont="1" applyAlignment="1">
      <alignment/>
    </xf>
    <xf numFmtId="181" fontId="16" fillId="0" borderId="13" xfId="42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181" fontId="16" fillId="0" borderId="0" xfId="42" applyNumberFormat="1" applyFont="1" applyBorder="1" applyAlignment="1">
      <alignment/>
    </xf>
    <xf numFmtId="39" fontId="8" fillId="0" borderId="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43" fontId="0" fillId="0" borderId="0" xfId="0" applyNumberFormat="1" applyAlignment="1">
      <alignment/>
    </xf>
    <xf numFmtId="181" fontId="0" fillId="0" borderId="0" xfId="42" applyNumberFormat="1" applyAlignment="1">
      <alignment/>
    </xf>
    <xf numFmtId="181" fontId="0" fillId="0" borderId="14" xfId="42" applyNumberFormat="1" applyBorder="1" applyAlignment="1">
      <alignment/>
    </xf>
    <xf numFmtId="181" fontId="3" fillId="0" borderId="14" xfId="42" applyNumberFormat="1" applyFont="1" applyFill="1" applyBorder="1" applyAlignment="1">
      <alignment/>
    </xf>
    <xf numFmtId="1" fontId="41" fillId="0" borderId="0" xfId="0" applyNumberFormat="1" applyFont="1" applyBorder="1" applyAlignment="1">
      <alignment/>
    </xf>
    <xf numFmtId="181" fontId="0" fillId="0" borderId="14" xfId="42" applyNumberFormat="1" applyFill="1" applyBorder="1" applyAlignment="1">
      <alignment/>
    </xf>
    <xf numFmtId="181" fontId="38" fillId="0" borderId="14" xfId="42" applyNumberFormat="1" applyFont="1" applyBorder="1" applyAlignment="1">
      <alignment/>
    </xf>
    <xf numFmtId="181" fontId="0" fillId="0" borderId="0" xfId="42" applyNumberFormat="1" applyFont="1" applyFill="1" applyBorder="1" applyAlignment="1">
      <alignment/>
    </xf>
    <xf numFmtId="181" fontId="0" fillId="0" borderId="0" xfId="42" applyNumberFormat="1" applyFont="1" applyBorder="1" applyAlignment="1">
      <alignment/>
    </xf>
    <xf numFmtId="0" fontId="0" fillId="0" borderId="13" xfId="0" applyBorder="1" applyAlignment="1">
      <alignment/>
    </xf>
    <xf numFmtId="43" fontId="0" fillId="0" borderId="13" xfId="0" applyNumberFormat="1" applyBorder="1" applyAlignment="1">
      <alignment/>
    </xf>
    <xf numFmtId="181" fontId="42" fillId="0" borderId="13" xfId="0" applyNumberFormat="1" applyFont="1" applyBorder="1" applyAlignment="1">
      <alignment/>
    </xf>
    <xf numFmtId="0" fontId="43" fillId="0" borderId="0" xfId="0" applyFont="1" applyAlignment="1">
      <alignment/>
    </xf>
    <xf numFmtId="39" fontId="11" fillId="0" borderId="0" xfId="0" applyNumberFormat="1" applyFont="1" applyBorder="1" applyAlignment="1">
      <alignment horizontal="center"/>
    </xf>
    <xf numFmtId="43" fontId="9" fillId="0" borderId="0" xfId="42" applyFont="1" applyBorder="1" applyAlignment="1">
      <alignment/>
    </xf>
    <xf numFmtId="181" fontId="9" fillId="0" borderId="0" xfId="42" applyNumberFormat="1" applyFont="1" applyBorder="1" applyAlignment="1">
      <alignment/>
    </xf>
    <xf numFmtId="39" fontId="9" fillId="0" borderId="0" xfId="0" applyNumberFormat="1" applyFont="1" applyAlignment="1">
      <alignment horizontal="left"/>
    </xf>
    <xf numFmtId="39" fontId="7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 horizontal="center"/>
    </xf>
    <xf numFmtId="181" fontId="16" fillId="0" borderId="0" xfId="0" applyNumberFormat="1" applyFont="1" applyBorder="1" applyAlignment="1">
      <alignment/>
    </xf>
    <xf numFmtId="39" fontId="9" fillId="0" borderId="10" xfId="0" applyNumberFormat="1" applyFont="1" applyBorder="1" applyAlignment="1">
      <alignment/>
    </xf>
    <xf numFmtId="181" fontId="0" fillId="0" borderId="0" xfId="42" applyNumberFormat="1" applyAlignment="1">
      <alignment/>
    </xf>
    <xf numFmtId="39" fontId="10" fillId="0" borderId="11" xfId="0" applyNumberFormat="1" applyFont="1" applyBorder="1" applyAlignment="1">
      <alignment/>
    </xf>
    <xf numFmtId="37" fontId="11" fillId="0" borderId="0" xfId="0" applyNumberFormat="1" applyFont="1" applyBorder="1" applyAlignment="1">
      <alignment horizontal="center"/>
    </xf>
    <xf numFmtId="181" fontId="4" fillId="0" borderId="13" xfId="42" applyNumberFormat="1" applyFont="1" applyBorder="1" applyAlignment="1">
      <alignment/>
    </xf>
    <xf numFmtId="181" fontId="4" fillId="0" borderId="0" xfId="0" applyNumberFormat="1" applyFont="1" applyAlignment="1">
      <alignment/>
    </xf>
    <xf numFmtId="39" fontId="9" fillId="0" borderId="11" xfId="0" applyNumberFormat="1" applyFont="1" applyBorder="1" applyAlignment="1">
      <alignment/>
    </xf>
    <xf numFmtId="39" fontId="0" fillId="0" borderId="0" xfId="0" applyNumberFormat="1" applyAlignment="1">
      <alignment/>
    </xf>
    <xf numFmtId="39" fontId="0" fillId="0" borderId="13" xfId="0" applyNumberFormat="1" applyBorder="1" applyAlignment="1">
      <alignment/>
    </xf>
    <xf numFmtId="0" fontId="44" fillId="0" borderId="0" xfId="0" applyFont="1" applyAlignment="1">
      <alignment/>
    </xf>
    <xf numFmtId="39" fontId="43" fillId="0" borderId="13" xfId="0" applyNumberFormat="1" applyFont="1" applyBorder="1" applyAlignment="1">
      <alignment/>
    </xf>
    <xf numFmtId="0" fontId="44" fillId="0" borderId="13" xfId="0" applyFont="1" applyBorder="1" applyAlignment="1">
      <alignment/>
    </xf>
    <xf numFmtId="37" fontId="43" fillId="0" borderId="13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38" fontId="48" fillId="0" borderId="0" xfId="0" applyNumberFormat="1" applyFont="1" applyBorder="1" applyAlignment="1">
      <alignment/>
    </xf>
    <xf numFmtId="38" fontId="47" fillId="0" borderId="0" xfId="0" applyNumberFormat="1" applyFont="1" applyBorder="1" applyAlignment="1">
      <alignment/>
    </xf>
    <xf numFmtId="38" fontId="46" fillId="0" borderId="0" xfId="0" applyNumberFormat="1" applyFont="1" applyBorder="1" applyAlignment="1">
      <alignment/>
    </xf>
    <xf numFmtId="38" fontId="49" fillId="0" borderId="13" xfId="0" applyNumberFormat="1" applyFont="1" applyBorder="1" applyAlignment="1">
      <alignment/>
    </xf>
    <xf numFmtId="38" fontId="47" fillId="0" borderId="13" xfId="0" applyNumberFormat="1" applyFont="1" applyBorder="1" applyAlignment="1">
      <alignment/>
    </xf>
    <xf numFmtId="40" fontId="47" fillId="0" borderId="0" xfId="0" applyNumberFormat="1" applyFont="1" applyBorder="1" applyAlignment="1">
      <alignment/>
    </xf>
    <xf numFmtId="181" fontId="47" fillId="0" borderId="0" xfId="42" applyNumberFormat="1" applyFont="1" applyBorder="1" applyAlignment="1">
      <alignment/>
    </xf>
    <xf numFmtId="43" fontId="46" fillId="0" borderId="0" xfId="0" applyNumberFormat="1" applyFont="1" applyBorder="1" applyAlignment="1">
      <alignment/>
    </xf>
    <xf numFmtId="40" fontId="46" fillId="0" borderId="0" xfId="0" applyNumberFormat="1" applyFont="1" applyBorder="1" applyAlignment="1">
      <alignment/>
    </xf>
    <xf numFmtId="0" fontId="45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 wrapText="1"/>
    </xf>
    <xf numFmtId="0" fontId="46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38" fontId="49" fillId="0" borderId="13" xfId="42" applyNumberFormat="1" applyFont="1" applyBorder="1" applyAlignment="1">
      <alignment/>
    </xf>
    <xf numFmtId="38" fontId="47" fillId="0" borderId="0" xfId="42" applyNumberFormat="1" applyFont="1" applyBorder="1" applyAlignment="1">
      <alignment/>
    </xf>
    <xf numFmtId="0" fontId="16" fillId="0" borderId="0" xfId="0" applyFont="1" applyAlignment="1">
      <alignment horizontal="center"/>
    </xf>
    <xf numFmtId="39" fontId="17" fillId="0" borderId="0" xfId="0" applyNumberFormat="1" applyFont="1" applyAlignment="1">
      <alignment/>
    </xf>
    <xf numFmtId="0" fontId="13" fillId="0" borderId="10" xfId="0" applyFont="1" applyBorder="1" applyAlignment="1">
      <alignment horizontal="center"/>
    </xf>
    <xf numFmtId="0" fontId="16" fillId="0" borderId="0" xfId="0" applyFont="1" applyAlignment="1">
      <alignment horizontal="left" vertical="justify"/>
    </xf>
    <xf numFmtId="0" fontId="16" fillId="0" borderId="0" xfId="0" applyFont="1" applyBorder="1" applyAlignment="1">
      <alignment horizontal="left" wrapText="1"/>
    </xf>
    <xf numFmtId="181" fontId="52" fillId="0" borderId="0" xfId="42" applyNumberFormat="1" applyFont="1" applyAlignment="1">
      <alignment/>
    </xf>
    <xf numFmtId="0" fontId="13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37" fontId="16" fillId="0" borderId="0" xfId="0" applyNumberFormat="1" applyFont="1" applyBorder="1" applyAlignment="1">
      <alignment/>
    </xf>
    <xf numFmtId="43" fontId="16" fillId="0" borderId="0" xfId="0" applyNumberFormat="1" applyFont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Border="1" applyAlignment="1">
      <alignment horizontal="center"/>
    </xf>
    <xf numFmtId="0" fontId="43" fillId="0" borderId="14" xfId="0" applyFont="1" applyBorder="1" applyAlignment="1">
      <alignment/>
    </xf>
    <xf numFmtId="0" fontId="0" fillId="24" borderId="0" xfId="0" applyFill="1" applyAlignment="1">
      <alignment/>
    </xf>
    <xf numFmtId="37" fontId="55" fillId="0" borderId="0" xfId="0" applyNumberFormat="1" applyFont="1" applyBorder="1" applyAlignment="1">
      <alignment horizontal="center"/>
    </xf>
    <xf numFmtId="37" fontId="12" fillId="0" borderId="0" xfId="0" applyNumberFormat="1" applyFont="1" applyBorder="1" applyAlignment="1">
      <alignment horizontal="right"/>
    </xf>
    <xf numFmtId="37" fontId="12" fillId="0" borderId="0" xfId="0" applyNumberFormat="1" applyFont="1" applyAlignment="1">
      <alignment horizontal="right"/>
    </xf>
    <xf numFmtId="39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58" fillId="0" borderId="0" xfId="61" applyFont="1">
      <alignment/>
      <protection/>
    </xf>
    <xf numFmtId="0" fontId="59" fillId="24" borderId="0" xfId="61" applyFont="1" applyFill="1">
      <alignment/>
      <protection/>
    </xf>
    <xf numFmtId="0" fontId="58" fillId="0" borderId="0" xfId="61" applyFont="1" applyAlignment="1">
      <alignment/>
      <protection/>
    </xf>
    <xf numFmtId="0" fontId="60" fillId="0" borderId="0" xfId="59" applyFont="1" applyAlignment="1">
      <alignment/>
      <protection/>
    </xf>
    <xf numFmtId="0" fontId="61" fillId="0" borderId="0" xfId="59" applyFont="1" applyAlignment="1">
      <alignment/>
      <protection/>
    </xf>
    <xf numFmtId="0" fontId="62" fillId="0" borderId="0" xfId="59" applyFont="1" applyAlignment="1">
      <alignment horizontal="right" vertical="top"/>
      <protection/>
    </xf>
    <xf numFmtId="0" fontId="61" fillId="0" borderId="0" xfId="59" applyFont="1" applyAlignment="1">
      <alignment vertical="top"/>
      <protection/>
    </xf>
    <xf numFmtId="0" fontId="62" fillId="0" borderId="0" xfId="59" applyFont="1" applyAlignment="1">
      <alignment/>
      <protection/>
    </xf>
    <xf numFmtId="0" fontId="62" fillId="0" borderId="0" xfId="60" applyFont="1" applyAlignment="1">
      <alignment/>
      <protection/>
    </xf>
    <xf numFmtId="0" fontId="61" fillId="0" borderId="0" xfId="60" applyFont="1" applyAlignment="1">
      <alignment/>
      <protection/>
    </xf>
    <xf numFmtId="0" fontId="61" fillId="0" borderId="0" xfId="62" applyFont="1" applyAlignment="1">
      <alignment/>
      <protection/>
    </xf>
    <xf numFmtId="0" fontId="62" fillId="0" borderId="0" xfId="60" applyFont="1" applyAlignment="1">
      <alignment horizontal="right"/>
      <protection/>
    </xf>
    <xf numFmtId="0" fontId="61" fillId="0" borderId="0" xfId="60" applyFont="1" applyAlignment="1">
      <alignment vertical="top"/>
      <protection/>
    </xf>
    <xf numFmtId="3" fontId="61" fillId="0" borderId="0" xfId="60" applyNumberFormat="1" applyFont="1" applyAlignment="1">
      <alignment horizontal="right"/>
      <protection/>
    </xf>
    <xf numFmtId="0" fontId="61" fillId="0" borderId="0" xfId="60" applyFont="1" applyAlignment="1">
      <alignment horizontal="right"/>
      <protection/>
    </xf>
    <xf numFmtId="3" fontId="62" fillId="0" borderId="0" xfId="60" applyNumberFormat="1" applyFont="1" applyAlignment="1">
      <alignment horizontal="right"/>
      <protection/>
    </xf>
    <xf numFmtId="3" fontId="61" fillId="0" borderId="15" xfId="60" applyNumberFormat="1" applyFont="1" applyBorder="1" applyAlignment="1">
      <alignment horizontal="right"/>
      <protection/>
    </xf>
    <xf numFmtId="3" fontId="62" fillId="0" borderId="15" xfId="60" applyNumberFormat="1" applyFont="1" applyBorder="1" applyAlignment="1">
      <alignment horizontal="right"/>
      <protection/>
    </xf>
    <xf numFmtId="0" fontId="0" fillId="24" borderId="14" xfId="0" applyFill="1" applyBorder="1" applyAlignment="1">
      <alignment/>
    </xf>
    <xf numFmtId="1" fontId="0" fillId="24" borderId="16" xfId="0" applyNumberFormat="1" applyFill="1" applyBorder="1" applyAlignment="1">
      <alignment/>
    </xf>
    <xf numFmtId="1" fontId="63" fillId="0" borderId="0" xfId="0" applyNumberFormat="1" applyFont="1" applyAlignment="1">
      <alignment/>
    </xf>
    <xf numFmtId="0" fontId="63" fillId="0" borderId="0" xfId="0" applyFont="1" applyAlignment="1">
      <alignment/>
    </xf>
    <xf numFmtId="1" fontId="0" fillId="0" borderId="14" xfId="0" applyNumberFormat="1" applyBorder="1" applyAlignment="1">
      <alignment/>
    </xf>
    <xf numFmtId="1" fontId="43" fillId="0" borderId="14" xfId="0" applyNumberFormat="1" applyFont="1" applyBorder="1" applyAlignment="1">
      <alignment/>
    </xf>
    <xf numFmtId="0" fontId="39" fillId="0" borderId="0" xfId="0" applyFont="1" applyAlignment="1">
      <alignment/>
    </xf>
    <xf numFmtId="0" fontId="56" fillId="24" borderId="0" xfId="0" applyFont="1" applyFill="1" applyBorder="1" applyAlignment="1">
      <alignment/>
    </xf>
    <xf numFmtId="1" fontId="0" fillId="24" borderId="14" xfId="0" applyNumberFormat="1" applyFill="1" applyBorder="1" applyAlignment="1">
      <alignment/>
    </xf>
    <xf numFmtId="0" fontId="61" fillId="24" borderId="14" xfId="0" applyFont="1" applyFill="1" applyBorder="1" applyAlignment="1">
      <alignment/>
    </xf>
    <xf numFmtId="198" fontId="62" fillId="24" borderId="14" xfId="0" applyNumberFormat="1" applyFont="1" applyFill="1" applyBorder="1" applyAlignment="1">
      <alignment/>
    </xf>
    <xf numFmtId="198" fontId="61" fillId="24" borderId="14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61" fillId="20" borderId="14" xfId="0" applyFont="1" applyFill="1" applyBorder="1" applyAlignment="1">
      <alignment/>
    </xf>
    <xf numFmtId="198" fontId="62" fillId="20" borderId="14" xfId="0" applyNumberFormat="1" applyFont="1" applyFill="1" applyBorder="1" applyAlignment="1">
      <alignment/>
    </xf>
    <xf numFmtId="198" fontId="61" fillId="0" borderId="14" xfId="0" applyNumberFormat="1" applyFont="1" applyBorder="1" applyAlignment="1">
      <alignment/>
    </xf>
    <xf numFmtId="1" fontId="0" fillId="24" borderId="14" xfId="0" applyNumberFormat="1" applyFont="1" applyFill="1" applyBorder="1" applyAlignment="1">
      <alignment/>
    </xf>
    <xf numFmtId="198" fontId="0" fillId="24" borderId="14" xfId="0" applyNumberFormat="1" applyFont="1" applyFill="1" applyBorder="1" applyAlignment="1">
      <alignment/>
    </xf>
    <xf numFmtId="1" fontId="0" fillId="0" borderId="14" xfId="0" applyNumberFormat="1" applyFont="1" applyBorder="1" applyAlignment="1">
      <alignment/>
    </xf>
    <xf numFmtId="198" fontId="0" fillId="0" borderId="14" xfId="0" applyNumberFormat="1" applyFont="1" applyBorder="1" applyAlignment="1">
      <alignment/>
    </xf>
    <xf numFmtId="0" fontId="43" fillId="24" borderId="17" xfId="0" applyFont="1" applyFill="1" applyBorder="1" applyAlignment="1">
      <alignment/>
    </xf>
    <xf numFmtId="1" fontId="43" fillId="0" borderId="0" xfId="0" applyNumberFormat="1" applyFont="1" applyAlignment="1">
      <alignment/>
    </xf>
    <xf numFmtId="0" fontId="64" fillId="0" borderId="0" xfId="0" applyFont="1" applyAlignment="1">
      <alignment/>
    </xf>
    <xf numFmtId="0" fontId="0" fillId="0" borderId="14" xfId="0" applyFont="1" applyBorder="1" applyAlignment="1">
      <alignment/>
    </xf>
    <xf numFmtId="181" fontId="0" fillId="0" borderId="14" xfId="42" applyNumberFormat="1" applyFont="1" applyBorder="1" applyAlignment="1">
      <alignment/>
    </xf>
    <xf numFmtId="181" fontId="0" fillId="0" borderId="18" xfId="42" applyNumberFormat="1" applyFont="1" applyBorder="1" applyAlignment="1">
      <alignment/>
    </xf>
    <xf numFmtId="0" fontId="43" fillId="0" borderId="14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63" fillId="24" borderId="14" xfId="0" applyFont="1" applyFill="1" applyBorder="1" applyAlignment="1">
      <alignment/>
    </xf>
    <xf numFmtId="1" fontId="63" fillId="0" borderId="14" xfId="0" applyNumberFormat="1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181" fontId="0" fillId="0" borderId="14" xfId="42" applyNumberFormat="1" applyBorder="1" applyAlignment="1">
      <alignment/>
    </xf>
    <xf numFmtId="181" fontId="43" fillId="0" borderId="14" xfId="42" applyNumberFormat="1" applyFont="1" applyBorder="1" applyAlignment="1">
      <alignment/>
    </xf>
    <xf numFmtId="37" fontId="67" fillId="0" borderId="0" xfId="0" applyNumberFormat="1" applyFont="1" applyBorder="1" applyAlignment="1">
      <alignment/>
    </xf>
    <xf numFmtId="39" fontId="67" fillId="0" borderId="0" xfId="0" applyNumberFormat="1" applyFont="1" applyAlignment="1">
      <alignment/>
    </xf>
    <xf numFmtId="0" fontId="44" fillId="0" borderId="0" xfId="0" applyFont="1" applyAlignment="1">
      <alignment/>
    </xf>
    <xf numFmtId="37" fontId="11" fillId="0" borderId="0" xfId="0" applyNumberFormat="1" applyFont="1" applyAlignment="1">
      <alignment horizontal="center"/>
    </xf>
    <xf numFmtId="181" fontId="0" fillId="0" borderId="17" xfId="42" applyNumberFormat="1" applyFill="1" applyBorder="1" applyAlignment="1">
      <alignment/>
    </xf>
    <xf numFmtId="37" fontId="8" fillId="0" borderId="0" xfId="0" applyNumberFormat="1" applyFont="1" applyBorder="1" applyAlignment="1">
      <alignment/>
    </xf>
    <xf numFmtId="37" fontId="7" fillId="0" borderId="0" xfId="0" applyNumberFormat="1" applyFont="1" applyAlignment="1">
      <alignment/>
    </xf>
    <xf numFmtId="37" fontId="68" fillId="0" borderId="0" xfId="0" applyNumberFormat="1" applyFont="1" applyBorder="1" applyAlignment="1">
      <alignment/>
    </xf>
    <xf numFmtId="181" fontId="10" fillId="0" borderId="0" xfId="42" applyNumberFormat="1" applyFont="1" applyAlignment="1">
      <alignment horizontal="right"/>
    </xf>
    <xf numFmtId="181" fontId="10" fillId="0" borderId="0" xfId="42" applyNumberFormat="1" applyFont="1" applyBorder="1" applyAlignment="1">
      <alignment/>
    </xf>
    <xf numFmtId="181" fontId="10" fillId="0" borderId="0" xfId="42" applyNumberFormat="1" applyFont="1" applyAlignment="1">
      <alignment/>
    </xf>
    <xf numFmtId="181" fontId="42" fillId="0" borderId="0" xfId="42" applyNumberFormat="1" applyFont="1" applyAlignment="1">
      <alignment/>
    </xf>
    <xf numFmtId="181" fontId="0" fillId="0" borderId="19" xfId="42" applyNumberFormat="1" applyFont="1" applyBorder="1" applyAlignment="1">
      <alignment/>
    </xf>
    <xf numFmtId="0" fontId="0" fillId="0" borderId="20" xfId="0" applyBorder="1" applyAlignment="1">
      <alignment/>
    </xf>
    <xf numFmtId="181" fontId="0" fillId="0" borderId="21" xfId="42" applyNumberFormat="1" applyBorder="1" applyAlignment="1">
      <alignment/>
    </xf>
    <xf numFmtId="0" fontId="0" fillId="0" borderId="22" xfId="0" applyBorder="1" applyAlignment="1">
      <alignment/>
    </xf>
    <xf numFmtId="181" fontId="0" fillId="0" borderId="23" xfId="42" applyNumberFormat="1" applyBorder="1" applyAlignment="1">
      <alignment/>
    </xf>
    <xf numFmtId="0" fontId="63" fillId="0" borderId="24" xfId="0" applyFont="1" applyBorder="1" applyAlignment="1">
      <alignment/>
    </xf>
    <xf numFmtId="0" fontId="63" fillId="0" borderId="25" xfId="0" applyFont="1" applyBorder="1" applyAlignment="1">
      <alignment/>
    </xf>
    <xf numFmtId="181" fontId="63" fillId="0" borderId="26" xfId="42" applyNumberFormat="1" applyFont="1" applyBorder="1" applyAlignment="1">
      <alignment/>
    </xf>
    <xf numFmtId="181" fontId="0" fillId="0" borderId="14" xfId="0" applyNumberFormat="1" applyBorder="1" applyAlignment="1">
      <alignment/>
    </xf>
    <xf numFmtId="2" fontId="0" fillId="0" borderId="0" xfId="0" applyNumberFormat="1" applyAlignment="1">
      <alignment/>
    </xf>
    <xf numFmtId="38" fontId="51" fillId="0" borderId="0" xfId="0" applyNumberFormat="1" applyFont="1" applyBorder="1" applyAlignment="1">
      <alignment horizontal="center" vertical="center"/>
    </xf>
    <xf numFmtId="40" fontId="51" fillId="0" borderId="0" xfId="0" applyNumberFormat="1" applyFont="1" applyBorder="1" applyAlignment="1">
      <alignment horizontal="center" vertical="center" wrapText="1"/>
    </xf>
    <xf numFmtId="40" fontId="51" fillId="0" borderId="0" xfId="0" applyNumberFormat="1" applyFont="1" applyBorder="1" applyAlignment="1">
      <alignment horizontal="center" vertical="center"/>
    </xf>
    <xf numFmtId="40" fontId="51" fillId="0" borderId="0" xfId="0" applyNumberFormat="1" applyFont="1" applyBorder="1" applyAlignment="1">
      <alignment horizontal="justify" vertical="center"/>
    </xf>
    <xf numFmtId="0" fontId="43" fillId="0" borderId="0" xfId="0" applyFont="1" applyAlignment="1">
      <alignment/>
    </xf>
    <xf numFmtId="37" fontId="9" fillId="0" borderId="15" xfId="0" applyNumberFormat="1" applyFont="1" applyBorder="1" applyAlignment="1">
      <alignment/>
    </xf>
    <xf numFmtId="37" fontId="69" fillId="0" borderId="0" xfId="0" applyNumberFormat="1" applyFont="1" applyBorder="1" applyAlignment="1">
      <alignment/>
    </xf>
    <xf numFmtId="37" fontId="69" fillId="0" borderId="0" xfId="0" applyNumberFormat="1" applyFont="1" applyBorder="1" applyAlignment="1">
      <alignment horizontal="center"/>
    </xf>
    <xf numFmtId="39" fontId="43" fillId="0" borderId="0" xfId="0" applyNumberFormat="1" applyFont="1" applyAlignment="1">
      <alignment/>
    </xf>
    <xf numFmtId="39" fontId="69" fillId="0" borderId="0" xfId="0" applyNumberFormat="1" applyFont="1" applyBorder="1" applyAlignment="1">
      <alignment horizontal="center"/>
    </xf>
    <xf numFmtId="39" fontId="7" fillId="0" borderId="27" xfId="0" applyNumberFormat="1" applyFont="1" applyBorder="1" applyAlignment="1">
      <alignment/>
    </xf>
    <xf numFmtId="180" fontId="7" fillId="0" borderId="17" xfId="42" applyNumberFormat="1" applyFont="1" applyBorder="1" applyAlignment="1">
      <alignment/>
    </xf>
    <xf numFmtId="43" fontId="7" fillId="0" borderId="17" xfId="42" applyFont="1" applyBorder="1" applyAlignment="1">
      <alignment/>
    </xf>
    <xf numFmtId="43" fontId="7" fillId="0" borderId="28" xfId="42" applyFont="1" applyBorder="1" applyAlignment="1">
      <alignment/>
    </xf>
    <xf numFmtId="0" fontId="70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13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43" fontId="53" fillId="0" borderId="0" xfId="42" applyFont="1" applyBorder="1" applyAlignment="1">
      <alignment/>
    </xf>
    <xf numFmtId="181" fontId="53" fillId="0" borderId="0" xfId="42" applyNumberFormat="1" applyFont="1" applyBorder="1" applyAlignment="1">
      <alignment/>
    </xf>
    <xf numFmtId="181" fontId="53" fillId="0" borderId="0" xfId="0" applyNumberFormat="1" applyFont="1" applyBorder="1" applyAlignment="1">
      <alignment/>
    </xf>
    <xf numFmtId="181" fontId="71" fillId="0" borderId="0" xfId="42" applyNumberFormat="1" applyFont="1" applyBorder="1" applyAlignment="1">
      <alignment horizontal="right" vertical="center"/>
    </xf>
    <xf numFmtId="0" fontId="53" fillId="0" borderId="0" xfId="0" applyFont="1" applyBorder="1" applyAlignment="1">
      <alignment horizontal="right"/>
    </xf>
    <xf numFmtId="181" fontId="53" fillId="0" borderId="13" xfId="42" applyNumberFormat="1" applyFont="1" applyBorder="1" applyAlignment="1">
      <alignment/>
    </xf>
    <xf numFmtId="0" fontId="72" fillId="0" borderId="0" xfId="0" applyFont="1" applyBorder="1" applyAlignment="1">
      <alignment/>
    </xf>
    <xf numFmtId="3" fontId="53" fillId="0" borderId="0" xfId="0" applyNumberFormat="1" applyFont="1" applyBorder="1" applyAlignment="1">
      <alignment/>
    </xf>
    <xf numFmtId="181" fontId="54" fillId="0" borderId="29" xfId="42" applyNumberFormat="1" applyFont="1" applyBorder="1" applyAlignment="1">
      <alignment/>
    </xf>
    <xf numFmtId="181" fontId="71" fillId="0" borderId="0" xfId="0" applyNumberFormat="1" applyFont="1" applyBorder="1" applyAlignment="1">
      <alignment horizontal="right" vertical="center"/>
    </xf>
    <xf numFmtId="181" fontId="54" fillId="0" borderId="13" xfId="42" applyNumberFormat="1" applyFont="1" applyBorder="1" applyAlignment="1">
      <alignment/>
    </xf>
    <xf numFmtId="181" fontId="54" fillId="0" borderId="0" xfId="0" applyNumberFormat="1" applyFont="1" applyBorder="1" applyAlignment="1">
      <alignment/>
    </xf>
    <xf numFmtId="181" fontId="53" fillId="0" borderId="29" xfId="42" applyNumberFormat="1" applyFont="1" applyBorder="1" applyAlignment="1">
      <alignment/>
    </xf>
    <xf numFmtId="181" fontId="54" fillId="0" borderId="0" xfId="42" applyNumberFormat="1" applyFont="1" applyBorder="1" applyAlignment="1">
      <alignment/>
    </xf>
    <xf numFmtId="0" fontId="71" fillId="0" borderId="0" xfId="0" applyFont="1" applyBorder="1" applyAlignment="1">
      <alignment horizontal="center" vertical="center"/>
    </xf>
    <xf numFmtId="181" fontId="53" fillId="0" borderId="0" xfId="0" applyNumberFormat="1" applyFont="1" applyBorder="1" applyAlignment="1">
      <alignment horizontal="right" vertical="center"/>
    </xf>
    <xf numFmtId="0" fontId="73" fillId="0" borderId="0" xfId="0" applyFont="1" applyBorder="1" applyAlignment="1">
      <alignment/>
    </xf>
    <xf numFmtId="181" fontId="53" fillId="0" borderId="0" xfId="0" applyNumberFormat="1" applyFont="1" applyAlignment="1">
      <alignment/>
    </xf>
    <xf numFmtId="181" fontId="38" fillId="0" borderId="0" xfId="42" applyNumberFormat="1" applyFont="1" applyAlignment="1">
      <alignment/>
    </xf>
    <xf numFmtId="37" fontId="55" fillId="25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/>
    </xf>
    <xf numFmtId="0" fontId="63" fillId="0" borderId="14" xfId="0" applyFont="1" applyBorder="1" applyAlignment="1">
      <alignment/>
    </xf>
    <xf numFmtId="0" fontId="5" fillId="0" borderId="0" xfId="0" applyFont="1" applyAlignment="1">
      <alignment wrapText="1"/>
    </xf>
    <xf numFmtId="0" fontId="10" fillId="0" borderId="0" xfId="0" applyFont="1" applyAlignment="1">
      <alignment wrapText="1"/>
    </xf>
    <xf numFmtId="181" fontId="61" fillId="0" borderId="0" xfId="42" applyNumberFormat="1" applyFont="1" applyAlignment="1">
      <alignment/>
    </xf>
    <xf numFmtId="181" fontId="61" fillId="0" borderId="0" xfId="42" applyNumberFormat="1" applyFont="1" applyAlignment="1">
      <alignment vertical="top"/>
    </xf>
    <xf numFmtId="181" fontId="62" fillId="0" borderId="0" xfId="42" applyNumberFormat="1" applyFont="1" applyAlignment="1">
      <alignment horizontal="right"/>
    </xf>
    <xf numFmtId="181" fontId="61" fillId="0" borderId="0" xfId="42" applyNumberFormat="1" applyFont="1" applyAlignment="1">
      <alignment horizontal="right"/>
    </xf>
    <xf numFmtId="181" fontId="62" fillId="0" borderId="15" xfId="42" applyNumberFormat="1" applyFont="1" applyBorder="1" applyAlignment="1">
      <alignment horizontal="right"/>
    </xf>
    <xf numFmtId="181" fontId="61" fillId="0" borderId="15" xfId="42" applyNumberFormat="1" applyFont="1" applyBorder="1" applyAlignment="1">
      <alignment horizontal="right"/>
    </xf>
    <xf numFmtId="198" fontId="61" fillId="0" borderId="0" xfId="60" applyNumberFormat="1" applyFont="1" applyAlignment="1">
      <alignment horizontal="right"/>
      <protection/>
    </xf>
    <xf numFmtId="1" fontId="61" fillId="0" borderId="0" xfId="60" applyNumberFormat="1" applyFont="1" applyAlignment="1">
      <alignment horizontal="right"/>
      <protection/>
    </xf>
    <xf numFmtId="3" fontId="58" fillId="0" borderId="0" xfId="61" applyNumberFormat="1" applyFont="1" applyAlignment="1">
      <alignment/>
      <protection/>
    </xf>
    <xf numFmtId="3" fontId="61" fillId="0" borderId="0" xfId="62" applyNumberFormat="1" applyFont="1" applyAlignment="1">
      <alignment/>
      <protection/>
    </xf>
    <xf numFmtId="181" fontId="58" fillId="0" borderId="0" xfId="42" applyNumberFormat="1" applyFont="1" applyAlignment="1">
      <alignment/>
    </xf>
    <xf numFmtId="181" fontId="59" fillId="0" borderId="15" xfId="42" applyNumberFormat="1" applyFont="1" applyBorder="1" applyAlignment="1">
      <alignment horizontal="right"/>
    </xf>
    <xf numFmtId="181" fontId="61" fillId="0" borderId="0" xfId="42" applyNumberFormat="1" applyFont="1" applyBorder="1" applyAlignment="1">
      <alignment horizontal="right"/>
    </xf>
    <xf numFmtId="181" fontId="58" fillId="0" borderId="0" xfId="42" applyNumberFormat="1" applyFont="1" applyAlignment="1">
      <alignment/>
    </xf>
    <xf numFmtId="181" fontId="62" fillId="0" borderId="0" xfId="42" applyNumberFormat="1" applyFont="1" applyAlignment="1">
      <alignment horizontal="right" vertical="top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81" fontId="10" fillId="0" borderId="0" xfId="0" applyNumberFormat="1" applyFont="1" applyAlignment="1">
      <alignment/>
    </xf>
    <xf numFmtId="0" fontId="62" fillId="0" borderId="0" xfId="60" applyFont="1" applyAlignment="1">
      <alignment horizontal="right"/>
      <protection/>
    </xf>
    <xf numFmtId="0" fontId="61" fillId="0" borderId="0" xfId="60" applyFont="1" applyAlignment="1">
      <alignment/>
      <protection/>
    </xf>
    <xf numFmtId="0" fontId="72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IFRS7" xfId="61"/>
    <cellStyle name="Normal_SHEET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'BK'!$D$84</c:f>
              <c:numCache>
                <c:ptCount val="1"/>
              </c:numCache>
            </c:numRef>
          </c:val>
        </c:ser>
        <c:axId val="38755477"/>
        <c:axId val="13254974"/>
      </c:barChart>
      <c:catAx>
        <c:axId val="38755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54974"/>
        <c:crosses val="autoZero"/>
        <c:auto val="1"/>
        <c:lblOffset val="100"/>
        <c:noMultiLvlLbl val="0"/>
      </c:catAx>
      <c:valAx>
        <c:axId val="132549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55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95950"/>
    <xdr:graphicFrame>
      <xdr:nvGraphicFramePr>
        <xdr:cNvPr id="1" name="Chart 1"/>
        <xdr:cNvGraphicFramePr/>
      </xdr:nvGraphicFramePr>
      <xdr:xfrm>
        <a:off x="0" y="0"/>
        <a:ext cx="92678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MDOC2009\realcione%20%20pasqyr%2009\TE%20ARDHURA%20SHPENZIME%202009\2009TE%20ARDHURA%20SHPENZIM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PERM ALF"/>
      <sheetName val="Sheet2"/>
      <sheetName val="per ili3"/>
      <sheetName val="PER ILIAN  ALFABETI"/>
      <sheetName val="Sheet3"/>
      <sheetName val="Sheet1"/>
      <sheetName val="per il2"/>
      <sheetName val="TIPET"/>
      <sheetName val="janar#"/>
      <sheetName val="SHKURTI"/>
      <sheetName val="tremujori"/>
      <sheetName val="1.01-29.03.2009"/>
      <sheetName val="PROGRESIV 4 MUJORI"/>
      <sheetName val="PRILLI"/>
      <sheetName val="MAJI"/>
      <sheetName val="jo "/>
      <sheetName val="6mujori"/>
      <sheetName val="8 mujori"/>
      <sheetName val="QERSHORI"/>
      <sheetName val="KORRIKU"/>
      <sheetName val="GUSHTI"/>
      <sheetName val="Sheet6"/>
      <sheetName val="nentemujori"/>
      <sheetName val="DHJETE MUJORI"/>
      <sheetName val="shtatori1"/>
      <sheetName val="tetori"/>
      <sheetName val="NENTORI"/>
      <sheetName val="shpenzime te panjohura"/>
      <sheetName val="total 2009"/>
      <sheetName val="ARDH SHPENZ 09"/>
      <sheetName val="-31122008 E GRUPUARheet4"/>
      <sheetName val="-31.12.2008"/>
      <sheetName val="dhjetori"/>
      <sheetName val="nr2009"/>
      <sheetName val="nr2008"/>
      <sheetName val="% ILI + NESTI"/>
      <sheetName val="% ilia nesti"/>
      <sheetName val="krahasim 6 mujore"/>
      <sheetName val="total2009 pa ngjyra"/>
    </sheetNames>
    <sheetDataSet>
      <sheetData sheetId="29">
        <row r="104">
          <cell r="E104">
            <v>19869.11421032793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1"/>
  <sheetViews>
    <sheetView zoomScale="90" zoomScaleNormal="90" workbookViewId="0" topLeftCell="A34">
      <selection activeCell="I17" sqref="I17"/>
    </sheetView>
  </sheetViews>
  <sheetFormatPr defaultColWidth="9.140625" defaultRowHeight="12.75"/>
  <cols>
    <col min="1" max="1" width="10.28125" style="169" customWidth="1"/>
    <col min="2" max="2" width="30.8515625" style="169" customWidth="1"/>
    <col min="3" max="3" width="11.7109375" style="169" customWidth="1"/>
    <col min="4" max="4" width="10.28125" style="169" customWidth="1"/>
    <col min="5" max="5" width="12.7109375" style="169" customWidth="1"/>
    <col min="6" max="6" width="10.28125" style="169" customWidth="1"/>
    <col min="7" max="7" width="12.140625" style="169" customWidth="1"/>
    <col min="8" max="10" width="10.28125" style="169" customWidth="1"/>
    <col min="11" max="11" width="11.7109375" style="169" customWidth="1"/>
    <col min="12" max="16384" width="10.28125" style="169" customWidth="1"/>
  </cols>
  <sheetData>
    <row r="2" ht="12">
      <c r="B2" s="170">
        <v>2009</v>
      </c>
    </row>
    <row r="3" spans="1:13" ht="12">
      <c r="A3" s="171"/>
      <c r="B3" s="172" t="s">
        <v>308</v>
      </c>
      <c r="C3" s="173"/>
      <c r="D3" s="173"/>
      <c r="E3" s="173"/>
      <c r="F3" s="173"/>
      <c r="G3" s="173"/>
      <c r="H3" s="173"/>
      <c r="I3" s="173"/>
      <c r="J3" s="173"/>
      <c r="K3" s="173"/>
      <c r="L3" s="171"/>
      <c r="M3" s="171"/>
    </row>
    <row r="4" spans="1:13" ht="12">
      <c r="A4" s="171"/>
      <c r="B4" s="173"/>
      <c r="C4" s="174" t="s">
        <v>498</v>
      </c>
      <c r="D4" s="175"/>
      <c r="E4" s="174" t="s">
        <v>309</v>
      </c>
      <c r="F4" s="175"/>
      <c r="G4" s="174" t="s">
        <v>310</v>
      </c>
      <c r="H4" s="174"/>
      <c r="I4" s="174" t="s">
        <v>311</v>
      </c>
      <c r="J4" s="175"/>
      <c r="K4" s="174" t="s">
        <v>312</v>
      </c>
      <c r="L4" s="171"/>
      <c r="M4" s="171"/>
    </row>
    <row r="5" spans="1:13" ht="12">
      <c r="A5" s="171"/>
      <c r="B5" s="176" t="s">
        <v>313</v>
      </c>
      <c r="C5" s="175"/>
      <c r="D5" s="175"/>
      <c r="E5" s="175"/>
      <c r="F5" s="175"/>
      <c r="G5" s="175"/>
      <c r="H5" s="175"/>
      <c r="I5" s="175"/>
      <c r="J5" s="175"/>
      <c r="K5" s="175"/>
      <c r="L5" s="171"/>
      <c r="M5" s="171"/>
    </row>
    <row r="6" spans="1:13" ht="15">
      <c r="A6" s="171"/>
      <c r="B6" s="286" t="s">
        <v>487</v>
      </c>
      <c r="C6" s="297"/>
      <c r="D6" s="297"/>
      <c r="E6" s="297"/>
      <c r="F6" s="297"/>
      <c r="G6" s="297">
        <f>131053367</f>
        <v>131053367</v>
      </c>
      <c r="H6" s="297"/>
      <c r="I6" s="297"/>
      <c r="J6" s="287"/>
      <c r="K6" s="289">
        <f aca="true" t="shared" si="0" ref="K6:K11">SUM(C6:J6)</f>
        <v>131053367</v>
      </c>
      <c r="L6" s="171"/>
      <c r="M6" s="171"/>
    </row>
    <row r="7" spans="1:13" ht="15">
      <c r="A7" s="171"/>
      <c r="B7" s="286" t="s">
        <v>488</v>
      </c>
      <c r="C7" s="297"/>
      <c r="D7" s="297"/>
      <c r="E7" s="297"/>
      <c r="F7" s="297"/>
      <c r="G7" s="297">
        <f>202411111-22851443</f>
        <v>179559668</v>
      </c>
      <c r="H7" s="297"/>
      <c r="I7" s="297"/>
      <c r="J7" s="287"/>
      <c r="K7" s="289">
        <f t="shared" si="0"/>
        <v>179559668</v>
      </c>
      <c r="L7" s="171"/>
      <c r="M7" s="171"/>
    </row>
    <row r="8" spans="1:13" ht="15">
      <c r="A8" s="171"/>
      <c r="B8" s="286" t="s">
        <v>489</v>
      </c>
      <c r="C8" s="297">
        <f>652657.73</f>
        <v>652657.73</v>
      </c>
      <c r="D8" s="297"/>
      <c r="E8" s="297">
        <f>36394350.47+46907721.36+627304.12+1441682+1833488+1793480</f>
        <v>88998025.95</v>
      </c>
      <c r="F8" s="297"/>
      <c r="G8" s="297">
        <f>100089328-E8-C8</f>
        <v>10438644.319999997</v>
      </c>
      <c r="H8" s="297"/>
      <c r="I8" s="297"/>
      <c r="J8" s="287"/>
      <c r="K8" s="289">
        <f t="shared" si="0"/>
        <v>100089328</v>
      </c>
      <c r="L8" s="171"/>
      <c r="M8" s="171"/>
    </row>
    <row r="9" spans="1:13" ht="15">
      <c r="A9" s="171"/>
      <c r="B9" s="286" t="s">
        <v>490</v>
      </c>
      <c r="C9" s="297"/>
      <c r="D9" s="297"/>
      <c r="E9" s="297"/>
      <c r="F9" s="297"/>
      <c r="G9" s="297"/>
      <c r="H9" s="297"/>
      <c r="I9" s="297"/>
      <c r="J9" s="287"/>
      <c r="K9" s="289">
        <f t="shared" si="0"/>
        <v>0</v>
      </c>
      <c r="L9" s="171"/>
      <c r="M9" s="171"/>
    </row>
    <row r="10" spans="1:13" ht="15">
      <c r="A10" s="171"/>
      <c r="B10" s="286" t="s">
        <v>491</v>
      </c>
      <c r="C10" s="297">
        <f>10654072+6107695.88</f>
        <v>16761767.879999999</v>
      </c>
      <c r="D10" s="297"/>
      <c r="E10" s="297">
        <f>4427274.36</f>
        <v>4427274.36</v>
      </c>
      <c r="F10" s="297"/>
      <c r="G10" s="297">
        <f>22851443+6030578+5169399+3814963-E10-C10</f>
        <v>16677340.760000002</v>
      </c>
      <c r="H10" s="297"/>
      <c r="I10" s="297"/>
      <c r="J10" s="287"/>
      <c r="K10" s="289">
        <f t="shared" si="0"/>
        <v>37866383</v>
      </c>
      <c r="L10" s="171"/>
      <c r="M10" s="171"/>
    </row>
    <row r="11" spans="1:13" ht="15">
      <c r="A11" s="171"/>
      <c r="B11" s="286" t="s">
        <v>492</v>
      </c>
      <c r="C11" s="297">
        <f>568877.42</f>
        <v>568877.42</v>
      </c>
      <c r="D11" s="297"/>
      <c r="E11" s="297">
        <f>38797883.4+28061.06</f>
        <v>38825944.46</v>
      </c>
      <c r="F11" s="297"/>
      <c r="G11" s="297">
        <f>47098333-E11-C11</f>
        <v>7703511.119999999</v>
      </c>
      <c r="H11" s="297"/>
      <c r="I11" s="297"/>
      <c r="J11" s="287"/>
      <c r="K11" s="289">
        <f t="shared" si="0"/>
        <v>47098333</v>
      </c>
      <c r="L11" s="171"/>
      <c r="M11" s="171"/>
    </row>
    <row r="12" spans="1:13" ht="12.75" thickBot="1">
      <c r="A12" s="171"/>
      <c r="B12" s="176" t="s">
        <v>314</v>
      </c>
      <c r="C12" s="298">
        <f>SUM(C30:C35)</f>
        <v>0</v>
      </c>
      <c r="D12" s="298">
        <f aca="true" t="shared" si="1" ref="D12:J12">SUM(D30:D35)</f>
        <v>0</v>
      </c>
      <c r="E12" s="298">
        <f t="shared" si="1"/>
        <v>32188057</v>
      </c>
      <c r="F12" s="298">
        <f t="shared" si="1"/>
        <v>0</v>
      </c>
      <c r="G12" s="298">
        <f>SUM(G31:G36)</f>
        <v>272360450</v>
      </c>
      <c r="H12" s="298">
        <f t="shared" si="1"/>
        <v>0</v>
      </c>
      <c r="I12" s="298">
        <f t="shared" si="1"/>
        <v>0</v>
      </c>
      <c r="J12" s="298">
        <f t="shared" si="1"/>
        <v>0</v>
      </c>
      <c r="K12" s="298">
        <f>SUM(K6:K11)</f>
        <v>495667079</v>
      </c>
      <c r="L12" s="171"/>
      <c r="M12" s="171"/>
    </row>
    <row r="13" spans="1:13" ht="12">
      <c r="A13" s="171"/>
      <c r="B13" s="173"/>
      <c r="C13" s="287"/>
      <c r="D13" s="287"/>
      <c r="E13" s="287"/>
      <c r="F13" s="287"/>
      <c r="G13" s="287"/>
      <c r="H13" s="287"/>
      <c r="I13" s="287"/>
      <c r="J13" s="287"/>
      <c r="K13" s="287"/>
      <c r="L13" s="171"/>
      <c r="M13" s="171"/>
    </row>
    <row r="14" spans="1:13" ht="12">
      <c r="A14" s="171"/>
      <c r="B14" s="176" t="s">
        <v>315</v>
      </c>
      <c r="C14" s="287"/>
      <c r="D14" s="287"/>
      <c r="E14" s="287"/>
      <c r="F14" s="287"/>
      <c r="G14" s="287"/>
      <c r="H14" s="287"/>
      <c r="I14" s="287"/>
      <c r="J14" s="287"/>
      <c r="K14" s="287"/>
      <c r="L14" s="171"/>
      <c r="M14" s="171"/>
    </row>
    <row r="15" spans="1:13" ht="15.75" thickBot="1">
      <c r="A15" s="171"/>
      <c r="B15" s="286" t="s">
        <v>493</v>
      </c>
      <c r="C15" s="287"/>
      <c r="D15" s="287"/>
      <c r="E15" s="287">
        <f>48277000.86+21948430.59+3787397.93+18038556.95+50469768.84</f>
        <v>142521155.17000002</v>
      </c>
      <c r="F15" s="287"/>
      <c r="G15" s="287"/>
      <c r="H15" s="287"/>
      <c r="I15" s="287"/>
      <c r="J15" s="287"/>
      <c r="K15" s="291">
        <f>SUM(C15:J15)</f>
        <v>142521155.17000002</v>
      </c>
      <c r="L15" s="171"/>
      <c r="M15" s="171"/>
    </row>
    <row r="16" spans="1:13" ht="15.75" thickBot="1">
      <c r="A16" s="171"/>
      <c r="B16" s="286" t="s">
        <v>494</v>
      </c>
      <c r="C16" s="287"/>
      <c r="D16" s="287"/>
      <c r="E16" s="287">
        <f>41388000</f>
        <v>41388000</v>
      </c>
      <c r="F16" s="287"/>
      <c r="G16" s="287">
        <f>88888403+16362213</f>
        <v>105250616</v>
      </c>
      <c r="H16" s="287"/>
      <c r="I16" s="287"/>
      <c r="J16" s="287"/>
      <c r="K16" s="291">
        <f aca="true" t="shared" si="2" ref="K16:K21">SUM(C16:J16)</f>
        <v>146638616</v>
      </c>
      <c r="L16" s="171"/>
      <c r="M16" s="171"/>
    </row>
    <row r="17" spans="1:13" ht="15.75" thickBot="1">
      <c r="A17" s="171"/>
      <c r="B17" s="286" t="s">
        <v>495</v>
      </c>
      <c r="C17" s="287">
        <f>2248922.59+4077644.85</f>
        <v>6326567.4399999995</v>
      </c>
      <c r="D17" s="287"/>
      <c r="E17" s="287">
        <f>13346705.29+380769.6+117691839.75+0.24</f>
        <v>131419314.88</v>
      </c>
      <c r="F17" s="287"/>
      <c r="G17" s="287">
        <f>143472785-E17-C17</f>
        <v>5726902.680000005</v>
      </c>
      <c r="H17" s="287"/>
      <c r="I17" s="287"/>
      <c r="J17" s="287"/>
      <c r="K17" s="291">
        <f t="shared" si="2"/>
        <v>143472785</v>
      </c>
      <c r="L17" s="171"/>
      <c r="M17" s="171"/>
    </row>
    <row r="18" spans="1:13" ht="15.75" thickBot="1">
      <c r="A18" s="171"/>
      <c r="B18" s="286" t="s">
        <v>496</v>
      </c>
      <c r="C18" s="287"/>
      <c r="D18" s="287"/>
      <c r="E18" s="287"/>
      <c r="F18" s="287"/>
      <c r="G18" s="287"/>
      <c r="H18" s="287"/>
      <c r="I18" s="287"/>
      <c r="J18" s="287"/>
      <c r="K18" s="291">
        <f t="shared" si="2"/>
        <v>0</v>
      </c>
      <c r="L18" s="171"/>
      <c r="M18" s="171"/>
    </row>
    <row r="19" spans="1:13" ht="15.75" thickBot="1">
      <c r="A19" s="171"/>
      <c r="B19" s="286" t="s">
        <v>497</v>
      </c>
      <c r="C19" s="290"/>
      <c r="D19" s="287"/>
      <c r="E19" s="290"/>
      <c r="F19" s="287"/>
      <c r="G19" s="287">
        <f>'Risku i likuiditetit'!K21</f>
        <v>41000795.400000006</v>
      </c>
      <c r="H19" s="290"/>
      <c r="I19" s="290"/>
      <c r="J19" s="287"/>
      <c r="K19" s="291">
        <f t="shared" si="2"/>
        <v>41000795.400000006</v>
      </c>
      <c r="L19" s="171"/>
      <c r="M19" s="171"/>
    </row>
    <row r="20" spans="1:13" ht="12.75" thickBot="1">
      <c r="A20" s="171"/>
      <c r="B20" s="176" t="s">
        <v>316</v>
      </c>
      <c r="C20" s="291">
        <f>SUM(C15:C19)</f>
        <v>6326567.4399999995</v>
      </c>
      <c r="D20" s="291">
        <f aca="true" t="shared" si="3" ref="D20:K20">SUM(D15:D19)</f>
        <v>0</v>
      </c>
      <c r="E20" s="291">
        <f t="shared" si="3"/>
        <v>315328470.05</v>
      </c>
      <c r="F20" s="291">
        <f t="shared" si="3"/>
        <v>0</v>
      </c>
      <c r="G20" s="291">
        <f t="shared" si="3"/>
        <v>151978314.08</v>
      </c>
      <c r="H20" s="291">
        <f t="shared" si="3"/>
        <v>0</v>
      </c>
      <c r="I20" s="291">
        <f t="shared" si="3"/>
        <v>0</v>
      </c>
      <c r="J20" s="291">
        <f t="shared" si="3"/>
        <v>0</v>
      </c>
      <c r="K20" s="291">
        <f t="shared" si="3"/>
        <v>473633351.57000005</v>
      </c>
      <c r="L20" s="171"/>
      <c r="M20" s="171"/>
    </row>
    <row r="21" spans="1:13" ht="12.75" thickBot="1">
      <c r="A21" s="171"/>
      <c r="B21" s="173"/>
      <c r="C21" s="287"/>
      <c r="D21" s="287"/>
      <c r="E21" s="287"/>
      <c r="F21" s="287"/>
      <c r="G21" s="287"/>
      <c r="H21" s="287"/>
      <c r="I21" s="287"/>
      <c r="J21" s="287"/>
      <c r="K21" s="291">
        <f t="shared" si="2"/>
        <v>0</v>
      </c>
      <c r="L21" s="171"/>
      <c r="M21" s="171"/>
    </row>
    <row r="22" spans="1:13" ht="12.75" thickBot="1">
      <c r="A22" s="171"/>
      <c r="B22" s="173" t="s">
        <v>317</v>
      </c>
      <c r="C22" s="292">
        <f>C12-C20</f>
        <v>-6326567.4399999995</v>
      </c>
      <c r="D22" s="287"/>
      <c r="E22" s="292">
        <f>E12-E20</f>
        <v>-283140413.05</v>
      </c>
      <c r="F22" s="287"/>
      <c r="G22" s="292">
        <f>G12-G20</f>
        <v>120382135.91999999</v>
      </c>
      <c r="H22" s="299"/>
      <c r="I22" s="292">
        <f>I12-I20</f>
        <v>0</v>
      </c>
      <c r="J22" s="287"/>
      <c r="K22" s="291"/>
      <c r="L22" s="171"/>
      <c r="M22" s="171"/>
    </row>
    <row r="23" spans="1:13" ht="12">
      <c r="A23" s="171"/>
      <c r="B23" s="171"/>
      <c r="C23" s="300"/>
      <c r="D23" s="300"/>
      <c r="E23" s="300"/>
      <c r="F23" s="300"/>
      <c r="G23" s="300"/>
      <c r="H23" s="300"/>
      <c r="I23" s="300"/>
      <c r="J23" s="300"/>
      <c r="K23" s="300"/>
      <c r="L23" s="171"/>
      <c r="M23" s="171"/>
    </row>
    <row r="24" spans="1:13" ht="12">
      <c r="A24" s="171"/>
      <c r="B24" s="171"/>
      <c r="C24" s="300"/>
      <c r="D24" s="300"/>
      <c r="E24" s="300"/>
      <c r="F24" s="300"/>
      <c r="G24" s="300"/>
      <c r="H24" s="300"/>
      <c r="I24" s="300"/>
      <c r="J24" s="300"/>
      <c r="K24" s="300"/>
      <c r="L24" s="171"/>
      <c r="M24" s="171"/>
    </row>
    <row r="25" spans="3:11" ht="12">
      <c r="C25" s="297"/>
      <c r="D25" s="297"/>
      <c r="E25" s="297"/>
      <c r="F25" s="297"/>
      <c r="G25" s="297"/>
      <c r="H25" s="297"/>
      <c r="I25" s="297"/>
      <c r="J25" s="297"/>
      <c r="K25" s="297"/>
    </row>
    <row r="26" spans="3:11" ht="12">
      <c r="C26" s="297"/>
      <c r="D26" s="297"/>
      <c r="E26" s="297"/>
      <c r="F26" s="297"/>
      <c r="G26" s="297"/>
      <c r="H26" s="297"/>
      <c r="I26" s="297"/>
      <c r="J26" s="297"/>
      <c r="K26" s="297"/>
    </row>
    <row r="27" spans="2:11" ht="12">
      <c r="B27" s="170">
        <v>2008</v>
      </c>
      <c r="C27" s="297"/>
      <c r="D27" s="297"/>
      <c r="E27" s="297"/>
      <c r="F27" s="297"/>
      <c r="G27" s="297"/>
      <c r="H27" s="297"/>
      <c r="I27" s="297"/>
      <c r="J27" s="297"/>
      <c r="K27" s="297"/>
    </row>
    <row r="28" spans="1:13" ht="12">
      <c r="A28" s="171"/>
      <c r="B28" s="172" t="s">
        <v>308</v>
      </c>
      <c r="C28" s="287"/>
      <c r="D28" s="287"/>
      <c r="E28" s="287"/>
      <c r="F28" s="287"/>
      <c r="G28" s="287"/>
      <c r="H28" s="287"/>
      <c r="I28" s="287"/>
      <c r="J28" s="287"/>
      <c r="K28" s="287"/>
      <c r="L28" s="171"/>
      <c r="M28" s="171"/>
    </row>
    <row r="29" spans="1:13" ht="12">
      <c r="A29" s="171"/>
      <c r="B29" s="173"/>
      <c r="C29" s="301" t="s">
        <v>499</v>
      </c>
      <c r="D29" s="288"/>
      <c r="E29" s="301" t="s">
        <v>309</v>
      </c>
      <c r="F29" s="288"/>
      <c r="G29" s="301" t="s">
        <v>310</v>
      </c>
      <c r="H29" s="301"/>
      <c r="I29" s="301" t="s">
        <v>311</v>
      </c>
      <c r="J29" s="288"/>
      <c r="K29" s="301" t="s">
        <v>312</v>
      </c>
      <c r="L29" s="171"/>
      <c r="M29" s="171"/>
    </row>
    <row r="30" spans="1:13" ht="12">
      <c r="A30" s="171"/>
      <c r="B30" s="176" t="s">
        <v>313</v>
      </c>
      <c r="C30" s="290"/>
      <c r="D30" s="287"/>
      <c r="E30" s="290"/>
      <c r="F30" s="287"/>
      <c r="G30" s="297"/>
      <c r="H30" s="290"/>
      <c r="I30" s="290"/>
      <c r="J30" s="288"/>
      <c r="K30" s="288">
        <f>SUM(C30:J30)</f>
        <v>0</v>
      </c>
      <c r="L30" s="171"/>
      <c r="M30" s="171"/>
    </row>
    <row r="31" spans="1:13" ht="15">
      <c r="A31" s="171"/>
      <c r="B31" s="286" t="s">
        <v>487</v>
      </c>
      <c r="C31" s="290"/>
      <c r="D31" s="287"/>
      <c r="E31" s="290"/>
      <c r="F31" s="287"/>
      <c r="G31" s="290">
        <v>77619653</v>
      </c>
      <c r="H31" s="290"/>
      <c r="I31" s="290"/>
      <c r="J31" s="287"/>
      <c r="K31" s="288">
        <f aca="true" t="shared" si="4" ref="K31:K38">SUM(C31:J31)</f>
        <v>77619653</v>
      </c>
      <c r="L31" s="171"/>
      <c r="M31" s="171"/>
    </row>
    <row r="32" spans="1:13" ht="15">
      <c r="A32" s="171"/>
      <c r="B32" s="286" t="s">
        <v>488</v>
      </c>
      <c r="C32" s="290"/>
      <c r="D32" s="287"/>
      <c r="E32" s="290">
        <v>32188057</v>
      </c>
      <c r="F32" s="287"/>
      <c r="G32" s="290">
        <v>166470262</v>
      </c>
      <c r="H32" s="290"/>
      <c r="I32" s="290"/>
      <c r="J32" s="287"/>
      <c r="K32" s="288">
        <f t="shared" si="4"/>
        <v>198658319</v>
      </c>
      <c r="L32" s="171"/>
      <c r="M32" s="171"/>
    </row>
    <row r="33" spans="1:13" ht="15">
      <c r="A33" s="171"/>
      <c r="B33" s="286" t="s">
        <v>489</v>
      </c>
      <c r="C33" s="290"/>
      <c r="D33" s="287"/>
      <c r="E33" s="290"/>
      <c r="F33" s="287"/>
      <c r="G33" s="290">
        <v>4092246</v>
      </c>
      <c r="H33" s="290"/>
      <c r="I33" s="290"/>
      <c r="J33" s="287"/>
      <c r="K33" s="288">
        <f t="shared" si="4"/>
        <v>4092246</v>
      </c>
      <c r="L33" s="171"/>
      <c r="M33" s="171"/>
    </row>
    <row r="34" spans="1:13" ht="15">
      <c r="A34" s="171"/>
      <c r="B34" s="286" t="s">
        <v>490</v>
      </c>
      <c r="C34" s="290"/>
      <c r="D34" s="287"/>
      <c r="E34" s="290"/>
      <c r="F34" s="287"/>
      <c r="G34" s="290">
        <v>1911744</v>
      </c>
      <c r="H34" s="290"/>
      <c r="I34" s="290"/>
      <c r="J34" s="287"/>
      <c r="K34" s="288">
        <f t="shared" si="4"/>
        <v>1911744</v>
      </c>
      <c r="L34" s="171"/>
      <c r="M34" s="171"/>
    </row>
    <row r="35" spans="1:13" ht="15">
      <c r="A35" s="171"/>
      <c r="B35" s="286" t="s">
        <v>491</v>
      </c>
      <c r="C35" s="290"/>
      <c r="D35" s="287"/>
      <c r="E35" s="290"/>
      <c r="F35" s="287"/>
      <c r="G35" s="290">
        <v>14795895</v>
      </c>
      <c r="H35" s="290"/>
      <c r="I35" s="290"/>
      <c r="J35" s="287"/>
      <c r="K35" s="288">
        <f t="shared" si="4"/>
        <v>14795895</v>
      </c>
      <c r="L35" s="171"/>
      <c r="M35" s="171"/>
    </row>
    <row r="36" spans="1:13" ht="15">
      <c r="A36" s="171"/>
      <c r="B36" s="286" t="s">
        <v>492</v>
      </c>
      <c r="C36" s="290">
        <v>67025</v>
      </c>
      <c r="D36" s="287"/>
      <c r="E36" s="290">
        <v>13274781</v>
      </c>
      <c r="F36" s="287"/>
      <c r="G36" s="290">
        <v>7470650</v>
      </c>
      <c r="H36" s="290"/>
      <c r="I36" s="290"/>
      <c r="J36" s="287"/>
      <c r="K36" s="288">
        <f t="shared" si="4"/>
        <v>20812456</v>
      </c>
      <c r="L36" s="171"/>
      <c r="M36" s="171"/>
    </row>
    <row r="37" spans="1:13" ht="12">
      <c r="A37" s="171"/>
      <c r="B37" s="173"/>
      <c r="C37" s="290"/>
      <c r="D37" s="287"/>
      <c r="E37" s="290"/>
      <c r="F37" s="287"/>
      <c r="G37" s="290"/>
      <c r="H37" s="290"/>
      <c r="I37" s="290"/>
      <c r="J37" s="287"/>
      <c r="K37" s="288">
        <f t="shared" si="4"/>
        <v>0</v>
      </c>
      <c r="L37" s="171"/>
      <c r="M37" s="171"/>
    </row>
    <row r="38" spans="1:13" ht="12.75" thickBot="1">
      <c r="A38" s="171"/>
      <c r="B38" s="173"/>
      <c r="C38" s="292"/>
      <c r="D38" s="287"/>
      <c r="E38" s="292"/>
      <c r="F38" s="287"/>
      <c r="G38" s="292"/>
      <c r="H38" s="299"/>
      <c r="I38" s="292"/>
      <c r="J38" s="287"/>
      <c r="K38" s="288">
        <f t="shared" si="4"/>
        <v>0</v>
      </c>
      <c r="L38" s="171"/>
      <c r="M38" s="171"/>
    </row>
    <row r="39" spans="1:13" ht="12.75" thickBot="1">
      <c r="A39" s="171"/>
      <c r="B39" s="176" t="s">
        <v>314</v>
      </c>
      <c r="C39" s="298">
        <f>SUM(C30:C38)</f>
        <v>67025</v>
      </c>
      <c r="D39" s="298">
        <f aca="true" t="shared" si="5" ref="D39:K39">SUM(D30:D38)</f>
        <v>0</v>
      </c>
      <c r="E39" s="298">
        <f t="shared" si="5"/>
        <v>45462838</v>
      </c>
      <c r="F39" s="298">
        <f t="shared" si="5"/>
        <v>0</v>
      </c>
      <c r="G39" s="298">
        <f>SUM(G31:G38)</f>
        <v>272360450</v>
      </c>
      <c r="H39" s="298">
        <f t="shared" si="5"/>
        <v>0</v>
      </c>
      <c r="I39" s="298">
        <f t="shared" si="5"/>
        <v>0</v>
      </c>
      <c r="J39" s="298">
        <f t="shared" si="5"/>
        <v>0</v>
      </c>
      <c r="K39" s="298">
        <f t="shared" si="5"/>
        <v>317890313</v>
      </c>
      <c r="L39" s="171"/>
      <c r="M39" s="171"/>
    </row>
    <row r="40" spans="1:13" ht="12">
      <c r="A40" s="171"/>
      <c r="B40" s="173"/>
      <c r="C40" s="287"/>
      <c r="D40" s="287"/>
      <c r="E40" s="287"/>
      <c r="F40" s="287"/>
      <c r="G40" s="287"/>
      <c r="H40" s="287"/>
      <c r="I40" s="287"/>
      <c r="J40" s="287"/>
      <c r="K40" s="287"/>
      <c r="L40" s="171"/>
      <c r="M40" s="171"/>
    </row>
    <row r="41" spans="1:13" ht="12">
      <c r="A41" s="171"/>
      <c r="B41" s="176" t="s">
        <v>315</v>
      </c>
      <c r="C41" s="287"/>
      <c r="D41" s="287"/>
      <c r="E41" s="287"/>
      <c r="F41" s="287"/>
      <c r="G41" s="287"/>
      <c r="H41" s="287"/>
      <c r="I41" s="287"/>
      <c r="J41" s="287"/>
      <c r="K41" s="289">
        <f aca="true" t="shared" si="6" ref="K41:K46">SUM(C41:I41)</f>
        <v>0</v>
      </c>
      <c r="L41" s="171"/>
      <c r="M41" s="171"/>
    </row>
    <row r="42" spans="1:13" ht="15">
      <c r="A42" s="171"/>
      <c r="B42" s="286" t="s">
        <v>493</v>
      </c>
      <c r="C42" s="287"/>
      <c r="D42" s="287"/>
      <c r="E42" s="287">
        <v>104245655</v>
      </c>
      <c r="F42" s="287"/>
      <c r="G42" s="297"/>
      <c r="H42" s="287"/>
      <c r="I42" s="287"/>
      <c r="J42" s="287"/>
      <c r="K42" s="289">
        <f t="shared" si="6"/>
        <v>104245655</v>
      </c>
      <c r="L42" s="171"/>
      <c r="M42" s="171"/>
    </row>
    <row r="43" spans="1:13" ht="15">
      <c r="A43" s="171"/>
      <c r="B43" s="286" t="s">
        <v>494</v>
      </c>
      <c r="C43" s="287"/>
      <c r="D43" s="287"/>
      <c r="E43" s="287"/>
      <c r="F43" s="287"/>
      <c r="G43" s="287">
        <v>38390792</v>
      </c>
      <c r="H43" s="287"/>
      <c r="I43" s="287"/>
      <c r="J43" s="287"/>
      <c r="K43" s="289">
        <f t="shared" si="6"/>
        <v>38390792</v>
      </c>
      <c r="L43" s="171"/>
      <c r="M43" s="171"/>
    </row>
    <row r="44" spans="1:13" ht="15">
      <c r="A44" s="171"/>
      <c r="B44" s="286" t="s">
        <v>495</v>
      </c>
      <c r="C44" s="287">
        <v>19724436</v>
      </c>
      <c r="D44" s="287"/>
      <c r="E44" s="287">
        <v>33577615</v>
      </c>
      <c r="F44" s="287"/>
      <c r="G44" s="287">
        <v>2416145</v>
      </c>
      <c r="H44" s="287"/>
      <c r="I44" s="287"/>
      <c r="J44" s="287"/>
      <c r="K44" s="289">
        <f t="shared" si="6"/>
        <v>55718196</v>
      </c>
      <c r="L44" s="171"/>
      <c r="M44" s="171"/>
    </row>
    <row r="45" spans="1:13" ht="15">
      <c r="A45" s="171"/>
      <c r="B45" s="286" t="s">
        <v>496</v>
      </c>
      <c r="C45" s="290"/>
      <c r="D45" s="287"/>
      <c r="E45" s="290">
        <v>10566240</v>
      </c>
      <c r="F45" s="287"/>
      <c r="G45" s="290"/>
      <c r="H45" s="290"/>
      <c r="I45" s="290"/>
      <c r="J45" s="287"/>
      <c r="K45" s="289">
        <f t="shared" si="6"/>
        <v>10566240</v>
      </c>
      <c r="L45" s="171"/>
      <c r="M45" s="171"/>
    </row>
    <row r="46" spans="1:13" ht="15">
      <c r="A46" s="171"/>
      <c r="B46" s="286" t="s">
        <v>497</v>
      </c>
      <c r="C46" s="290"/>
      <c r="D46" s="287"/>
      <c r="E46" s="290"/>
      <c r="F46" s="287"/>
      <c r="G46" s="290">
        <v>10094540</v>
      </c>
      <c r="H46" s="290"/>
      <c r="I46" s="290"/>
      <c r="J46" s="287"/>
      <c r="K46" s="289">
        <f t="shared" si="6"/>
        <v>10094540</v>
      </c>
      <c r="L46" s="171"/>
      <c r="M46" s="171"/>
    </row>
    <row r="47" spans="1:13" ht="12.75" thickBot="1">
      <c r="A47" s="171"/>
      <c r="B47" s="176" t="s">
        <v>316</v>
      </c>
      <c r="C47" s="291">
        <f>SUM(C42:C46)</f>
        <v>19724436</v>
      </c>
      <c r="D47" s="291">
        <f aca="true" t="shared" si="7" ref="D47:J47">SUM(D42:D46)</f>
        <v>0</v>
      </c>
      <c r="E47" s="291">
        <f t="shared" si="7"/>
        <v>148389510</v>
      </c>
      <c r="F47" s="291">
        <f t="shared" si="7"/>
        <v>0</v>
      </c>
      <c r="G47" s="291">
        <f t="shared" si="7"/>
        <v>50901477</v>
      </c>
      <c r="H47" s="291">
        <f t="shared" si="7"/>
        <v>0</v>
      </c>
      <c r="I47" s="291">
        <f t="shared" si="7"/>
        <v>0</v>
      </c>
      <c r="J47" s="291">
        <f t="shared" si="7"/>
        <v>0</v>
      </c>
      <c r="K47" s="291">
        <f>SUM(K41:K46)</f>
        <v>219015423</v>
      </c>
      <c r="L47" s="171"/>
      <c r="M47" s="171"/>
    </row>
    <row r="48" spans="1:13" ht="12">
      <c r="A48" s="171"/>
      <c r="B48" s="173"/>
      <c r="C48" s="287"/>
      <c r="D48" s="287"/>
      <c r="E48" s="287"/>
      <c r="F48" s="287"/>
      <c r="G48" s="287"/>
      <c r="H48" s="287"/>
      <c r="I48" s="287"/>
      <c r="J48" s="287"/>
      <c r="K48" s="287"/>
      <c r="L48" s="171"/>
      <c r="M48" s="171"/>
    </row>
    <row r="49" spans="1:13" ht="12.75" thickBot="1">
      <c r="A49" s="171"/>
      <c r="B49" s="173" t="s">
        <v>317</v>
      </c>
      <c r="C49" s="292">
        <f>C39-C47</f>
        <v>-19657411</v>
      </c>
      <c r="D49" s="287"/>
      <c r="E49" s="292">
        <f>E39-E47</f>
        <v>-102926672</v>
      </c>
      <c r="F49" s="287"/>
      <c r="G49" s="292">
        <f>G39-G47</f>
        <v>221458973</v>
      </c>
      <c r="H49" s="299"/>
      <c r="I49" s="292">
        <f>I39-I47</f>
        <v>0</v>
      </c>
      <c r="J49" s="287"/>
      <c r="K49" s="287"/>
      <c r="L49" s="171"/>
      <c r="M49" s="171"/>
    </row>
    <row r="50" spans="1:13" ht="12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</row>
    <row r="51" spans="1:13" ht="12">
      <c r="A51" s="171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95"/>
  <sheetViews>
    <sheetView workbookViewId="0" topLeftCell="A4">
      <selection activeCell="J15" sqref="J15"/>
    </sheetView>
  </sheetViews>
  <sheetFormatPr defaultColWidth="9.140625" defaultRowHeight="12.75"/>
  <cols>
    <col min="3" max="3" width="12.28125" style="0" customWidth="1"/>
    <col min="4" max="4" width="25.140625" style="87" customWidth="1"/>
    <col min="5" max="5" width="14.8515625" style="0" customWidth="1"/>
    <col min="6" max="6" width="11.28125" style="0" bestFit="1" customWidth="1"/>
  </cols>
  <sheetData>
    <row r="1" spans="3:4" ht="12.75">
      <c r="C1" s="89"/>
      <c r="D1" s="88"/>
    </row>
    <row r="2" ht="12.75">
      <c r="D2"/>
    </row>
    <row r="3" spans="3:4" ht="12.75">
      <c r="C3" t="s">
        <v>329</v>
      </c>
      <c r="D3"/>
    </row>
    <row r="4" ht="12.75">
      <c r="D4"/>
    </row>
    <row r="5" spans="2:8" ht="12.75">
      <c r="B5" s="162">
        <v>1</v>
      </c>
      <c r="C5" s="187" t="s">
        <v>330</v>
      </c>
      <c r="D5" s="187" t="s">
        <v>331</v>
      </c>
      <c r="E5" s="195">
        <v>1376077.54</v>
      </c>
      <c r="F5" s="187"/>
      <c r="G5" s="162"/>
      <c r="H5" s="162"/>
    </row>
    <row r="6" spans="2:8" ht="12.75">
      <c r="B6" s="162">
        <v>1</v>
      </c>
      <c r="C6" s="187" t="s">
        <v>332</v>
      </c>
      <c r="D6" s="187" t="s">
        <v>333</v>
      </c>
      <c r="E6" s="195">
        <v>223900</v>
      </c>
      <c r="F6" s="187"/>
      <c r="G6" s="162"/>
      <c r="H6" s="162"/>
    </row>
    <row r="7" spans="2:8" ht="12.75">
      <c r="B7" s="162">
        <v>1</v>
      </c>
      <c r="C7" s="187" t="s">
        <v>334</v>
      </c>
      <c r="D7" s="187" t="s">
        <v>335</v>
      </c>
      <c r="E7" s="195">
        <v>610498.95</v>
      </c>
      <c r="F7" s="187"/>
      <c r="G7" s="162"/>
      <c r="H7" s="162"/>
    </row>
    <row r="8" spans="2:8" ht="12.75">
      <c r="B8" s="162">
        <v>1</v>
      </c>
      <c r="C8" s="187" t="s">
        <v>336</v>
      </c>
      <c r="D8" s="187" t="s">
        <v>337</v>
      </c>
      <c r="E8" s="195">
        <v>325056.17</v>
      </c>
      <c r="F8" s="187"/>
      <c r="G8" s="162"/>
      <c r="H8" s="162"/>
    </row>
    <row r="9" spans="2:8" ht="12.75">
      <c r="B9" s="162">
        <v>1</v>
      </c>
      <c r="C9" s="187" t="s">
        <v>338</v>
      </c>
      <c r="D9" s="187" t="s">
        <v>339</v>
      </c>
      <c r="E9" s="195">
        <v>194964</v>
      </c>
      <c r="F9" s="187"/>
      <c r="G9" s="162"/>
      <c r="H9" s="162"/>
    </row>
    <row r="10" spans="2:8" ht="12.75">
      <c r="B10" s="162">
        <v>1</v>
      </c>
      <c r="C10" s="187" t="s">
        <v>340</v>
      </c>
      <c r="D10" s="187" t="s">
        <v>341</v>
      </c>
      <c r="E10" s="195">
        <v>143520</v>
      </c>
      <c r="F10" s="187"/>
      <c r="G10" s="162"/>
      <c r="H10" s="162"/>
    </row>
    <row r="11" spans="2:8" ht="12.75">
      <c r="B11" s="162">
        <v>1</v>
      </c>
      <c r="C11" s="187" t="s">
        <v>342</v>
      </c>
      <c r="D11" s="187" t="s">
        <v>343</v>
      </c>
      <c r="E11" s="195">
        <v>27778</v>
      </c>
      <c r="F11" s="187"/>
      <c r="G11" s="162"/>
      <c r="H11" s="162"/>
    </row>
    <row r="12" spans="2:8" ht="12.75">
      <c r="B12" s="162">
        <v>1</v>
      </c>
      <c r="C12" s="187" t="s">
        <v>344</v>
      </c>
      <c r="D12" s="187" t="s">
        <v>345</v>
      </c>
      <c r="E12" s="195">
        <v>142320.48</v>
      </c>
      <c r="F12" s="187"/>
      <c r="G12" s="162"/>
      <c r="H12" s="162"/>
    </row>
    <row r="13" spans="2:8" ht="12.75">
      <c r="B13" s="162">
        <v>1</v>
      </c>
      <c r="C13" s="187" t="s">
        <v>346</v>
      </c>
      <c r="D13" s="187" t="s">
        <v>347</v>
      </c>
      <c r="E13" s="195">
        <v>1591914</v>
      </c>
      <c r="F13" s="187"/>
      <c r="G13" s="162"/>
      <c r="H13" s="162"/>
    </row>
    <row r="14" spans="2:8" ht="12.75">
      <c r="B14" s="162">
        <v>1</v>
      </c>
      <c r="C14" s="187" t="s">
        <v>348</v>
      </c>
      <c r="D14" s="187" t="s">
        <v>349</v>
      </c>
      <c r="E14" s="195">
        <v>328380</v>
      </c>
      <c r="F14" s="187"/>
      <c r="G14" s="162"/>
      <c r="H14" s="162"/>
    </row>
    <row r="15" spans="2:8" ht="12.75">
      <c r="B15" s="162">
        <v>1</v>
      </c>
      <c r="C15" s="187" t="s">
        <v>350</v>
      </c>
      <c r="D15" s="187" t="s">
        <v>351</v>
      </c>
      <c r="E15" s="195">
        <f>53284.2+253018.64</f>
        <v>306302.84</v>
      </c>
      <c r="F15" s="187"/>
      <c r="G15" s="162"/>
      <c r="H15" s="162"/>
    </row>
    <row r="16" spans="2:8" ht="12.75">
      <c r="B16" s="162">
        <v>1</v>
      </c>
      <c r="C16" s="187" t="s">
        <v>352</v>
      </c>
      <c r="D16" s="187" t="s">
        <v>353</v>
      </c>
      <c r="E16" s="195">
        <v>179811.1</v>
      </c>
      <c r="F16" s="187"/>
      <c r="G16" s="162"/>
      <c r="H16" s="162"/>
    </row>
    <row r="17" spans="2:8" ht="12.75">
      <c r="B17" s="162">
        <v>1</v>
      </c>
      <c r="C17" s="187" t="s">
        <v>354</v>
      </c>
      <c r="D17" s="187" t="s">
        <v>355</v>
      </c>
      <c r="E17" s="195">
        <v>135000</v>
      </c>
      <c r="F17" s="187"/>
      <c r="G17" s="162"/>
      <c r="H17" s="162"/>
    </row>
    <row r="18" spans="2:8" ht="12.75">
      <c r="B18" s="162">
        <v>1</v>
      </c>
      <c r="C18" s="187" t="s">
        <v>356</v>
      </c>
      <c r="D18" s="187" t="s">
        <v>357</v>
      </c>
      <c r="E18" s="195">
        <v>306490.12</v>
      </c>
      <c r="F18" s="187"/>
      <c r="G18" s="162"/>
      <c r="H18" s="162"/>
    </row>
    <row r="19" spans="2:8" ht="12.75">
      <c r="B19" s="162">
        <v>1</v>
      </c>
      <c r="C19" s="187" t="s">
        <v>358</v>
      </c>
      <c r="D19" s="187" t="s">
        <v>359</v>
      </c>
      <c r="E19" s="195">
        <v>29510</v>
      </c>
      <c r="F19" s="187"/>
      <c r="G19" s="162"/>
      <c r="H19" s="162"/>
    </row>
    <row r="20" spans="2:8" ht="12.75">
      <c r="B20" s="162">
        <v>1</v>
      </c>
      <c r="C20" s="187" t="s">
        <v>360</v>
      </c>
      <c r="D20" s="187" t="s">
        <v>361</v>
      </c>
      <c r="E20" s="195">
        <v>473990</v>
      </c>
      <c r="F20" s="187"/>
      <c r="G20" s="162"/>
      <c r="H20" s="162"/>
    </row>
    <row r="21" spans="2:8" ht="12.75">
      <c r="B21" s="162">
        <v>1</v>
      </c>
      <c r="C21" s="187" t="s">
        <v>362</v>
      </c>
      <c r="D21" s="187" t="s">
        <v>363</v>
      </c>
      <c r="E21" s="195">
        <v>106676.8</v>
      </c>
      <c r="F21" s="187"/>
      <c r="G21" s="162"/>
      <c r="H21" s="162"/>
    </row>
    <row r="22" spans="2:8" ht="12.75">
      <c r="B22" s="162">
        <v>1</v>
      </c>
      <c r="C22" s="187" t="s">
        <v>364</v>
      </c>
      <c r="D22" s="187" t="s">
        <v>365</v>
      </c>
      <c r="E22" s="195">
        <v>394731.7</v>
      </c>
      <c r="F22" s="187"/>
      <c r="G22" s="162"/>
      <c r="H22" s="162"/>
    </row>
    <row r="23" spans="2:8" ht="12.75">
      <c r="B23" s="162">
        <v>1</v>
      </c>
      <c r="C23" s="187" t="s">
        <v>366</v>
      </c>
      <c r="D23" s="187" t="s">
        <v>367</v>
      </c>
      <c r="E23" s="195">
        <v>1335994.5</v>
      </c>
      <c r="F23" s="187"/>
      <c r="G23" s="162"/>
      <c r="H23" s="162"/>
    </row>
    <row r="24" spans="2:8" ht="12.75">
      <c r="B24" s="162">
        <v>1</v>
      </c>
      <c r="C24" s="187" t="s">
        <v>368</v>
      </c>
      <c r="D24" s="187" t="s">
        <v>369</v>
      </c>
      <c r="E24" s="195">
        <v>4726795</v>
      </c>
      <c r="F24" s="187"/>
      <c r="G24" s="162"/>
      <c r="H24" s="162"/>
    </row>
    <row r="25" spans="3:8" ht="12.75">
      <c r="C25" s="90"/>
      <c r="D25" s="215" t="s">
        <v>370</v>
      </c>
      <c r="E25" s="216">
        <f>SUM(E5:E24)</f>
        <v>12959711.2</v>
      </c>
      <c r="F25" s="90"/>
      <c r="H25" s="86">
        <f>E62+E81+E88+E93</f>
        <v>12959711.399999999</v>
      </c>
    </row>
    <row r="26" spans="4:5" ht="12.75">
      <c r="D26"/>
      <c r="E26" s="86"/>
    </row>
    <row r="27" spans="4:8" ht="12.75">
      <c r="D27"/>
      <c r="H27" s="86"/>
    </row>
    <row r="28" ht="12.75">
      <c r="D28"/>
    </row>
    <row r="29" spans="3:5" ht="12.75">
      <c r="C29" t="s">
        <v>371</v>
      </c>
      <c r="D29"/>
      <c r="E29" s="188">
        <v>3522078</v>
      </c>
    </row>
    <row r="30" spans="4:8" ht="12.75">
      <c r="D30"/>
      <c r="H30" s="86">
        <f>E62+E81+E88+E93</f>
        <v>12959711.399999999</v>
      </c>
    </row>
    <row r="31" spans="4:5" ht="12.75">
      <c r="D31" s="190" t="s">
        <v>372</v>
      </c>
      <c r="E31" s="189"/>
    </row>
    <row r="32" spans="4:6" ht="12.75">
      <c r="D32" s="190" t="s">
        <v>373</v>
      </c>
      <c r="E32" s="189">
        <f>'[1]total 2009'!E104</f>
        <v>19869.11421032793</v>
      </c>
      <c r="F32">
        <v>16918745</v>
      </c>
    </row>
    <row r="33" spans="4:6" ht="12.75">
      <c r="D33" s="90" t="s">
        <v>154</v>
      </c>
      <c r="E33" s="191">
        <f>E25</f>
        <v>12959711.2</v>
      </c>
      <c r="F33">
        <v>12959711</v>
      </c>
    </row>
    <row r="34" spans="4:5" ht="12.75">
      <c r="D34" s="90" t="s">
        <v>374</v>
      </c>
      <c r="E34" s="191">
        <f>E29</f>
        <v>3522078</v>
      </c>
    </row>
    <row r="35" spans="4:5" ht="12.75">
      <c r="D35" s="90" t="s">
        <v>375</v>
      </c>
      <c r="E35" s="191">
        <f>E32+E33-E34</f>
        <v>9457502.314210327</v>
      </c>
    </row>
    <row r="36" spans="4:5" ht="12.75">
      <c r="D36" s="161" t="s">
        <v>376</v>
      </c>
      <c r="E36" s="192">
        <f>(E32+E33-E34)*0.1</f>
        <v>945750.2314210328</v>
      </c>
    </row>
    <row r="37" spans="4:5" ht="12.75">
      <c r="D37" s="161"/>
      <c r="E37" s="192"/>
    </row>
    <row r="38" ht="12.75">
      <c r="D38"/>
    </row>
    <row r="39" ht="12.75">
      <c r="D39"/>
    </row>
    <row r="40" ht="12.75">
      <c r="D40"/>
    </row>
    <row r="41" ht="12.75">
      <c r="D41"/>
    </row>
    <row r="42" ht="12.75">
      <c r="D42"/>
    </row>
    <row r="43" ht="12.75">
      <c r="D43"/>
    </row>
    <row r="44" spans="2:8" ht="18">
      <c r="B44" s="193"/>
      <c r="C44" s="193"/>
      <c r="D44" s="193" t="s">
        <v>377</v>
      </c>
      <c r="E44" s="193"/>
      <c r="F44" s="193"/>
      <c r="G44" s="193"/>
      <c r="H44" s="193"/>
    </row>
    <row r="45" spans="2:8" ht="12.75">
      <c r="B45" s="194"/>
      <c r="C45" s="187" t="s">
        <v>330</v>
      </c>
      <c r="D45" s="187" t="s">
        <v>331</v>
      </c>
      <c r="E45" s="195">
        <v>1376077.54</v>
      </c>
      <c r="F45" s="196"/>
      <c r="G45" s="197"/>
      <c r="H45" s="198"/>
    </row>
    <row r="46" spans="2:8" ht="12.75">
      <c r="B46" s="194"/>
      <c r="C46" s="187" t="s">
        <v>332</v>
      </c>
      <c r="D46" s="187" t="s">
        <v>333</v>
      </c>
      <c r="E46" s="187">
        <v>223900</v>
      </c>
      <c r="F46" s="196"/>
      <c r="G46" s="197"/>
      <c r="H46" s="198"/>
    </row>
    <row r="47" spans="2:8" ht="12.75">
      <c r="B47" s="194"/>
      <c r="C47" s="187" t="s">
        <v>336</v>
      </c>
      <c r="D47" s="187" t="s">
        <v>337</v>
      </c>
      <c r="E47" s="195">
        <v>222215.41</v>
      </c>
      <c r="F47" s="196"/>
      <c r="G47" s="197"/>
      <c r="H47" s="198"/>
    </row>
    <row r="48" spans="2:8" ht="12.75">
      <c r="B48" s="194"/>
      <c r="C48" s="187" t="s">
        <v>338</v>
      </c>
      <c r="D48" s="187" t="s">
        <v>339</v>
      </c>
      <c r="E48" s="187">
        <v>97482</v>
      </c>
      <c r="F48" s="196"/>
      <c r="G48" s="197"/>
      <c r="H48" s="198"/>
    </row>
    <row r="49" spans="2:8" ht="12.75">
      <c r="B49" s="194"/>
      <c r="C49" s="187" t="s">
        <v>340</v>
      </c>
      <c r="D49" s="187" t="s">
        <v>341</v>
      </c>
      <c r="E49" s="187">
        <v>96420</v>
      </c>
      <c r="F49" s="196"/>
      <c r="G49" s="197"/>
      <c r="H49" s="198"/>
    </row>
    <row r="50" spans="2:8" ht="12.75">
      <c r="B50" s="199"/>
      <c r="C50" s="90" t="s">
        <v>344</v>
      </c>
      <c r="D50" s="187" t="s">
        <v>345</v>
      </c>
      <c r="E50" s="191">
        <v>142320.48</v>
      </c>
      <c r="F50" s="200"/>
      <c r="G50" s="201"/>
      <c r="H50" s="202"/>
    </row>
    <row r="51" spans="2:8" ht="12.75">
      <c r="B51" s="194"/>
      <c r="C51" s="187" t="s">
        <v>346</v>
      </c>
      <c r="D51" s="187" t="s">
        <v>347</v>
      </c>
      <c r="E51" s="195">
        <v>1591914</v>
      </c>
      <c r="F51" s="196"/>
      <c r="G51" s="197"/>
      <c r="H51" s="198"/>
    </row>
    <row r="52" spans="2:8" ht="12.75">
      <c r="B52" s="194"/>
      <c r="C52" s="187" t="s">
        <v>348</v>
      </c>
      <c r="D52" s="187" t="s">
        <v>378</v>
      </c>
      <c r="E52" s="195">
        <v>328380</v>
      </c>
      <c r="F52" s="196"/>
      <c r="G52" s="197"/>
      <c r="H52" s="198"/>
    </row>
    <row r="53" spans="2:8" ht="12.75">
      <c r="B53" s="194"/>
      <c r="C53" s="187" t="s">
        <v>350</v>
      </c>
      <c r="D53" s="187" t="s">
        <v>351</v>
      </c>
      <c r="E53" s="195">
        <f>306302.84</f>
        <v>306302.84</v>
      </c>
      <c r="F53" s="203" t="e">
        <f aca="true" t="shared" si="0" ref="F53:F61">E53/$D$3</f>
        <v>#DIV/0!</v>
      </c>
      <c r="G53" s="204" t="e">
        <f aca="true" t="shared" si="1" ref="G53:G61">F53/$E$187*100</f>
        <v>#DIV/0!</v>
      </c>
      <c r="H53" s="204" t="e">
        <f>F53/#REF!*100</f>
        <v>#DIV/0!</v>
      </c>
    </row>
    <row r="54" spans="2:8" ht="12.75">
      <c r="B54" s="194"/>
      <c r="C54" s="187" t="s">
        <v>352</v>
      </c>
      <c r="D54" s="187" t="s">
        <v>353</v>
      </c>
      <c r="E54" s="195">
        <v>151956.26</v>
      </c>
      <c r="F54" s="203" t="e">
        <f t="shared" si="0"/>
        <v>#DIV/0!</v>
      </c>
      <c r="G54" s="204" t="e">
        <f t="shared" si="1"/>
        <v>#DIV/0!</v>
      </c>
      <c r="H54" s="204" t="e">
        <f>F54/#REF!*100</f>
        <v>#DIV/0!</v>
      </c>
    </row>
    <row r="55" spans="2:8" ht="12.75">
      <c r="B55" s="199"/>
      <c r="C55" s="90" t="s">
        <v>354</v>
      </c>
      <c r="D55" s="187" t="s">
        <v>355</v>
      </c>
      <c r="E55" s="90">
        <v>63000</v>
      </c>
      <c r="F55" s="205" t="e">
        <f t="shared" si="0"/>
        <v>#DIV/0!</v>
      </c>
      <c r="G55" s="206" t="e">
        <f t="shared" si="1"/>
        <v>#DIV/0!</v>
      </c>
      <c r="H55" s="206" t="e">
        <f>F55/#REF!*100</f>
        <v>#DIV/0!</v>
      </c>
    </row>
    <row r="56" spans="2:8" ht="12.75">
      <c r="B56" s="194"/>
      <c r="C56" s="187" t="s">
        <v>356</v>
      </c>
      <c r="D56" s="187" t="s">
        <v>357</v>
      </c>
      <c r="E56" s="195">
        <v>270020.12</v>
      </c>
      <c r="F56" s="203" t="e">
        <f t="shared" si="0"/>
        <v>#DIV/0!</v>
      </c>
      <c r="G56" s="204" t="e">
        <f t="shared" si="1"/>
        <v>#DIV/0!</v>
      </c>
      <c r="H56" s="204" t="e">
        <f>F56/#REF!*100</f>
        <v>#DIV/0!</v>
      </c>
    </row>
    <row r="57" spans="2:8" ht="12.75">
      <c r="B57" s="194"/>
      <c r="C57" s="187" t="s">
        <v>358</v>
      </c>
      <c r="D57" s="187" t="s">
        <v>359</v>
      </c>
      <c r="E57" s="187">
        <v>16210</v>
      </c>
      <c r="F57" s="203" t="e">
        <f t="shared" si="0"/>
        <v>#DIV/0!</v>
      </c>
      <c r="G57" s="204" t="e">
        <f t="shared" si="1"/>
        <v>#DIV/0!</v>
      </c>
      <c r="H57" s="204"/>
    </row>
    <row r="58" spans="2:8" ht="12.75">
      <c r="B58" s="194"/>
      <c r="C58" s="187" t="s">
        <v>360</v>
      </c>
      <c r="D58" s="187" t="s">
        <v>361</v>
      </c>
      <c r="E58" s="187">
        <v>445000</v>
      </c>
      <c r="F58" s="203" t="e">
        <f t="shared" si="0"/>
        <v>#DIV/0!</v>
      </c>
      <c r="G58" s="204" t="e">
        <f t="shared" si="1"/>
        <v>#DIV/0!</v>
      </c>
      <c r="H58" s="204" t="e">
        <f>F58/#REF!*100</f>
        <v>#DIV/0!</v>
      </c>
    </row>
    <row r="59" spans="2:8" ht="12.75">
      <c r="B59" s="194"/>
      <c r="C59" s="187" t="s">
        <v>362</v>
      </c>
      <c r="D59" s="187" t="s">
        <v>363</v>
      </c>
      <c r="E59" s="187">
        <v>-290187.2</v>
      </c>
      <c r="F59" s="203" t="e">
        <f t="shared" si="0"/>
        <v>#DIV/0!</v>
      </c>
      <c r="G59" s="204" t="e">
        <f t="shared" si="1"/>
        <v>#DIV/0!</v>
      </c>
      <c r="H59" s="204" t="e">
        <f>F59/#REF!*100</f>
        <v>#DIV/0!</v>
      </c>
    </row>
    <row r="60" spans="2:8" ht="12.75">
      <c r="B60" s="199"/>
      <c r="C60" s="90" t="s">
        <v>364</v>
      </c>
      <c r="D60" s="187" t="s">
        <v>365</v>
      </c>
      <c r="E60" s="191">
        <v>293075.97</v>
      </c>
      <c r="F60" s="205" t="e">
        <f t="shared" si="0"/>
        <v>#DIV/0!</v>
      </c>
      <c r="G60" s="206" t="e">
        <f t="shared" si="1"/>
        <v>#DIV/0!</v>
      </c>
      <c r="H60" s="206"/>
    </row>
    <row r="61" spans="2:8" ht="12.75">
      <c r="B61" s="194"/>
      <c r="C61" s="187" t="s">
        <v>366</v>
      </c>
      <c r="D61" s="187" t="s">
        <v>367</v>
      </c>
      <c r="E61" s="195">
        <v>1335994.5</v>
      </c>
      <c r="F61" s="203" t="e">
        <f t="shared" si="0"/>
        <v>#DIV/0!</v>
      </c>
      <c r="G61" s="204" t="e">
        <f t="shared" si="1"/>
        <v>#DIV/0!</v>
      </c>
      <c r="H61" s="204" t="e">
        <f>F61/#REF!*100</f>
        <v>#DIV/0!</v>
      </c>
    </row>
    <row r="62" spans="4:5" ht="12.75">
      <c r="D62"/>
      <c r="E62" s="86">
        <f>SUM(E45:E61)</f>
        <v>6670081.92</v>
      </c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spans="2:8" ht="18">
      <c r="B68" s="193"/>
      <c r="C68" s="193"/>
      <c r="D68" s="193" t="s">
        <v>379</v>
      </c>
      <c r="E68" s="193"/>
      <c r="F68" s="193"/>
      <c r="G68" s="193"/>
      <c r="H68" s="193"/>
    </row>
    <row r="69" ht="12.75">
      <c r="D69"/>
    </row>
    <row r="70" spans="2:8" ht="12.75">
      <c r="B70" s="194"/>
      <c r="C70" s="187" t="s">
        <v>334</v>
      </c>
      <c r="D70" s="187" t="s">
        <v>335</v>
      </c>
      <c r="E70" s="195">
        <f>616606.15-5507</f>
        <v>611099.15</v>
      </c>
      <c r="F70" s="203" t="e">
        <f>E70/$D$3</f>
        <v>#DIV/0!</v>
      </c>
      <c r="G70" s="204"/>
      <c r="H70" s="204"/>
    </row>
    <row r="71" spans="2:8" ht="12.75">
      <c r="B71" s="194"/>
      <c r="C71" s="187" t="s">
        <v>336</v>
      </c>
      <c r="D71" s="187" t="s">
        <v>337</v>
      </c>
      <c r="E71" s="195">
        <v>102240.76</v>
      </c>
      <c r="F71" s="203" t="e">
        <f>E71/$D$3</f>
        <v>#DIV/0!</v>
      </c>
      <c r="G71" s="204" t="e">
        <f>F71/$E$260*100</f>
        <v>#DIV/0!</v>
      </c>
      <c r="H71" s="204" t="e">
        <f>F71/$E$211*100</f>
        <v>#DIV/0!</v>
      </c>
    </row>
    <row r="72" spans="2:8" ht="12.75">
      <c r="B72" s="194"/>
      <c r="C72" s="187" t="s">
        <v>338</v>
      </c>
      <c r="D72" s="187" t="s">
        <v>339</v>
      </c>
      <c r="E72" s="195">
        <v>97482</v>
      </c>
      <c r="F72" s="203" t="e">
        <f>E72/$D$3</f>
        <v>#DIV/0!</v>
      </c>
      <c r="G72" s="204" t="e">
        <f>F72/$E$260*100</f>
        <v>#DIV/0!</v>
      </c>
      <c r="H72" s="204" t="e">
        <f>F72/$E$211*100</f>
        <v>#DIV/0!</v>
      </c>
    </row>
    <row r="73" spans="2:8" ht="12.75">
      <c r="B73" s="194"/>
      <c r="C73" s="187" t="s">
        <v>340</v>
      </c>
      <c r="D73" s="187" t="s">
        <v>341</v>
      </c>
      <c r="E73" s="195">
        <v>47100</v>
      </c>
      <c r="F73" s="203" t="e">
        <f>E73/$D$3</f>
        <v>#DIV/0!</v>
      </c>
      <c r="G73" s="204"/>
      <c r="H73" s="204"/>
    </row>
    <row r="74" spans="2:8" ht="12.75">
      <c r="B74" s="194"/>
      <c r="C74" s="187" t="s">
        <v>342</v>
      </c>
      <c r="D74" s="187" t="s">
        <v>343</v>
      </c>
      <c r="E74" s="195">
        <v>27778</v>
      </c>
      <c r="F74" s="203" t="e">
        <f>E74/$D$3</f>
        <v>#DIV/0!</v>
      </c>
      <c r="G74" s="204" t="e">
        <f>F74/$E$260*100</f>
        <v>#DIV/0!</v>
      </c>
      <c r="H74" s="204" t="e">
        <f>F74/$E$211*100</f>
        <v>#DIV/0!</v>
      </c>
    </row>
    <row r="75" spans="2:8" ht="12.75">
      <c r="B75" s="194"/>
      <c r="C75" s="187" t="s">
        <v>352</v>
      </c>
      <c r="D75" s="187" t="s">
        <v>353</v>
      </c>
      <c r="E75" s="195">
        <v>27854.84</v>
      </c>
      <c r="F75" s="203"/>
      <c r="G75" s="204"/>
      <c r="H75" s="204"/>
    </row>
    <row r="76" spans="2:8" ht="12.75">
      <c r="B76" s="194"/>
      <c r="C76" s="187" t="s">
        <v>354</v>
      </c>
      <c r="D76" s="187" t="s">
        <v>355</v>
      </c>
      <c r="E76" s="195">
        <v>72000</v>
      </c>
      <c r="F76" s="203"/>
      <c r="G76" s="204"/>
      <c r="H76" s="204"/>
    </row>
    <row r="77" spans="2:8" ht="12.75">
      <c r="B77" s="194"/>
      <c r="C77" s="187" t="s">
        <v>356</v>
      </c>
      <c r="D77" s="187" t="s">
        <v>357</v>
      </c>
      <c r="E77" s="195">
        <v>36470</v>
      </c>
      <c r="F77" s="203"/>
      <c r="G77" s="204"/>
      <c r="H77" s="204"/>
    </row>
    <row r="78" spans="2:8" ht="12.75">
      <c r="B78" s="194"/>
      <c r="C78" s="187" t="s">
        <v>358</v>
      </c>
      <c r="D78" s="187" t="s">
        <v>359</v>
      </c>
      <c r="E78" s="195">
        <v>13300</v>
      </c>
      <c r="F78" s="203"/>
      <c r="G78" s="204"/>
      <c r="H78" s="204"/>
    </row>
    <row r="79" spans="2:8" ht="12.75">
      <c r="B79" s="194"/>
      <c r="C79" s="187" t="s">
        <v>360</v>
      </c>
      <c r="D79" s="187" t="s">
        <v>361</v>
      </c>
      <c r="E79" s="195">
        <v>28990</v>
      </c>
      <c r="F79" s="203"/>
      <c r="G79" s="204"/>
      <c r="H79" s="204"/>
    </row>
    <row r="80" spans="2:8" ht="12.75">
      <c r="B80" s="194"/>
      <c r="C80" s="187" t="s">
        <v>362</v>
      </c>
      <c r="D80" s="187" t="s">
        <v>363</v>
      </c>
      <c r="E80" s="195">
        <v>396864</v>
      </c>
      <c r="F80" s="203"/>
      <c r="G80" s="204"/>
      <c r="H80" s="204"/>
    </row>
    <row r="81" spans="2:8" ht="12.75">
      <c r="B81" s="107"/>
      <c r="C81" s="107"/>
      <c r="D81" s="207" t="s">
        <v>370</v>
      </c>
      <c r="E81" s="208">
        <f>SUM(E70:E80)</f>
        <v>1461178.75</v>
      </c>
      <c r="F81" s="107"/>
      <c r="G81" s="107"/>
      <c r="H81" s="107"/>
    </row>
    <row r="82" ht="12.75">
      <c r="D82"/>
    </row>
    <row r="83" ht="12.75">
      <c r="D83"/>
    </row>
    <row r="84" ht="12.75">
      <c r="D84" s="209" t="s">
        <v>380</v>
      </c>
    </row>
    <row r="85" ht="12.75">
      <c r="D85"/>
    </row>
    <row r="86" spans="2:8" ht="12.75">
      <c r="B86" s="199"/>
      <c r="C86" s="210"/>
      <c r="D86" s="210" t="s">
        <v>381</v>
      </c>
      <c r="E86" s="205">
        <v>4726795</v>
      </c>
      <c r="F86" s="211" t="e">
        <f>E86/$D$3</f>
        <v>#DIV/0!</v>
      </c>
      <c r="G86" s="210"/>
      <c r="H86" s="210"/>
    </row>
    <row r="87" spans="2:8" ht="12.75">
      <c r="B87" s="199"/>
      <c r="C87" s="210"/>
      <c r="D87" s="210" t="s">
        <v>382</v>
      </c>
      <c r="E87" s="205">
        <f>13185.28</f>
        <v>13185.28</v>
      </c>
      <c r="F87" s="212" t="e">
        <f>E87/$D$3</f>
        <v>#DIV/0!</v>
      </c>
      <c r="G87" s="210"/>
      <c r="H87" s="210"/>
    </row>
    <row r="88" spans="2:8" ht="12.75">
      <c r="B88" s="107"/>
      <c r="C88" s="161"/>
      <c r="D88" s="213" t="s">
        <v>383</v>
      </c>
      <c r="E88" s="192">
        <f>SUM(E86:E87)</f>
        <v>4739980.28</v>
      </c>
      <c r="F88" s="107"/>
      <c r="G88" s="107"/>
      <c r="H88" s="107"/>
    </row>
    <row r="89" spans="4:5" ht="12.75">
      <c r="D89" s="214" t="s">
        <v>374</v>
      </c>
      <c r="E89" s="107">
        <f>3522000</f>
        <v>3522000</v>
      </c>
    </row>
    <row r="90" ht="12.75">
      <c r="D90"/>
    </row>
    <row r="91" ht="12.75">
      <c r="D91"/>
    </row>
    <row r="92" ht="12.75">
      <c r="D92" s="209" t="s">
        <v>384</v>
      </c>
    </row>
    <row r="93" spans="2:8" ht="12.75">
      <c r="B93" s="199"/>
      <c r="C93" s="210"/>
      <c r="D93" s="210" t="s">
        <v>385</v>
      </c>
      <c r="E93" s="205">
        <f>88470.45</f>
        <v>88470.45</v>
      </c>
      <c r="F93" s="211"/>
      <c r="G93" s="210"/>
      <c r="H93" s="210"/>
    </row>
    <row r="94" ht="12.75">
      <c r="D94"/>
    </row>
    <row r="95" ht="12.75">
      <c r="D95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22"/>
  <sheetViews>
    <sheetView workbookViewId="0" topLeftCell="A1">
      <selection activeCell="I25" sqref="I25"/>
    </sheetView>
  </sheetViews>
  <sheetFormatPr defaultColWidth="9.140625" defaultRowHeight="12.75"/>
  <cols>
    <col min="1" max="1" width="3.57421875" style="0" customWidth="1"/>
    <col min="2" max="2" width="12.28125" style="0" customWidth="1"/>
    <col min="3" max="3" width="12.140625" style="0" customWidth="1"/>
    <col min="4" max="4" width="15.7109375" style="0" customWidth="1"/>
    <col min="5" max="5" width="10.8515625" style="0" customWidth="1"/>
    <col min="6" max="6" width="12.7109375" style="0" customWidth="1"/>
    <col min="7" max="7" width="16.140625" style="0" customWidth="1"/>
    <col min="8" max="8" width="14.28125" style="0" customWidth="1"/>
    <col min="9" max="9" width="12.8515625" style="0" customWidth="1"/>
  </cols>
  <sheetData>
    <row r="1" spans="2:7" ht="15.75">
      <c r="B1" s="217"/>
      <c r="C1" s="218" t="s">
        <v>386</v>
      </c>
      <c r="D1" s="218"/>
      <c r="E1" s="218"/>
      <c r="F1" s="218"/>
      <c r="G1" s="218"/>
    </row>
    <row r="3" spans="2:9" ht="12.75">
      <c r="B3" s="161" t="s">
        <v>184</v>
      </c>
      <c r="C3" s="161" t="s">
        <v>185</v>
      </c>
      <c r="D3" s="161" t="s">
        <v>387</v>
      </c>
      <c r="E3" s="161" t="s">
        <v>189</v>
      </c>
      <c r="F3" s="161">
        <v>21.7</v>
      </c>
      <c r="G3" s="161">
        <v>11.2</v>
      </c>
      <c r="H3" s="161" t="s">
        <v>186</v>
      </c>
      <c r="I3" s="161" t="s">
        <v>187</v>
      </c>
    </row>
    <row r="4" spans="2:9" ht="12.75">
      <c r="B4" s="219" t="s">
        <v>188</v>
      </c>
      <c r="C4" s="219">
        <f>2554001</f>
        <v>2554001</v>
      </c>
      <c r="D4" s="219"/>
      <c r="E4" s="219">
        <f>425554+49047</f>
        <v>474601</v>
      </c>
      <c r="F4" s="219">
        <f>49047/2+288511</f>
        <v>313034.5</v>
      </c>
      <c r="G4" s="219">
        <f>49047/2+137043</f>
        <v>161566.5</v>
      </c>
      <c r="H4" s="219">
        <f>255400</f>
        <v>255400</v>
      </c>
      <c r="I4" s="219">
        <f>C4-G4-H4</f>
        <v>2137034.5</v>
      </c>
    </row>
    <row r="5" spans="2:9" ht="12.75">
      <c r="B5" s="219" t="s">
        <v>190</v>
      </c>
      <c r="C5" s="219">
        <f>1364523</f>
        <v>1364523</v>
      </c>
      <c r="D5" s="219"/>
      <c r="E5" s="219">
        <f>328772+37892</f>
        <v>366664</v>
      </c>
      <c r="F5" s="219">
        <f>37892/2+222896</f>
        <v>241842</v>
      </c>
      <c r="G5" s="219">
        <f>37892/2+105876</f>
        <v>124822</v>
      </c>
      <c r="H5" s="219">
        <f>136452</f>
        <v>136452</v>
      </c>
      <c r="I5" s="219">
        <f aca="true" t="shared" si="0" ref="I5:I15">C5-G5-H5</f>
        <v>1103249</v>
      </c>
    </row>
    <row r="6" spans="2:9" ht="12.75">
      <c r="B6" s="219" t="s">
        <v>191</v>
      </c>
      <c r="C6" s="219">
        <f>1412234</f>
        <v>1412234</v>
      </c>
      <c r="D6" s="219"/>
      <c r="E6" s="219">
        <f>342847+39515</f>
        <v>382362</v>
      </c>
      <c r="F6" s="219">
        <f>39515/2+232439</f>
        <v>252196.5</v>
      </c>
      <c r="G6" s="219">
        <f>39515/2+110408</f>
        <v>130165.5</v>
      </c>
      <c r="H6" s="219">
        <f>141223</f>
        <v>141223</v>
      </c>
      <c r="I6" s="219">
        <f t="shared" si="0"/>
        <v>1140845.5</v>
      </c>
    </row>
    <row r="7" spans="2:9" ht="12.75">
      <c r="B7" s="219" t="s">
        <v>192</v>
      </c>
      <c r="C7" s="219">
        <f>1450653</f>
        <v>1450653</v>
      </c>
      <c r="D7" s="219"/>
      <c r="E7" s="219">
        <f>354635+40876</f>
        <v>395511</v>
      </c>
      <c r="F7" s="219">
        <f>240430+40873/2</f>
        <v>260866.5</v>
      </c>
      <c r="G7" s="219">
        <f>40873/2+112204</f>
        <v>132640.5</v>
      </c>
      <c r="H7" s="219">
        <f>145065</f>
        <v>145065</v>
      </c>
      <c r="I7" s="219">
        <f t="shared" si="0"/>
        <v>1172947.5</v>
      </c>
    </row>
    <row r="8" spans="2:9" ht="12.75">
      <c r="B8" s="219" t="s">
        <v>193</v>
      </c>
      <c r="C8" s="219">
        <f>1481329</f>
        <v>1481329</v>
      </c>
      <c r="D8" s="219"/>
      <c r="E8" s="219">
        <f>307548+42680</f>
        <v>350228</v>
      </c>
      <c r="F8" s="219">
        <f>42680/2+188294</f>
        <v>209634</v>
      </c>
      <c r="G8" s="219">
        <f>42680/2+119253</f>
        <v>140593</v>
      </c>
      <c r="H8" s="219">
        <v>147133</v>
      </c>
      <c r="I8" s="219">
        <f t="shared" si="0"/>
        <v>1193603</v>
      </c>
    </row>
    <row r="9" spans="2:9" ht="12.75">
      <c r="B9" s="219" t="s">
        <v>194</v>
      </c>
      <c r="C9" s="219">
        <v>6239857</v>
      </c>
      <c r="D9" s="219"/>
      <c r="E9" s="219">
        <f>331966+46069</f>
        <v>378035</v>
      </c>
      <c r="F9" s="219">
        <f>46069/2+203245</f>
        <v>226279.5</v>
      </c>
      <c r="G9" s="219">
        <f>46069/2+128722</f>
        <v>151756.5</v>
      </c>
      <c r="H9" s="219">
        <f>621986</f>
        <v>621986</v>
      </c>
      <c r="I9" s="219">
        <f t="shared" si="0"/>
        <v>5466114.5</v>
      </c>
    </row>
    <row r="10" spans="2:9" ht="12.75">
      <c r="B10" s="219" t="s">
        <v>195</v>
      </c>
      <c r="C10" s="219">
        <f>2884725</f>
        <v>2884725</v>
      </c>
      <c r="D10" s="219"/>
      <c r="E10" s="219">
        <f>345922+48005</f>
        <v>393927</v>
      </c>
      <c r="F10" s="219">
        <f>211789+48005/2</f>
        <v>235791.5</v>
      </c>
      <c r="G10" s="219">
        <f>134133+48005/2</f>
        <v>158135.5</v>
      </c>
      <c r="H10" s="219">
        <f>287473</f>
        <v>287473</v>
      </c>
      <c r="I10" s="219">
        <f t="shared" si="0"/>
        <v>2439116.5</v>
      </c>
    </row>
    <row r="11" spans="2:9" ht="12.75">
      <c r="B11" s="219" t="s">
        <v>196</v>
      </c>
      <c r="C11" s="219">
        <f>1607953</f>
        <v>1607953</v>
      </c>
      <c r="D11" s="219"/>
      <c r="E11" s="219">
        <f>328584+45599</f>
        <v>374183</v>
      </c>
      <c r="F11" s="219">
        <f>201174+45599/2</f>
        <v>223973.5</v>
      </c>
      <c r="G11" s="219">
        <f>127410+45599/2</f>
        <v>150209.5</v>
      </c>
      <c r="H11" s="219">
        <f>158795</f>
        <v>158795</v>
      </c>
      <c r="I11" s="219">
        <f t="shared" si="0"/>
        <v>1298948.5</v>
      </c>
    </row>
    <row r="12" spans="2:9" ht="12.75">
      <c r="B12" s="219" t="s">
        <v>388</v>
      </c>
      <c r="C12" s="219">
        <f>1609876</f>
        <v>1609876</v>
      </c>
      <c r="D12" s="219"/>
      <c r="E12" s="219">
        <f>328714+45617</f>
        <v>374331</v>
      </c>
      <c r="F12" s="219">
        <f>201253+45617/2</f>
        <v>224061.5</v>
      </c>
      <c r="G12" s="219">
        <f>127460+45617/2</f>
        <v>150268.5</v>
      </c>
      <c r="H12" s="219">
        <v>158988</v>
      </c>
      <c r="I12" s="219">
        <f t="shared" si="0"/>
        <v>1300619.5</v>
      </c>
    </row>
    <row r="13" spans="2:9" ht="12.75">
      <c r="B13" s="219" t="s">
        <v>389</v>
      </c>
      <c r="C13" s="219">
        <f>1549213</f>
        <v>1549213</v>
      </c>
      <c r="D13" s="219"/>
      <c r="E13" s="219">
        <f>313437+43497</f>
        <v>356934</v>
      </c>
      <c r="F13" s="219">
        <f>191900+43497/2</f>
        <v>213648.5</v>
      </c>
      <c r="G13" s="219">
        <f>121537+43497/2</f>
        <v>143285.5</v>
      </c>
      <c r="H13" s="219">
        <f>152748</f>
        <v>152748</v>
      </c>
      <c r="I13" s="219">
        <f t="shared" si="0"/>
        <v>1253179.5</v>
      </c>
    </row>
    <row r="14" spans="2:9" ht="12.75">
      <c r="B14" s="219" t="s">
        <v>390</v>
      </c>
      <c r="C14" s="219">
        <v>1642330</v>
      </c>
      <c r="D14" s="219"/>
      <c r="E14" s="219">
        <f>321610+44632/2</f>
        <v>343926</v>
      </c>
      <c r="F14" s="219">
        <f>196904+44632/2</f>
        <v>219220</v>
      </c>
      <c r="G14" s="219">
        <f>124706+44632/2</f>
        <v>147022</v>
      </c>
      <c r="H14" s="219">
        <v>162233</v>
      </c>
      <c r="I14" s="219">
        <f t="shared" si="0"/>
        <v>1333075</v>
      </c>
    </row>
    <row r="15" spans="2:9" ht="12.75">
      <c r="B15" s="219" t="s">
        <v>391</v>
      </c>
      <c r="C15" s="219">
        <f>2041249</f>
        <v>2041249</v>
      </c>
      <c r="D15" s="219"/>
      <c r="E15" s="219">
        <f>366338+50839</f>
        <v>417177</v>
      </c>
      <c r="F15" s="219">
        <f>224289+50839/2</f>
        <v>249708.5</v>
      </c>
      <c r="G15" s="219">
        <f>142049+50839/2</f>
        <v>167468.5</v>
      </c>
      <c r="H15" s="219">
        <f>203125</f>
        <v>203125</v>
      </c>
      <c r="I15" s="219">
        <f t="shared" si="0"/>
        <v>1670655.5</v>
      </c>
    </row>
    <row r="16" spans="2:9" ht="12.75">
      <c r="B16" s="220" t="s">
        <v>392</v>
      </c>
      <c r="C16" s="220">
        <f aca="true" t="shared" si="1" ref="C16:I16">SUM(C4:C15)</f>
        <v>25837943</v>
      </c>
      <c r="D16" s="220"/>
      <c r="E16" s="220">
        <f t="shared" si="1"/>
        <v>4607879</v>
      </c>
      <c r="F16" s="220">
        <f t="shared" si="1"/>
        <v>2870256.5</v>
      </c>
      <c r="G16" s="220">
        <f t="shared" si="1"/>
        <v>1757933.5</v>
      </c>
      <c r="H16" s="220">
        <f t="shared" si="1"/>
        <v>2570621</v>
      </c>
      <c r="I16" s="220">
        <f t="shared" si="1"/>
        <v>21509388.5</v>
      </c>
    </row>
    <row r="17" spans="4:8" ht="12.75">
      <c r="D17">
        <f>E17+F17</f>
        <v>0</v>
      </c>
      <c r="H17">
        <f>C17-F17-G17</f>
        <v>0</v>
      </c>
    </row>
    <row r="18" spans="4:8" ht="12.75">
      <c r="D18">
        <f>E18+F18</f>
        <v>0</v>
      </c>
      <c r="H18">
        <f>C18-F18-G18</f>
        <v>0</v>
      </c>
    </row>
    <row r="21" ht="12.75">
      <c r="D21" s="73"/>
    </row>
    <row r="22" ht="12.75">
      <c r="C22" s="7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M64"/>
  <sheetViews>
    <sheetView workbookViewId="0" topLeftCell="A40">
      <selection activeCell="F60" sqref="F60"/>
    </sheetView>
  </sheetViews>
  <sheetFormatPr defaultColWidth="9.140625" defaultRowHeight="12.75"/>
  <cols>
    <col min="2" max="2" width="27.8515625" style="0" customWidth="1"/>
    <col min="3" max="3" width="17.140625" style="0" customWidth="1"/>
    <col min="4" max="4" width="13.57421875" style="0" customWidth="1"/>
    <col min="5" max="5" width="14.140625" style="0" customWidth="1"/>
    <col min="6" max="6" width="16.421875" style="0" customWidth="1"/>
    <col min="7" max="7" width="12.8515625" style="0" customWidth="1"/>
    <col min="8" max="8" width="12.57421875" style="0" customWidth="1"/>
    <col min="9" max="9" width="11.140625" style="0" customWidth="1"/>
    <col min="10" max="10" width="11.8515625" style="0" customWidth="1"/>
    <col min="11" max="11" width="12.28125" style="0" customWidth="1"/>
    <col min="12" max="12" width="12.421875" style="0" customWidth="1"/>
  </cols>
  <sheetData>
    <row r="6" spans="4:8" ht="18">
      <c r="D6" s="91"/>
      <c r="E6" s="93"/>
      <c r="F6" s="94" t="s">
        <v>419</v>
      </c>
      <c r="G6" s="94"/>
      <c r="H6" s="95"/>
    </row>
    <row r="7" spans="1:12" ht="12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2" ht="12.75">
      <c r="A8" s="97"/>
      <c r="B8" s="97" t="s">
        <v>157</v>
      </c>
      <c r="C8" s="97" t="s">
        <v>158</v>
      </c>
      <c r="D8" s="97" t="s">
        <v>159</v>
      </c>
      <c r="E8" s="97" t="s">
        <v>160</v>
      </c>
      <c r="F8" s="97" t="s">
        <v>161</v>
      </c>
      <c r="G8" s="97" t="s">
        <v>162</v>
      </c>
      <c r="H8" s="97" t="s">
        <v>163</v>
      </c>
      <c r="I8" s="97" t="s">
        <v>164</v>
      </c>
      <c r="J8" s="97" t="s">
        <v>165</v>
      </c>
      <c r="K8" s="97" t="s">
        <v>166</v>
      </c>
      <c r="L8" s="98" t="s">
        <v>167</v>
      </c>
    </row>
    <row r="9" spans="1:12" ht="12.75">
      <c r="A9" s="97" t="s">
        <v>168</v>
      </c>
      <c r="B9" s="97"/>
      <c r="C9" s="97">
        <v>1282572</v>
      </c>
      <c r="D9" s="97">
        <v>30441865</v>
      </c>
      <c r="E9" s="97">
        <v>6088373</v>
      </c>
      <c r="F9" s="97">
        <v>2094415</v>
      </c>
      <c r="G9" s="97">
        <v>34631435</v>
      </c>
      <c r="H9" s="97">
        <v>6926287</v>
      </c>
      <c r="I9" s="97">
        <v>2353205</v>
      </c>
      <c r="J9" s="97">
        <v>470614</v>
      </c>
      <c r="K9" s="97">
        <v>10304271</v>
      </c>
      <c r="L9" s="97"/>
    </row>
    <row r="10" spans="1:12" ht="12.75">
      <c r="A10" s="97" t="s">
        <v>169</v>
      </c>
      <c r="B10" s="97"/>
      <c r="C10" s="97"/>
      <c r="D10" s="97">
        <v>42943380</v>
      </c>
      <c r="E10" s="97">
        <v>8588676</v>
      </c>
      <c r="F10" s="97">
        <v>2895448</v>
      </c>
      <c r="G10" s="97">
        <v>36126515</v>
      </c>
      <c r="H10" s="97">
        <v>7225303</v>
      </c>
      <c r="I10" s="97">
        <v>2281172</v>
      </c>
      <c r="J10" s="97">
        <v>456234</v>
      </c>
      <c r="K10" s="97"/>
      <c r="L10" s="97"/>
    </row>
    <row r="11" spans="1:12" ht="12.75">
      <c r="A11" s="97" t="s">
        <v>170</v>
      </c>
      <c r="B11" s="97">
        <v>2583900</v>
      </c>
      <c r="C11" s="97">
        <v>0</v>
      </c>
      <c r="D11" s="97">
        <v>59359605</v>
      </c>
      <c r="E11" s="97">
        <v>11871921</v>
      </c>
      <c r="F11" s="97">
        <v>55592977</v>
      </c>
      <c r="G11" s="97">
        <v>38208660</v>
      </c>
      <c r="H11" s="97">
        <v>7641732</v>
      </c>
      <c r="I11" s="97">
        <v>1689009</v>
      </c>
      <c r="J11" s="97">
        <v>337802</v>
      </c>
      <c r="K11" s="97">
        <v>5504745</v>
      </c>
      <c r="L11" s="97">
        <v>0</v>
      </c>
    </row>
    <row r="12" spans="1:12" ht="12.75">
      <c r="A12" s="97" t="s">
        <v>171</v>
      </c>
      <c r="B12" s="97">
        <v>983100</v>
      </c>
      <c r="C12" s="97">
        <v>0</v>
      </c>
      <c r="D12" s="97">
        <v>62230468</v>
      </c>
      <c r="E12" s="97">
        <v>12446094</v>
      </c>
      <c r="F12" s="97">
        <v>3550783</v>
      </c>
      <c r="G12" s="97">
        <v>16544495</v>
      </c>
      <c r="H12" s="97">
        <v>3308899</v>
      </c>
      <c r="I12" s="97">
        <v>2532940</v>
      </c>
      <c r="J12" s="97">
        <v>506588</v>
      </c>
      <c r="K12" s="97">
        <v>0</v>
      </c>
      <c r="L12" s="97">
        <v>3125862</v>
      </c>
    </row>
    <row r="13" spans="1:12" ht="12.75">
      <c r="A13" s="97" t="s">
        <v>172</v>
      </c>
      <c r="B13" s="97">
        <v>0</v>
      </c>
      <c r="C13" s="97">
        <v>2631150</v>
      </c>
      <c r="D13" s="97">
        <v>50517640</v>
      </c>
      <c r="E13" s="97">
        <v>10103528</v>
      </c>
      <c r="F13" s="97">
        <v>1239134</v>
      </c>
      <c r="G13" s="97">
        <v>47164250</v>
      </c>
      <c r="H13" s="97">
        <v>9432850</v>
      </c>
      <c r="I13" s="97">
        <v>3978569</v>
      </c>
      <c r="J13" s="97">
        <v>795714</v>
      </c>
      <c r="K13" s="97">
        <v>125036</v>
      </c>
      <c r="L13" s="97">
        <v>0</v>
      </c>
    </row>
    <row r="14" spans="1:12" ht="12.75">
      <c r="A14" s="97" t="s">
        <v>173</v>
      </c>
      <c r="B14" s="97">
        <v>0</v>
      </c>
      <c r="C14" s="225">
        <v>706908</v>
      </c>
      <c r="D14" s="97">
        <v>102653960</v>
      </c>
      <c r="E14" s="97">
        <v>20530792</v>
      </c>
      <c r="F14" s="97">
        <v>1395774</v>
      </c>
      <c r="G14" s="97">
        <v>39096705</v>
      </c>
      <c r="H14" s="97">
        <v>7819341</v>
      </c>
      <c r="I14" s="97">
        <v>5605230</v>
      </c>
      <c r="J14" s="97">
        <v>1121046</v>
      </c>
      <c r="K14" s="97">
        <v>0</v>
      </c>
      <c r="L14" s="97">
        <v>11465369</v>
      </c>
    </row>
    <row r="15" spans="1:12" ht="12.75">
      <c r="A15" s="97" t="s">
        <v>174</v>
      </c>
      <c r="B15" s="97">
        <v>0</v>
      </c>
      <c r="C15" s="97">
        <v>2484440</v>
      </c>
      <c r="D15" s="97">
        <v>40776348</v>
      </c>
      <c r="E15" s="97">
        <v>8155270</v>
      </c>
      <c r="F15" s="97">
        <v>2616477</v>
      </c>
      <c r="G15" s="97">
        <v>31570384</v>
      </c>
      <c r="H15" s="97">
        <v>6314077</v>
      </c>
      <c r="I15" s="97">
        <v>2393890</v>
      </c>
      <c r="J15" s="97">
        <v>478778</v>
      </c>
      <c r="K15" s="97"/>
      <c r="L15" s="97">
        <v>1362415</v>
      </c>
    </row>
    <row r="16" spans="1:12" ht="12.75">
      <c r="A16" s="97" t="s">
        <v>175</v>
      </c>
      <c r="B16" s="97">
        <v>0</v>
      </c>
      <c r="C16" s="97"/>
      <c r="D16" s="97">
        <v>63123060</v>
      </c>
      <c r="E16" s="97">
        <v>12624612</v>
      </c>
      <c r="F16" s="97">
        <v>2164867</v>
      </c>
      <c r="G16" s="97">
        <v>37185320</v>
      </c>
      <c r="H16" s="97">
        <v>7437064</v>
      </c>
      <c r="I16" s="97">
        <v>3831010</v>
      </c>
      <c r="J16" s="97">
        <v>766202</v>
      </c>
      <c r="K16" s="97"/>
      <c r="L16" s="97">
        <v>4421346</v>
      </c>
    </row>
    <row r="17" spans="1:12" ht="12.75">
      <c r="A17" s="97" t="s">
        <v>176</v>
      </c>
      <c r="B17" s="97"/>
      <c r="C17" s="97"/>
      <c r="D17" s="97">
        <v>43377755</v>
      </c>
      <c r="E17" s="97">
        <v>8675551</v>
      </c>
      <c r="F17" s="97">
        <v>6145282</v>
      </c>
      <c r="G17" s="97">
        <v>45465530</v>
      </c>
      <c r="H17" s="97">
        <v>9093106</v>
      </c>
      <c r="I17" s="97">
        <v>5743295</v>
      </c>
      <c r="J17" s="97">
        <v>1148659</v>
      </c>
      <c r="K17" s="97">
        <v>1566214</v>
      </c>
      <c r="L17" s="97"/>
    </row>
    <row r="18" spans="1:12" ht="12.75">
      <c r="A18" s="97" t="s">
        <v>177</v>
      </c>
      <c r="B18" s="97"/>
      <c r="C18" s="97">
        <v>2555690</v>
      </c>
      <c r="D18" s="97">
        <v>81207005</v>
      </c>
      <c r="E18" s="97">
        <v>16241401</v>
      </c>
      <c r="F18" s="97">
        <v>3066282</v>
      </c>
      <c r="G18" s="97">
        <v>88477645</v>
      </c>
      <c r="H18" s="97">
        <v>17695529</v>
      </c>
      <c r="I18" s="97">
        <v>2986730</v>
      </c>
      <c r="J18" s="97">
        <v>597346</v>
      </c>
      <c r="K18" s="97">
        <v>3617688</v>
      </c>
      <c r="L18" s="97"/>
    </row>
    <row r="19" spans="1:12" ht="12.75">
      <c r="A19" s="97" t="s">
        <v>178</v>
      </c>
      <c r="B19" s="97"/>
      <c r="C19" s="97">
        <v>917600</v>
      </c>
      <c r="D19" s="97">
        <v>69544145</v>
      </c>
      <c r="E19" s="97">
        <v>13908829</v>
      </c>
      <c r="F19" s="97">
        <v>8373429</v>
      </c>
      <c r="G19" s="97">
        <v>69082170</v>
      </c>
      <c r="H19" s="97">
        <v>13816434</v>
      </c>
      <c r="I19" s="97">
        <v>3678605</v>
      </c>
      <c r="J19" s="97">
        <v>735721</v>
      </c>
      <c r="K19" s="97">
        <v>4261014</v>
      </c>
      <c r="L19" s="100"/>
    </row>
    <row r="20" spans="1:13" ht="12.75">
      <c r="A20" s="97" t="s">
        <v>179</v>
      </c>
      <c r="B20" s="97"/>
      <c r="C20" s="97">
        <v>474600</v>
      </c>
      <c r="D20" s="97">
        <v>68168455</v>
      </c>
      <c r="E20" s="97">
        <v>13633691</v>
      </c>
      <c r="F20" s="97">
        <v>3182029</v>
      </c>
      <c r="G20" s="97">
        <v>58257770</v>
      </c>
      <c r="H20" s="97">
        <v>11651554</v>
      </c>
      <c r="I20" s="97">
        <v>4643580</v>
      </c>
      <c r="J20" s="97">
        <v>928716</v>
      </c>
      <c r="K20" s="97">
        <v>3207593</v>
      </c>
      <c r="L20" s="97"/>
      <c r="M20" s="225">
        <v>3207593</v>
      </c>
    </row>
    <row r="21" spans="1:13" ht="12.75">
      <c r="A21" s="101"/>
      <c r="B21" s="101">
        <f>SUM(B11:B20)</f>
        <v>3567000</v>
      </c>
      <c r="C21" s="101">
        <f>SUM(C9:C20)</f>
        <v>11052960</v>
      </c>
      <c r="D21" s="101">
        <f>SUM(D9:D20)</f>
        <v>714343686</v>
      </c>
      <c r="E21" s="101">
        <f aca="true" t="shared" si="0" ref="E21:L21">SUM(E9:E20)</f>
        <v>142868738</v>
      </c>
      <c r="F21" s="101">
        <f t="shared" si="0"/>
        <v>92316897</v>
      </c>
      <c r="G21" s="101">
        <f t="shared" si="0"/>
        <v>541810879</v>
      </c>
      <c r="H21" s="101">
        <f t="shared" si="0"/>
        <v>108362176</v>
      </c>
      <c r="I21" s="101">
        <f t="shared" si="0"/>
        <v>41717235</v>
      </c>
      <c r="J21" s="101">
        <f t="shared" si="0"/>
        <v>8343420</v>
      </c>
      <c r="K21" s="101">
        <f t="shared" si="0"/>
        <v>28586561</v>
      </c>
      <c r="L21" s="101">
        <f t="shared" si="0"/>
        <v>20374992</v>
      </c>
      <c r="M21" s="101">
        <f>SUM(M9:M20)</f>
        <v>3207593</v>
      </c>
    </row>
    <row r="22" spans="1:12" ht="12.75">
      <c r="A22" s="102"/>
      <c r="C22" s="96"/>
      <c r="D22" s="96"/>
      <c r="E22" s="96"/>
      <c r="F22" s="96"/>
      <c r="G22" s="96"/>
      <c r="H22" s="96"/>
      <c r="I22" s="96"/>
      <c r="J22" s="96"/>
      <c r="K22" s="96"/>
      <c r="L22" s="103"/>
    </row>
    <row r="23" spans="1:12" ht="12.75">
      <c r="A23" s="102"/>
      <c r="C23" s="96"/>
      <c r="D23" s="96"/>
      <c r="E23" s="96"/>
      <c r="F23" s="96"/>
      <c r="G23" s="96"/>
      <c r="H23" s="96"/>
      <c r="I23" s="96"/>
      <c r="J23" s="96"/>
      <c r="K23" s="96"/>
      <c r="L23" s="103">
        <f>L21/D21*100</f>
        <v>2.852267388837815</v>
      </c>
    </row>
    <row r="24" spans="1:13" ht="15.75" thickBot="1">
      <c r="A24" s="102"/>
      <c r="B24">
        <f>645307565+32974535</f>
        <v>678282100</v>
      </c>
      <c r="C24" s="96"/>
      <c r="D24" s="232" t="s">
        <v>420</v>
      </c>
      <c r="E24" s="232"/>
      <c r="F24" s="96"/>
      <c r="G24" s="96"/>
      <c r="H24" s="96"/>
      <c r="I24" s="96"/>
      <c r="J24" s="96"/>
      <c r="K24" s="96"/>
      <c r="L24" s="103"/>
      <c r="M24" s="73">
        <f>E21-H21-J21-8995716</f>
        <v>17167426</v>
      </c>
    </row>
    <row r="25" spans="1:12" ht="12.75">
      <c r="A25" s="102"/>
      <c r="D25" s="233" t="s">
        <v>443</v>
      </c>
      <c r="E25" s="234">
        <v>90000</v>
      </c>
      <c r="F25" s="235">
        <f>E25*0.2</f>
        <v>18000</v>
      </c>
      <c r="G25" s="96"/>
      <c r="H25" s="96"/>
      <c r="I25" s="96"/>
      <c r="J25" s="96"/>
      <c r="K25" s="96"/>
      <c r="L25" s="103"/>
    </row>
    <row r="26" spans="4:10" ht="12.75">
      <c r="D26" s="236" t="s">
        <v>192</v>
      </c>
      <c r="E26" s="90">
        <v>102850</v>
      </c>
      <c r="F26" s="237">
        <f aca="true" t="shared" si="1" ref="F26:F35">E26*0.2</f>
        <v>20570</v>
      </c>
      <c r="J26" s="73"/>
    </row>
    <row r="27" spans="2:6" ht="12.75">
      <c r="B27" s="73"/>
      <c r="D27" s="236" t="s">
        <v>444</v>
      </c>
      <c r="E27" s="90">
        <v>37096</v>
      </c>
      <c r="F27" s="237">
        <f t="shared" si="1"/>
        <v>7419.200000000001</v>
      </c>
    </row>
    <row r="28" spans="2:6" ht="12.75">
      <c r="B28" s="73"/>
      <c r="D28" s="236" t="s">
        <v>445</v>
      </c>
      <c r="E28" s="90">
        <v>51184</v>
      </c>
      <c r="F28" s="237">
        <f t="shared" si="1"/>
        <v>10236.800000000001</v>
      </c>
    </row>
    <row r="29" spans="4:6" ht="12.75">
      <c r="D29" s="236" t="s">
        <v>446</v>
      </c>
      <c r="E29" s="90">
        <v>32380</v>
      </c>
      <c r="F29" s="237">
        <f t="shared" si="1"/>
        <v>6476</v>
      </c>
    </row>
    <row r="30" spans="4:6" ht="12.75">
      <c r="D30" s="236" t="s">
        <v>447</v>
      </c>
      <c r="E30" s="90">
        <v>32791</v>
      </c>
      <c r="F30" s="237">
        <f t="shared" si="1"/>
        <v>6558.200000000001</v>
      </c>
    </row>
    <row r="31" spans="4:6" ht="12.75">
      <c r="D31" s="236" t="s">
        <v>448</v>
      </c>
      <c r="E31" s="90">
        <v>104093</v>
      </c>
      <c r="F31" s="237">
        <f t="shared" si="1"/>
        <v>20818.600000000002</v>
      </c>
    </row>
    <row r="32" spans="4:6" ht="12.75">
      <c r="D32" s="236" t="s">
        <v>449</v>
      </c>
      <c r="E32" s="90"/>
      <c r="F32" s="237">
        <f t="shared" si="1"/>
        <v>0</v>
      </c>
    </row>
    <row r="33" spans="4:6" ht="12.75">
      <c r="D33" s="236" t="s">
        <v>450</v>
      </c>
      <c r="E33" s="90">
        <v>67836</v>
      </c>
      <c r="F33" s="237">
        <f t="shared" si="1"/>
        <v>13567.2</v>
      </c>
    </row>
    <row r="34" spans="4:6" ht="12.75">
      <c r="D34" s="236" t="s">
        <v>451</v>
      </c>
      <c r="E34" s="90">
        <v>440641</v>
      </c>
      <c r="F34" s="237">
        <f t="shared" si="1"/>
        <v>88128.20000000001</v>
      </c>
    </row>
    <row r="35" spans="4:6" ht="13.5" thickBot="1">
      <c r="D35" s="238" t="s">
        <v>231</v>
      </c>
      <c r="E35" s="239">
        <f>SUM(E25:E34)</f>
        <v>958871</v>
      </c>
      <c r="F35" s="240">
        <f t="shared" si="1"/>
        <v>191774.2</v>
      </c>
    </row>
    <row r="39" ht="12.75">
      <c r="B39">
        <v>23605381</v>
      </c>
    </row>
    <row r="41" ht="12.75">
      <c r="B41">
        <f>714343686-958871-30671717+7934010</f>
        <v>690647108</v>
      </c>
    </row>
    <row r="42" ht="12.75">
      <c r="B42">
        <f>B41-B24</f>
        <v>12365008</v>
      </c>
    </row>
    <row r="44" spans="2:3" ht="12.75">
      <c r="B44" s="90" t="s">
        <v>452</v>
      </c>
      <c r="C44" s="219">
        <f>714343686</f>
        <v>714343686</v>
      </c>
    </row>
    <row r="45" spans="2:3" ht="12.75">
      <c r="B45" s="90" t="s">
        <v>453</v>
      </c>
      <c r="C45" s="219">
        <v>11052960</v>
      </c>
    </row>
    <row r="46" spans="2:3" ht="12.75">
      <c r="B46" s="90" t="s">
        <v>454</v>
      </c>
      <c r="C46" s="219">
        <f>3567000</f>
        <v>3567000</v>
      </c>
    </row>
    <row r="47" spans="2:3" ht="12.75">
      <c r="B47" s="90"/>
      <c r="C47" s="241">
        <f>SUM(C44:C46)</f>
        <v>728963646</v>
      </c>
    </row>
    <row r="49" spans="2:3" ht="18">
      <c r="B49" s="310" t="s">
        <v>455</v>
      </c>
      <c r="C49" s="310"/>
    </row>
    <row r="50" spans="2:3" ht="12.75">
      <c r="B50" s="90" t="s">
        <v>456</v>
      </c>
      <c r="C50" s="90">
        <f>-3567000</f>
        <v>-3567000</v>
      </c>
    </row>
    <row r="51" spans="2:3" ht="12.75">
      <c r="B51" s="90" t="s">
        <v>458</v>
      </c>
      <c r="C51" s="90">
        <f>-958871</f>
        <v>-958871</v>
      </c>
    </row>
    <row r="52" spans="2:3" ht="12.75">
      <c r="B52" s="90" t="s">
        <v>457</v>
      </c>
      <c r="C52" s="90">
        <f>-23564309</f>
        <v>-23564309</v>
      </c>
    </row>
    <row r="53" spans="2:3" ht="12.75">
      <c r="B53" s="90" t="s">
        <v>459</v>
      </c>
      <c r="C53" s="90">
        <f>-30671717</f>
        <v>-30671717</v>
      </c>
    </row>
    <row r="54" spans="2:3" ht="12.75">
      <c r="B54" s="90" t="s">
        <v>463</v>
      </c>
      <c r="C54" s="90">
        <f>7934010</f>
        <v>7934010</v>
      </c>
    </row>
    <row r="55" ht="12.75">
      <c r="E55" s="73">
        <f>C47+C50+C51+C53+-C54-129000</f>
        <v>685703048</v>
      </c>
    </row>
    <row r="56" spans="2:4" ht="12.75">
      <c r="B56" t="s">
        <v>460</v>
      </c>
      <c r="C56" s="73">
        <f>SUM(C47:C55)</f>
        <v>678135759</v>
      </c>
      <c r="D56" s="73">
        <f>C56-129500</f>
        <v>678006259</v>
      </c>
    </row>
    <row r="58" spans="2:3" ht="12.75">
      <c r="B58" t="s">
        <v>461</v>
      </c>
      <c r="C58">
        <v>3522078</v>
      </c>
    </row>
    <row r="59" spans="2:3" ht="12.75">
      <c r="B59" t="s">
        <v>462</v>
      </c>
      <c r="C59" s="86">
        <f>278263.37</f>
        <v>278263.37</v>
      </c>
    </row>
    <row r="60" spans="3:4" ht="12.75">
      <c r="C60" s="73">
        <f>SUM(C56:C59)</f>
        <v>681936100.37</v>
      </c>
      <c r="D60" s="242">
        <f>D56+C58+C59</f>
        <v>681806600.37</v>
      </c>
    </row>
    <row r="62" ht="12.75">
      <c r="C62">
        <v>681804178</v>
      </c>
    </row>
    <row r="64" spans="2:3" ht="12.75">
      <c r="B64" t="s">
        <v>464</v>
      </c>
      <c r="C64" s="73">
        <f>C60-C62</f>
        <v>131922.37000000477</v>
      </c>
    </row>
  </sheetData>
  <mergeCells count="1">
    <mergeCell ref="B49:C4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6:O39"/>
  <sheetViews>
    <sheetView workbookViewId="0" topLeftCell="F1">
      <selection activeCell="P28" sqref="P28"/>
    </sheetView>
  </sheetViews>
  <sheetFormatPr defaultColWidth="9.140625" defaultRowHeight="12.75"/>
  <cols>
    <col min="1" max="1" width="2.8515625" style="0" customWidth="1"/>
    <col min="2" max="2" width="8.8515625" style="0" customWidth="1"/>
    <col min="3" max="3" width="16.28125" style="0" customWidth="1"/>
    <col min="4" max="4" width="13.00390625" style="0" customWidth="1"/>
    <col min="5" max="5" width="12.7109375" style="0" customWidth="1"/>
    <col min="6" max="6" width="11.28125" style="0" customWidth="1"/>
    <col min="7" max="7" width="12.140625" style="0" customWidth="1"/>
    <col min="8" max="8" width="12.421875" style="0" customWidth="1"/>
    <col min="9" max="9" width="11.8515625" style="0" customWidth="1"/>
    <col min="10" max="10" width="11.7109375" style="0" customWidth="1"/>
    <col min="11" max="11" width="10.140625" style="0" customWidth="1"/>
    <col min="12" max="12" width="11.28125" style="0" customWidth="1"/>
    <col min="13" max="13" width="11.7109375" style="0" customWidth="1"/>
    <col min="14" max="14" width="5.7109375" style="0" customWidth="1"/>
    <col min="15" max="15" width="11.140625" style="0" customWidth="1"/>
  </cols>
  <sheetData>
    <row r="6" spans="2:8" ht="18">
      <c r="B6" s="91"/>
      <c r="C6" s="92"/>
      <c r="D6" s="91"/>
      <c r="E6" s="93"/>
      <c r="F6" s="94"/>
      <c r="G6" s="94"/>
      <c r="H6" s="94"/>
    </row>
    <row r="7" spans="2:8" ht="18">
      <c r="B7" s="91"/>
      <c r="C7" s="92"/>
      <c r="D7" s="91"/>
      <c r="E7" s="93"/>
      <c r="F7" s="94"/>
      <c r="G7" s="94"/>
      <c r="H7" s="94"/>
    </row>
    <row r="8" spans="5:9" ht="18">
      <c r="E8" s="91"/>
      <c r="F8" s="93"/>
      <c r="G8" s="94" t="s">
        <v>156</v>
      </c>
      <c r="H8" s="94"/>
      <c r="I8" s="95"/>
    </row>
    <row r="9" spans="2:13" ht="12.75"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2:15" ht="12.75">
      <c r="B10" s="97"/>
      <c r="C10" s="97" t="s">
        <v>157</v>
      </c>
      <c r="D10" s="97" t="s">
        <v>158</v>
      </c>
      <c r="E10" s="97" t="s">
        <v>159</v>
      </c>
      <c r="F10" s="97" t="s">
        <v>160</v>
      </c>
      <c r="G10" s="97" t="s">
        <v>161</v>
      </c>
      <c r="H10" s="97" t="s">
        <v>162</v>
      </c>
      <c r="I10" s="97" t="s">
        <v>163</v>
      </c>
      <c r="J10" s="97" t="s">
        <v>164</v>
      </c>
      <c r="K10" s="97" t="s">
        <v>165</v>
      </c>
      <c r="L10" s="97" t="s">
        <v>166</v>
      </c>
      <c r="M10" s="98" t="s">
        <v>167</v>
      </c>
      <c r="O10" s="73"/>
    </row>
    <row r="11" spans="2:15" ht="12.75">
      <c r="B11" s="97" t="s">
        <v>168</v>
      </c>
      <c r="C11" s="97"/>
      <c r="D11" s="97"/>
      <c r="E11" s="97">
        <v>31683480</v>
      </c>
      <c r="F11" s="97">
        <f>E11*0.2</f>
        <v>6336696</v>
      </c>
      <c r="G11" s="97">
        <v>2288681</v>
      </c>
      <c r="H11" s="97">
        <v>11071670</v>
      </c>
      <c r="I11" s="97">
        <v>2214334</v>
      </c>
      <c r="J11" s="97">
        <v>1904465</v>
      </c>
      <c r="K11" s="97">
        <v>380893</v>
      </c>
      <c r="L11" s="97"/>
      <c r="M11" s="97">
        <f>F11-I11-K11</f>
        <v>3741469</v>
      </c>
      <c r="O11" s="73">
        <f>F11-I11-K11-L34-M11</f>
        <v>0</v>
      </c>
    </row>
    <row r="12" spans="2:15" ht="12.75">
      <c r="B12" s="97" t="s">
        <v>169</v>
      </c>
      <c r="C12" s="97"/>
      <c r="D12" s="97"/>
      <c r="E12" s="97">
        <v>49409060</v>
      </c>
      <c r="F12" s="97">
        <v>9881812</v>
      </c>
      <c r="G12" s="97">
        <v>1290933</v>
      </c>
      <c r="H12" s="97">
        <v>31966645</v>
      </c>
      <c r="I12" s="97">
        <v>6393329</v>
      </c>
      <c r="J12" s="97">
        <v>1440045</v>
      </c>
      <c r="K12" s="97">
        <v>288009</v>
      </c>
      <c r="L12" s="97"/>
      <c r="M12" s="97">
        <f>F12-I12-K12</f>
        <v>3200474</v>
      </c>
      <c r="O12" s="73">
        <f>F12-I12-K12-L35-M12</f>
        <v>0</v>
      </c>
    </row>
    <row r="13" spans="2:15" ht="12.75">
      <c r="B13" s="97" t="s">
        <v>170</v>
      </c>
      <c r="C13" s="97"/>
      <c r="D13" s="97"/>
      <c r="E13" s="97">
        <v>26382315</v>
      </c>
      <c r="F13" s="97">
        <v>5276463</v>
      </c>
      <c r="G13" s="97">
        <v>2381305</v>
      </c>
      <c r="H13" s="97">
        <v>45483200</v>
      </c>
      <c r="I13" s="97">
        <v>9096640</v>
      </c>
      <c r="J13" s="97">
        <v>2351500</v>
      </c>
      <c r="K13" s="97">
        <v>470300</v>
      </c>
      <c r="L13" s="97">
        <v>4290477</v>
      </c>
      <c r="M13" s="97"/>
      <c r="O13" s="73">
        <f aca="true" t="shared" si="0" ref="O13:O23">F13-I13-K13-L37-M13</f>
        <v>-4290477</v>
      </c>
    </row>
    <row r="14" spans="2:15" ht="12.75">
      <c r="B14" s="97" t="s">
        <v>171</v>
      </c>
      <c r="C14" s="97"/>
      <c r="D14" s="97"/>
      <c r="E14" s="97">
        <v>38001150</v>
      </c>
      <c r="F14" s="97">
        <f aca="true" t="shared" si="1" ref="F14:F22">E14*0.2</f>
        <v>7600230</v>
      </c>
      <c r="G14" s="97">
        <v>1314770</v>
      </c>
      <c r="H14" s="97">
        <v>28341267</v>
      </c>
      <c r="I14" s="97">
        <v>5668253</v>
      </c>
      <c r="J14" s="97">
        <v>1547335</v>
      </c>
      <c r="K14" s="97">
        <v>309467</v>
      </c>
      <c r="L14" s="97">
        <v>2667967</v>
      </c>
      <c r="M14" s="97"/>
      <c r="O14" s="73">
        <f t="shared" si="0"/>
        <v>1622510</v>
      </c>
    </row>
    <row r="15" spans="2:15" ht="12.75">
      <c r="B15" s="97" t="s">
        <v>172</v>
      </c>
      <c r="C15" s="97"/>
      <c r="D15" s="97"/>
      <c r="E15" s="97">
        <v>34648024</v>
      </c>
      <c r="F15" s="97">
        <f t="shared" si="1"/>
        <v>6929604.800000001</v>
      </c>
      <c r="G15" s="97">
        <v>1280024</v>
      </c>
      <c r="H15" s="97">
        <v>16423330</v>
      </c>
      <c r="I15" s="97">
        <v>3284666</v>
      </c>
      <c r="J15" s="97">
        <v>1595355</v>
      </c>
      <c r="K15" s="97">
        <v>319071</v>
      </c>
      <c r="L15" s="97"/>
      <c r="M15" s="97">
        <f>F15-I15-K15-L14</f>
        <v>657900.8000000007</v>
      </c>
      <c r="O15" s="73">
        <f t="shared" si="0"/>
        <v>2667967</v>
      </c>
    </row>
    <row r="16" spans="2:15" ht="12.75">
      <c r="B16" s="97" t="s">
        <v>173</v>
      </c>
      <c r="C16" s="97"/>
      <c r="E16" s="97">
        <v>40026755</v>
      </c>
      <c r="F16" s="97">
        <v>8005351</v>
      </c>
      <c r="G16" s="97">
        <v>1194422</v>
      </c>
      <c r="H16" s="97">
        <v>12724325</v>
      </c>
      <c r="I16" s="97">
        <v>2544865</v>
      </c>
      <c r="J16" s="97">
        <v>2402745</v>
      </c>
      <c r="K16" s="97">
        <v>480549</v>
      </c>
      <c r="L16" s="97"/>
      <c r="M16" s="97">
        <f>F16-I16-K16</f>
        <v>4979937</v>
      </c>
      <c r="O16" s="73">
        <f t="shared" si="0"/>
        <v>0</v>
      </c>
    </row>
    <row r="17" spans="2:15" ht="12.75">
      <c r="B17" s="97" t="s">
        <v>174</v>
      </c>
      <c r="C17" s="97"/>
      <c r="D17" s="97"/>
      <c r="E17" s="97">
        <v>31193925</v>
      </c>
      <c r="F17" s="97">
        <f t="shared" si="1"/>
        <v>6238785</v>
      </c>
      <c r="G17" s="97">
        <v>1133440</v>
      </c>
      <c r="H17" s="97">
        <v>49470153</v>
      </c>
      <c r="I17" s="97">
        <v>9894031</v>
      </c>
      <c r="J17" s="97">
        <v>20943655</v>
      </c>
      <c r="K17" s="97">
        <v>4188731</v>
      </c>
      <c r="L17" s="97">
        <v>7843977</v>
      </c>
      <c r="M17" s="97"/>
      <c r="O17" s="73">
        <f t="shared" si="0"/>
        <v>-7843977</v>
      </c>
    </row>
    <row r="18" spans="2:15" ht="12.75">
      <c r="B18" s="97" t="s">
        <v>175</v>
      </c>
      <c r="C18" s="97"/>
      <c r="D18" s="97"/>
      <c r="E18" s="97">
        <v>41772465</v>
      </c>
      <c r="F18" s="97">
        <f t="shared" si="1"/>
        <v>8354493</v>
      </c>
      <c r="G18" s="99">
        <v>1173709</v>
      </c>
      <c r="H18" s="99">
        <v>23450620</v>
      </c>
      <c r="I18" s="99">
        <v>4690124</v>
      </c>
      <c r="J18" s="99">
        <v>1698620</v>
      </c>
      <c r="K18" s="99">
        <v>339724</v>
      </c>
      <c r="L18" s="97">
        <v>4519332</v>
      </c>
      <c r="M18" s="97"/>
      <c r="O18" s="73">
        <f t="shared" si="0"/>
        <v>3324645</v>
      </c>
    </row>
    <row r="19" spans="2:15" ht="12.75">
      <c r="B19" s="97" t="s">
        <v>176</v>
      </c>
      <c r="C19" s="97"/>
      <c r="D19" s="97"/>
      <c r="E19" s="97">
        <v>70442521</v>
      </c>
      <c r="F19" s="97">
        <f t="shared" si="1"/>
        <v>14088504.200000001</v>
      </c>
      <c r="G19" s="97">
        <v>2884871</v>
      </c>
      <c r="H19" s="97">
        <v>51846670</v>
      </c>
      <c r="I19" s="97">
        <v>10369334</v>
      </c>
      <c r="J19" s="97">
        <v>3013685</v>
      </c>
      <c r="K19" s="97">
        <v>602737</v>
      </c>
      <c r="L19" s="97">
        <v>1402899</v>
      </c>
      <c r="M19" s="97"/>
      <c r="O19" s="73">
        <f t="shared" si="0"/>
        <v>3116433.200000001</v>
      </c>
    </row>
    <row r="20" spans="2:15" ht="12.75">
      <c r="B20" s="97" t="s">
        <v>177</v>
      </c>
      <c r="C20" s="97"/>
      <c r="D20" s="97"/>
      <c r="E20" s="97">
        <v>45335330</v>
      </c>
      <c r="F20" s="97">
        <f t="shared" si="1"/>
        <v>9067066</v>
      </c>
      <c r="G20" s="97">
        <v>5303330</v>
      </c>
      <c r="H20" s="97">
        <v>68447486</v>
      </c>
      <c r="I20" s="97">
        <v>13689497</v>
      </c>
      <c r="J20" s="97">
        <v>3208330</v>
      </c>
      <c r="K20" s="97">
        <v>641666</v>
      </c>
      <c r="L20" s="97">
        <v>6666996</v>
      </c>
      <c r="M20" s="97"/>
      <c r="O20" s="73">
        <f t="shared" si="0"/>
        <v>-5264097</v>
      </c>
    </row>
    <row r="21" spans="2:15" ht="12.75">
      <c r="B21" s="97" t="s">
        <v>178</v>
      </c>
      <c r="C21" s="97"/>
      <c r="D21" s="97">
        <v>4594076</v>
      </c>
      <c r="E21" s="97">
        <v>38642571</v>
      </c>
      <c r="F21" s="97">
        <f t="shared" si="1"/>
        <v>7728514.2</v>
      </c>
      <c r="G21" s="97">
        <v>2521587</v>
      </c>
      <c r="H21" s="97">
        <v>44336410</v>
      </c>
      <c r="I21" s="97">
        <v>8867282</v>
      </c>
      <c r="J21" s="97">
        <v>1968200</v>
      </c>
      <c r="K21" s="97">
        <v>393640</v>
      </c>
      <c r="L21" s="97">
        <v>8199404</v>
      </c>
      <c r="M21" s="100"/>
      <c r="O21" s="73">
        <f t="shared" si="0"/>
        <v>-1532407.7999999998</v>
      </c>
    </row>
    <row r="22" spans="2:15" ht="12.75">
      <c r="B22" s="97" t="s">
        <v>179</v>
      </c>
      <c r="C22" s="97"/>
      <c r="D22" s="97"/>
      <c r="E22" s="97">
        <v>22492782.8</v>
      </c>
      <c r="F22" s="97">
        <f t="shared" si="1"/>
        <v>4498556.5600000005</v>
      </c>
      <c r="G22" s="97">
        <v>2179009</v>
      </c>
      <c r="H22" s="97">
        <f>23750995</f>
        <v>23750995</v>
      </c>
      <c r="I22" s="97">
        <v>4750199</v>
      </c>
      <c r="J22" s="97">
        <v>2723348</v>
      </c>
      <c r="K22" s="97">
        <v>544670</v>
      </c>
      <c r="L22" s="97">
        <v>8995716</v>
      </c>
      <c r="M22" s="97"/>
      <c r="O22" s="73">
        <f t="shared" si="0"/>
        <v>-796312.4399999995</v>
      </c>
    </row>
    <row r="23" spans="2:15" ht="12.75">
      <c r="B23" s="101"/>
      <c r="C23" s="101"/>
      <c r="D23" s="101">
        <f>SUM(D11:D22)</f>
        <v>4594076</v>
      </c>
      <c r="E23" s="101">
        <f>SUM(E11:E22)</f>
        <v>470030378.8</v>
      </c>
      <c r="F23" s="101">
        <f aca="true" t="shared" si="2" ref="F23:N23">SUM(F11:F22)</f>
        <v>94006075.76</v>
      </c>
      <c r="G23" s="101">
        <f t="shared" si="2"/>
        <v>24946081</v>
      </c>
      <c r="H23" s="101">
        <f t="shared" si="2"/>
        <v>407312771</v>
      </c>
      <c r="I23" s="101">
        <f t="shared" si="2"/>
        <v>81462554</v>
      </c>
      <c r="J23" s="101">
        <f t="shared" si="2"/>
        <v>44797283</v>
      </c>
      <c r="K23" s="101">
        <f t="shared" si="2"/>
        <v>8959457</v>
      </c>
      <c r="L23" s="101"/>
      <c r="M23" s="101">
        <f t="shared" si="2"/>
        <v>12579780.8</v>
      </c>
      <c r="N23" s="101">
        <f t="shared" si="2"/>
        <v>0</v>
      </c>
      <c r="O23" s="73">
        <f t="shared" si="0"/>
        <v>-8995716.039999995</v>
      </c>
    </row>
    <row r="24" spans="2:13" ht="12.75">
      <c r="B24" s="102" t="s">
        <v>180</v>
      </c>
      <c r="D24" s="96"/>
      <c r="E24" s="96"/>
      <c r="F24" s="96"/>
      <c r="G24" s="96"/>
      <c r="H24" s="96"/>
      <c r="I24" s="96"/>
      <c r="J24" s="96"/>
      <c r="K24" s="96"/>
      <c r="L24" s="96"/>
      <c r="M24" s="103"/>
    </row>
    <row r="25" spans="2:13" ht="12.75">
      <c r="B25" s="102"/>
      <c r="D25" s="96"/>
      <c r="E25" s="96"/>
      <c r="F25" s="96"/>
      <c r="G25" s="96"/>
      <c r="H25" s="96"/>
      <c r="I25" s="96"/>
      <c r="J25" s="96"/>
      <c r="K25" s="96"/>
      <c r="L25" s="96"/>
      <c r="M25" s="103"/>
    </row>
    <row r="26" spans="2:13" ht="12.75">
      <c r="B26" s="102"/>
      <c r="D26" s="96"/>
      <c r="E26" s="96"/>
      <c r="F26" s="96"/>
      <c r="G26" s="96"/>
      <c r="H26" s="96"/>
      <c r="I26" s="96"/>
      <c r="J26" s="96"/>
      <c r="K26" s="96"/>
      <c r="L26" s="96"/>
      <c r="M26" s="103"/>
    </row>
    <row r="27" spans="2:13" ht="12.75">
      <c r="B27" s="102"/>
      <c r="D27" s="96"/>
      <c r="E27" s="96"/>
      <c r="F27" s="96"/>
      <c r="G27" s="96"/>
      <c r="H27" s="96"/>
      <c r="I27" s="96"/>
      <c r="J27" s="96"/>
      <c r="K27" s="96"/>
      <c r="L27" s="96"/>
      <c r="M27" s="103"/>
    </row>
    <row r="28" spans="2:13" ht="15.75" thickBot="1">
      <c r="B28" s="102"/>
      <c r="D28" s="73">
        <f>E23+D23</f>
        <v>474624454.8</v>
      </c>
      <c r="H28" s="104"/>
      <c r="I28" s="105"/>
      <c r="J28" s="104"/>
      <c r="K28" s="104"/>
      <c r="L28" s="104"/>
      <c r="M28" s="106"/>
    </row>
    <row r="29" spans="2:13" ht="13.5" thickTop="1">
      <c r="B29" s="102"/>
      <c r="C29" s="90" t="s">
        <v>181</v>
      </c>
      <c r="D29" s="90">
        <f>'BK'!F74-2939</f>
        <v>7931071.2</v>
      </c>
      <c r="I29" s="95"/>
      <c r="K29" s="73"/>
      <c r="M29" s="73"/>
    </row>
    <row r="30" spans="2:9" ht="12.75">
      <c r="B30" s="102"/>
      <c r="C30" s="90" t="s">
        <v>182</v>
      </c>
      <c r="D30" s="90">
        <f>'BK'!D74</f>
        <v>30671716.57</v>
      </c>
      <c r="G30" s="73"/>
      <c r="I30" s="73"/>
    </row>
    <row r="31" spans="3:11" ht="12.75">
      <c r="C31" s="90"/>
      <c r="D31" s="90"/>
      <c r="I31" s="73"/>
      <c r="K31" s="95"/>
    </row>
    <row r="32" spans="3:12" ht="12.75">
      <c r="C32" t="s">
        <v>183</v>
      </c>
      <c r="D32" s="73">
        <f>D28+D29-D30+D31</f>
        <v>451883809.43</v>
      </c>
      <c r="I32" s="95"/>
      <c r="L32" s="73"/>
    </row>
    <row r="33" spans="4:5" ht="12.75">
      <c r="D33">
        <f>'ardh-shpenz'!D6+'ardh-shpenz'!D8</f>
        <v>678282099.87</v>
      </c>
      <c r="E33" s="73"/>
    </row>
    <row r="34" ht="12.75">
      <c r="D34" s="73">
        <f>D32-D33</f>
        <v>-226398290.44</v>
      </c>
    </row>
    <row r="39" ht="12.75">
      <c r="D39" s="73"/>
    </row>
  </sheetData>
  <printOptions/>
  <pageMargins left="0.22" right="0.22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K24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16.28125" style="0" customWidth="1"/>
    <col min="2" max="2" width="18.00390625" style="0" bestFit="1" customWidth="1"/>
    <col min="3" max="3" width="14.00390625" style="0" bestFit="1" customWidth="1"/>
    <col min="4" max="4" width="11.28125" style="0" bestFit="1" customWidth="1"/>
    <col min="5" max="5" width="14.00390625" style="0" bestFit="1" customWidth="1"/>
    <col min="6" max="7" width="12.8515625" style="0" bestFit="1" customWidth="1"/>
    <col min="8" max="8" width="11.28125" style="0" bestFit="1" customWidth="1"/>
    <col min="9" max="9" width="12.8515625" style="0" bestFit="1" customWidth="1"/>
    <col min="10" max="10" width="13.57421875" style="0" bestFit="1" customWidth="1"/>
    <col min="11" max="11" width="12.8515625" style="0" bestFit="1" customWidth="1"/>
  </cols>
  <sheetData>
    <row r="4" ht="12.75">
      <c r="K4" s="33"/>
    </row>
    <row r="5" spans="1:11" ht="12.75">
      <c r="A5" s="33"/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2.75">
      <c r="A6" s="33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12.75">
      <c r="A7" s="33"/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11" ht="12.75">
      <c r="A8" s="33"/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1" ht="12.75">
      <c r="A9" s="33"/>
      <c r="B9" s="72"/>
      <c r="C9" s="72"/>
      <c r="D9" s="72"/>
      <c r="E9" s="72"/>
      <c r="F9" s="72"/>
      <c r="G9" s="72"/>
      <c r="H9" s="72"/>
      <c r="I9" s="72"/>
      <c r="J9" s="72"/>
      <c r="K9" s="72"/>
    </row>
    <row r="10" spans="1:11" ht="12.75">
      <c r="A10" s="33"/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12.75">
      <c r="A11" s="33"/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12.75">
      <c r="A12" s="33"/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12.75">
      <c r="A13" s="33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ht="12.75">
      <c r="A14" s="33"/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ht="12.75">
      <c r="A15" s="33"/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ht="12.75">
      <c r="A16" s="33"/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1" ht="12.75">
      <c r="A17" s="33"/>
      <c r="B17" s="72"/>
      <c r="C17" s="72"/>
      <c r="D17" s="72"/>
      <c r="E17" s="72"/>
      <c r="F17" s="72"/>
      <c r="G17" s="72"/>
      <c r="H17" s="72"/>
      <c r="I17" s="72"/>
      <c r="J17" s="72"/>
      <c r="K17" s="74"/>
    </row>
    <row r="18" ht="12.75">
      <c r="J18" s="73"/>
    </row>
    <row r="19" spans="1:2" ht="12.75">
      <c r="A19" s="33"/>
      <c r="B19" s="72"/>
    </row>
    <row r="21" spans="1:2" ht="12.75">
      <c r="A21" s="33"/>
      <c r="B21" s="73"/>
    </row>
    <row r="22" spans="1:2" ht="12.75">
      <c r="A22" s="33"/>
      <c r="B22" s="66"/>
    </row>
    <row r="23" spans="1:2" ht="12.75">
      <c r="A23" s="33"/>
      <c r="B23" s="66"/>
    </row>
    <row r="24" ht="12.75">
      <c r="B24" s="6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9"/>
  <sheetViews>
    <sheetView zoomScale="90" zoomScaleNormal="90" workbookViewId="0" topLeftCell="A16">
      <selection activeCell="N40" sqref="N40"/>
    </sheetView>
  </sheetViews>
  <sheetFormatPr defaultColWidth="9.140625" defaultRowHeight="12.75"/>
  <cols>
    <col min="1" max="1" width="10.28125" style="169" customWidth="1"/>
    <col min="2" max="2" width="21.57421875" style="169" customWidth="1"/>
    <col min="3" max="3" width="16.8515625" style="169" customWidth="1"/>
    <col min="4" max="4" width="4.28125" style="169" customWidth="1"/>
    <col min="5" max="5" width="11.57421875" style="169" customWidth="1"/>
    <col min="6" max="6" width="4.00390625" style="169" customWidth="1"/>
    <col min="7" max="7" width="14.8515625" style="169" customWidth="1"/>
    <col min="8" max="8" width="4.8515625" style="169" customWidth="1"/>
    <col min="9" max="9" width="11.8515625" style="169" customWidth="1"/>
    <col min="10" max="10" width="10.28125" style="169" customWidth="1"/>
    <col min="11" max="11" width="12.8515625" style="169" customWidth="1"/>
    <col min="12" max="16384" width="10.28125" style="169" customWidth="1"/>
  </cols>
  <sheetData>
    <row r="2" ht="12">
      <c r="B2" s="170">
        <v>2009</v>
      </c>
    </row>
    <row r="3" spans="1:13" ht="12">
      <c r="A3" s="171"/>
      <c r="B3" s="177" t="s">
        <v>318</v>
      </c>
      <c r="C3" s="178"/>
      <c r="D3" s="178"/>
      <c r="E3" s="178"/>
      <c r="F3" s="178"/>
      <c r="G3" s="178"/>
      <c r="H3" s="178"/>
      <c r="I3" s="178"/>
      <c r="J3" s="178"/>
      <c r="K3" s="178"/>
      <c r="L3" s="179"/>
      <c r="M3" s="171"/>
    </row>
    <row r="4" spans="1:13" ht="12">
      <c r="A4" s="171"/>
      <c r="B4" s="306"/>
      <c r="C4" s="180" t="s">
        <v>319</v>
      </c>
      <c r="D4" s="178"/>
      <c r="E4" s="180" t="s">
        <v>320</v>
      </c>
      <c r="F4" s="178"/>
      <c r="G4" s="180" t="s">
        <v>321</v>
      </c>
      <c r="H4" s="178"/>
      <c r="I4" s="180" t="s">
        <v>322</v>
      </c>
      <c r="J4" s="178"/>
      <c r="K4" s="305" t="s">
        <v>312</v>
      </c>
      <c r="L4" s="179"/>
      <c r="M4" s="171"/>
    </row>
    <row r="5" spans="1:13" ht="12">
      <c r="A5" s="171"/>
      <c r="B5" s="306"/>
      <c r="C5" s="180"/>
      <c r="D5" s="178"/>
      <c r="E5" s="180" t="s">
        <v>323</v>
      </c>
      <c r="F5" s="178"/>
      <c r="G5" s="180" t="s">
        <v>324</v>
      </c>
      <c r="H5" s="178"/>
      <c r="I5" s="180" t="s">
        <v>325</v>
      </c>
      <c r="J5" s="178"/>
      <c r="K5" s="305"/>
      <c r="L5" s="179"/>
      <c r="M5" s="171"/>
    </row>
    <row r="6" spans="1:13" ht="12">
      <c r="A6" s="171"/>
      <c r="B6" s="177" t="s">
        <v>313</v>
      </c>
      <c r="C6" s="178"/>
      <c r="D6" s="178"/>
      <c r="E6" s="178"/>
      <c r="F6" s="181"/>
      <c r="G6" s="178"/>
      <c r="H6" s="178"/>
      <c r="I6" s="178"/>
      <c r="J6" s="181"/>
      <c r="K6" s="178"/>
      <c r="L6" s="179"/>
      <c r="M6" s="171"/>
    </row>
    <row r="7" spans="1:13" ht="14.25">
      <c r="A7" s="171"/>
      <c r="B7" s="285" t="s">
        <v>486</v>
      </c>
      <c r="C7" s="182"/>
      <c r="D7" s="178"/>
      <c r="E7" s="183"/>
      <c r="F7" s="178"/>
      <c r="G7" s="183"/>
      <c r="H7" s="178"/>
      <c r="I7" s="183">
        <f>131053367</f>
        <v>131053367</v>
      </c>
      <c r="J7" s="178"/>
      <c r="K7" s="184">
        <f>SUM(C7:I7)</f>
        <v>131053367</v>
      </c>
      <c r="L7" s="179"/>
      <c r="M7" s="171"/>
    </row>
    <row r="8" spans="1:13" ht="30">
      <c r="A8" s="171"/>
      <c r="B8" s="286" t="s">
        <v>487</v>
      </c>
      <c r="C8" s="182"/>
      <c r="D8" s="178"/>
      <c r="E8" s="182"/>
      <c r="F8" s="178"/>
      <c r="G8" s="182"/>
      <c r="H8" s="178"/>
      <c r="I8" s="182"/>
      <c r="J8" s="178"/>
      <c r="K8" s="184">
        <f>SUM(C8:I8)</f>
        <v>0</v>
      </c>
      <c r="L8" s="179"/>
      <c r="M8" s="171"/>
    </row>
    <row r="9" spans="1:13" ht="15">
      <c r="A9" s="171"/>
      <c r="B9" s="286" t="s">
        <v>488</v>
      </c>
      <c r="C9" s="182">
        <f>(52336404-1858663)/3*2</f>
        <v>33651827.333333336</v>
      </c>
      <c r="D9" s="178"/>
      <c r="E9" s="182">
        <f>C9/2*3</f>
        <v>50477741</v>
      </c>
      <c r="F9" s="178"/>
      <c r="G9" s="182">
        <f>(178796460-E9-C9)/8*7</f>
        <v>82833530.20833333</v>
      </c>
      <c r="H9" s="178"/>
      <c r="I9" s="182">
        <f>178796460-G9-E9-C9+763208</f>
        <v>12596569.458333336</v>
      </c>
      <c r="J9" s="178"/>
      <c r="K9" s="184">
        <f>SUM(C9:I9)</f>
        <v>179559668.00000003</v>
      </c>
      <c r="L9" s="179"/>
      <c r="M9" s="171"/>
    </row>
    <row r="10" spans="1:13" ht="15">
      <c r="A10" s="171"/>
      <c r="B10" s="286" t="s">
        <v>489</v>
      </c>
      <c r="C10" s="293">
        <f>100089328/12</f>
        <v>8340777.333333333</v>
      </c>
      <c r="D10" s="178"/>
      <c r="E10" s="183">
        <f>C10*3</f>
        <v>25022332</v>
      </c>
      <c r="F10" s="178"/>
      <c r="G10" s="183">
        <f>C10*8</f>
        <v>66726218.666666664</v>
      </c>
      <c r="H10" s="178"/>
      <c r="I10" s="182"/>
      <c r="J10" s="178"/>
      <c r="K10" s="184">
        <f>SUM(C10:I10)</f>
        <v>100089328</v>
      </c>
      <c r="L10" s="179"/>
      <c r="M10" s="171"/>
    </row>
    <row r="11" spans="1:13" ht="11.25" customHeight="1">
      <c r="A11" s="171"/>
      <c r="B11" s="286" t="s">
        <v>490</v>
      </c>
      <c r="C11" s="183"/>
      <c r="D11" s="178"/>
      <c r="E11" s="183"/>
      <c r="F11" s="178"/>
      <c r="G11" s="183"/>
      <c r="H11" s="178"/>
      <c r="I11" s="182"/>
      <c r="J11" s="178"/>
      <c r="K11" s="184"/>
      <c r="L11" s="179"/>
      <c r="M11" s="171"/>
    </row>
    <row r="12" spans="1:13" ht="15">
      <c r="A12" s="171"/>
      <c r="B12" s="286" t="s">
        <v>491</v>
      </c>
      <c r="C12" s="183">
        <f>22851443-E12</f>
        <v>12312343</v>
      </c>
      <c r="D12" s="178"/>
      <c r="E12" s="183">
        <f>110000*95.81</f>
        <v>10539100</v>
      </c>
      <c r="F12" s="178"/>
      <c r="G12" s="183">
        <f>6030578+5169399+3814963</f>
        <v>15014940</v>
      </c>
      <c r="H12" s="178"/>
      <c r="I12" s="182"/>
      <c r="J12" s="178"/>
      <c r="K12" s="184">
        <f>SUM(C12:J12)</f>
        <v>37866383</v>
      </c>
      <c r="L12" s="179"/>
      <c r="M12" s="171"/>
    </row>
    <row r="13" spans="1:13" ht="30.75" thickBot="1">
      <c r="A13" s="171"/>
      <c r="B13" s="286" t="s">
        <v>492</v>
      </c>
      <c r="C13" s="294">
        <f>47098333/12*11</f>
        <v>43173471.91666667</v>
      </c>
      <c r="D13" s="178"/>
      <c r="E13" s="294">
        <f>47098333-C13</f>
        <v>3924861.0833333284</v>
      </c>
      <c r="F13" s="178"/>
      <c r="G13" s="183"/>
      <c r="H13" s="178"/>
      <c r="I13" s="182"/>
      <c r="J13" s="178"/>
      <c r="K13" s="186">
        <f>SUM(C13:J13)</f>
        <v>47098333</v>
      </c>
      <c r="L13" s="179"/>
      <c r="M13" s="171"/>
    </row>
    <row r="14" spans="1:13" ht="12.75" thickBot="1">
      <c r="A14" s="171"/>
      <c r="B14" s="177" t="s">
        <v>314</v>
      </c>
      <c r="C14" s="186">
        <f>SUM(C7:C13)</f>
        <v>97478419.58333334</v>
      </c>
      <c r="D14" s="178"/>
      <c r="E14" s="186">
        <f>SUM(E7:E13)</f>
        <v>89964034.08333333</v>
      </c>
      <c r="F14" s="178"/>
      <c r="G14" s="186">
        <f>SUM(G7:G13)</f>
        <v>164574688.875</v>
      </c>
      <c r="H14" s="178"/>
      <c r="I14" s="186">
        <f>SUM(I7:I13)</f>
        <v>143649936.45833334</v>
      </c>
      <c r="J14" s="178"/>
      <c r="K14" s="186">
        <f>SUM(K7:K13)</f>
        <v>495667079</v>
      </c>
      <c r="L14" s="179"/>
      <c r="M14" s="171"/>
    </row>
    <row r="15" spans="1:13" ht="12">
      <c r="A15" s="171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9"/>
      <c r="M15" s="171"/>
    </row>
    <row r="16" spans="1:13" ht="12">
      <c r="A16" s="171"/>
      <c r="B16" s="177" t="s">
        <v>315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9"/>
      <c r="M16" s="171"/>
    </row>
    <row r="17" spans="1:13" ht="15">
      <c r="A17" s="171"/>
      <c r="B17" s="286" t="s">
        <v>493</v>
      </c>
      <c r="C17" s="178">
        <f>23000*137.96+625465+620302</f>
        <v>4418847</v>
      </c>
      <c r="D17" s="178"/>
      <c r="E17" s="178">
        <f>C17*3</f>
        <v>13256541</v>
      </c>
      <c r="F17" s="178"/>
      <c r="G17" s="178">
        <f>C17*8</f>
        <v>35350776</v>
      </c>
      <c r="H17" s="178"/>
      <c r="I17" s="178">
        <f>(151994368+48277001)-C17-E17-G17-41388000-16362213</f>
        <v>89494992</v>
      </c>
      <c r="J17" s="178"/>
      <c r="K17" s="178">
        <f>SUM(C17:J17)</f>
        <v>142521156</v>
      </c>
      <c r="L17" s="179"/>
      <c r="M17" s="171"/>
    </row>
    <row r="18" spans="1:13" ht="15">
      <c r="A18" s="171"/>
      <c r="B18" s="286" t="s">
        <v>494</v>
      </c>
      <c r="C18" s="178"/>
      <c r="D18" s="178"/>
      <c r="E18" s="178"/>
      <c r="F18" s="178"/>
      <c r="G18" s="178">
        <f>88888403</f>
        <v>88888403</v>
      </c>
      <c r="H18" s="178"/>
      <c r="I18" s="178">
        <f>41388000+16362213</f>
        <v>57750213</v>
      </c>
      <c r="J18" s="178"/>
      <c r="K18" s="178">
        <f>SUM(C18:J18)</f>
        <v>146638616</v>
      </c>
      <c r="L18" s="179"/>
      <c r="M18" s="171"/>
    </row>
    <row r="19" spans="1:13" ht="15">
      <c r="A19" s="171"/>
      <c r="B19" s="286" t="s">
        <v>495</v>
      </c>
      <c r="C19" s="178">
        <f>600000*137.96</f>
        <v>82776000</v>
      </c>
      <c r="D19" s="178"/>
      <c r="E19" s="178">
        <f>350000*137.96</f>
        <v>48286000</v>
      </c>
      <c r="F19" s="178"/>
      <c r="G19" s="178">
        <f>143472785-C19-E19</f>
        <v>12410785</v>
      </c>
      <c r="H19" s="178"/>
      <c r="I19" s="178"/>
      <c r="J19" s="178"/>
      <c r="K19" s="178">
        <f>SUM(C19:J19)</f>
        <v>143472785</v>
      </c>
      <c r="L19" s="179"/>
      <c r="M19" s="171"/>
    </row>
    <row r="20" spans="1:13" ht="15">
      <c r="A20" s="171"/>
      <c r="B20" s="286" t="s">
        <v>496</v>
      </c>
      <c r="C20" s="182"/>
      <c r="D20" s="178"/>
      <c r="E20" s="182"/>
      <c r="F20" s="178"/>
      <c r="G20" s="182"/>
      <c r="H20" s="178"/>
      <c r="I20" s="182"/>
      <c r="J20" s="178"/>
      <c r="K20" s="178">
        <f>SUM(C20:J20)</f>
        <v>0</v>
      </c>
      <c r="L20" s="179"/>
      <c r="M20" s="171"/>
    </row>
    <row r="21" spans="1:13" ht="30">
      <c r="A21" s="171"/>
      <c r="B21" s="286" t="s">
        <v>497</v>
      </c>
      <c r="C21" s="182">
        <f>E21/3-110000</f>
        <v>6705937.100000001</v>
      </c>
      <c r="D21" s="178"/>
      <c r="E21" s="183">
        <v>20447811.3</v>
      </c>
      <c r="F21" s="178"/>
      <c r="G21" s="183">
        <v>4763735</v>
      </c>
      <c r="H21" s="178"/>
      <c r="I21" s="183">
        <f>9083312</f>
        <v>9083312</v>
      </c>
      <c r="J21" s="178"/>
      <c r="K21" s="178">
        <f>SUM(C21:J21)</f>
        <v>41000795.400000006</v>
      </c>
      <c r="L21" s="179"/>
      <c r="M21" s="171"/>
    </row>
    <row r="22" spans="1:13" ht="12.75" thickBot="1">
      <c r="A22" s="171"/>
      <c r="B22" s="177" t="s">
        <v>316</v>
      </c>
      <c r="C22" s="186">
        <f>SUM(C20:C21)</f>
        <v>6705937.100000001</v>
      </c>
      <c r="D22" s="178"/>
      <c r="E22" s="186">
        <f>SUM(E20:E21)</f>
        <v>20447811.3</v>
      </c>
      <c r="F22" s="178"/>
      <c r="G22" s="186">
        <f>SUM(G17:G21)</f>
        <v>141413699</v>
      </c>
      <c r="H22" s="178"/>
      <c r="I22" s="186">
        <f>SUM(I17:I21)</f>
        <v>156328517</v>
      </c>
      <c r="J22" s="178"/>
      <c r="K22" s="186">
        <f>SUM(K16:K21)</f>
        <v>473633352.4</v>
      </c>
      <c r="L22" s="296"/>
      <c r="M22" s="295"/>
    </row>
    <row r="23" spans="1:13" ht="12">
      <c r="A23" s="171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9"/>
      <c r="M23" s="171"/>
    </row>
    <row r="24" spans="1:13" ht="12.75" thickBot="1">
      <c r="A24" s="171"/>
      <c r="B24" s="178" t="s">
        <v>326</v>
      </c>
      <c r="C24" s="185">
        <f>C14-C22</f>
        <v>90772482.48333335</v>
      </c>
      <c r="D24" s="178"/>
      <c r="E24" s="185">
        <f>E14-E22</f>
        <v>69516222.78333333</v>
      </c>
      <c r="F24" s="178"/>
      <c r="G24" s="185">
        <f>G14-G22</f>
        <v>23160989.875</v>
      </c>
      <c r="H24" s="178"/>
      <c r="I24" s="185">
        <f>I14-I22</f>
        <v>-12678580.541666657</v>
      </c>
      <c r="J24" s="178"/>
      <c r="K24" s="185">
        <f>K14-K22</f>
        <v>22033726.600000024</v>
      </c>
      <c r="L24" s="179"/>
      <c r="M24" s="171"/>
    </row>
    <row r="25" spans="1:13" ht="12">
      <c r="A25" s="171"/>
      <c r="B25" s="178"/>
      <c r="C25" s="178"/>
      <c r="D25" s="178"/>
      <c r="E25" s="178"/>
      <c r="F25" s="178"/>
      <c r="G25" s="178"/>
      <c r="H25" s="178"/>
      <c r="I25" s="179"/>
      <c r="J25" s="178"/>
      <c r="K25" s="178"/>
      <c r="L25" s="179"/>
      <c r="M25" s="171"/>
    </row>
    <row r="26" spans="1:13" ht="12">
      <c r="A26" s="171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9"/>
      <c r="M26" s="171"/>
    </row>
    <row r="27" spans="1:13" ht="12">
      <c r="A27" s="171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9"/>
      <c r="M27" s="171"/>
    </row>
    <row r="28" ht="12">
      <c r="B28" s="170">
        <v>2008</v>
      </c>
    </row>
    <row r="29" spans="1:13" ht="12">
      <c r="A29" s="171"/>
      <c r="B29" s="177" t="s">
        <v>318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9"/>
      <c r="M29" s="171"/>
    </row>
    <row r="30" spans="1:13" ht="12">
      <c r="A30" s="171"/>
      <c r="B30" s="306"/>
      <c r="C30" s="180" t="s">
        <v>319</v>
      </c>
      <c r="D30" s="178"/>
      <c r="E30" s="180" t="s">
        <v>320</v>
      </c>
      <c r="F30" s="178"/>
      <c r="G30" s="180" t="s">
        <v>321</v>
      </c>
      <c r="H30" s="178"/>
      <c r="I30" s="180" t="s">
        <v>322</v>
      </c>
      <c r="J30" s="178"/>
      <c r="K30" s="305" t="s">
        <v>312</v>
      </c>
      <c r="L30" s="179"/>
      <c r="M30" s="171"/>
    </row>
    <row r="31" spans="1:13" ht="12">
      <c r="A31" s="171"/>
      <c r="B31" s="306"/>
      <c r="C31" s="180"/>
      <c r="D31" s="178"/>
      <c r="E31" s="180" t="s">
        <v>323</v>
      </c>
      <c r="F31" s="178"/>
      <c r="G31" s="180" t="s">
        <v>324</v>
      </c>
      <c r="H31" s="178"/>
      <c r="I31" s="180" t="s">
        <v>325</v>
      </c>
      <c r="J31" s="178"/>
      <c r="K31" s="305"/>
      <c r="L31" s="179"/>
      <c r="M31" s="171"/>
    </row>
    <row r="32" spans="1:13" ht="12">
      <c r="A32" s="171"/>
      <c r="B32" s="177" t="s">
        <v>313</v>
      </c>
      <c r="C32" s="178"/>
      <c r="D32" s="178"/>
      <c r="E32" s="178"/>
      <c r="F32" s="181"/>
      <c r="G32" s="178"/>
      <c r="H32" s="178"/>
      <c r="I32" s="178"/>
      <c r="J32" s="181"/>
      <c r="K32" s="178"/>
      <c r="L32" s="179"/>
      <c r="M32" s="171"/>
    </row>
    <row r="33" spans="1:13" ht="30">
      <c r="A33" s="171"/>
      <c r="B33" s="286" t="s">
        <v>487</v>
      </c>
      <c r="C33" s="287"/>
      <c r="D33" s="287"/>
      <c r="E33" s="287"/>
      <c r="F33" s="288"/>
      <c r="G33" s="287"/>
      <c r="H33" s="287"/>
      <c r="I33" s="287">
        <v>77619653</v>
      </c>
      <c r="J33" s="288"/>
      <c r="K33" s="289">
        <f aca="true" t="shared" si="0" ref="K33:K38">SUM(C33:I33)</f>
        <v>77619653</v>
      </c>
      <c r="L33" s="179"/>
      <c r="M33" s="171"/>
    </row>
    <row r="34" spans="1:13" ht="15">
      <c r="A34" s="171"/>
      <c r="B34" s="286" t="s">
        <v>488</v>
      </c>
      <c r="C34" s="287">
        <v>23176884</v>
      </c>
      <c r="D34" s="287"/>
      <c r="E34" s="287">
        <v>73124432</v>
      </c>
      <c r="F34" s="288"/>
      <c r="G34" s="287">
        <v>70168946</v>
      </c>
      <c r="H34" s="287"/>
      <c r="I34" s="287"/>
      <c r="J34" s="288"/>
      <c r="K34" s="289">
        <f t="shared" si="0"/>
        <v>166470262</v>
      </c>
      <c r="L34" s="179"/>
      <c r="M34" s="171"/>
    </row>
    <row r="35" spans="1:13" ht="15">
      <c r="A35" s="171"/>
      <c r="B35" s="286" t="s">
        <v>489</v>
      </c>
      <c r="C35" s="287">
        <v>3415694</v>
      </c>
      <c r="D35" s="287"/>
      <c r="E35" s="287">
        <v>12194166</v>
      </c>
      <c r="F35" s="288"/>
      <c r="G35" s="287">
        <v>21297067</v>
      </c>
      <c r="H35" s="287"/>
      <c r="I35" s="287"/>
      <c r="J35" s="288"/>
      <c r="K35" s="289">
        <f t="shared" si="0"/>
        <v>36906927</v>
      </c>
      <c r="L35" s="179"/>
      <c r="M35" s="171"/>
    </row>
    <row r="36" spans="1:13" ht="30">
      <c r="A36" s="171"/>
      <c r="B36" s="286" t="s">
        <v>490</v>
      </c>
      <c r="C36" s="290"/>
      <c r="D36" s="287"/>
      <c r="E36" s="290">
        <v>1285120</v>
      </c>
      <c r="F36" s="287"/>
      <c r="G36" s="290"/>
      <c r="H36" s="287"/>
      <c r="I36" s="290"/>
      <c r="J36" s="287"/>
      <c r="K36" s="289">
        <f t="shared" si="0"/>
        <v>1285120</v>
      </c>
      <c r="L36" s="179"/>
      <c r="M36" s="171"/>
    </row>
    <row r="37" spans="1:13" ht="15">
      <c r="A37" s="171"/>
      <c r="B37" s="286" t="s">
        <v>491</v>
      </c>
      <c r="C37" s="290">
        <v>8995716</v>
      </c>
      <c r="D37" s="287"/>
      <c r="E37" s="290">
        <v>658900</v>
      </c>
      <c r="F37" s="287"/>
      <c r="G37" s="290">
        <v>5141179</v>
      </c>
      <c r="H37" s="287"/>
      <c r="I37" s="290"/>
      <c r="J37" s="287"/>
      <c r="K37" s="289">
        <f t="shared" si="0"/>
        <v>14795795</v>
      </c>
      <c r="L37" s="179"/>
      <c r="M37" s="171"/>
    </row>
    <row r="38" spans="1:13" ht="30">
      <c r="A38" s="171"/>
      <c r="B38" s="286" t="s">
        <v>492</v>
      </c>
      <c r="C38" s="290">
        <v>14832281</v>
      </c>
      <c r="D38" s="287"/>
      <c r="E38" s="290">
        <v>5980175</v>
      </c>
      <c r="F38" s="287"/>
      <c r="G38" s="290"/>
      <c r="H38" s="287"/>
      <c r="I38" s="290"/>
      <c r="J38" s="287"/>
      <c r="K38" s="289">
        <f t="shared" si="0"/>
        <v>20812456</v>
      </c>
      <c r="L38" s="179"/>
      <c r="M38" s="171"/>
    </row>
    <row r="39" spans="1:13" ht="12.75" thickBot="1">
      <c r="A39" s="171"/>
      <c r="B39" s="177" t="s">
        <v>314</v>
      </c>
      <c r="C39" s="291">
        <f>SUM(C33:C38)</f>
        <v>50420575</v>
      </c>
      <c r="D39" s="291"/>
      <c r="E39" s="291">
        <f aca="true" t="shared" si="1" ref="E39:K39">SUM(E33:E38)</f>
        <v>93242793</v>
      </c>
      <c r="F39" s="291"/>
      <c r="G39" s="291">
        <f t="shared" si="1"/>
        <v>96607192</v>
      </c>
      <c r="H39" s="291">
        <f t="shared" si="1"/>
        <v>0</v>
      </c>
      <c r="I39" s="291">
        <f t="shared" si="1"/>
        <v>77619653</v>
      </c>
      <c r="J39" s="291">
        <f t="shared" si="1"/>
        <v>0</v>
      </c>
      <c r="K39" s="291">
        <f t="shared" si="1"/>
        <v>317890213</v>
      </c>
      <c r="L39" s="179"/>
      <c r="M39" s="171"/>
    </row>
    <row r="40" spans="1:13" ht="12">
      <c r="A40" s="171"/>
      <c r="B40" s="178"/>
      <c r="C40" s="287"/>
      <c r="D40" s="287"/>
      <c r="E40" s="287"/>
      <c r="F40" s="287"/>
      <c r="G40" s="287"/>
      <c r="H40" s="287"/>
      <c r="I40" s="287"/>
      <c r="J40" s="287"/>
      <c r="K40" s="287"/>
      <c r="L40" s="179"/>
      <c r="M40" s="171"/>
    </row>
    <row r="41" spans="1:13" ht="12">
      <c r="A41" s="171"/>
      <c r="B41" s="177" t="s">
        <v>315</v>
      </c>
      <c r="C41" s="287"/>
      <c r="D41" s="287"/>
      <c r="E41" s="287"/>
      <c r="F41" s="287"/>
      <c r="G41" s="287"/>
      <c r="H41" s="287"/>
      <c r="I41" s="287"/>
      <c r="J41" s="287"/>
      <c r="K41" s="287"/>
      <c r="L41" s="179"/>
      <c r="M41" s="171"/>
    </row>
    <row r="42" spans="1:13" ht="15">
      <c r="A42" s="171"/>
      <c r="B42" s="286" t="s">
        <v>493</v>
      </c>
      <c r="C42" s="287">
        <v>668145</v>
      </c>
      <c r="D42" s="287"/>
      <c r="E42" s="287">
        <v>38540631</v>
      </c>
      <c r="F42" s="287"/>
      <c r="G42" s="287">
        <v>39023319</v>
      </c>
      <c r="H42" s="287"/>
      <c r="I42" s="287">
        <v>26013560</v>
      </c>
      <c r="J42" s="287"/>
      <c r="K42" s="289">
        <f>SUM(C42:I42)</f>
        <v>104245655</v>
      </c>
      <c r="L42" s="179"/>
      <c r="M42" s="171"/>
    </row>
    <row r="43" spans="1:13" ht="15">
      <c r="A43" s="171"/>
      <c r="B43" s="286" t="s">
        <v>494</v>
      </c>
      <c r="C43" s="287"/>
      <c r="D43" s="287"/>
      <c r="E43" s="287"/>
      <c r="F43" s="287"/>
      <c r="G43" s="287">
        <v>38390792</v>
      </c>
      <c r="H43" s="287"/>
      <c r="I43" s="287"/>
      <c r="J43" s="287"/>
      <c r="K43" s="289">
        <f>SUM(C43:I43)</f>
        <v>38390792</v>
      </c>
      <c r="L43" s="179"/>
      <c r="M43" s="171"/>
    </row>
    <row r="44" spans="1:13" ht="15">
      <c r="A44" s="171"/>
      <c r="B44" s="286" t="s">
        <v>495</v>
      </c>
      <c r="C44" s="287">
        <v>20500000</v>
      </c>
      <c r="D44" s="287"/>
      <c r="E44" s="287">
        <v>2416143</v>
      </c>
      <c r="F44" s="287"/>
      <c r="G44" s="287">
        <v>32802053</v>
      </c>
      <c r="H44" s="287"/>
      <c r="I44" s="287"/>
      <c r="J44" s="287"/>
      <c r="K44" s="289">
        <f>SUM(C44:I44)</f>
        <v>55718196</v>
      </c>
      <c r="L44" s="179"/>
      <c r="M44" s="171"/>
    </row>
    <row r="45" spans="1:13" ht="15">
      <c r="A45" s="171"/>
      <c r="B45" s="286" t="s">
        <v>496</v>
      </c>
      <c r="C45" s="287"/>
      <c r="D45" s="287"/>
      <c r="E45" s="287"/>
      <c r="F45" s="287"/>
      <c r="G45" s="287"/>
      <c r="H45" s="287"/>
      <c r="I45" s="287">
        <v>10566240</v>
      </c>
      <c r="J45" s="287"/>
      <c r="K45" s="289">
        <f>SUM(C45:I45)</f>
        <v>10566240</v>
      </c>
      <c r="L45" s="179"/>
      <c r="M45" s="171"/>
    </row>
    <row r="46" spans="1:13" ht="30">
      <c r="A46" s="171"/>
      <c r="B46" s="286" t="s">
        <v>497</v>
      </c>
      <c r="C46" s="290">
        <v>2680418</v>
      </c>
      <c r="D46" s="287"/>
      <c r="E46" s="290"/>
      <c r="F46" s="287"/>
      <c r="G46" s="290">
        <v>7414122</v>
      </c>
      <c r="H46" s="287"/>
      <c r="I46" s="290"/>
      <c r="J46" s="287"/>
      <c r="K46" s="289">
        <f>SUM(C46:I46)</f>
        <v>10094540</v>
      </c>
      <c r="L46" s="179"/>
      <c r="M46" s="171"/>
    </row>
    <row r="47" spans="1:13" ht="12.75" thickBot="1">
      <c r="A47" s="171"/>
      <c r="B47" s="177" t="s">
        <v>316</v>
      </c>
      <c r="C47" s="291">
        <f>SUM(C46:C46)</f>
        <v>2680418</v>
      </c>
      <c r="D47" s="287"/>
      <c r="E47" s="291">
        <f>SUM(E46:E46)</f>
        <v>0</v>
      </c>
      <c r="F47" s="287"/>
      <c r="G47" s="291">
        <f>SUM(G46:G46)</f>
        <v>7414122</v>
      </c>
      <c r="H47" s="287"/>
      <c r="I47" s="291">
        <f>SUM(I46:I46)</f>
        <v>0</v>
      </c>
      <c r="J47" s="287"/>
      <c r="K47" s="291">
        <f>SUM(K41:K46)</f>
        <v>219015423</v>
      </c>
      <c r="L47" s="179"/>
      <c r="M47" s="171"/>
    </row>
    <row r="48" spans="1:13" ht="12">
      <c r="A48" s="171"/>
      <c r="B48" s="178"/>
      <c r="C48" s="287"/>
      <c r="D48" s="287"/>
      <c r="E48" s="287"/>
      <c r="F48" s="287"/>
      <c r="G48" s="287"/>
      <c r="H48" s="287"/>
      <c r="I48" s="287"/>
      <c r="J48" s="287"/>
      <c r="K48" s="287"/>
      <c r="L48" s="179"/>
      <c r="M48" s="171"/>
    </row>
    <row r="49" spans="1:13" ht="12.75" thickBot="1">
      <c r="A49" s="171"/>
      <c r="B49" s="178" t="s">
        <v>326</v>
      </c>
      <c r="C49" s="292">
        <f>C39-C47</f>
        <v>47740157</v>
      </c>
      <c r="D49" s="287"/>
      <c r="E49" s="292">
        <f>E39-E47</f>
        <v>93242793</v>
      </c>
      <c r="F49" s="287"/>
      <c r="G49" s="292">
        <f>G39-G47</f>
        <v>89193070</v>
      </c>
      <c r="H49" s="287"/>
      <c r="I49" s="292">
        <f>I39-I47</f>
        <v>77619653</v>
      </c>
      <c r="J49" s="287"/>
      <c r="K49" s="292">
        <f>K39-K47</f>
        <v>98874790</v>
      </c>
      <c r="L49" s="179"/>
      <c r="M49" s="171"/>
    </row>
  </sheetData>
  <sheetProtection/>
  <mergeCells count="4">
    <mergeCell ref="K4:K5"/>
    <mergeCell ref="B4:B5"/>
    <mergeCell ref="B30:B31"/>
    <mergeCell ref="K30:K3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zoomScalePageLayoutView="0" workbookViewId="0" topLeftCell="A72">
      <selection activeCell="B86" sqref="B86:D87"/>
    </sheetView>
  </sheetViews>
  <sheetFormatPr defaultColWidth="9.140625" defaultRowHeight="19.5" customHeight="1"/>
  <cols>
    <col min="1" max="1" width="9.140625" style="158" customWidth="1"/>
    <col min="2" max="2" width="47.57421875" style="156" customWidth="1"/>
    <col min="3" max="3" width="10.57421875" style="160" customWidth="1"/>
    <col min="4" max="4" width="20.7109375" style="158" customWidth="1"/>
    <col min="5" max="5" width="9.8515625" style="158" customWidth="1"/>
    <col min="6" max="6" width="38.7109375" style="158" customWidth="1"/>
    <col min="7" max="7" width="62.421875" style="156" bestFit="1" customWidth="1"/>
    <col min="8" max="8" width="5.421875" style="158" customWidth="1"/>
    <col min="9" max="16384" width="9.140625" style="158" customWidth="1"/>
  </cols>
  <sheetData>
    <row r="1" ht="19.5" customHeight="1">
      <c r="A1" s="159" t="s">
        <v>147</v>
      </c>
    </row>
    <row r="2" ht="19.5" customHeight="1">
      <c r="A2" s="257" t="s">
        <v>465</v>
      </c>
    </row>
    <row r="3" ht="19.5" customHeight="1">
      <c r="A3" s="257" t="s">
        <v>133</v>
      </c>
    </row>
    <row r="4" ht="19.5" customHeight="1">
      <c r="D4" s="158" t="s">
        <v>394</v>
      </c>
    </row>
    <row r="5" spans="1:7" ht="19.5" customHeight="1" thickBot="1">
      <c r="A5" s="258" t="s">
        <v>0</v>
      </c>
      <c r="C5" s="160" t="s">
        <v>137</v>
      </c>
      <c r="D5" s="259">
        <v>2009</v>
      </c>
      <c r="E5" s="156"/>
      <c r="F5" s="259" t="s">
        <v>80</v>
      </c>
      <c r="G5" s="258" t="s">
        <v>284</v>
      </c>
    </row>
    <row r="6" spans="1:6" ht="19.5" customHeight="1" thickTop="1">
      <c r="A6" s="258"/>
      <c r="D6" s="260"/>
      <c r="E6" s="156"/>
      <c r="F6" s="260"/>
    </row>
    <row r="7" spans="1:6" ht="19.5" customHeight="1">
      <c r="A7" s="258" t="s">
        <v>8</v>
      </c>
      <c r="D7" s="261"/>
      <c r="E7" s="156"/>
      <c r="F7" s="261"/>
    </row>
    <row r="8" spans="1:7" ht="19.5" customHeight="1">
      <c r="A8" s="156"/>
      <c r="B8" s="156" t="s">
        <v>50</v>
      </c>
      <c r="C8" s="160">
        <v>4</v>
      </c>
      <c r="D8" s="262">
        <f>131053367</f>
        <v>131053367</v>
      </c>
      <c r="E8" s="263"/>
      <c r="F8" s="262">
        <f>20370860+95240.44+99000+18813497.77+46949+5564640+49100400+7572284.79+10526409.38-1023877-6820469-14098646-1945468-10681160.59</f>
        <v>77619660.79</v>
      </c>
      <c r="G8" s="156" t="s">
        <v>285</v>
      </c>
    </row>
    <row r="9" spans="1:6" ht="19.5" customHeight="1">
      <c r="A9" s="156"/>
      <c r="B9" s="156" t="s">
        <v>51</v>
      </c>
      <c r="D9" s="262">
        <v>0</v>
      </c>
      <c r="E9" s="263"/>
      <c r="F9" s="262">
        <v>0</v>
      </c>
    </row>
    <row r="10" spans="1:6" ht="19.5" customHeight="1">
      <c r="A10" s="156"/>
      <c r="B10" s="156" t="s">
        <v>48</v>
      </c>
      <c r="D10" s="264"/>
      <c r="E10" s="263"/>
      <c r="F10" s="264"/>
    </row>
    <row r="11" spans="1:6" ht="19.5" customHeight="1">
      <c r="A11" s="156"/>
      <c r="B11" s="156" t="s">
        <v>94</v>
      </c>
      <c r="D11" s="262"/>
      <c r="E11" s="263"/>
      <c r="F11" s="262"/>
    </row>
    <row r="12" spans="1:7" ht="19.5" customHeight="1" thickBot="1">
      <c r="A12" s="156"/>
      <c r="B12" s="265" t="s">
        <v>95</v>
      </c>
      <c r="D12" s="266">
        <f>SUM(D7:D11)</f>
        <v>131053367</v>
      </c>
      <c r="E12" s="263"/>
      <c r="F12" s="266">
        <f>SUM(F7:F11)</f>
        <v>77619660.79</v>
      </c>
      <c r="G12" s="265"/>
    </row>
    <row r="13" spans="1:6" ht="19.5" customHeight="1" thickTop="1">
      <c r="A13" s="156"/>
      <c r="D13" s="263"/>
      <c r="E13" s="263"/>
      <c r="F13" s="263"/>
    </row>
    <row r="14" spans="1:6" ht="19.5" customHeight="1">
      <c r="A14" s="258" t="s">
        <v>40</v>
      </c>
      <c r="D14" s="263"/>
      <c r="E14" s="263"/>
      <c r="F14" s="263"/>
    </row>
    <row r="15" spans="1:7" ht="19.5" customHeight="1">
      <c r="A15" s="156"/>
      <c r="B15" s="267" t="s">
        <v>5</v>
      </c>
      <c r="D15" s="262"/>
      <c r="E15" s="263"/>
      <c r="F15" s="262"/>
      <c r="G15" s="267"/>
    </row>
    <row r="16" spans="1:7" ht="19.5" customHeight="1">
      <c r="A16" s="156"/>
      <c r="B16" s="156" t="s">
        <v>474</v>
      </c>
      <c r="C16" s="160" t="s">
        <v>295</v>
      </c>
      <c r="D16" s="262">
        <f>763208.26</f>
        <v>763208.26</v>
      </c>
      <c r="E16" s="263"/>
      <c r="F16" s="262">
        <f>1130554.66+397483-764018.83</f>
        <v>764018.83</v>
      </c>
      <c r="G16" s="268" t="s">
        <v>286</v>
      </c>
    </row>
    <row r="17" spans="1:6" ht="19.5" customHeight="1">
      <c r="A17" s="156"/>
      <c r="B17" s="156" t="s">
        <v>6</v>
      </c>
      <c r="D17" s="262"/>
      <c r="E17" s="263"/>
      <c r="F17" s="262"/>
    </row>
    <row r="18" spans="1:6" ht="19.5" customHeight="1">
      <c r="A18" s="156"/>
      <c r="B18" s="156" t="s">
        <v>7</v>
      </c>
      <c r="D18" s="262"/>
      <c r="E18" s="263"/>
      <c r="F18" s="262"/>
    </row>
    <row r="19" spans="1:7" ht="19.5" customHeight="1">
      <c r="A19" s="156"/>
      <c r="B19" s="156" t="s">
        <v>43</v>
      </c>
      <c r="C19" s="160" t="s">
        <v>296</v>
      </c>
      <c r="D19" s="262">
        <f>178244011-763208.26+1315657</f>
        <v>178796459.74</v>
      </c>
      <c r="E19" s="263"/>
      <c r="F19" s="262">
        <f>165706241</f>
        <v>165706241</v>
      </c>
      <c r="G19" s="156" t="s">
        <v>287</v>
      </c>
    </row>
    <row r="20" spans="1:6" ht="19.5" customHeight="1">
      <c r="A20" s="156"/>
      <c r="B20" s="156" t="s">
        <v>44</v>
      </c>
      <c r="C20" s="160" t="s">
        <v>297</v>
      </c>
      <c r="D20" s="262">
        <f>6089675.2+6107695.88+10654072</f>
        <v>22851443.08</v>
      </c>
      <c r="E20" s="263"/>
      <c r="F20" s="262">
        <v>5377</v>
      </c>
    </row>
    <row r="21" spans="1:7" ht="19.5" customHeight="1" thickBot="1">
      <c r="A21" s="156"/>
      <c r="B21" s="265" t="s">
        <v>96</v>
      </c>
      <c r="D21" s="269">
        <f>SUM(D15:D20)</f>
        <v>202411111.07999998</v>
      </c>
      <c r="E21" s="263"/>
      <c r="F21" s="269">
        <f>SUM(F15:F20)</f>
        <v>166475636.83</v>
      </c>
      <c r="G21" s="265"/>
    </row>
    <row r="22" spans="1:7" ht="19.5" customHeight="1">
      <c r="A22" s="156"/>
      <c r="B22" s="258"/>
      <c r="D22" s="263"/>
      <c r="E22" s="263"/>
      <c r="F22" s="263"/>
      <c r="G22" s="258"/>
    </row>
    <row r="23" spans="1:7" ht="19.5" customHeight="1">
      <c r="A23" s="307" t="s">
        <v>41</v>
      </c>
      <c r="B23" s="307"/>
      <c r="D23" s="262"/>
      <c r="E23" s="263"/>
      <c r="F23" s="262"/>
      <c r="G23" s="258"/>
    </row>
    <row r="24" spans="1:7" ht="19.5" customHeight="1">
      <c r="A24" s="156"/>
      <c r="B24" s="156" t="s">
        <v>49</v>
      </c>
      <c r="C24" s="160" t="s">
        <v>142</v>
      </c>
      <c r="D24" s="270">
        <f>100089328.25</f>
        <v>100089328.25</v>
      </c>
      <c r="E24" s="263"/>
      <c r="F24" s="270">
        <f>37337815.65+5514417.11-5602912.11+23030797-23030797-971087.2+14402.34</f>
        <v>36292635.79</v>
      </c>
      <c r="G24" s="156" t="s">
        <v>288</v>
      </c>
    </row>
    <row r="25" spans="1:7" ht="19.5" customHeight="1">
      <c r="A25" s="156"/>
      <c r="B25" s="156" t="s">
        <v>42</v>
      </c>
      <c r="C25" s="160" t="s">
        <v>142</v>
      </c>
      <c r="D25" s="270">
        <f>3568025-100000+89678179.4-103719711.42+17249126.77+203915-848957</f>
        <v>6030577.750000004</v>
      </c>
      <c r="E25" s="263"/>
      <c r="F25" s="270">
        <f>2435400+76721+742124+52702.61+8995716+1807578-131</f>
        <v>14110110.61</v>
      </c>
      <c r="G25" s="156" t="s">
        <v>289</v>
      </c>
    </row>
    <row r="26" spans="1:6" ht="19.5" customHeight="1">
      <c r="A26" s="156"/>
      <c r="B26" s="156" t="s">
        <v>3</v>
      </c>
      <c r="D26" s="262">
        <f>4427274.36+742124.8</f>
        <v>5169399.16</v>
      </c>
      <c r="E26" s="263"/>
      <c r="F26" s="262"/>
    </row>
    <row r="27" spans="1:6" ht="19.5" customHeight="1">
      <c r="A27" s="156"/>
      <c r="B27" s="156" t="s">
        <v>4</v>
      </c>
      <c r="D27" s="262"/>
      <c r="E27" s="263"/>
      <c r="F27" s="262"/>
    </row>
    <row r="28" spans="1:7" ht="19.5" customHeight="1" thickBot="1">
      <c r="A28" s="156"/>
      <c r="B28" s="265" t="s">
        <v>97</v>
      </c>
      <c r="D28" s="271">
        <f>SUM(D23:D27)</f>
        <v>111289305.16</v>
      </c>
      <c r="E28" s="272"/>
      <c r="F28" s="271">
        <f>SUM(F23:F27)</f>
        <v>50402746.4</v>
      </c>
      <c r="G28" s="265"/>
    </row>
    <row r="29" spans="1:6" ht="19.5" customHeight="1" thickTop="1">
      <c r="A29" s="156"/>
      <c r="D29" s="262"/>
      <c r="E29" s="263"/>
      <c r="F29" s="262"/>
    </row>
    <row r="30" spans="1:7" ht="19.5" customHeight="1">
      <c r="A30" s="156"/>
      <c r="B30" s="156" t="s">
        <v>1</v>
      </c>
      <c r="C30" s="160" t="s">
        <v>143</v>
      </c>
      <c r="D30" s="264">
        <f>47098332.7</f>
        <v>47098332.7</v>
      </c>
      <c r="E30" s="263"/>
      <c r="F30" s="264">
        <f>20812624-167.75</f>
        <v>20812456.25</v>
      </c>
      <c r="G30" s="156" t="s">
        <v>290</v>
      </c>
    </row>
    <row r="31" spans="1:6" ht="19.5" customHeight="1">
      <c r="A31" s="156"/>
      <c r="B31" s="156" t="s">
        <v>39</v>
      </c>
      <c r="D31" s="263"/>
      <c r="E31" s="263"/>
      <c r="F31" s="263"/>
    </row>
    <row r="32" spans="1:6" ht="19.5" customHeight="1">
      <c r="A32" s="156"/>
      <c r="D32" s="262"/>
      <c r="E32" s="263"/>
      <c r="F32" s="262"/>
    </row>
    <row r="33" spans="1:7" ht="19.5" customHeight="1" thickBot="1">
      <c r="A33" s="156"/>
      <c r="B33" s="265" t="s">
        <v>98</v>
      </c>
      <c r="D33" s="273">
        <f>SUM(D30:D32)</f>
        <v>47098332.7</v>
      </c>
      <c r="E33" s="263"/>
      <c r="F33" s="273">
        <f>SUM(F30:F32)</f>
        <v>20812456.25</v>
      </c>
      <c r="G33" s="265"/>
    </row>
    <row r="34" spans="1:6" ht="19.5" customHeight="1">
      <c r="A34" s="156"/>
      <c r="D34" s="262"/>
      <c r="E34" s="263"/>
      <c r="F34" s="262"/>
    </row>
    <row r="35" spans="1:6" ht="19.5" customHeight="1">
      <c r="A35" s="156"/>
      <c r="B35" s="156" t="s">
        <v>136</v>
      </c>
      <c r="D35" s="262">
        <v>0</v>
      </c>
      <c r="E35" s="263"/>
      <c r="F35" s="262">
        <v>0</v>
      </c>
    </row>
    <row r="36" spans="1:6" ht="19.5" customHeight="1">
      <c r="A36" s="156"/>
      <c r="B36" s="156" t="s">
        <v>45</v>
      </c>
      <c r="D36" s="262"/>
      <c r="E36" s="263"/>
      <c r="F36" s="262"/>
    </row>
    <row r="37" spans="1:7" ht="19.5" customHeight="1">
      <c r="A37" s="156"/>
      <c r="B37" s="156" t="s">
        <v>46</v>
      </c>
      <c r="C37" s="160" t="s">
        <v>276</v>
      </c>
      <c r="D37" s="262">
        <f>574566.27+234027.99+597000.6+537412+555604.47+1316352.13</f>
        <v>3814963.46</v>
      </c>
      <c r="E37" s="263"/>
      <c r="F37" s="262">
        <f>61900+597001</f>
        <v>658901</v>
      </c>
      <c r="G37" s="156">
        <v>409.4091</v>
      </c>
    </row>
    <row r="38" spans="1:6" ht="19.5" customHeight="1">
      <c r="A38" s="156"/>
      <c r="D38" s="262">
        <f>SUM(D35:D37)</f>
        <v>3814963.46</v>
      </c>
      <c r="E38" s="262">
        <f>SUM(E35:E37)</f>
        <v>0</v>
      </c>
      <c r="F38" s="262">
        <f>SUM(F35:F37)</f>
        <v>658901</v>
      </c>
    </row>
    <row r="39" spans="1:7" ht="19.5" customHeight="1" thickBot="1">
      <c r="A39" s="156"/>
      <c r="B39" s="260" t="s">
        <v>47</v>
      </c>
      <c r="D39" s="266">
        <f>+D38+D28+D21+D33</f>
        <v>364613712.4</v>
      </c>
      <c r="E39" s="263"/>
      <c r="F39" s="266">
        <f>+F38+F28+F21+F33</f>
        <v>238349740.48000002</v>
      </c>
      <c r="G39" s="260"/>
    </row>
    <row r="40" spans="1:6" ht="19.5" customHeight="1" thickTop="1">
      <c r="A40" s="156"/>
      <c r="D40" s="262"/>
      <c r="E40" s="263"/>
      <c r="F40" s="262"/>
    </row>
    <row r="41" spans="1:6" ht="19.5" customHeight="1">
      <c r="A41" s="156"/>
      <c r="D41" s="262"/>
      <c r="E41" s="263"/>
      <c r="F41" s="262"/>
    </row>
    <row r="42" spans="1:7" ht="19.5" customHeight="1">
      <c r="A42" s="156"/>
      <c r="B42" s="258" t="s">
        <v>52</v>
      </c>
      <c r="D42" s="274">
        <f>+D12+D39</f>
        <v>495667079.4</v>
      </c>
      <c r="E42" s="263"/>
      <c r="F42" s="274">
        <f>+F12+F39</f>
        <v>315969401.27000004</v>
      </c>
      <c r="G42" s="258"/>
    </row>
    <row r="43" spans="1:6" ht="19.5" customHeight="1">
      <c r="A43" s="156"/>
      <c r="D43" s="262"/>
      <c r="E43" s="263"/>
      <c r="F43" s="262"/>
    </row>
    <row r="44" spans="1:6" ht="19.5" customHeight="1">
      <c r="A44" s="156"/>
      <c r="D44" s="262"/>
      <c r="E44" s="263"/>
      <c r="F44" s="262"/>
    </row>
    <row r="45" spans="1:6" ht="19.5" customHeight="1">
      <c r="A45" s="258" t="s">
        <v>69</v>
      </c>
      <c r="D45" s="262"/>
      <c r="E45" s="263"/>
      <c r="F45" s="262"/>
    </row>
    <row r="46" spans="1:6" ht="19.5" customHeight="1">
      <c r="A46" s="156"/>
      <c r="D46" s="262"/>
      <c r="E46" s="263"/>
      <c r="F46" s="262"/>
    </row>
    <row r="47" spans="1:6" ht="19.5" customHeight="1">
      <c r="A47" s="258" t="s">
        <v>65</v>
      </c>
      <c r="D47" s="262"/>
      <c r="E47" s="263"/>
      <c r="F47" s="262"/>
    </row>
    <row r="48" spans="1:7" ht="19.5" customHeight="1">
      <c r="A48" s="156"/>
      <c r="B48" s="156" t="s">
        <v>38</v>
      </c>
      <c r="C48" s="160">
        <v>6</v>
      </c>
      <c r="D48" s="270">
        <v>100000</v>
      </c>
      <c r="E48" s="263"/>
      <c r="F48" s="270">
        <v>100000</v>
      </c>
      <c r="G48" s="156">
        <v>101</v>
      </c>
    </row>
    <row r="49" spans="1:6" ht="19.5" customHeight="1">
      <c r="A49" s="156"/>
      <c r="B49" s="156" t="s">
        <v>93</v>
      </c>
      <c r="C49" s="275"/>
      <c r="D49" s="270"/>
      <c r="E49" s="263"/>
      <c r="F49" s="270"/>
    </row>
    <row r="50" spans="1:6" ht="19.5" customHeight="1">
      <c r="A50" s="156"/>
      <c r="B50" s="156" t="s">
        <v>66</v>
      </c>
      <c r="D50" s="262"/>
      <c r="E50" s="263"/>
      <c r="F50" s="262"/>
    </row>
    <row r="51" spans="1:7" ht="19.5" customHeight="1">
      <c r="A51" s="156"/>
      <c r="B51" s="156" t="s">
        <v>67</v>
      </c>
      <c r="C51" s="160">
        <v>6</v>
      </c>
      <c r="D51" s="262">
        <v>10000</v>
      </c>
      <c r="E51" s="263"/>
      <c r="F51" s="262">
        <v>10000</v>
      </c>
      <c r="G51" s="156">
        <v>1061</v>
      </c>
    </row>
    <row r="52" spans="1:7" ht="19.5" customHeight="1">
      <c r="A52" s="156"/>
      <c r="B52" s="156" t="s">
        <v>9</v>
      </c>
      <c r="C52" s="160">
        <v>6</v>
      </c>
      <c r="D52" s="276"/>
      <c r="E52" s="263"/>
      <c r="F52" s="276">
        <f>71358957.42</f>
        <v>71358957.42</v>
      </c>
      <c r="G52" s="156">
        <v>107</v>
      </c>
    </row>
    <row r="53" spans="1:6" ht="19.5" customHeight="1">
      <c r="A53" s="156"/>
      <c r="B53" s="156" t="s">
        <v>68</v>
      </c>
      <c r="C53" s="160">
        <v>6</v>
      </c>
      <c r="D53" s="276"/>
      <c r="E53" s="263"/>
      <c r="F53" s="276"/>
    </row>
    <row r="54" spans="1:7" ht="19.5" customHeight="1">
      <c r="A54" s="156"/>
      <c r="B54" s="156" t="s">
        <v>102</v>
      </c>
      <c r="C54" s="160">
        <v>6</v>
      </c>
      <c r="D54" s="263">
        <v>21923727</v>
      </c>
      <c r="E54" s="263"/>
      <c r="F54" s="263">
        <f>'ardh-shpenz'!F26</f>
        <v>27405931.449999988</v>
      </c>
      <c r="G54" s="156">
        <v>121</v>
      </c>
    </row>
    <row r="55" spans="1:6" ht="19.5" customHeight="1" thickBot="1">
      <c r="A55" s="156"/>
      <c r="D55" s="266">
        <f>SUM(D48:D54)</f>
        <v>22033727</v>
      </c>
      <c r="E55" s="263"/>
      <c r="F55" s="266">
        <f>SUM(F48:F54)</f>
        <v>98874888.86999999</v>
      </c>
    </row>
    <row r="56" spans="1:6" ht="19.5" customHeight="1" thickTop="1">
      <c r="A56" s="156"/>
      <c r="D56" s="262"/>
      <c r="E56" s="263"/>
      <c r="F56" s="262"/>
    </row>
    <row r="57" spans="1:6" ht="19.5" customHeight="1">
      <c r="A57" s="258" t="s">
        <v>60</v>
      </c>
      <c r="D57" s="262"/>
      <c r="E57" s="263"/>
      <c r="F57" s="262"/>
    </row>
    <row r="58" spans="1:7" ht="19.5" customHeight="1">
      <c r="A58" s="156"/>
      <c r="B58" s="156" t="s">
        <v>61</v>
      </c>
      <c r="C58" s="160">
        <v>7</v>
      </c>
      <c r="D58" s="263">
        <f>41388000+16362213.47+21948430.6+3787397.93+18038556.95+50469768.84-D59</f>
        <v>93704154.32000002</v>
      </c>
      <c r="E58" s="263"/>
      <c r="F58" s="263">
        <f>28082335.93</f>
        <v>28082335.93</v>
      </c>
      <c r="G58" s="156">
        <v>162</v>
      </c>
    </row>
    <row r="59" spans="1:6" ht="19.5" customHeight="1">
      <c r="A59" s="156"/>
      <c r="B59" s="156" t="s">
        <v>62</v>
      </c>
      <c r="D59" s="263">
        <v>58290213.47</v>
      </c>
      <c r="E59" s="263"/>
      <c r="F59" s="263"/>
    </row>
    <row r="60" spans="1:6" ht="19.5" customHeight="1">
      <c r="A60" s="156"/>
      <c r="B60" s="156" t="s">
        <v>63</v>
      </c>
      <c r="D60" s="262"/>
      <c r="E60" s="263"/>
      <c r="F60" s="262"/>
    </row>
    <row r="61" spans="1:7" ht="19.5" customHeight="1">
      <c r="A61" s="156"/>
      <c r="B61" s="156" t="s">
        <v>57</v>
      </c>
      <c r="D61" s="263">
        <f>7044165+2039147.09</f>
        <v>9083312.09</v>
      </c>
      <c r="E61" s="263"/>
      <c r="F61" s="263">
        <f>10566243</f>
        <v>10566243</v>
      </c>
      <c r="G61" s="156">
        <v>487</v>
      </c>
    </row>
    <row r="62" spans="1:6" ht="19.5" customHeight="1">
      <c r="A62" s="156"/>
      <c r="D62" s="262"/>
      <c r="E62" s="263"/>
      <c r="F62" s="262"/>
    </row>
    <row r="63" spans="1:7" ht="19.5" customHeight="1" thickBot="1">
      <c r="A63" s="156"/>
      <c r="B63" s="260" t="s">
        <v>64</v>
      </c>
      <c r="D63" s="266">
        <f>SUM(D58:D62)</f>
        <v>161077679.88000003</v>
      </c>
      <c r="E63" s="263"/>
      <c r="F63" s="266">
        <f>SUM(F58:F62)</f>
        <v>38648578.93</v>
      </c>
      <c r="G63" s="260"/>
    </row>
    <row r="64" spans="1:6" ht="19.5" customHeight="1" thickTop="1">
      <c r="A64" s="156"/>
      <c r="D64" s="262"/>
      <c r="E64" s="263"/>
      <c r="F64" s="262"/>
    </row>
    <row r="65" spans="1:6" ht="19.5" customHeight="1">
      <c r="A65" s="156"/>
      <c r="D65" s="262"/>
      <c r="E65" s="263"/>
      <c r="F65" s="262"/>
    </row>
    <row r="66" spans="1:6" ht="19.5" customHeight="1">
      <c r="A66" s="156" t="s">
        <v>53</v>
      </c>
      <c r="D66" s="262"/>
      <c r="E66" s="263"/>
      <c r="F66" s="262"/>
    </row>
    <row r="67" spans="1:6" ht="19.5" customHeight="1">
      <c r="A67" s="156" t="s">
        <v>54</v>
      </c>
      <c r="D67" s="262"/>
      <c r="E67" s="263"/>
      <c r="F67" s="262"/>
    </row>
    <row r="68" spans="1:7" ht="19.5" customHeight="1">
      <c r="A68" s="156"/>
      <c r="B68" s="277" t="s">
        <v>99</v>
      </c>
      <c r="D68" s="262">
        <f>48277000.86</f>
        <v>48277000.86</v>
      </c>
      <c r="E68" s="263"/>
      <c r="F68" s="262">
        <f>39023210.93</f>
        <v>39023210.93</v>
      </c>
      <c r="G68" s="277">
        <v>161</v>
      </c>
    </row>
    <row r="69" spans="1:7" ht="19.5" customHeight="1">
      <c r="A69" s="156"/>
      <c r="B69" s="277" t="s">
        <v>100</v>
      </c>
      <c r="D69" s="262"/>
      <c r="E69" s="263"/>
      <c r="F69" s="262"/>
      <c r="G69" s="277"/>
    </row>
    <row r="70" spans="1:7" ht="19.5" customHeight="1">
      <c r="A70" s="156"/>
      <c r="B70" s="277" t="s">
        <v>55</v>
      </c>
      <c r="C70" s="160" t="s">
        <v>144</v>
      </c>
      <c r="D70" s="270">
        <f>150646705-52000*137.96</f>
        <v>143472785</v>
      </c>
      <c r="E70" s="263"/>
      <c r="F70" s="270">
        <f>55698927.27+19267</f>
        <v>55718194.27</v>
      </c>
      <c r="G70" s="277" t="s">
        <v>291</v>
      </c>
    </row>
    <row r="71" spans="1:7" ht="19.5" customHeight="1">
      <c r="A71" s="156"/>
      <c r="B71" s="277" t="s">
        <v>103</v>
      </c>
      <c r="C71" s="160" t="s">
        <v>144</v>
      </c>
      <c r="D71" s="270">
        <f>620465+5000</f>
        <v>625465</v>
      </c>
      <c r="E71" s="263"/>
      <c r="F71" s="270"/>
      <c r="G71" s="277"/>
    </row>
    <row r="72" spans="1:7" ht="19.5" customHeight="1">
      <c r="A72" s="156"/>
      <c r="B72" s="277" t="s">
        <v>134</v>
      </c>
      <c r="C72" s="160" t="s">
        <v>145</v>
      </c>
      <c r="D72" s="270">
        <f>203125+417177</f>
        <v>620302</v>
      </c>
      <c r="E72" s="263"/>
      <c r="F72" s="270">
        <f>837755.5+404612</f>
        <v>1242367.5</v>
      </c>
      <c r="G72" s="277" t="s">
        <v>292</v>
      </c>
    </row>
    <row r="73" spans="1:8" ht="19.5" customHeight="1">
      <c r="A73" s="156"/>
      <c r="B73" s="277" t="s">
        <v>475</v>
      </c>
      <c r="C73" s="160" t="s">
        <v>277</v>
      </c>
      <c r="D73" s="270">
        <f>66666302.23+22222100.75</f>
        <v>88888402.97999999</v>
      </c>
      <c r="E73" s="263"/>
      <c r="F73" s="270">
        <f>34754454.56+3087059.02+178572.62+150485+97875+122346-1285121+129708.9+174145.4-21374.51+37140000</f>
        <v>74528150.99000001</v>
      </c>
      <c r="G73" s="277" t="s">
        <v>294</v>
      </c>
      <c r="H73" s="278"/>
    </row>
    <row r="74" spans="1:7" ht="19.5" customHeight="1">
      <c r="A74" s="156"/>
      <c r="B74" s="277" t="s">
        <v>56</v>
      </c>
      <c r="C74" s="160" t="s">
        <v>278</v>
      </c>
      <c r="D74" s="270">
        <f>30671716.57</f>
        <v>30671716.57</v>
      </c>
      <c r="E74" s="263"/>
      <c r="F74" s="270">
        <f>475992.5+722874.93+820200+722758.26+4998800+193384.51</f>
        <v>7934010.2</v>
      </c>
      <c r="G74" s="277" t="s">
        <v>293</v>
      </c>
    </row>
    <row r="75" spans="1:6" ht="19.5" customHeight="1">
      <c r="A75" s="156"/>
      <c r="D75" s="262"/>
      <c r="E75" s="263"/>
      <c r="F75" s="262"/>
    </row>
    <row r="76" spans="1:6" ht="19.5" customHeight="1">
      <c r="A76" s="156"/>
      <c r="B76" s="156" t="s">
        <v>57</v>
      </c>
      <c r="D76" s="262"/>
      <c r="E76" s="263"/>
      <c r="F76" s="262"/>
    </row>
    <row r="77" spans="1:6" ht="19.5" customHeight="1">
      <c r="A77" s="156"/>
      <c r="B77" s="156" t="s">
        <v>58</v>
      </c>
      <c r="D77" s="262"/>
      <c r="E77" s="263"/>
      <c r="F77" s="262"/>
    </row>
    <row r="78" spans="1:6" ht="19.5" customHeight="1">
      <c r="A78" s="156"/>
      <c r="B78" s="156" t="s">
        <v>135</v>
      </c>
      <c r="D78" s="262"/>
      <c r="E78" s="263"/>
      <c r="F78" s="262"/>
    </row>
    <row r="79" spans="1:7" ht="19.5" customHeight="1" thickBot="1">
      <c r="A79" s="156"/>
      <c r="B79" s="260" t="s">
        <v>59</v>
      </c>
      <c r="D79" s="266">
        <f>SUM(D65:D77)</f>
        <v>312555672.41</v>
      </c>
      <c r="E79" s="263"/>
      <c r="F79" s="266">
        <f>SUM(F65:F77)</f>
        <v>178445933.89</v>
      </c>
      <c r="G79" s="260"/>
    </row>
    <row r="80" spans="1:6" ht="19.5" customHeight="1" thickTop="1">
      <c r="A80" s="156"/>
      <c r="D80" s="156"/>
      <c r="E80" s="156"/>
      <c r="F80" s="156"/>
    </row>
    <row r="81" spans="1:6" ht="19.5" customHeight="1">
      <c r="A81" s="156"/>
      <c r="D81" s="263"/>
      <c r="E81" s="263"/>
      <c r="F81" s="263"/>
    </row>
    <row r="82" spans="1:8" ht="19.5" customHeight="1">
      <c r="A82" s="156"/>
      <c r="B82" s="260" t="s">
        <v>70</v>
      </c>
      <c r="D82" s="272">
        <f>+D55+D63+D79+D78</f>
        <v>495667079.2900001</v>
      </c>
      <c r="E82" s="272"/>
      <c r="F82" s="272">
        <f>+F55+F63+F79+F78</f>
        <v>315969401.68999994</v>
      </c>
      <c r="G82" s="260"/>
      <c r="H82" s="278"/>
    </row>
    <row r="83" spans="4:6" ht="19.5" customHeight="1">
      <c r="D83" s="278"/>
      <c r="E83" s="278"/>
      <c r="F83" s="278"/>
    </row>
    <row r="84" spans="4:6" ht="19.5" customHeight="1">
      <c r="D84" s="278"/>
      <c r="E84" s="278"/>
      <c r="F84" s="278"/>
    </row>
    <row r="85" spans="4:6" ht="19.5" customHeight="1">
      <c r="D85" s="278">
        <f>D82-D42</f>
        <v>-0.1099998950958252</v>
      </c>
      <c r="E85" s="278"/>
      <c r="F85" s="278">
        <f>F82-F42</f>
        <v>0.419999897480011</v>
      </c>
    </row>
    <row r="86" spans="2:6" ht="19.5" customHeight="1">
      <c r="B86" s="78" t="s">
        <v>500</v>
      </c>
      <c r="C86" s="83"/>
      <c r="D86" s="81" t="s">
        <v>501</v>
      </c>
      <c r="E86" s="81"/>
      <c r="F86" s="278"/>
    </row>
    <row r="87" spans="2:7" ht="19.5" customHeight="1">
      <c r="B87" s="78" t="s">
        <v>503</v>
      </c>
      <c r="C87" s="83"/>
      <c r="D87" s="79" t="s">
        <v>502</v>
      </c>
      <c r="E87" s="79"/>
      <c r="G87" s="263"/>
    </row>
    <row r="90" spans="4:6" ht="19.5" customHeight="1">
      <c r="D90" s="278"/>
      <c r="F90" s="278"/>
    </row>
  </sheetData>
  <sheetProtection/>
  <mergeCells count="1">
    <mergeCell ref="A23:B23"/>
  </mergeCells>
  <printOptions/>
  <pageMargins left="1.28" right="0.21" top="0.4" bottom="0.36" header="0.26" footer="0.1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22">
      <selection activeCell="F31" sqref="F31"/>
    </sheetView>
  </sheetViews>
  <sheetFormatPr defaultColWidth="9.140625" defaultRowHeight="30" customHeight="1"/>
  <cols>
    <col min="1" max="1" width="8.00390625" style="79" customWidth="1"/>
    <col min="2" max="2" width="49.28125" style="79" customWidth="1"/>
    <col min="3" max="3" width="10.28125" style="146" customWidth="1"/>
    <col min="4" max="4" width="21.28125" style="79" customWidth="1"/>
    <col min="5" max="5" width="4.8515625" style="79" customWidth="1"/>
    <col min="6" max="6" width="21.28125" style="79" customWidth="1"/>
    <col min="7" max="7" width="11.7109375" style="79" customWidth="1"/>
    <col min="8" max="8" width="10.140625" style="79" bestFit="1" customWidth="1"/>
    <col min="9" max="16384" width="9.140625" style="79" customWidth="1"/>
  </cols>
  <sheetData>
    <row r="1" spans="1:6" ht="30" customHeight="1">
      <c r="A1" s="159" t="s">
        <v>146</v>
      </c>
      <c r="B1" s="156"/>
      <c r="C1" s="157"/>
      <c r="D1" s="158"/>
      <c r="E1" s="158"/>
      <c r="F1" s="158"/>
    </row>
    <row r="2" ht="30" customHeight="1">
      <c r="A2" s="147" t="s">
        <v>466</v>
      </c>
    </row>
    <row r="3" ht="30" customHeight="1">
      <c r="A3" s="147" t="s">
        <v>133</v>
      </c>
    </row>
    <row r="4" spans="3:6" ht="30" customHeight="1" thickBot="1">
      <c r="C4" s="146" t="s">
        <v>138</v>
      </c>
      <c r="D4" s="148" t="s">
        <v>328</v>
      </c>
      <c r="F4" s="148" t="s">
        <v>80</v>
      </c>
    </row>
    <row r="5" ht="30" customHeight="1" thickTop="1"/>
    <row r="6" spans="2:7" ht="30" customHeight="1">
      <c r="B6" s="75" t="s">
        <v>10</v>
      </c>
      <c r="C6" s="146" t="s">
        <v>279</v>
      </c>
      <c r="D6" s="80">
        <f>450150843.7+119309120.91+49759577.7+13074331+2153778+8301487.31</f>
        <v>642749138.62</v>
      </c>
      <c r="E6" s="80"/>
      <c r="F6" s="80">
        <f>365949945.74+44444228.38+29730586.27+1665859.4+6774062.62</f>
        <v>448564682.40999997</v>
      </c>
      <c r="G6" s="81"/>
    </row>
    <row r="7" spans="2:7" ht="30" customHeight="1">
      <c r="B7" s="75" t="s">
        <v>281</v>
      </c>
      <c r="D7" s="80">
        <v>3522078</v>
      </c>
      <c r="E7" s="80"/>
      <c r="F7" s="80">
        <v>3522081</v>
      </c>
      <c r="G7" s="81"/>
    </row>
    <row r="8" spans="2:7" ht="30" customHeight="1">
      <c r="B8" s="79" t="s">
        <v>71</v>
      </c>
      <c r="C8" s="146" t="s">
        <v>280</v>
      </c>
      <c r="D8" s="80">
        <f>329270+357272+19919959.83+6287328.87+278263.27+5655557.69+146883.25+2558426.34</f>
        <v>35532961.25</v>
      </c>
      <c r="E8" s="80"/>
      <c r="F8" s="80">
        <f>1107801.42+4700109.5+19995209.12+11275</f>
        <v>25814395.04</v>
      </c>
      <c r="G8" s="81"/>
    </row>
    <row r="9" spans="2:7" ht="30" customHeight="1">
      <c r="B9" s="149" t="s">
        <v>72</v>
      </c>
      <c r="D9" s="80"/>
      <c r="E9" s="80"/>
      <c r="F9" s="80"/>
      <c r="G9" s="81"/>
    </row>
    <row r="10" spans="2:7" ht="30" customHeight="1">
      <c r="B10" s="149" t="s">
        <v>73</v>
      </c>
      <c r="D10" s="80"/>
      <c r="E10" s="80"/>
      <c r="F10" s="80"/>
      <c r="G10" s="81"/>
    </row>
    <row r="11" spans="2:7" ht="30" customHeight="1">
      <c r="B11" s="79" t="s">
        <v>74</v>
      </c>
      <c r="C11" s="146">
        <v>9</v>
      </c>
      <c r="D11" s="80">
        <f>-tjera!D144</f>
        <v>-508475454.54</v>
      </c>
      <c r="E11" s="80"/>
      <c r="F11" s="80">
        <f>-337665844</f>
        <v>-337665844</v>
      </c>
      <c r="G11" s="81"/>
    </row>
    <row r="12" spans="2:7" ht="30" customHeight="1">
      <c r="B12" s="79" t="s">
        <v>75</v>
      </c>
      <c r="C12" s="146">
        <v>10</v>
      </c>
      <c r="D12" s="80">
        <f>-tjera!D196</f>
        <v>-59339274.03</v>
      </c>
      <c r="E12" s="80"/>
      <c r="F12" s="80">
        <v>-61659290</v>
      </c>
      <c r="G12" s="81"/>
    </row>
    <row r="13" spans="2:7" ht="30" customHeight="1">
      <c r="B13" s="79" t="s">
        <v>11</v>
      </c>
      <c r="C13" s="146">
        <v>11</v>
      </c>
      <c r="D13" s="80">
        <f>-('sigurimet pagat'!C16+'sigurimet pagat'!F16+tjera!D151)</f>
        <v>-28843199.5</v>
      </c>
      <c r="E13" s="80"/>
      <c r="F13" s="80">
        <v>-21448857</v>
      </c>
      <c r="G13" s="81"/>
    </row>
    <row r="14" spans="2:7" ht="30" customHeight="1">
      <c r="B14" s="79" t="s">
        <v>76</v>
      </c>
      <c r="D14" s="80">
        <f>-(17936469.2+4726795)</f>
        <v>-22663264.2</v>
      </c>
      <c r="E14" s="80"/>
      <c r="F14" s="80">
        <v>-18811102</v>
      </c>
      <c r="G14" s="81"/>
    </row>
    <row r="15" spans="1:7" s="78" customFormat="1" ht="30" customHeight="1" thickBot="1">
      <c r="A15" s="75" t="s">
        <v>77</v>
      </c>
      <c r="C15" s="83"/>
      <c r="D15" s="82">
        <f>SUM(D6:D14)</f>
        <v>62482985.59999998</v>
      </c>
      <c r="E15" s="84"/>
      <c r="F15" s="82">
        <f>SUM(F6:F14)</f>
        <v>38316065.44999999</v>
      </c>
      <c r="G15" s="81"/>
    </row>
    <row r="16" spans="2:6" s="78" customFormat="1" ht="30" customHeight="1" thickTop="1">
      <c r="B16" s="150"/>
      <c r="C16" s="83"/>
      <c r="D16" s="84"/>
      <c r="E16" s="84"/>
      <c r="F16" s="84"/>
    </row>
    <row r="17" spans="3:6" s="78" customFormat="1" ht="30" customHeight="1">
      <c r="C17" s="83"/>
      <c r="D17" s="84"/>
      <c r="E17" s="84"/>
      <c r="F17" s="84"/>
    </row>
    <row r="18" spans="2:6" ht="30" customHeight="1">
      <c r="B18" s="149" t="s">
        <v>78</v>
      </c>
      <c r="D18" s="80"/>
      <c r="E18" s="80"/>
      <c r="F18" s="80"/>
    </row>
    <row r="19" spans="2:6" ht="30" customHeight="1">
      <c r="B19" s="149" t="s">
        <v>79</v>
      </c>
      <c r="D19" s="151"/>
      <c r="E19" s="151"/>
      <c r="F19" s="151"/>
    </row>
    <row r="20" spans="2:7" ht="30" customHeight="1">
      <c r="B20" s="79" t="s">
        <v>12</v>
      </c>
      <c r="C20" s="146">
        <v>12</v>
      </c>
      <c r="D20" s="80">
        <f>-(6821.21+7935537+1335994.5+5346351.21+3263912.39+789480.57+682211.38+6167313.78+161752.52+4760254.71+1052079.85+2693690.63+4248000+1624644.3-1315657)+1638701.86+39021.19</f>
        <v>-37074664.00000001</v>
      </c>
      <c r="E20" s="80"/>
      <c r="F20" s="80">
        <f>-6795050+642338</f>
        <v>-6152712</v>
      </c>
      <c r="G20" s="81"/>
    </row>
    <row r="21" spans="4:8" ht="30" customHeight="1">
      <c r="D21" s="80"/>
      <c r="E21" s="80"/>
      <c r="F21" s="80"/>
      <c r="H21" s="81"/>
    </row>
    <row r="22" spans="2:8" s="78" customFormat="1" ht="30" customHeight="1" thickBot="1">
      <c r="B22" s="152" t="s">
        <v>13</v>
      </c>
      <c r="C22" s="153"/>
      <c r="D22" s="82">
        <f>SUM(D15:D21)</f>
        <v>25408321.59999997</v>
      </c>
      <c r="E22" s="84"/>
      <c r="F22" s="82">
        <f>SUM(F15:F21)</f>
        <v>32163353.449999988</v>
      </c>
      <c r="G22" s="114"/>
      <c r="H22" s="154"/>
    </row>
    <row r="23" spans="2:6" s="78" customFormat="1" ht="30" customHeight="1" thickTop="1">
      <c r="B23" s="150"/>
      <c r="C23" s="153"/>
      <c r="D23" s="84"/>
      <c r="E23" s="84"/>
      <c r="F23" s="84"/>
    </row>
    <row r="24" spans="2:8" s="78" customFormat="1" ht="30" customHeight="1">
      <c r="B24" s="150" t="s">
        <v>14</v>
      </c>
      <c r="C24" s="153"/>
      <c r="D24" s="84">
        <f>-2635638-848957</f>
        <v>-3484595</v>
      </c>
      <c r="E24" s="84"/>
      <c r="F24" s="84">
        <v>-4757422</v>
      </c>
      <c r="H24" s="114"/>
    </row>
    <row r="25" spans="2:6" s="78" customFormat="1" ht="30" customHeight="1">
      <c r="B25" s="150"/>
      <c r="C25" s="153"/>
      <c r="D25" s="84"/>
      <c r="E25" s="84"/>
      <c r="F25" s="84"/>
    </row>
    <row r="26" spans="2:6" s="78" customFormat="1" ht="30" customHeight="1" thickBot="1">
      <c r="B26" s="152" t="s">
        <v>15</v>
      </c>
      <c r="C26" s="83">
        <v>13</v>
      </c>
      <c r="D26" s="82">
        <f>SUM(D22:D25)</f>
        <v>21923726.59999997</v>
      </c>
      <c r="E26" s="84"/>
      <c r="F26" s="82">
        <f>SUM(F22:F25)</f>
        <v>27405931.449999988</v>
      </c>
    </row>
    <row r="27" spans="4:6" ht="30" customHeight="1" thickTop="1">
      <c r="D27" s="155"/>
      <c r="F27" s="155"/>
    </row>
    <row r="29" spans="2:4" ht="30" customHeight="1">
      <c r="B29" s="2" t="s">
        <v>500</v>
      </c>
      <c r="C29" s="83"/>
      <c r="D29" s="18" t="s">
        <v>501</v>
      </c>
    </row>
    <row r="30" spans="2:6" ht="30" customHeight="1">
      <c r="B30" s="2" t="s">
        <v>503</v>
      </c>
      <c r="C30" s="83"/>
      <c r="D30" s="1" t="s">
        <v>502</v>
      </c>
      <c r="F30" s="81"/>
    </row>
    <row r="31" spans="4:6" ht="30" customHeight="1">
      <c r="D31" s="155"/>
      <c r="F31" s="155"/>
    </row>
  </sheetData>
  <sheetProtection/>
  <printOptions/>
  <pageMargins left="0.83" right="1.54" top="1" bottom="1" header="0.5" footer="0.5"/>
  <pageSetup fitToHeight="1" fitToWidth="1" horizontalDpi="600" verticalDpi="600" orientation="portrait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B22" sqref="B22"/>
    </sheetView>
  </sheetViews>
  <sheetFormatPr defaultColWidth="9.140625" defaultRowHeight="12.75"/>
  <cols>
    <col min="1" max="1" width="5.8515625" style="1" customWidth="1"/>
    <col min="2" max="2" width="55.28125" style="1" customWidth="1"/>
    <col min="3" max="3" width="5.28125" style="1" customWidth="1"/>
    <col min="4" max="4" width="13.28125" style="14" customWidth="1"/>
    <col min="5" max="5" width="3.7109375" style="14" customWidth="1"/>
    <col min="6" max="6" width="13.28125" style="14" customWidth="1"/>
    <col min="7" max="16384" width="9.140625" style="1" customWidth="1"/>
  </cols>
  <sheetData>
    <row r="1" spans="1:6" s="2" customFormat="1" ht="15.75">
      <c r="A1" s="75"/>
      <c r="B1" s="78"/>
      <c r="D1" s="13"/>
      <c r="E1" s="13"/>
      <c r="F1" s="13"/>
    </row>
    <row r="2" spans="1:6" s="2" customFormat="1" ht="15">
      <c r="A2" s="77"/>
      <c r="D2" s="13"/>
      <c r="E2" s="13"/>
      <c r="F2" s="13"/>
    </row>
    <row r="3" spans="1:6" s="2" customFormat="1" ht="12.75">
      <c r="A3" s="9"/>
      <c r="D3" s="13"/>
      <c r="E3" s="13"/>
      <c r="F3" s="13"/>
    </row>
    <row r="4" spans="1:6" s="2" customFormat="1" ht="16.5">
      <c r="A4" s="76"/>
      <c r="C4" s="6"/>
      <c r="D4" s="11"/>
      <c r="E4" s="13"/>
      <c r="F4" s="11"/>
    </row>
    <row r="5" spans="2:6" s="2" customFormat="1" ht="13.5" thickBot="1">
      <c r="B5" s="6"/>
      <c r="C5" s="6"/>
      <c r="D5" s="15"/>
      <c r="E5" s="13"/>
      <c r="F5" s="15"/>
    </row>
    <row r="6" spans="1:6" s="2" customFormat="1" ht="13.5" thickTop="1">
      <c r="A6" s="3"/>
      <c r="C6" s="6"/>
      <c r="D6" s="11"/>
      <c r="E6" s="13"/>
      <c r="F6" s="11"/>
    </row>
    <row r="7" spans="3:6" s="2" customFormat="1" ht="12.75">
      <c r="C7" s="6"/>
      <c r="D7" s="16"/>
      <c r="E7" s="13"/>
      <c r="F7" s="16"/>
    </row>
    <row r="8" spans="3:6" s="2" customFormat="1" ht="12.75">
      <c r="C8" s="6"/>
      <c r="D8" s="11"/>
      <c r="E8" s="13"/>
      <c r="F8" s="11"/>
    </row>
    <row r="9" spans="3:6" s="2" customFormat="1" ht="12.75">
      <c r="C9" s="6"/>
      <c r="D9" s="11"/>
      <c r="E9" s="13"/>
      <c r="F9" s="11"/>
    </row>
    <row r="10" spans="3:6" s="2" customFormat="1" ht="12.75">
      <c r="C10" s="6"/>
      <c r="D10" s="11"/>
      <c r="E10" s="13"/>
      <c r="F10" s="11"/>
    </row>
    <row r="11" spans="3:6" s="2" customFormat="1" ht="12.75">
      <c r="C11" s="6"/>
      <c r="D11" s="11"/>
      <c r="E11" s="13"/>
      <c r="F11" s="12"/>
    </row>
    <row r="12" spans="3:6" s="2" customFormat="1" ht="12.75">
      <c r="C12" s="6"/>
      <c r="D12" s="11"/>
      <c r="E12" s="13"/>
      <c r="F12" s="11"/>
    </row>
    <row r="13" spans="2:6" s="2" customFormat="1" ht="12.75">
      <c r="B13" s="6"/>
      <c r="C13" s="6"/>
      <c r="D13" s="11"/>
      <c r="E13" s="13"/>
      <c r="F13" s="11"/>
    </row>
    <row r="14" spans="2:6" s="2" customFormat="1" ht="12.75">
      <c r="B14" s="4"/>
      <c r="D14" s="13"/>
      <c r="E14" s="11"/>
      <c r="F14" s="13"/>
    </row>
    <row r="15" spans="4:6" s="2" customFormat="1" ht="12.75">
      <c r="D15" s="13"/>
      <c r="E15" s="11"/>
      <c r="F15" s="11"/>
    </row>
    <row r="16" spans="4:6" s="2" customFormat="1" ht="12.75">
      <c r="D16" s="11"/>
      <c r="E16" s="11"/>
      <c r="F16" s="11"/>
    </row>
    <row r="17" spans="4:9" s="2" customFormat="1" ht="12.75">
      <c r="D17" s="19"/>
      <c r="E17" s="11"/>
      <c r="F17" s="13"/>
      <c r="I17" s="25"/>
    </row>
    <row r="18" spans="2:6" s="2" customFormat="1" ht="12.75">
      <c r="B18" s="3"/>
      <c r="D18" s="20"/>
      <c r="E18" s="11"/>
      <c r="F18" s="20"/>
    </row>
    <row r="19" spans="4:6" s="2" customFormat="1" ht="12.75" customHeight="1">
      <c r="D19" s="11"/>
      <c r="E19" s="11"/>
      <c r="F19" s="11"/>
    </row>
    <row r="20" spans="4:8" s="2" customFormat="1" ht="12.75" customHeight="1">
      <c r="D20" s="11"/>
      <c r="E20" s="11"/>
      <c r="F20" s="11"/>
      <c r="H20" s="10"/>
    </row>
    <row r="21" spans="4:6" s="2" customFormat="1" ht="12.75">
      <c r="D21" s="11"/>
      <c r="E21" s="11"/>
      <c r="F21" s="11"/>
    </row>
    <row r="22" spans="1:6" s="2" customFormat="1" ht="12.75">
      <c r="A22" s="7"/>
      <c r="D22" s="13"/>
      <c r="E22" s="13"/>
      <c r="F22" s="13"/>
    </row>
    <row r="23" spans="1:6" s="2" customFormat="1" ht="12.75">
      <c r="A23" s="7"/>
      <c r="D23" s="13"/>
      <c r="E23" s="11"/>
      <c r="F23" s="13"/>
    </row>
    <row r="24" spans="4:6" s="2" customFormat="1" ht="12.75">
      <c r="D24" s="13"/>
      <c r="E24" s="11"/>
      <c r="F24" s="13"/>
    </row>
    <row r="25" spans="4:6" s="2" customFormat="1" ht="12.75">
      <c r="D25" s="11"/>
      <c r="E25" s="11"/>
      <c r="F25" s="11"/>
    </row>
    <row r="26" spans="4:6" s="2" customFormat="1" ht="12.75">
      <c r="D26" s="11"/>
      <c r="E26" s="11"/>
      <c r="F26" s="11"/>
    </row>
    <row r="27" spans="4:6" s="2" customFormat="1" ht="12.75" customHeight="1">
      <c r="D27" s="11"/>
      <c r="E27" s="11"/>
      <c r="F27" s="11"/>
    </row>
    <row r="28" spans="4:6" s="2" customFormat="1" ht="12.75" customHeight="1">
      <c r="D28" s="11"/>
      <c r="E28" s="11"/>
      <c r="F28" s="11"/>
    </row>
    <row r="29" spans="2:6" s="2" customFormat="1" ht="12.75">
      <c r="B29" s="6"/>
      <c r="C29" s="6"/>
      <c r="D29" s="11"/>
      <c r="E29" s="11"/>
      <c r="F29" s="11"/>
    </row>
    <row r="30" spans="2:6" s="2" customFormat="1" ht="12.75">
      <c r="B30" s="8"/>
      <c r="D30" s="21"/>
      <c r="E30" s="11"/>
      <c r="F30" s="21"/>
    </row>
    <row r="31" spans="2:6" s="2" customFormat="1" ht="12.75">
      <c r="B31" s="6"/>
      <c r="C31" s="6"/>
      <c r="D31" s="11"/>
      <c r="E31" s="11"/>
      <c r="F31" s="11"/>
    </row>
    <row r="32" spans="4:6" s="2" customFormat="1" ht="12.75">
      <c r="D32" s="13"/>
      <c r="E32" s="11"/>
      <c r="F32" s="13"/>
    </row>
    <row r="33" spans="4:6" s="2" customFormat="1" ht="12.75">
      <c r="D33" s="13"/>
      <c r="E33" s="11"/>
      <c r="F33" s="13"/>
    </row>
    <row r="34" spans="4:6" s="2" customFormat="1" ht="12.75">
      <c r="D34" s="11"/>
      <c r="E34" s="11"/>
      <c r="F34" s="11"/>
    </row>
    <row r="35" spans="4:6" s="2" customFormat="1" ht="12.75">
      <c r="D35" s="11"/>
      <c r="E35" s="11"/>
      <c r="F35" s="11"/>
    </row>
    <row r="36" spans="4:6" s="2" customFormat="1" ht="12.75" customHeight="1">
      <c r="D36" s="11"/>
      <c r="E36" s="11"/>
      <c r="F36" s="11"/>
    </row>
    <row r="37" spans="2:6" s="2" customFormat="1" ht="12.75">
      <c r="B37" s="6"/>
      <c r="C37" s="6"/>
      <c r="D37" s="11"/>
      <c r="E37" s="11"/>
      <c r="F37" s="11"/>
    </row>
    <row r="38" spans="2:6" s="2" customFormat="1" ht="12.75">
      <c r="B38" s="8"/>
      <c r="D38" s="21"/>
      <c r="E38" s="11"/>
      <c r="F38" s="21"/>
    </row>
    <row r="39" spans="2:6" s="2" customFormat="1" ht="12.75">
      <c r="B39" s="6"/>
      <c r="C39" s="6"/>
      <c r="D39" s="11"/>
      <c r="E39" s="11"/>
      <c r="F39" s="11"/>
    </row>
    <row r="40" spans="2:6" s="2" customFormat="1" ht="12.75">
      <c r="B40" s="7"/>
      <c r="D40" s="22"/>
      <c r="E40" s="11"/>
      <c r="F40" s="22"/>
    </row>
    <row r="41" spans="4:7" s="2" customFormat="1" ht="12.75">
      <c r="D41" s="11"/>
      <c r="E41" s="11"/>
      <c r="F41" s="11"/>
      <c r="G41" s="10"/>
    </row>
    <row r="42" spans="2:7" s="2" customFormat="1" ht="12.75">
      <c r="B42" s="7"/>
      <c r="D42" s="13"/>
      <c r="E42" s="13"/>
      <c r="F42" s="13"/>
      <c r="G42" s="10"/>
    </row>
    <row r="43" spans="2:7" s="2" customFormat="1" ht="12.75">
      <c r="B43" s="7"/>
      <c r="D43" s="13"/>
      <c r="E43" s="13"/>
      <c r="F43" s="13"/>
      <c r="G43" s="10"/>
    </row>
    <row r="44" spans="4:7" s="2" customFormat="1" ht="12.75">
      <c r="D44" s="13"/>
      <c r="E44" s="13"/>
      <c r="F44" s="13"/>
      <c r="G44" s="10"/>
    </row>
    <row r="45" spans="4:6" s="2" customFormat="1" ht="12.75">
      <c r="D45" s="13"/>
      <c r="E45" s="13"/>
      <c r="F45" s="1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5.8515625" style="1" customWidth="1"/>
    <col min="2" max="2" width="55.28125" style="1" customWidth="1"/>
    <col min="3" max="3" width="5.28125" style="1" customWidth="1"/>
    <col min="4" max="4" width="13.28125" style="14" customWidth="1"/>
    <col min="5" max="5" width="3.7109375" style="14" customWidth="1"/>
    <col min="6" max="6" width="13.28125" style="14" customWidth="1"/>
    <col min="7" max="7" width="9.140625" style="1" customWidth="1"/>
    <col min="8" max="8" width="9.57421875" style="1" bestFit="1" customWidth="1"/>
    <col min="9" max="16384" width="9.140625" style="1" customWidth="1"/>
  </cols>
  <sheetData>
    <row r="1" spans="1:6" s="2" customFormat="1" ht="15.75">
      <c r="A1" s="75" t="s">
        <v>147</v>
      </c>
      <c r="B1" s="78"/>
      <c r="D1" s="13"/>
      <c r="E1" s="13"/>
      <c r="F1" s="13"/>
    </row>
    <row r="2" spans="1:6" s="2" customFormat="1" ht="15">
      <c r="A2" s="77" t="s">
        <v>25</v>
      </c>
      <c r="D2" s="13"/>
      <c r="E2" s="13"/>
      <c r="F2" s="13"/>
    </row>
    <row r="3" spans="1:6" s="2" customFormat="1" ht="12.75">
      <c r="A3" s="9" t="s">
        <v>467</v>
      </c>
      <c r="D3" s="13"/>
      <c r="E3" s="13"/>
      <c r="F3" s="13"/>
    </row>
    <row r="4" spans="1:6" s="2" customFormat="1" ht="16.5">
      <c r="A4" s="76" t="s">
        <v>133</v>
      </c>
      <c r="C4" s="6"/>
      <c r="D4" s="11"/>
      <c r="E4" s="13"/>
      <c r="F4" s="11"/>
    </row>
    <row r="5" spans="2:6" s="2" customFormat="1" ht="13.5" thickBot="1">
      <c r="B5" s="6"/>
      <c r="C5" s="6"/>
      <c r="D5" s="15" t="s">
        <v>468</v>
      </c>
      <c r="E5" s="13"/>
      <c r="F5" s="15" t="s">
        <v>92</v>
      </c>
    </row>
    <row r="6" spans="1:6" s="2" customFormat="1" ht="13.5" thickTop="1">
      <c r="A6" s="3" t="s">
        <v>26</v>
      </c>
      <c r="C6" s="6"/>
      <c r="D6" s="11"/>
      <c r="E6" s="13"/>
      <c r="F6" s="11"/>
    </row>
    <row r="7" spans="2:6" s="2" customFormat="1" ht="12.75">
      <c r="B7" s="2" t="s">
        <v>27</v>
      </c>
      <c r="C7" s="6"/>
      <c r="D7" s="16">
        <f>+'ardh-shpenz'!D22</f>
        <v>25408321.59999997</v>
      </c>
      <c r="E7" s="13"/>
      <c r="F7" s="16">
        <f>+'ardh-shpenz'!F22</f>
        <v>32163353.449999988</v>
      </c>
    </row>
    <row r="8" spans="2:6" s="2" customFormat="1" ht="12.75">
      <c r="B8" s="2" t="s">
        <v>28</v>
      </c>
      <c r="C8" s="6"/>
      <c r="D8" s="11"/>
      <c r="E8" s="13"/>
      <c r="F8" s="11"/>
    </row>
    <row r="9" spans="2:6" s="2" customFormat="1" ht="12.75">
      <c r="B9" s="2" t="s">
        <v>29</v>
      </c>
      <c r="C9" s="6"/>
      <c r="D9" s="11">
        <f>-'ardh-shpenz'!D14</f>
        <v>22663264.2</v>
      </c>
      <c r="E9" s="13"/>
      <c r="F9" s="11">
        <f>-'ardh-shpenz'!F14</f>
        <v>18811102</v>
      </c>
    </row>
    <row r="10" spans="2:6" s="2" customFormat="1" ht="12.75">
      <c r="B10" s="2" t="s">
        <v>283</v>
      </c>
      <c r="C10" s="6"/>
      <c r="D10" s="11">
        <f>'BK'!D35-'BK'!F35+'BK'!D78-'BK'!F78</f>
        <v>0</v>
      </c>
      <c r="E10" s="13"/>
      <c r="F10" s="11"/>
    </row>
    <row r="11" spans="2:6" s="2" customFormat="1" ht="12.75">
      <c r="B11" s="2" t="s">
        <v>30</v>
      </c>
      <c r="C11" s="6"/>
      <c r="D11" s="11"/>
      <c r="E11" s="13"/>
      <c r="F11" s="12"/>
    </row>
    <row r="12" spans="2:6" s="2" customFormat="1" ht="12.75">
      <c r="B12" s="2" t="s">
        <v>31</v>
      </c>
      <c r="C12" s="6"/>
      <c r="D12" s="11"/>
      <c r="E12" s="13"/>
      <c r="F12" s="11"/>
    </row>
    <row r="13" spans="2:6" s="2" customFormat="1" ht="12.75">
      <c r="B13" s="6"/>
      <c r="C13" s="6"/>
      <c r="D13" s="11"/>
      <c r="E13" s="13"/>
      <c r="F13" s="11"/>
    </row>
    <row r="14" spans="2:6" s="2" customFormat="1" ht="25.5">
      <c r="B14" s="4" t="s">
        <v>81</v>
      </c>
      <c r="D14" s="13">
        <f>'BK'!F28-'BK'!D28+'BK'!F38-'BK'!D38</f>
        <v>-64042621.22</v>
      </c>
      <c r="E14" s="11"/>
      <c r="F14" s="13">
        <v>3042622</v>
      </c>
    </row>
    <row r="15" spans="4:6" s="2" customFormat="1" ht="12.75">
      <c r="D15" s="13"/>
      <c r="E15" s="11"/>
      <c r="F15" s="11"/>
    </row>
    <row r="16" spans="2:6" s="2" customFormat="1" ht="12.75">
      <c r="B16" s="2" t="s">
        <v>32</v>
      </c>
      <c r="D16" s="11">
        <f>'BK'!F21-'BK'!D21</f>
        <v>-35935474.24999997</v>
      </c>
      <c r="E16" s="11"/>
      <c r="F16" s="11">
        <v>-48454299</v>
      </c>
    </row>
    <row r="17" spans="2:9" s="2" customFormat="1" ht="12.75">
      <c r="B17" s="2" t="s">
        <v>139</v>
      </c>
      <c r="D17" s="19">
        <f>'BK'!D79-'BK'!F79-D20+'ardh-shpenz'!D24</f>
        <v>135125143.52000004</v>
      </c>
      <c r="E17" s="11"/>
      <c r="F17" s="13">
        <v>24952921</v>
      </c>
      <c r="H17" s="10"/>
      <c r="I17" s="25"/>
    </row>
    <row r="18" spans="2:6" s="2" customFormat="1" ht="12.75">
      <c r="B18" s="3" t="s">
        <v>33</v>
      </c>
      <c r="D18" s="282">
        <f>SUM(D7:D17)</f>
        <v>83218633.85000004</v>
      </c>
      <c r="E18" s="11"/>
      <c r="F18" s="20">
        <f>SUM(F7:F17)</f>
        <v>30515699.449999988</v>
      </c>
    </row>
    <row r="19" spans="2:6" s="2" customFormat="1" ht="12.75" customHeight="1">
      <c r="B19" s="2" t="s">
        <v>16</v>
      </c>
      <c r="D19" s="11"/>
      <c r="E19" s="11"/>
      <c r="F19" s="11"/>
    </row>
    <row r="20" spans="2:8" s="2" customFormat="1" ht="12.75" customHeight="1">
      <c r="B20" s="2" t="s">
        <v>17</v>
      </c>
      <c r="D20" s="11">
        <v>-4500000</v>
      </c>
      <c r="E20" s="11"/>
      <c r="F20" s="11">
        <v>-9372822</v>
      </c>
      <c r="H20" s="10"/>
    </row>
    <row r="21" spans="4:6" s="2" customFormat="1" ht="12.75">
      <c r="D21" s="11"/>
      <c r="E21" s="11"/>
      <c r="F21" s="11"/>
    </row>
    <row r="22" spans="1:6" s="2" customFormat="1" ht="12.75">
      <c r="A22" s="7" t="s">
        <v>18</v>
      </c>
      <c r="D22" s="281">
        <f>D18+D19+D20</f>
        <v>78718633.85000004</v>
      </c>
      <c r="E22" s="13">
        <f>E18+E19+E20</f>
        <v>0</v>
      </c>
      <c r="F22" s="13">
        <f>F18+F19+F20</f>
        <v>21142877.449999988</v>
      </c>
    </row>
    <row r="23" spans="1:6" s="2" customFormat="1" ht="12.75">
      <c r="A23" s="7"/>
      <c r="D23" s="13"/>
      <c r="E23" s="11"/>
      <c r="F23" s="13"/>
    </row>
    <row r="24" spans="2:6" s="2" customFormat="1" ht="12.75">
      <c r="B24" s="2" t="s">
        <v>34</v>
      </c>
      <c r="D24" s="13"/>
      <c r="E24" s="11"/>
      <c r="F24" s="13"/>
    </row>
    <row r="25" spans="2:6" s="2" customFormat="1" ht="12.75">
      <c r="B25" s="2" t="s">
        <v>104</v>
      </c>
      <c r="D25" s="11">
        <f>-'BK'!D8+'BK'!F8+'ardh-shpenz'!D14</f>
        <v>-76096970.41</v>
      </c>
      <c r="E25" s="11"/>
      <c r="F25" s="11">
        <v>-9126610</v>
      </c>
    </row>
    <row r="26" spans="2:6" s="2" customFormat="1" ht="12.75">
      <c r="B26" s="2" t="s">
        <v>35</v>
      </c>
      <c r="D26" s="11"/>
      <c r="E26" s="11"/>
      <c r="F26" s="11"/>
    </row>
    <row r="27" spans="2:6" s="2" customFormat="1" ht="12.75" customHeight="1">
      <c r="B27" s="2" t="s">
        <v>19</v>
      </c>
      <c r="D27" s="11"/>
      <c r="E27" s="11"/>
      <c r="F27" s="11"/>
    </row>
    <row r="28" spans="2:6" s="2" customFormat="1" ht="12.75" customHeight="1">
      <c r="B28" s="2" t="s">
        <v>20</v>
      </c>
      <c r="D28" s="11"/>
      <c r="E28" s="11"/>
      <c r="F28" s="11"/>
    </row>
    <row r="29" spans="2:6" s="2" customFormat="1" ht="12.75">
      <c r="B29" s="6"/>
      <c r="C29" s="6"/>
      <c r="D29" s="11"/>
      <c r="E29" s="11"/>
      <c r="F29" s="11"/>
    </row>
    <row r="30" spans="2:6" s="2" customFormat="1" ht="12.75">
      <c r="B30" s="8" t="s">
        <v>82</v>
      </c>
      <c r="D30" s="283">
        <f>SUM(D24:D29)</f>
        <v>-76096970.41</v>
      </c>
      <c r="E30" s="11"/>
      <c r="F30" s="21">
        <f>SUM(F24:F29)</f>
        <v>-9126610</v>
      </c>
    </row>
    <row r="31" spans="2:6" s="2" customFormat="1" ht="12.75">
      <c r="B31" s="6"/>
      <c r="C31" s="6"/>
      <c r="D31" s="11"/>
      <c r="E31" s="11"/>
      <c r="F31" s="11"/>
    </row>
    <row r="32" spans="2:6" s="2" customFormat="1" ht="12.75">
      <c r="B32" s="2" t="s">
        <v>84</v>
      </c>
      <c r="D32" s="13"/>
      <c r="E32" s="11"/>
      <c r="F32" s="13"/>
    </row>
    <row r="33" spans="2:6" s="2" customFormat="1" ht="12.75">
      <c r="B33" s="2" t="s">
        <v>21</v>
      </c>
      <c r="D33" s="13"/>
      <c r="E33" s="11"/>
      <c r="F33" s="13"/>
    </row>
    <row r="34" spans="2:6" s="2" customFormat="1" ht="12.75">
      <c r="B34" s="2" t="s">
        <v>36</v>
      </c>
      <c r="D34" s="11">
        <f>'BK'!D63-'BK'!F63</f>
        <v>122429100.95000002</v>
      </c>
      <c r="E34" s="11"/>
      <c r="F34" s="11">
        <v>-11088982</v>
      </c>
    </row>
    <row r="35" spans="2:6" s="2" customFormat="1" ht="12.75">
      <c r="B35" s="2" t="s">
        <v>22</v>
      </c>
      <c r="D35" s="11"/>
      <c r="E35" s="11"/>
      <c r="F35" s="11"/>
    </row>
    <row r="36" spans="2:6" s="2" customFormat="1" ht="12.75" customHeight="1">
      <c r="B36" s="2" t="s">
        <v>37</v>
      </c>
      <c r="D36" s="11">
        <v>-98764896</v>
      </c>
      <c r="E36" s="11"/>
      <c r="F36" s="11"/>
    </row>
    <row r="37" spans="2:6" s="2" customFormat="1" ht="12.75">
      <c r="B37" s="6" t="s">
        <v>282</v>
      </c>
      <c r="C37" s="6"/>
      <c r="D37" s="11"/>
      <c r="E37" s="11"/>
      <c r="F37" s="11">
        <v>-2807822</v>
      </c>
    </row>
    <row r="38" spans="2:6" s="2" customFormat="1" ht="12.75">
      <c r="B38" s="8" t="s">
        <v>140</v>
      </c>
      <c r="D38" s="283">
        <f>SUM(D32:D37)</f>
        <v>23664204.950000018</v>
      </c>
      <c r="E38" s="11"/>
      <c r="F38" s="21">
        <f>SUM(F32:F37)</f>
        <v>-13896804</v>
      </c>
    </row>
    <row r="39" spans="2:6" s="2" customFormat="1" ht="12.75">
      <c r="B39" s="6"/>
      <c r="C39" s="6"/>
      <c r="D39" s="11"/>
      <c r="E39" s="11"/>
      <c r="F39" s="11"/>
    </row>
    <row r="40" spans="2:6" s="2" customFormat="1" ht="12.75">
      <c r="B40" s="7" t="s">
        <v>23</v>
      </c>
      <c r="D40" s="22">
        <f>D18+D19+D20+D30+D38</f>
        <v>26285868.39000006</v>
      </c>
      <c r="E40" s="11"/>
      <c r="F40" s="22">
        <f>F18+F19+F20+F30+F38</f>
        <v>-1880536.550000012</v>
      </c>
    </row>
    <row r="41" spans="4:7" s="2" customFormat="1" ht="12.75">
      <c r="D41" s="11"/>
      <c r="E41" s="11"/>
      <c r="F41" s="11"/>
      <c r="G41" s="10"/>
    </row>
    <row r="42" spans="2:7" s="2" customFormat="1" ht="12.75">
      <c r="B42" s="7" t="s">
        <v>83</v>
      </c>
      <c r="D42" s="13">
        <f>+'BK'!F30</f>
        <v>20812456.25</v>
      </c>
      <c r="E42" s="13"/>
      <c r="F42" s="13">
        <v>22692993</v>
      </c>
      <c r="G42" s="10"/>
    </row>
    <row r="43" spans="2:7" s="2" customFormat="1" ht="12.75">
      <c r="B43" s="7" t="s">
        <v>24</v>
      </c>
      <c r="D43" s="13">
        <f>+'BK'!D30</f>
        <v>47098332.7</v>
      </c>
      <c r="E43" s="13"/>
      <c r="F43" s="13">
        <f>'BK'!F30</f>
        <v>20812456.25</v>
      </c>
      <c r="G43" s="10"/>
    </row>
    <row r="44" spans="4:7" s="2" customFormat="1" ht="12.75">
      <c r="D44" s="13"/>
      <c r="E44" s="13"/>
      <c r="F44" s="13"/>
      <c r="G44" s="10"/>
    </row>
    <row r="45" spans="4:6" s="2" customFormat="1" ht="12.75">
      <c r="D45" s="13"/>
      <c r="E45" s="13"/>
      <c r="F45" s="13"/>
    </row>
    <row r="47" spans="2:4" ht="15.75">
      <c r="B47" s="78" t="s">
        <v>500</v>
      </c>
      <c r="C47" s="83"/>
      <c r="D47" s="81" t="s">
        <v>501</v>
      </c>
    </row>
    <row r="48" spans="2:4" ht="15.75">
      <c r="B48" s="78" t="s">
        <v>503</v>
      </c>
      <c r="C48" s="83"/>
      <c r="D48" s="79" t="s">
        <v>502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3">
      <selection activeCell="B26" sqref="B26:D27"/>
    </sheetView>
  </sheetViews>
  <sheetFormatPr defaultColWidth="9.140625" defaultRowHeight="12.75"/>
  <cols>
    <col min="1" max="1" width="12.57421875" style="1" customWidth="1"/>
    <col min="2" max="2" width="12.57421875" style="18" customWidth="1"/>
    <col min="3" max="3" width="10.421875" style="18" customWidth="1"/>
    <col min="4" max="4" width="12.57421875" style="18" customWidth="1"/>
    <col min="5" max="5" width="9.7109375" style="18" customWidth="1"/>
    <col min="6" max="6" width="12.57421875" style="18" customWidth="1"/>
    <col min="7" max="7" width="7.57421875" style="18" customWidth="1"/>
    <col min="8" max="9" width="12.57421875" style="18" customWidth="1"/>
    <col min="10" max="16384" width="12.57421875" style="1" customWidth="1"/>
  </cols>
  <sheetData>
    <row r="1" spans="1:2" ht="15.75">
      <c r="A1" s="75" t="s">
        <v>147</v>
      </c>
      <c r="B1" s="78"/>
    </row>
    <row r="2" ht="16.5">
      <c r="A2" s="76" t="s">
        <v>400</v>
      </c>
    </row>
    <row r="3" ht="16.5">
      <c r="A3" s="76" t="s">
        <v>133</v>
      </c>
    </row>
    <row r="4" spans="2:9" s="2" customFormat="1" ht="38.25">
      <c r="B4" s="24" t="s">
        <v>89</v>
      </c>
      <c r="C4" s="24"/>
      <c r="D4" s="24" t="s">
        <v>90</v>
      </c>
      <c r="E4" s="24"/>
      <c r="F4" s="24" t="s">
        <v>91</v>
      </c>
      <c r="G4" s="24"/>
      <c r="H4" s="24" t="s">
        <v>2</v>
      </c>
      <c r="I4" s="25"/>
    </row>
    <row r="5" spans="1:9" s="2" customFormat="1" ht="12.75">
      <c r="A5" s="6"/>
      <c r="B5" s="26"/>
      <c r="C5" s="26"/>
      <c r="D5" s="26"/>
      <c r="E5" s="26"/>
      <c r="F5" s="26"/>
      <c r="G5" s="26"/>
      <c r="H5" s="26"/>
      <c r="I5" s="25"/>
    </row>
    <row r="6" spans="1:9" s="2" customFormat="1" ht="38.25">
      <c r="A6" s="5" t="s">
        <v>417</v>
      </c>
      <c r="B6" s="27">
        <v>100000</v>
      </c>
      <c r="C6" s="28"/>
      <c r="D6" s="27"/>
      <c r="E6" s="28"/>
      <c r="F6" s="27">
        <v>74176780</v>
      </c>
      <c r="G6" s="28"/>
      <c r="H6" s="27">
        <f>B6+D6+F6</f>
        <v>74276780</v>
      </c>
      <c r="I6" s="25"/>
    </row>
    <row r="7" spans="1:9" s="2" customFormat="1" ht="12.75">
      <c r="A7" s="5"/>
      <c r="B7" s="28"/>
      <c r="C7" s="28"/>
      <c r="D7" s="28"/>
      <c r="E7" s="28"/>
      <c r="F7" s="28"/>
      <c r="G7" s="28"/>
      <c r="H7" s="28"/>
      <c r="I7" s="25"/>
    </row>
    <row r="8" spans="1:9" s="2" customFormat="1" ht="51">
      <c r="A8" s="6" t="s">
        <v>85</v>
      </c>
      <c r="B8" s="29"/>
      <c r="C8" s="29"/>
      <c r="D8" s="29"/>
      <c r="E8" s="29"/>
      <c r="F8" s="28">
        <f>-2807822</f>
        <v>-2807822</v>
      </c>
      <c r="G8" s="28"/>
      <c r="H8" s="28">
        <f>SUM(B8:G8)</f>
        <v>-2807822</v>
      </c>
      <c r="I8" s="25"/>
    </row>
    <row r="9" spans="1:9" s="2" customFormat="1" ht="25.5">
      <c r="A9" s="6" t="s">
        <v>86</v>
      </c>
      <c r="B9" s="28"/>
      <c r="C9" s="28"/>
      <c r="D9" s="28"/>
      <c r="E9" s="28"/>
      <c r="F9" s="28"/>
      <c r="G9" s="28"/>
      <c r="H9" s="28"/>
      <c r="I9" s="25"/>
    </row>
    <row r="10" spans="1:9" s="2" customFormat="1" ht="38.25">
      <c r="A10" s="6" t="s">
        <v>87</v>
      </c>
      <c r="B10" s="29"/>
      <c r="C10" s="29"/>
      <c r="D10" s="29"/>
      <c r="E10" s="29"/>
      <c r="F10" s="28">
        <f>+'ardh-shpenz'!F26</f>
        <v>27405931.449999988</v>
      </c>
      <c r="G10" s="28"/>
      <c r="H10" s="28">
        <f>+F10</f>
        <v>27405931.449999988</v>
      </c>
      <c r="I10" s="25"/>
    </row>
    <row r="11" spans="1:9" s="2" customFormat="1" ht="25.5">
      <c r="A11" s="6" t="s">
        <v>37</v>
      </c>
      <c r="B11" s="29"/>
      <c r="C11" s="29"/>
      <c r="D11" s="29"/>
      <c r="E11" s="29"/>
      <c r="F11" s="28"/>
      <c r="G11" s="28"/>
      <c r="H11" s="28">
        <f>+F11</f>
        <v>0</v>
      </c>
      <c r="I11" s="25"/>
    </row>
    <row r="12" spans="1:9" s="2" customFormat="1" ht="38.25">
      <c r="A12" s="6" t="s">
        <v>88</v>
      </c>
      <c r="B12" s="29"/>
      <c r="C12" s="29"/>
      <c r="D12" s="28">
        <v>71368957</v>
      </c>
      <c r="E12" s="28"/>
      <c r="F12" s="28">
        <v>-71368957</v>
      </c>
      <c r="G12" s="28"/>
      <c r="H12" s="28">
        <f>+F12+D12</f>
        <v>0</v>
      </c>
      <c r="I12" s="25"/>
    </row>
    <row r="13" spans="1:9" s="2" customFormat="1" ht="12.75">
      <c r="A13" s="6"/>
      <c r="B13" s="28"/>
      <c r="C13" s="29"/>
      <c r="D13" s="29"/>
      <c r="E13" s="29"/>
      <c r="F13" s="29"/>
      <c r="G13" s="29"/>
      <c r="H13" s="28"/>
      <c r="I13" s="25"/>
    </row>
    <row r="14" spans="1:9" s="2" customFormat="1" ht="11.25" customHeight="1">
      <c r="A14" s="6"/>
      <c r="B14" s="29"/>
      <c r="C14" s="29"/>
      <c r="D14" s="29"/>
      <c r="E14" s="29"/>
      <c r="F14" s="29"/>
      <c r="G14" s="29"/>
      <c r="H14" s="29"/>
      <c r="I14" s="25"/>
    </row>
    <row r="15" spans="1:9" s="2" customFormat="1" ht="39" thickBot="1">
      <c r="A15" s="5" t="s">
        <v>418</v>
      </c>
      <c r="B15" s="30">
        <f>SUM(B6:B14)</f>
        <v>100000</v>
      </c>
      <c r="C15" s="28"/>
      <c r="D15" s="30">
        <f>SUM(D6:D14)</f>
        <v>71368957</v>
      </c>
      <c r="E15" s="28"/>
      <c r="F15" s="30">
        <f>SUM(F6:F14)</f>
        <v>27405932.449999988</v>
      </c>
      <c r="G15" s="28"/>
      <c r="H15" s="30">
        <f>SUM(H6:H14)</f>
        <v>98874889.44999999</v>
      </c>
      <c r="I15" s="25"/>
    </row>
    <row r="16" spans="1:9" s="2" customFormat="1" ht="51.75" thickTop="1">
      <c r="A16" s="6" t="s">
        <v>85</v>
      </c>
      <c r="B16" s="28"/>
      <c r="C16" s="28"/>
      <c r="D16" s="28"/>
      <c r="E16" s="28"/>
      <c r="F16" s="28"/>
      <c r="G16" s="28"/>
      <c r="H16" s="28">
        <v>-2807822</v>
      </c>
      <c r="I16" s="25"/>
    </row>
    <row r="17" spans="1:9" s="2" customFormat="1" ht="25.5">
      <c r="A17" s="6" t="s">
        <v>86</v>
      </c>
      <c r="B17" s="28"/>
      <c r="C17" s="19"/>
      <c r="D17" s="28"/>
      <c r="E17" s="19"/>
      <c r="F17" s="18"/>
      <c r="G17" s="28"/>
      <c r="H17" s="28">
        <f>+F17</f>
        <v>0</v>
      </c>
      <c r="I17" s="25"/>
    </row>
    <row r="18" spans="1:9" s="2" customFormat="1" ht="38.25">
      <c r="A18" s="6" t="s">
        <v>87</v>
      </c>
      <c r="B18" s="28"/>
      <c r="C18" s="29"/>
      <c r="D18" s="28"/>
      <c r="E18" s="29"/>
      <c r="F18" s="18">
        <f>21923723.23</f>
        <v>21923723.23</v>
      </c>
      <c r="G18" s="18"/>
      <c r="H18" s="18">
        <f>SUM(B18:G18)</f>
        <v>21923723.23</v>
      </c>
      <c r="I18" s="25"/>
    </row>
    <row r="19" spans="1:9" s="2" customFormat="1" ht="25.5">
      <c r="A19" s="6" t="s">
        <v>37</v>
      </c>
      <c r="B19" s="28"/>
      <c r="C19" s="29"/>
      <c r="D19" s="28">
        <v>-98764888</v>
      </c>
      <c r="E19" s="29"/>
      <c r="F19" s="28"/>
      <c r="G19" s="29"/>
      <c r="H19" s="28">
        <f>+F19+D19</f>
        <v>-98764888</v>
      </c>
      <c r="I19" s="25"/>
    </row>
    <row r="20" spans="1:9" s="2" customFormat="1" ht="38.25">
      <c r="A20" s="6" t="s">
        <v>88</v>
      </c>
      <c r="B20" s="28"/>
      <c r="C20" s="28"/>
      <c r="D20" s="28"/>
      <c r="E20" s="29"/>
      <c r="F20" s="28"/>
      <c r="G20" s="29"/>
      <c r="H20" s="28"/>
      <c r="I20" s="25"/>
    </row>
    <row r="21" spans="1:9" s="2" customFormat="1" ht="12.75">
      <c r="A21" s="6"/>
      <c r="B21" s="29"/>
      <c r="C21" s="29"/>
      <c r="D21" s="29"/>
      <c r="E21" s="29"/>
      <c r="F21" s="29"/>
      <c r="G21" s="29"/>
      <c r="H21" s="29"/>
      <c r="I21" s="25"/>
    </row>
    <row r="22" spans="1:9" s="2" customFormat="1" ht="39" thickBot="1">
      <c r="A22" s="5" t="s">
        <v>469</v>
      </c>
      <c r="B22" s="31">
        <f>SUM(B15:B21)</f>
        <v>100000</v>
      </c>
      <c r="C22" s="28"/>
      <c r="D22" s="31">
        <f>SUM(D15:D21)</f>
        <v>-27395931</v>
      </c>
      <c r="E22" s="28"/>
      <c r="F22" s="31">
        <f>SUM(F15:F21)</f>
        <v>49329655.67999999</v>
      </c>
      <c r="G22" s="32"/>
      <c r="H22" s="31">
        <f>B22+D22+F22</f>
        <v>22033724.679999992</v>
      </c>
      <c r="I22" s="25"/>
    </row>
    <row r="23" spans="1:9" s="2" customFormat="1" ht="13.5" thickTop="1">
      <c r="A23" s="6"/>
      <c r="B23" s="26"/>
      <c r="C23" s="26"/>
      <c r="D23" s="26"/>
      <c r="E23" s="26"/>
      <c r="F23" s="26"/>
      <c r="G23" s="26"/>
      <c r="H23" s="26"/>
      <c r="I23" s="25"/>
    </row>
    <row r="26" spans="2:4" ht="15.75">
      <c r="B26" s="78" t="s">
        <v>500</v>
      </c>
      <c r="C26" s="83"/>
      <c r="D26" s="81" t="s">
        <v>501</v>
      </c>
    </row>
    <row r="27" spans="2:4" ht="15.75">
      <c r="B27" s="78" t="s">
        <v>503</v>
      </c>
      <c r="C27" s="83"/>
      <c r="D27" s="79" t="s">
        <v>502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4">
      <selection activeCell="N24" sqref="N24"/>
    </sheetView>
  </sheetViews>
  <sheetFormatPr defaultColWidth="9.140625" defaultRowHeight="12.75"/>
  <cols>
    <col min="1" max="1" width="3.140625" style="129" customWidth="1"/>
    <col min="2" max="2" width="18.140625" style="129" customWidth="1"/>
    <col min="3" max="3" width="7.8515625" style="129" customWidth="1"/>
    <col min="4" max="4" width="2.57421875" style="129" customWidth="1"/>
    <col min="5" max="5" width="3.28125" style="129" customWidth="1"/>
    <col min="6" max="6" width="9.8515625" style="129" customWidth="1"/>
    <col min="7" max="7" width="2.140625" style="129" customWidth="1"/>
    <col min="8" max="8" width="11.140625" style="129" customWidth="1"/>
    <col min="9" max="9" width="2.7109375" style="129" customWidth="1"/>
    <col min="10" max="10" width="11.140625" style="129" customWidth="1"/>
    <col min="11" max="11" width="2.57421875" style="129" customWidth="1"/>
    <col min="12" max="12" width="10.7109375" style="129" customWidth="1"/>
    <col min="13" max="13" width="2.28125" style="129" customWidth="1"/>
    <col min="14" max="14" width="10.7109375" style="129" customWidth="1"/>
    <col min="15" max="15" width="12.8515625" style="129" bestFit="1" customWidth="1"/>
    <col min="16" max="16384" width="9.140625" style="129" customWidth="1"/>
  </cols>
  <sheetData>
    <row r="1" ht="19.5" customHeight="1">
      <c r="A1" s="128"/>
    </row>
    <row r="2" spans="2:14" s="143" customFormat="1" ht="40.5" customHeight="1">
      <c r="B2" s="243"/>
      <c r="C2" s="244" t="s">
        <v>105</v>
      </c>
      <c r="D2" s="245"/>
      <c r="E2" s="245"/>
      <c r="F2" s="245" t="s">
        <v>275</v>
      </c>
      <c r="G2" s="245"/>
      <c r="H2" s="245" t="s">
        <v>273</v>
      </c>
      <c r="I2" s="245"/>
      <c r="J2" s="245" t="s">
        <v>274</v>
      </c>
      <c r="K2" s="245"/>
      <c r="L2" s="246" t="s">
        <v>106</v>
      </c>
      <c r="M2" s="246"/>
      <c r="N2" s="245" t="s">
        <v>2</v>
      </c>
    </row>
    <row r="3" spans="2:15" s="130" customFormat="1" ht="19.5" customHeight="1">
      <c r="B3" s="131" t="s">
        <v>107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3"/>
    </row>
    <row r="4" spans="2:15" s="130" customFormat="1" ht="19.5" customHeight="1">
      <c r="B4" s="132" t="s">
        <v>398</v>
      </c>
      <c r="C4" s="132"/>
      <c r="D4" s="132"/>
      <c r="E4" s="132"/>
      <c r="F4" s="132">
        <v>20565095</v>
      </c>
      <c r="G4" s="132"/>
      <c r="H4" s="132">
        <v>18860447</v>
      </c>
      <c r="I4" s="132"/>
      <c r="J4" s="132">
        <v>54665040</v>
      </c>
      <c r="K4" s="132"/>
      <c r="L4" s="132">
        <v>18098693</v>
      </c>
      <c r="M4" s="132"/>
      <c r="N4" s="132">
        <f>SUM(C4:L4)</f>
        <v>112189275</v>
      </c>
      <c r="O4" s="133"/>
    </row>
    <row r="5" spans="2:15" s="130" customFormat="1" ht="19.5" customHeight="1">
      <c r="B5" s="132" t="s">
        <v>148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>
        <f>SUM(C5:L5)</f>
        <v>0</v>
      </c>
      <c r="O5" s="133"/>
    </row>
    <row r="6" spans="2:15" s="130" customFormat="1" ht="19.5" customHeight="1">
      <c r="B6" s="132" t="s">
        <v>108</v>
      </c>
      <c r="C6" s="132"/>
      <c r="D6" s="132"/>
      <c r="E6" s="132"/>
      <c r="F6" s="132">
        <f>419900</f>
        <v>419900</v>
      </c>
      <c r="G6" s="132"/>
      <c r="H6" s="132">
        <v>2025175</v>
      </c>
      <c r="I6" s="132"/>
      <c r="J6" s="132">
        <f>41488030+33579927</f>
        <v>75067957</v>
      </c>
      <c r="K6" s="132"/>
      <c r="L6" s="132">
        <f>657894+185620</f>
        <v>843514</v>
      </c>
      <c r="M6" s="132"/>
      <c r="N6" s="132">
        <f>SUM(C6:L6)</f>
        <v>78356546</v>
      </c>
      <c r="O6" s="133"/>
    </row>
    <row r="7" spans="2:15" s="130" customFormat="1" ht="19.5" customHeight="1">
      <c r="B7" s="132" t="s">
        <v>109</v>
      </c>
      <c r="C7" s="132">
        <v>0</v>
      </c>
      <c r="D7" s="132"/>
      <c r="E7" s="132"/>
      <c r="F7" s="132"/>
      <c r="G7" s="132"/>
      <c r="H7" s="132">
        <v>-291084</v>
      </c>
      <c r="I7" s="132"/>
      <c r="J7" s="132">
        <v>-3366631</v>
      </c>
      <c r="K7" s="132"/>
      <c r="L7" s="132"/>
      <c r="M7" s="132"/>
      <c r="N7" s="132">
        <f>SUM(C7:L7)</f>
        <v>-3657715</v>
      </c>
      <c r="O7" s="133"/>
    </row>
    <row r="8" spans="1:16" s="130" customFormat="1" ht="19.5" customHeight="1" thickBot="1">
      <c r="A8" s="128"/>
      <c r="B8" s="132" t="s">
        <v>399</v>
      </c>
      <c r="C8" s="134">
        <f>SUM(C4:C7)</f>
        <v>0</v>
      </c>
      <c r="D8" s="132"/>
      <c r="E8" s="132"/>
      <c r="F8" s="135">
        <f>SUM(F4:F7)</f>
        <v>20984995</v>
      </c>
      <c r="G8" s="132"/>
      <c r="H8" s="135">
        <f>SUM(H4:H7)</f>
        <v>20594538</v>
      </c>
      <c r="I8" s="132"/>
      <c r="J8" s="135">
        <f>SUM(J3:J7)</f>
        <v>126366366</v>
      </c>
      <c r="K8" s="132"/>
      <c r="L8" s="134">
        <f>SUM(L4:L7)</f>
        <v>18942207</v>
      </c>
      <c r="M8" s="132"/>
      <c r="N8" s="134">
        <f>SUM(N4:N7)</f>
        <v>186888106</v>
      </c>
      <c r="O8" s="133"/>
      <c r="P8" s="133"/>
    </row>
    <row r="9" spans="2:15" s="130" customFormat="1" ht="19.5" customHeight="1" thickTop="1"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3"/>
    </row>
    <row r="10" spans="2:14" s="130" customFormat="1" ht="19.5" customHeight="1">
      <c r="B10" s="131" t="s">
        <v>110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</row>
    <row r="11" spans="2:14" s="130" customFormat="1" ht="19.5" customHeight="1">
      <c r="B11" s="132" t="s">
        <v>470</v>
      </c>
      <c r="C11" s="136"/>
      <c r="D11" s="136"/>
      <c r="E11" s="136"/>
      <c r="F11" s="132">
        <f>2922515</f>
        <v>2922515</v>
      </c>
      <c r="G11" s="136"/>
      <c r="H11" s="136">
        <v>8160620</v>
      </c>
      <c r="I11" s="136"/>
      <c r="J11" s="132">
        <v>16044114</v>
      </c>
      <c r="K11" s="136"/>
      <c r="L11" s="137">
        <v>7442372</v>
      </c>
      <c r="M11" s="137"/>
      <c r="N11" s="137">
        <f>SUM(C11:L11)</f>
        <v>34569621</v>
      </c>
    </row>
    <row r="12" spans="2:14" s="130" customFormat="1" ht="19.5" customHeight="1">
      <c r="B12" s="132" t="s">
        <v>148</v>
      </c>
      <c r="C12" s="136"/>
      <c r="D12" s="136"/>
      <c r="E12" s="136"/>
      <c r="F12" s="132"/>
      <c r="G12" s="136"/>
      <c r="H12" s="136"/>
      <c r="I12" s="136"/>
      <c r="J12" s="132"/>
      <c r="K12" s="136"/>
      <c r="L12" s="137"/>
      <c r="M12" s="137"/>
      <c r="N12" s="137">
        <f>SUM(C12:L12)</f>
        <v>0</v>
      </c>
    </row>
    <row r="13" spans="2:14" s="130" customFormat="1" ht="19.5" customHeight="1">
      <c r="B13" s="132" t="s">
        <v>111</v>
      </c>
      <c r="C13" s="136"/>
      <c r="D13" s="136"/>
      <c r="E13" s="136"/>
      <c r="F13" s="132">
        <f>1018543+4950+4762</f>
        <v>1028255</v>
      </c>
      <c r="G13" s="136"/>
      <c r="H13" s="132">
        <f>2310133</f>
        <v>2310133</v>
      </c>
      <c r="I13" s="136"/>
      <c r="J13" s="132">
        <f>637015+12275100+2722342+1119331</f>
        <v>16753788</v>
      </c>
      <c r="K13" s="136"/>
      <c r="L13" s="137">
        <f>1635276+935812</f>
        <v>2571088</v>
      </c>
      <c r="M13" s="137"/>
      <c r="N13" s="137">
        <f>SUM(C13:L13)</f>
        <v>22663264</v>
      </c>
    </row>
    <row r="14" spans="2:14" s="130" customFormat="1" ht="19.5" customHeight="1">
      <c r="B14" s="132" t="s">
        <v>109</v>
      </c>
      <c r="C14" s="136">
        <v>0</v>
      </c>
      <c r="D14" s="136"/>
      <c r="E14" s="136"/>
      <c r="F14" s="132"/>
      <c r="G14" s="136"/>
      <c r="H14" s="132">
        <v>-113364</v>
      </c>
      <c r="I14" s="136"/>
      <c r="J14" s="137">
        <v>-1284780</v>
      </c>
      <c r="K14" s="136"/>
      <c r="L14" s="137"/>
      <c r="M14" s="137"/>
      <c r="N14" s="137">
        <f>SUM(C14:L14)</f>
        <v>-1398144</v>
      </c>
    </row>
    <row r="15" spans="2:15" s="130" customFormat="1" ht="19.5" customHeight="1" thickBot="1">
      <c r="B15" s="132" t="s">
        <v>397</v>
      </c>
      <c r="C15" s="134">
        <f>SUM(C11:C14)</f>
        <v>0</v>
      </c>
      <c r="D15" s="132"/>
      <c r="E15" s="132"/>
      <c r="F15" s="135">
        <f>SUM(F11:F14)</f>
        <v>3950770</v>
      </c>
      <c r="G15" s="132"/>
      <c r="H15" s="135">
        <f>SUM(H11:H14)</f>
        <v>10357389</v>
      </c>
      <c r="I15" s="132"/>
      <c r="J15" s="135">
        <f>SUM(J11:J14)</f>
        <v>31513122</v>
      </c>
      <c r="K15" s="132"/>
      <c r="L15" s="144">
        <f>+L11+L13+L12+L14</f>
        <v>10013460</v>
      </c>
      <c r="M15" s="145"/>
      <c r="N15" s="144">
        <f>SUM(N11:N14)</f>
        <v>55834741</v>
      </c>
      <c r="O15" s="138"/>
    </row>
    <row r="16" spans="2:14" s="130" customFormat="1" ht="19.5" customHeight="1" thickTop="1">
      <c r="B16" s="132"/>
      <c r="C16" s="136"/>
      <c r="D16" s="136"/>
      <c r="E16" s="136"/>
      <c r="F16" s="132"/>
      <c r="G16" s="136"/>
      <c r="H16" s="136"/>
      <c r="I16" s="136"/>
      <c r="J16" s="136"/>
      <c r="K16" s="136"/>
      <c r="L16" s="137"/>
      <c r="M16" s="137"/>
      <c r="N16" s="137"/>
    </row>
    <row r="17" spans="2:15" s="130" customFormat="1" ht="19.5" customHeight="1">
      <c r="B17" s="132" t="s">
        <v>395</v>
      </c>
      <c r="C17" s="132">
        <f>+C4-C11</f>
        <v>0</v>
      </c>
      <c r="D17" s="132">
        <f aca="true" t="shared" si="0" ref="D17:N17">+D4-D11</f>
        <v>0</v>
      </c>
      <c r="E17" s="132">
        <f t="shared" si="0"/>
        <v>0</v>
      </c>
      <c r="F17" s="132">
        <f t="shared" si="0"/>
        <v>17642580</v>
      </c>
      <c r="G17" s="132">
        <f t="shared" si="0"/>
        <v>0</v>
      </c>
      <c r="H17" s="132">
        <f t="shared" si="0"/>
        <v>10699827</v>
      </c>
      <c r="I17" s="132">
        <f t="shared" si="0"/>
        <v>0</v>
      </c>
      <c r="J17" s="132">
        <f t="shared" si="0"/>
        <v>38620926</v>
      </c>
      <c r="K17" s="132">
        <f t="shared" si="0"/>
        <v>0</v>
      </c>
      <c r="L17" s="132">
        <f t="shared" si="0"/>
        <v>10656321</v>
      </c>
      <c r="M17" s="132">
        <f t="shared" si="0"/>
        <v>0</v>
      </c>
      <c r="N17" s="132">
        <f t="shared" si="0"/>
        <v>77619654</v>
      </c>
      <c r="O17" s="133"/>
    </row>
    <row r="18" spans="2:15" s="130" customFormat="1" ht="19.5" customHeight="1" thickBot="1">
      <c r="B18" s="132" t="s">
        <v>396</v>
      </c>
      <c r="C18" s="134">
        <f>+C8-C15</f>
        <v>0</v>
      </c>
      <c r="D18" s="132"/>
      <c r="E18" s="134"/>
      <c r="F18" s="134">
        <f>+F8-F15</f>
        <v>17034225</v>
      </c>
      <c r="G18" s="134"/>
      <c r="H18" s="134">
        <f>+H8-H15</f>
        <v>10237149</v>
      </c>
      <c r="I18" s="134"/>
      <c r="J18" s="134">
        <f>+J8-J15</f>
        <v>94853244</v>
      </c>
      <c r="K18" s="132"/>
      <c r="L18" s="144">
        <f>+L8-L15</f>
        <v>8928747</v>
      </c>
      <c r="M18" s="145"/>
      <c r="N18" s="144">
        <f>+N8-N15</f>
        <v>131053365</v>
      </c>
      <c r="O18" s="133"/>
    </row>
    <row r="19" s="130" customFormat="1" ht="12.75" thickTop="1"/>
    <row r="20" s="130" customFormat="1" ht="12">
      <c r="L20" s="138"/>
    </row>
    <row r="21" s="130" customFormat="1" ht="12">
      <c r="O21" s="139"/>
    </row>
    <row r="22" spans="2:8" s="130" customFormat="1" ht="12.75" customHeight="1">
      <c r="B22" s="302" t="s">
        <v>500</v>
      </c>
      <c r="C22" s="303"/>
      <c r="D22" s="304" t="s">
        <v>501</v>
      </c>
      <c r="E22" s="302"/>
      <c r="F22" s="302"/>
      <c r="G22" s="302"/>
      <c r="H22" s="302"/>
    </row>
    <row r="23" spans="2:12" s="130" customFormat="1" ht="12.75" customHeight="1">
      <c r="B23" s="302" t="s">
        <v>503</v>
      </c>
      <c r="C23" s="303"/>
      <c r="D23" s="167" t="s">
        <v>502</v>
      </c>
      <c r="E23" s="302"/>
      <c r="F23" s="302"/>
      <c r="G23" s="302"/>
      <c r="H23" s="302"/>
      <c r="L23" s="138"/>
    </row>
    <row r="24" s="130" customFormat="1" ht="12"/>
    <row r="25" spans="1:15" s="130" customFormat="1" ht="12">
      <c r="A25" s="140"/>
      <c r="O25" s="139"/>
    </row>
    <row r="26" s="130" customFormat="1" ht="12">
      <c r="A26" s="140"/>
    </row>
    <row r="27" s="130" customFormat="1" ht="12"/>
    <row r="28" s="130" customFormat="1" ht="12"/>
    <row r="29" s="130" customFormat="1" ht="12"/>
    <row r="30" s="130" customFormat="1" ht="12.75" customHeight="1"/>
    <row r="31" s="130" customFormat="1" ht="12.75" customHeight="1"/>
    <row r="32" spans="2:3" s="130" customFormat="1" ht="12">
      <c r="B32" s="141"/>
      <c r="C32" s="141"/>
    </row>
    <row r="33" s="130" customFormat="1" ht="12">
      <c r="B33" s="142"/>
    </row>
    <row r="34" spans="2:3" s="130" customFormat="1" ht="12">
      <c r="B34" s="141"/>
      <c r="C34" s="141"/>
    </row>
    <row r="35" s="130" customFormat="1" ht="12"/>
    <row r="36" s="130" customFormat="1" ht="12"/>
    <row r="37" s="130" customFormat="1" ht="12"/>
    <row r="38" s="130" customFormat="1" ht="12"/>
    <row r="39" s="130" customFormat="1" ht="12.75" customHeight="1"/>
    <row r="40" spans="2:3" s="130" customFormat="1" ht="12">
      <c r="B40" s="141"/>
      <c r="C40" s="141"/>
    </row>
    <row r="41" s="130" customFormat="1" ht="12">
      <c r="B41" s="142"/>
    </row>
    <row r="42" spans="2:3" s="130" customFormat="1" ht="12">
      <c r="B42" s="141"/>
      <c r="C42" s="141"/>
    </row>
    <row r="43" s="130" customFormat="1" ht="12">
      <c r="B43" s="140"/>
    </row>
    <row r="44" s="130" customFormat="1" ht="12">
      <c r="B44" s="140"/>
    </row>
    <row r="45" s="130" customFormat="1" ht="12">
      <c r="B45" s="140"/>
    </row>
    <row r="46" s="130" customFormat="1" ht="12"/>
    <row r="47" s="130" customFormat="1" ht="12"/>
    <row r="48" s="130" customFormat="1" ht="12"/>
  </sheetData>
  <sheetProtection/>
  <printOptions/>
  <pageMargins left="0.24" right="0.4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4"/>
  <sheetViews>
    <sheetView tabSelected="1" zoomScalePageLayoutView="0" workbookViewId="0" topLeftCell="A129">
      <selection activeCell="H150" sqref="H150"/>
    </sheetView>
  </sheetViews>
  <sheetFormatPr defaultColWidth="9.140625" defaultRowHeight="12.75"/>
  <cols>
    <col min="1" max="1" width="34.57421875" style="0" customWidth="1"/>
    <col min="2" max="2" width="11.140625" style="0" customWidth="1"/>
    <col min="3" max="3" width="1.7109375" style="0" customWidth="1"/>
    <col min="4" max="4" width="16.7109375" style="0" bestFit="1" customWidth="1"/>
    <col min="5" max="5" width="3.8515625" style="0" customWidth="1"/>
    <col min="6" max="7" width="16.7109375" style="0" bestFit="1" customWidth="1"/>
    <col min="8" max="8" width="15.421875" style="0" customWidth="1"/>
    <col min="9" max="9" width="10.7109375" style="0" bestFit="1" customWidth="1"/>
    <col min="11" max="11" width="15.421875" style="0" customWidth="1"/>
  </cols>
  <sheetData>
    <row r="1" spans="1:4" ht="18">
      <c r="A1" s="308" t="s">
        <v>307</v>
      </c>
      <c r="B1" s="308"/>
      <c r="C1" s="308"/>
      <c r="D1" s="308"/>
    </row>
    <row r="4" spans="1:8" ht="15.75" thickBot="1">
      <c r="A4" s="34"/>
      <c r="B4" s="34" t="s">
        <v>143</v>
      </c>
      <c r="C4" s="34"/>
      <c r="D4" s="35" t="s">
        <v>393</v>
      </c>
      <c r="E4" s="36"/>
      <c r="F4" s="35" t="s">
        <v>118</v>
      </c>
      <c r="G4" s="35"/>
      <c r="H4" s="124"/>
    </row>
    <row r="5" spans="1:8" ht="15.75" thickTop="1">
      <c r="A5" s="34" t="s">
        <v>112</v>
      </c>
      <c r="B5" s="34"/>
      <c r="C5" s="34"/>
      <c r="D5" s="53">
        <f>159316.71+28061.06</f>
        <v>187377.77</v>
      </c>
      <c r="E5" s="53"/>
      <c r="F5" s="53">
        <f>442679</f>
        <v>442679</v>
      </c>
      <c r="G5" s="53"/>
      <c r="H5" s="53"/>
    </row>
    <row r="6" spans="1:8" ht="15">
      <c r="A6" s="34" t="s">
        <v>113</v>
      </c>
      <c r="B6" s="34"/>
      <c r="C6" s="34"/>
      <c r="D6" s="53">
        <f>'BK'!D30-tjera!D5</f>
        <v>46910954.93</v>
      </c>
      <c r="E6" s="53"/>
      <c r="F6" s="53">
        <f>'BK'!F30-tjera!F5</f>
        <v>20369777.25</v>
      </c>
      <c r="G6" s="53"/>
      <c r="H6" s="53"/>
    </row>
    <row r="7" spans="1:8" ht="15">
      <c r="A7" s="34"/>
      <c r="B7" s="34"/>
      <c r="C7" s="34"/>
      <c r="D7" s="53"/>
      <c r="E7" s="53"/>
      <c r="F7" s="53"/>
      <c r="G7" s="53"/>
      <c r="H7" s="53"/>
    </row>
    <row r="8" spans="1:8" ht="15.75" thickBot="1">
      <c r="A8" s="37" t="s">
        <v>2</v>
      </c>
      <c r="B8" s="37"/>
      <c r="C8" s="37"/>
      <c r="D8" s="54">
        <f>SUM(D5:D7)</f>
        <v>47098332.7</v>
      </c>
      <c r="E8" s="55"/>
      <c r="F8" s="54">
        <f>SUM(F5:F7)</f>
        <v>20812456.25</v>
      </c>
      <c r="G8" s="54"/>
      <c r="H8" s="53"/>
    </row>
    <row r="9" spans="1:7" ht="15.75" thickTop="1">
      <c r="A9" s="34"/>
      <c r="B9" s="34"/>
      <c r="C9" s="34"/>
      <c r="D9" s="56">
        <f>+D8-'BK'!D30</f>
        <v>0</v>
      </c>
      <c r="E9" s="34"/>
      <c r="F9" s="56">
        <f>+F8-'BK'!F30</f>
        <v>0</v>
      </c>
      <c r="G9" s="56"/>
    </row>
    <row r="10" spans="1:7" ht="15">
      <c r="A10" s="34" t="s">
        <v>114</v>
      </c>
      <c r="B10" s="34" t="s">
        <v>141</v>
      </c>
      <c r="C10" s="34"/>
      <c r="D10" s="34"/>
      <c r="E10" s="34"/>
      <c r="F10" s="34"/>
      <c r="G10" s="34"/>
    </row>
    <row r="11" spans="1:7" ht="15.75" thickBot="1">
      <c r="A11" s="34" t="s">
        <v>119</v>
      </c>
      <c r="B11" s="34"/>
      <c r="C11" s="34"/>
      <c r="D11" s="35" t="s">
        <v>393</v>
      </c>
      <c r="E11" s="36"/>
      <c r="F11" s="35" t="s">
        <v>118</v>
      </c>
      <c r="G11" s="35"/>
    </row>
    <row r="12" spans="1:11" ht="15.75" thickTop="1">
      <c r="A12" s="41" t="s">
        <v>197</v>
      </c>
      <c r="B12" s="41" t="s">
        <v>296</v>
      </c>
      <c r="C12" s="41"/>
      <c r="D12" s="108">
        <f>63183607.11+3128053</f>
        <v>66311660.11</v>
      </c>
      <c r="E12" s="43"/>
      <c r="F12" s="108">
        <v>101149808.96</v>
      </c>
      <c r="G12" s="108"/>
      <c r="K12" s="124"/>
    </row>
    <row r="13" spans="1:11" ht="15">
      <c r="A13" s="41" t="s">
        <v>327</v>
      </c>
      <c r="B13" s="41"/>
      <c r="C13" s="41"/>
      <c r="D13" s="108">
        <f>53270322.16+1315657.27</f>
        <v>54585979.43</v>
      </c>
      <c r="E13" s="43"/>
      <c r="G13" s="108"/>
      <c r="K13" s="124"/>
    </row>
    <row r="14" spans="1:11" ht="15">
      <c r="A14" s="41" t="s">
        <v>198</v>
      </c>
      <c r="B14" s="41" t="s">
        <v>296</v>
      </c>
      <c r="C14" s="41"/>
      <c r="D14" s="108">
        <f>42966780.6-151217</f>
        <v>42815563.6</v>
      </c>
      <c r="E14" s="43"/>
      <c r="F14" s="108">
        <v>38733496.54</v>
      </c>
      <c r="G14" s="108"/>
      <c r="K14" s="122"/>
    </row>
    <row r="15" spans="1:11" ht="15">
      <c r="A15" s="41" t="s">
        <v>199</v>
      </c>
      <c r="B15" s="41" t="s">
        <v>296</v>
      </c>
      <c r="C15" s="41"/>
      <c r="D15" s="108">
        <f>11429223.1</f>
        <v>11429223.1</v>
      </c>
      <c r="E15" s="43"/>
      <c r="F15" s="108">
        <v>21724694</v>
      </c>
      <c r="G15" s="108"/>
      <c r="K15" s="122"/>
    </row>
    <row r="16" spans="1:11" ht="15">
      <c r="A16" s="41" t="s">
        <v>200</v>
      </c>
      <c r="B16" s="41" t="s">
        <v>296</v>
      </c>
      <c r="C16" s="41"/>
      <c r="D16" s="108">
        <f>3598479.8</f>
        <v>3598479.8</v>
      </c>
      <c r="E16" s="43"/>
      <c r="F16" s="108">
        <v>4051852.61</v>
      </c>
      <c r="G16" s="108"/>
      <c r="K16" s="122"/>
    </row>
    <row r="17" spans="1:11" ht="15">
      <c r="A17" s="41" t="s">
        <v>201</v>
      </c>
      <c r="B17" s="41" t="s">
        <v>296</v>
      </c>
      <c r="C17" s="41"/>
      <c r="D17" s="108">
        <f>55554.31</f>
        <v>55554.31</v>
      </c>
      <c r="E17" s="43"/>
      <c r="F17" s="108">
        <v>46388.42</v>
      </c>
      <c r="G17" s="108"/>
      <c r="K17" s="122"/>
    </row>
    <row r="18" spans="1:11" ht="15">
      <c r="A18" s="41" t="s">
        <v>202</v>
      </c>
      <c r="B18" s="41" t="s">
        <v>295</v>
      </c>
      <c r="C18" s="41"/>
      <c r="D18" s="108">
        <f>1526415.66-763207.4</f>
        <v>763208.2599999999</v>
      </c>
      <c r="E18" s="43"/>
      <c r="F18" s="108">
        <v>764018.83</v>
      </c>
      <c r="G18" s="108"/>
      <c r="K18" s="122"/>
    </row>
    <row r="19" spans="1:11" ht="15">
      <c r="A19" s="34"/>
      <c r="B19" s="34"/>
      <c r="C19" s="34"/>
      <c r="D19" s="57"/>
      <c r="E19" s="57"/>
      <c r="F19" s="57"/>
      <c r="G19" s="57"/>
      <c r="K19" s="122"/>
    </row>
    <row r="20" spans="1:11" ht="15.75" thickBot="1">
      <c r="A20" s="37" t="s">
        <v>2</v>
      </c>
      <c r="B20" s="37"/>
      <c r="C20" s="37"/>
      <c r="D20" s="58">
        <f>SUM(D12:D19)</f>
        <v>179559668.60999998</v>
      </c>
      <c r="E20" s="58"/>
      <c r="F20" s="58">
        <f>SUM(F12:F19)</f>
        <v>166470259.36</v>
      </c>
      <c r="G20" s="58"/>
      <c r="K20" s="122"/>
    </row>
    <row r="21" spans="1:11" ht="16.5" thickBot="1" thickTop="1">
      <c r="A21" s="37"/>
      <c r="B21" s="37"/>
      <c r="C21" s="37"/>
      <c r="D21" s="109"/>
      <c r="E21" s="59"/>
      <c r="F21" s="109">
        <f>F20-'BK'!F19-'BK'!F16+0.47</f>
        <v>1.4347024235306094E-08</v>
      </c>
      <c r="G21" s="110"/>
      <c r="K21" s="123"/>
    </row>
    <row r="22" spans="1:7" ht="15.75" thickTop="1">
      <c r="A22" s="34" t="s">
        <v>437</v>
      </c>
      <c r="B22" s="34" t="s">
        <v>297</v>
      </c>
      <c r="C22" s="34"/>
      <c r="D22" s="34">
        <f>22851443</f>
        <v>22851443</v>
      </c>
      <c r="E22" s="34"/>
      <c r="F22" s="34">
        <v>5377</v>
      </c>
      <c r="G22" s="34"/>
    </row>
    <row r="23" spans="1:7" s="247" customFormat="1" ht="15.75" thickBot="1">
      <c r="A23" s="247" t="s">
        <v>471</v>
      </c>
      <c r="B23" s="39"/>
      <c r="C23" s="39"/>
      <c r="D23" s="248">
        <f>SUM(D20:D22)</f>
        <v>202411111.60999998</v>
      </c>
      <c r="E23" s="39">
        <f>SUM(E20:E22)</f>
        <v>0</v>
      </c>
      <c r="F23" s="248">
        <f>SUM(F20:F22)</f>
        <v>166475636.36</v>
      </c>
      <c r="G23" s="39"/>
    </row>
    <row r="24" spans="1:7" ht="15">
      <c r="A24" s="34"/>
      <c r="B24" s="34"/>
      <c r="C24" s="34"/>
      <c r="D24" s="34"/>
      <c r="E24" s="34"/>
      <c r="F24" s="34"/>
      <c r="G24" s="34"/>
    </row>
    <row r="25" spans="1:7" ht="15.75" thickBot="1">
      <c r="A25" s="34" t="s">
        <v>115</v>
      </c>
      <c r="B25" s="34"/>
      <c r="C25" s="34"/>
      <c r="D25" s="35" t="s">
        <v>393</v>
      </c>
      <c r="E25" s="36"/>
      <c r="F25" s="35" t="s">
        <v>118</v>
      </c>
      <c r="G25" s="35"/>
    </row>
    <row r="26" spans="1:8" ht="15.75" thickTop="1">
      <c r="A26" s="34" t="s">
        <v>130</v>
      </c>
      <c r="B26" s="34"/>
      <c r="C26" s="34"/>
      <c r="D26" s="53">
        <f>'BK'!D24</f>
        <v>100089328.25</v>
      </c>
      <c r="E26" s="53"/>
      <c r="F26" s="53">
        <f>'BK'!F24</f>
        <v>36292635.79</v>
      </c>
      <c r="G26" s="53"/>
      <c r="H26" s="66"/>
    </row>
    <row r="27" spans="1:8" ht="15">
      <c r="A27" s="253" t="s">
        <v>131</v>
      </c>
      <c r="B27" s="34" t="s">
        <v>142</v>
      </c>
      <c r="C27" s="34"/>
      <c r="D27" s="53">
        <v>6030578</v>
      </c>
      <c r="E27" s="53"/>
      <c r="F27" s="53">
        <f>'BK'!F25</f>
        <v>14110110.61</v>
      </c>
      <c r="G27" s="53"/>
      <c r="H27" s="66"/>
    </row>
    <row r="28" spans="1:8" ht="15">
      <c r="A28" s="254" t="s">
        <v>476</v>
      </c>
      <c r="B28" s="34"/>
      <c r="C28" s="34"/>
      <c r="D28" s="53"/>
      <c r="E28" s="53"/>
      <c r="F28" s="53"/>
      <c r="G28" s="53"/>
      <c r="H28" s="66"/>
    </row>
    <row r="29" spans="1:8" ht="15">
      <c r="A29" s="255" t="s">
        <v>438</v>
      </c>
      <c r="B29" s="34"/>
      <c r="C29" s="34"/>
      <c r="D29" s="53"/>
      <c r="E29" s="53"/>
      <c r="F29" s="53"/>
      <c r="G29" s="53"/>
      <c r="H29" s="66"/>
    </row>
    <row r="30" spans="1:7" ht="15">
      <c r="A30" s="256" t="s">
        <v>439</v>
      </c>
      <c r="B30" s="34"/>
      <c r="C30" s="34"/>
      <c r="D30" s="53"/>
      <c r="E30" s="53"/>
      <c r="F30" s="53"/>
      <c r="G30" s="53"/>
    </row>
    <row r="31" spans="1:7" ht="15">
      <c r="A31" s="34" t="s">
        <v>440</v>
      </c>
      <c r="B31" s="34"/>
      <c r="C31" s="34"/>
      <c r="D31" s="53">
        <f>5169399</f>
        <v>5169399</v>
      </c>
      <c r="E31" s="53"/>
      <c r="F31" s="53"/>
      <c r="G31" s="53"/>
    </row>
    <row r="32" spans="1:7" ht="15.75" thickBot="1">
      <c r="A32" s="37" t="s">
        <v>2</v>
      </c>
      <c r="B32" s="37"/>
      <c r="C32" s="37"/>
      <c r="D32" s="54">
        <f>SUM(D26:D31)-0.09</f>
        <v>111289305.16</v>
      </c>
      <c r="E32" s="55"/>
      <c r="F32" s="54">
        <f>SUM(F26:F30)</f>
        <v>50402746.4</v>
      </c>
      <c r="G32" s="54"/>
    </row>
    <row r="33" spans="1:7" ht="15.75" thickTop="1">
      <c r="A33" s="37"/>
      <c r="B33" s="37"/>
      <c r="C33" s="37"/>
      <c r="D33" s="60">
        <f>+D32-'BK'!D24-'BK'!D25-'BK'!D26</f>
        <v>-7.450580596923828E-09</v>
      </c>
      <c r="E33" s="39"/>
      <c r="F33" s="40">
        <f>+F32-'BK'!F24-'BK'!F25</f>
        <v>0</v>
      </c>
      <c r="G33" s="40"/>
    </row>
    <row r="34" spans="1:7" ht="15">
      <c r="A34" s="37" t="s">
        <v>441</v>
      </c>
      <c r="B34" s="37"/>
      <c r="C34" s="37"/>
      <c r="D34" s="60">
        <f>3814962</f>
        <v>3814962</v>
      </c>
      <c r="E34" s="39"/>
      <c r="F34" s="40"/>
      <c r="G34" s="40"/>
    </row>
    <row r="35" spans="1:7" ht="15">
      <c r="A35" s="111" t="s">
        <v>115</v>
      </c>
      <c r="B35" s="111" t="s">
        <v>142</v>
      </c>
      <c r="C35" s="37"/>
      <c r="D35" s="40"/>
      <c r="E35" s="39"/>
      <c r="F35" s="40"/>
      <c r="G35" s="40"/>
    </row>
    <row r="36" spans="1:7" ht="15">
      <c r="A36" s="111" t="s">
        <v>219</v>
      </c>
      <c r="B36" s="111"/>
      <c r="C36" s="37"/>
      <c r="D36" s="60">
        <v>23030797</v>
      </c>
      <c r="E36" s="39"/>
      <c r="F36" s="60">
        <v>23030797</v>
      </c>
      <c r="G36" s="60"/>
    </row>
    <row r="37" spans="1:7" ht="15">
      <c r="A37" s="36" t="s">
        <v>218</v>
      </c>
      <c r="B37" s="36"/>
      <c r="C37" s="37"/>
      <c r="D37" s="60">
        <v>1678104.04</v>
      </c>
      <c r="E37" s="39"/>
      <c r="F37" s="40"/>
      <c r="G37" s="56"/>
    </row>
    <row r="38" spans="1:7" ht="15">
      <c r="A38" s="36" t="s">
        <v>421</v>
      </c>
      <c r="B38" s="36"/>
      <c r="C38" s="37"/>
      <c r="D38" s="60">
        <f>2855772</f>
        <v>2855772</v>
      </c>
      <c r="E38" s="39"/>
      <c r="F38" s="40"/>
      <c r="G38" s="56"/>
    </row>
    <row r="39" spans="1:7" ht="15">
      <c r="A39" s="36" t="s">
        <v>427</v>
      </c>
      <c r="B39" s="36"/>
      <c r="C39" s="37"/>
      <c r="D39" s="60">
        <v>3035120</v>
      </c>
      <c r="E39" s="39"/>
      <c r="F39" s="40"/>
      <c r="G39" s="56"/>
    </row>
    <row r="40" spans="1:7" ht="15">
      <c r="A40" s="36" t="s">
        <v>428</v>
      </c>
      <c r="B40" s="36"/>
      <c r="C40" s="37"/>
      <c r="D40" s="60">
        <f>3035120</f>
        <v>3035120</v>
      </c>
      <c r="E40" s="39"/>
      <c r="F40" s="40"/>
      <c r="G40" s="56"/>
    </row>
    <row r="41" spans="1:7" ht="15">
      <c r="A41" s="36" t="s">
        <v>203</v>
      </c>
      <c r="B41" s="36"/>
      <c r="C41" s="36"/>
      <c r="D41" s="228">
        <v>2731608</v>
      </c>
      <c r="E41" s="39"/>
      <c r="F41" s="56">
        <f>19800*123.8</f>
        <v>2451240</v>
      </c>
      <c r="G41" s="56"/>
    </row>
    <row r="42" spans="1:7" ht="15">
      <c r="A42" s="36" t="s">
        <v>436</v>
      </c>
      <c r="B42" s="36"/>
      <c r="C42" s="36"/>
      <c r="D42" s="228">
        <f>9912840</f>
        <v>9912840</v>
      </c>
      <c r="E42" s="39"/>
      <c r="F42" s="56"/>
      <c r="G42" s="56"/>
    </row>
    <row r="43" spans="1:7" ht="15">
      <c r="A43" s="36" t="s">
        <v>426</v>
      </c>
      <c r="B43" s="36"/>
      <c r="C43" s="36"/>
      <c r="D43" s="228">
        <f>1965930</f>
        <v>1965930</v>
      </c>
      <c r="E43" s="39"/>
      <c r="F43" s="56"/>
      <c r="G43" s="56"/>
    </row>
    <row r="44" spans="1:7" ht="15">
      <c r="A44" s="36" t="s">
        <v>204</v>
      </c>
      <c r="B44" s="36"/>
      <c r="C44" s="36"/>
      <c r="D44" s="228">
        <v>2276340</v>
      </c>
      <c r="E44" s="39"/>
      <c r="F44" s="56">
        <f>16500*123.8</f>
        <v>2042700</v>
      </c>
      <c r="G44" s="56"/>
    </row>
    <row r="45" spans="1:7" ht="15">
      <c r="A45" s="36" t="s">
        <v>205</v>
      </c>
      <c r="B45" s="36"/>
      <c r="C45" s="36"/>
      <c r="D45" s="228">
        <v>1119821</v>
      </c>
      <c r="E45" s="39"/>
      <c r="F45" s="56">
        <f>8117*123.8</f>
        <v>1004884.6</v>
      </c>
      <c r="G45" s="56"/>
    </row>
    <row r="46" spans="1:7" ht="15">
      <c r="A46" s="36" t="s">
        <v>206</v>
      </c>
      <c r="B46" s="36"/>
      <c r="C46" s="36"/>
      <c r="D46" s="221"/>
      <c r="E46" s="39"/>
      <c r="F46" s="56">
        <f>5114*123.8</f>
        <v>633113.2</v>
      </c>
      <c r="G46" s="112"/>
    </row>
    <row r="47" spans="1:7" ht="15">
      <c r="A47" s="36" t="s">
        <v>435</v>
      </c>
      <c r="B47" s="36"/>
      <c r="C47" s="36"/>
      <c r="D47" s="228">
        <f>5916552.56</f>
        <v>5916552.56</v>
      </c>
      <c r="E47" s="39"/>
      <c r="F47" s="56"/>
      <c r="G47" s="112"/>
    </row>
    <row r="48" spans="1:7" ht="15">
      <c r="A48" s="36" t="s">
        <v>207</v>
      </c>
      <c r="B48" s="36"/>
      <c r="C48" s="36"/>
      <c r="D48" s="228">
        <v>2648969.96</v>
      </c>
      <c r="E48" s="39"/>
      <c r="F48" s="56">
        <f>19201*123.8</f>
        <v>2377083.8</v>
      </c>
      <c r="G48" s="112"/>
    </row>
    <row r="49" spans="1:7" ht="15">
      <c r="A49" s="36" t="s">
        <v>208</v>
      </c>
      <c r="B49" s="36"/>
      <c r="C49" s="36"/>
      <c r="D49" s="228">
        <v>627304</v>
      </c>
      <c r="E49" s="39"/>
      <c r="F49" s="56">
        <f>5547*123.8</f>
        <v>686718.6</v>
      </c>
      <c r="G49" s="112"/>
    </row>
    <row r="50" spans="1:7" ht="15">
      <c r="A50" s="36" t="s">
        <v>433</v>
      </c>
      <c r="B50" s="36"/>
      <c r="C50" s="36"/>
      <c r="D50" s="228">
        <f>1655520</f>
        <v>1655520</v>
      </c>
      <c r="E50" s="39"/>
      <c r="F50" s="56"/>
      <c r="G50" s="112"/>
    </row>
    <row r="51" spans="1:7" ht="15">
      <c r="A51" s="36" t="s">
        <v>209</v>
      </c>
      <c r="B51" s="36"/>
      <c r="C51" s="36"/>
      <c r="D51" s="228">
        <v>5904688</v>
      </c>
      <c r="E51" s="39"/>
      <c r="F51" s="56">
        <f>42800*123.8</f>
        <v>5298640</v>
      </c>
      <c r="G51" s="112"/>
    </row>
    <row r="52" spans="1:7" ht="15">
      <c r="A52" s="36" t="s">
        <v>434</v>
      </c>
      <c r="B52" s="36"/>
      <c r="C52" s="36"/>
      <c r="D52" s="228">
        <f>2655730</f>
        <v>2655730</v>
      </c>
      <c r="E52" s="39"/>
      <c r="F52" s="56"/>
      <c r="G52" s="112"/>
    </row>
    <row r="53" spans="1:7" ht="15">
      <c r="A53" s="36" t="s">
        <v>210</v>
      </c>
      <c r="B53" s="36"/>
      <c r="C53" s="36"/>
      <c r="D53" s="221"/>
      <c r="E53" s="39"/>
      <c r="F53" s="56">
        <f>57500*123.8</f>
        <v>7118500</v>
      </c>
      <c r="G53" s="112"/>
    </row>
    <row r="54" spans="1:7" ht="15">
      <c r="A54" s="36" t="s">
        <v>424</v>
      </c>
      <c r="B54" s="36"/>
      <c r="C54" s="36"/>
      <c r="D54" s="228">
        <f>4138800</f>
        <v>4138800</v>
      </c>
      <c r="E54" s="39"/>
      <c r="F54" s="56"/>
      <c r="G54" s="112"/>
    </row>
    <row r="55" spans="1:7" ht="15">
      <c r="A55" s="36" t="s">
        <v>423</v>
      </c>
      <c r="B55" s="36"/>
      <c r="C55" s="36"/>
      <c r="D55" s="228">
        <f>1931440</f>
        <v>1931440</v>
      </c>
      <c r="E55" s="39"/>
      <c r="F55" s="56"/>
      <c r="G55" s="112"/>
    </row>
    <row r="56" spans="1:7" ht="15">
      <c r="A56" s="36" t="s">
        <v>422</v>
      </c>
      <c r="B56" s="36"/>
      <c r="C56" s="36"/>
      <c r="D56" s="228">
        <f>1186345.63</f>
        <v>1186345.63</v>
      </c>
      <c r="E56" s="39"/>
      <c r="F56" s="56"/>
      <c r="G56" s="112"/>
    </row>
    <row r="57" spans="1:7" ht="15">
      <c r="A57" s="36" t="s">
        <v>431</v>
      </c>
      <c r="B57" s="36"/>
      <c r="C57" s="36"/>
      <c r="D57" s="228">
        <f>1793480</f>
        <v>1793480</v>
      </c>
      <c r="E57" s="39"/>
      <c r="F57" s="56"/>
      <c r="G57" s="112"/>
    </row>
    <row r="58" spans="1:7" ht="15">
      <c r="A58" s="36" t="s">
        <v>430</v>
      </c>
      <c r="B58" s="36"/>
      <c r="C58" s="36"/>
      <c r="D58" s="228">
        <f>4276898.8</f>
        <v>4276898.8</v>
      </c>
      <c r="E58" s="39"/>
      <c r="F58" s="56"/>
      <c r="G58" s="112"/>
    </row>
    <row r="59" spans="1:7" ht="15">
      <c r="A59" s="36" t="s">
        <v>425</v>
      </c>
      <c r="B59" s="36"/>
      <c r="C59" s="36"/>
      <c r="D59" s="228">
        <f>1692079.4</f>
        <v>1692079.4</v>
      </c>
      <c r="E59" s="39"/>
      <c r="F59" s="56"/>
      <c r="G59" s="112"/>
    </row>
    <row r="60" spans="1:7" ht="15">
      <c r="A60" s="36" t="s">
        <v>211</v>
      </c>
      <c r="B60" s="36"/>
      <c r="C60" s="36"/>
      <c r="D60" s="221"/>
      <c r="E60" s="39"/>
      <c r="F60" s="56">
        <f>5161*123.8</f>
        <v>638931.7999999999</v>
      </c>
      <c r="G60" s="56"/>
    </row>
    <row r="61" spans="1:7" ht="15">
      <c r="A61" s="36" t="s">
        <v>429</v>
      </c>
      <c r="B61" s="36"/>
      <c r="C61" s="36"/>
      <c r="D61" s="228">
        <f>1476172</f>
        <v>1476172</v>
      </c>
      <c r="E61" s="39"/>
      <c r="F61" s="56"/>
      <c r="G61" s="56"/>
    </row>
    <row r="62" spans="1:7" ht="15">
      <c r="A62" s="36" t="s">
        <v>212</v>
      </c>
      <c r="B62" s="36"/>
      <c r="C62" s="36"/>
      <c r="D62" s="228">
        <v>2759200</v>
      </c>
      <c r="E62" s="39"/>
      <c r="F62" s="56">
        <f>20000*123.8</f>
        <v>2476000</v>
      </c>
      <c r="G62" s="56"/>
    </row>
    <row r="63" spans="1:7" ht="15">
      <c r="A63" s="36" t="s">
        <v>213</v>
      </c>
      <c r="B63" s="36"/>
      <c r="C63" s="36"/>
      <c r="D63" s="228">
        <v>321794</v>
      </c>
      <c r="E63" s="39"/>
      <c r="F63" s="56">
        <f>14346*123.8</f>
        <v>1776034.8</v>
      </c>
      <c r="G63" s="56"/>
    </row>
    <row r="64" spans="1:7" ht="15">
      <c r="A64" s="36" t="s">
        <v>214</v>
      </c>
      <c r="B64" s="36"/>
      <c r="C64" s="36"/>
      <c r="D64" s="228">
        <v>648318</v>
      </c>
      <c r="E64" s="39"/>
      <c r="F64" s="56">
        <f>4699.32*123.8</f>
        <v>581775.816</v>
      </c>
      <c r="G64" s="56"/>
    </row>
    <row r="65" spans="1:7" ht="15">
      <c r="A65" s="36" t="s">
        <v>216</v>
      </c>
      <c r="B65" s="36"/>
      <c r="C65" s="36"/>
      <c r="D65" s="228">
        <f>813964</f>
        <v>813964</v>
      </c>
      <c r="E65" s="39"/>
      <c r="F65" s="56">
        <f>5900*123.8</f>
        <v>730420</v>
      </c>
      <c r="G65" s="56"/>
    </row>
    <row r="66" spans="1:7" ht="15">
      <c r="A66" s="36" t="s">
        <v>217</v>
      </c>
      <c r="B66" s="36"/>
      <c r="C66" s="36"/>
      <c r="D66" s="56">
        <f>2897160</f>
        <v>2897160</v>
      </c>
      <c r="E66" s="39"/>
      <c r="F66" s="56">
        <f>21000*123.8</f>
        <v>2599800</v>
      </c>
      <c r="G66" s="40"/>
    </row>
    <row r="67" spans="1:7" ht="15">
      <c r="A67" s="36" t="s">
        <v>432</v>
      </c>
      <c r="B67" s="36"/>
      <c r="C67" s="36"/>
      <c r="D67" s="56">
        <f>3171700</f>
        <v>3171700</v>
      </c>
      <c r="E67" s="39"/>
      <c r="F67" s="56"/>
      <c r="G67" s="56"/>
    </row>
    <row r="68" spans="1:7" ht="15">
      <c r="A68" s="36" t="s">
        <v>215</v>
      </c>
      <c r="B68" s="36"/>
      <c r="C68" s="36"/>
      <c r="D68" s="56">
        <f>D26-SUM(D36:D67)</f>
        <v>1931759.8599999994</v>
      </c>
      <c r="E68" s="56">
        <f>E26-SUM(E36:E67)</f>
        <v>0</v>
      </c>
      <c r="F68" s="56">
        <f>F26-SUM(F36:F67)</f>
        <v>-17154003.825999998</v>
      </c>
      <c r="G68" s="56"/>
    </row>
    <row r="69" spans="1:7" ht="15.75" thickBot="1">
      <c r="A69" s="37" t="s">
        <v>220</v>
      </c>
      <c r="B69" s="37"/>
      <c r="C69" s="37"/>
      <c r="D69" s="54">
        <f>SUM(D36:D68)</f>
        <v>100089328.25</v>
      </c>
      <c r="E69" s="60">
        <f>SUM(E36:E68)</f>
        <v>0</v>
      </c>
      <c r="F69" s="54">
        <f>SUM(F36:F68)</f>
        <v>36292635.79</v>
      </c>
      <c r="G69" s="54"/>
    </row>
    <row r="70" spans="1:7" ht="15.75" thickTop="1">
      <c r="A70" s="37"/>
      <c r="B70" s="37"/>
      <c r="C70" s="37"/>
      <c r="D70" s="60"/>
      <c r="E70" s="60"/>
      <c r="F70" s="60"/>
      <c r="G70" s="60"/>
    </row>
    <row r="71" spans="1:7" ht="15.75" thickBot="1">
      <c r="A71" s="121" t="s">
        <v>271</v>
      </c>
      <c r="B71" s="40"/>
      <c r="C71" s="34"/>
      <c r="D71" s="35" t="s">
        <v>393</v>
      </c>
      <c r="E71" s="36"/>
      <c r="F71" s="35" t="s">
        <v>118</v>
      </c>
      <c r="G71" s="35"/>
    </row>
    <row r="72" spans="3:7" ht="15.75" thickTop="1">
      <c r="C72" s="34"/>
      <c r="D72" s="85"/>
      <c r="E72" s="36"/>
      <c r="F72" s="85"/>
      <c r="G72" s="85"/>
    </row>
    <row r="73" spans="1:8" ht="15">
      <c r="A73" s="34" t="s">
        <v>221</v>
      </c>
      <c r="B73" s="34"/>
      <c r="C73" s="34"/>
      <c r="D73" s="226">
        <f>'BK'!D68</f>
        <v>48277000.86</v>
      </c>
      <c r="E73" s="85"/>
      <c r="F73" s="85">
        <f>'BK'!F68</f>
        <v>39023210.93</v>
      </c>
      <c r="G73" s="85"/>
      <c r="H73" s="122"/>
    </row>
    <row r="74" spans="1:8" s="247" customFormat="1" ht="15">
      <c r="A74" s="39" t="s">
        <v>473</v>
      </c>
      <c r="B74" s="39"/>
      <c r="C74" s="39"/>
      <c r="D74" s="249">
        <f>SUM(D73)</f>
        <v>48277000.86</v>
      </c>
      <c r="E74" s="249">
        <f>SUM(E73)</f>
        <v>0</v>
      </c>
      <c r="F74" s="249">
        <f>SUM(F73)</f>
        <v>39023210.93</v>
      </c>
      <c r="G74" s="252"/>
      <c r="H74" s="251"/>
    </row>
    <row r="75" spans="1:8" s="247" customFormat="1" ht="15">
      <c r="A75" s="39"/>
      <c r="B75" s="39"/>
      <c r="C75" s="39"/>
      <c r="D75" s="249"/>
      <c r="E75" s="252"/>
      <c r="F75" s="252"/>
      <c r="G75" s="252"/>
      <c r="H75" s="251"/>
    </row>
    <row r="76" spans="1:8" ht="15">
      <c r="A76" s="34" t="s">
        <v>223</v>
      </c>
      <c r="B76" s="34">
        <v>7</v>
      </c>
      <c r="C76" s="34"/>
      <c r="D76" s="226">
        <f>21948430.6+3787397.93</f>
        <v>25735828.53</v>
      </c>
      <c r="E76" s="113"/>
      <c r="F76" s="113">
        <f>28082336</f>
        <v>28082336</v>
      </c>
      <c r="G76" s="113"/>
      <c r="H76" s="122"/>
    </row>
    <row r="77" spans="1:8" ht="15">
      <c r="A77" s="34" t="s">
        <v>222</v>
      </c>
      <c r="B77" s="34" t="s">
        <v>277</v>
      </c>
      <c r="C77" s="34"/>
      <c r="D77" s="226">
        <f>41388000</f>
        <v>41388000</v>
      </c>
      <c r="E77" s="113"/>
      <c r="F77" s="113">
        <f>37140000</f>
        <v>37140000</v>
      </c>
      <c r="G77" s="113"/>
      <c r="H77" s="122"/>
    </row>
    <row r="78" spans="1:8" ht="15">
      <c r="A78" s="34" t="s">
        <v>401</v>
      </c>
      <c r="B78" s="34"/>
      <c r="C78" s="34"/>
      <c r="D78" s="226">
        <f>18038556.95</f>
        <v>18038556.95</v>
      </c>
      <c r="E78" s="113"/>
      <c r="F78" s="113"/>
      <c r="G78" s="113"/>
      <c r="H78" s="122"/>
    </row>
    <row r="79" spans="1:8" ht="15">
      <c r="A79" s="34" t="s">
        <v>402</v>
      </c>
      <c r="B79" s="34"/>
      <c r="C79" s="34"/>
      <c r="D79" s="226">
        <f>50469768.84</f>
        <v>50469768.84</v>
      </c>
      <c r="E79" s="113"/>
      <c r="F79" s="113"/>
      <c r="G79" s="113"/>
      <c r="H79" s="122"/>
    </row>
    <row r="80" spans="1:8" ht="15">
      <c r="A80" s="34" t="s">
        <v>403</v>
      </c>
      <c r="B80" s="34"/>
      <c r="C80" s="34"/>
      <c r="D80" s="226">
        <f>16362213.47</f>
        <v>16362213.47</v>
      </c>
      <c r="E80" s="113"/>
      <c r="F80" s="113"/>
      <c r="G80" s="113"/>
      <c r="H80" s="122"/>
    </row>
    <row r="81" spans="1:8" s="247" customFormat="1" ht="15">
      <c r="A81" s="39" t="s">
        <v>472</v>
      </c>
      <c r="B81" s="39"/>
      <c r="C81" s="39"/>
      <c r="D81" s="249">
        <f>SUM(D76:D80)</f>
        <v>151994367.79</v>
      </c>
      <c r="E81" s="249">
        <f>SUM(E76:E80)</f>
        <v>0</v>
      </c>
      <c r="F81" s="249">
        <f>SUM(F76:F80)</f>
        <v>65222336</v>
      </c>
      <c r="G81" s="250"/>
      <c r="H81" s="251"/>
    </row>
    <row r="83" spans="1:8" s="247" customFormat="1" ht="15">
      <c r="A83" s="39"/>
      <c r="B83" s="39"/>
      <c r="C83" s="39"/>
      <c r="D83" s="249"/>
      <c r="E83" s="249"/>
      <c r="F83" s="249"/>
      <c r="G83" s="250"/>
      <c r="H83" s="251"/>
    </row>
    <row r="84" spans="1:8" ht="15">
      <c r="A84" s="1" t="s">
        <v>55</v>
      </c>
      <c r="B84" s="1" t="s">
        <v>144</v>
      </c>
      <c r="C84" s="1"/>
      <c r="D84" s="227">
        <f>+'BK'!D70</f>
        <v>143472785</v>
      </c>
      <c r="E84" s="53"/>
      <c r="F84" s="53">
        <f>+'BK'!F70</f>
        <v>55718194.27</v>
      </c>
      <c r="G84" s="53"/>
      <c r="H84" s="122"/>
    </row>
    <row r="85" spans="1:8" ht="15">
      <c r="A85" s="1" t="s">
        <v>103</v>
      </c>
      <c r="B85" s="1"/>
      <c r="C85" s="1"/>
      <c r="D85" s="227">
        <f>+'BK'!D71</f>
        <v>625465</v>
      </c>
      <c r="E85" s="53"/>
      <c r="F85" s="53">
        <f>+'BK'!F71</f>
        <v>0</v>
      </c>
      <c r="G85" s="53"/>
      <c r="H85" s="122"/>
    </row>
    <row r="86" spans="1:8" ht="15">
      <c r="A86" s="1" t="s">
        <v>134</v>
      </c>
      <c r="B86" s="1" t="s">
        <v>145</v>
      </c>
      <c r="C86" s="1"/>
      <c r="D86" s="227">
        <f>+'BK'!D72</f>
        <v>620302</v>
      </c>
      <c r="E86" s="53"/>
      <c r="F86" s="53">
        <f>+'BK'!F72</f>
        <v>1242367.5</v>
      </c>
      <c r="G86" s="53"/>
      <c r="H86" s="122"/>
    </row>
    <row r="87" spans="1:8" ht="15">
      <c r="A87" s="1" t="s">
        <v>442</v>
      </c>
      <c r="B87" s="1"/>
      <c r="C87" s="1"/>
      <c r="D87" s="227">
        <f>'BK'!D73</f>
        <v>88888402.97999999</v>
      </c>
      <c r="E87" s="53"/>
      <c r="F87" s="53">
        <f>37388151</f>
        <v>37388151</v>
      </c>
      <c r="G87" s="53"/>
      <c r="H87" s="122"/>
    </row>
    <row r="88" spans="1:8" ht="15">
      <c r="A88" s="1" t="s">
        <v>56</v>
      </c>
      <c r="B88" s="1" t="s">
        <v>278</v>
      </c>
      <c r="C88" s="1"/>
      <c r="D88" s="227">
        <f>+'BK'!D74</f>
        <v>30671716.57</v>
      </c>
      <c r="E88" s="53"/>
      <c r="F88" s="53">
        <f>+'BK'!F74</f>
        <v>7934010.2</v>
      </c>
      <c r="G88" s="53"/>
      <c r="H88" s="122"/>
    </row>
    <row r="89" spans="1:8" ht="15">
      <c r="A89" s="1" t="s">
        <v>298</v>
      </c>
      <c r="B89" s="1"/>
      <c r="C89" s="1"/>
      <c r="D89" s="227">
        <f>7044165+2039147.09</f>
        <v>9083312.09</v>
      </c>
      <c r="E89" s="53"/>
      <c r="F89" s="53">
        <f>10566243</f>
        <v>10566243</v>
      </c>
      <c r="G89" s="53"/>
      <c r="H89" s="122"/>
    </row>
    <row r="90" spans="1:8" ht="15.75" thickBot="1">
      <c r="A90" s="37" t="s">
        <v>2</v>
      </c>
      <c r="B90" s="37"/>
      <c r="C90" s="37"/>
      <c r="D90" s="54">
        <f>D74+D81+D84+D85+D86+D87+D88+D89</f>
        <v>473633352.28999996</v>
      </c>
      <c r="E90" s="54">
        <f>E74+E81+E84+E85+E86+E87+E88+E89</f>
        <v>0</v>
      </c>
      <c r="F90" s="54">
        <f>F74+F81+F84+F85+F86+F87+F88+F89</f>
        <v>217094512.9</v>
      </c>
      <c r="G90" s="54"/>
      <c r="H90" s="125"/>
    </row>
    <row r="91" spans="1:7" ht="15.75" thickTop="1">
      <c r="A91" s="34"/>
      <c r="B91" s="34"/>
      <c r="C91" s="34"/>
      <c r="D91" s="34"/>
      <c r="E91" s="34"/>
      <c r="F91" s="34"/>
      <c r="G91" s="34"/>
    </row>
    <row r="92" spans="1:7" ht="15">
      <c r="A92" s="34"/>
      <c r="B92" s="34"/>
      <c r="C92" s="34"/>
      <c r="D92" s="34"/>
      <c r="E92" s="34"/>
      <c r="F92" s="34"/>
      <c r="G92" s="34"/>
    </row>
    <row r="93" spans="1:7" ht="15">
      <c r="A93" s="34"/>
      <c r="B93" s="34"/>
      <c r="C93" s="34"/>
      <c r="D93" s="34"/>
      <c r="E93" s="34"/>
      <c r="F93" s="34"/>
      <c r="G93" s="34"/>
    </row>
    <row r="94" spans="1:7" ht="15">
      <c r="A94" s="39" t="s">
        <v>232</v>
      </c>
      <c r="B94" s="39"/>
      <c r="C94" s="34"/>
      <c r="D94" s="34"/>
      <c r="E94" s="34"/>
      <c r="F94" s="34"/>
      <c r="G94" s="34"/>
    </row>
    <row r="95" spans="1:7" ht="15">
      <c r="A95" s="39"/>
      <c r="B95" s="39" t="s">
        <v>144</v>
      </c>
      <c r="C95" s="34"/>
      <c r="D95" s="222">
        <v>0</v>
      </c>
      <c r="E95" s="34"/>
      <c r="F95" s="34">
        <v>0</v>
      </c>
      <c r="G95" s="34"/>
    </row>
    <row r="96" spans="1:7" ht="15">
      <c r="A96" s="34"/>
      <c r="B96" s="34"/>
      <c r="C96" s="34"/>
      <c r="D96" s="222"/>
      <c r="E96" s="34"/>
      <c r="F96" s="34">
        <f>2680638.79</f>
        <v>2680638.79</v>
      </c>
      <c r="G96" s="34"/>
    </row>
    <row r="97" spans="1:7" ht="15">
      <c r="A97" s="34" t="s">
        <v>406</v>
      </c>
      <c r="B97" s="34"/>
      <c r="C97" s="34"/>
      <c r="D97" s="222">
        <f>324612</f>
        <v>324612</v>
      </c>
      <c r="E97" s="34"/>
      <c r="F97" s="34"/>
      <c r="G97" s="34"/>
    </row>
    <row r="98" spans="1:7" ht="15">
      <c r="A98" s="34" t="s">
        <v>224</v>
      </c>
      <c r="B98" s="34"/>
      <c r="C98" s="34"/>
      <c r="D98" s="222"/>
      <c r="E98" s="34"/>
      <c r="F98" s="34">
        <f>5862773</f>
        <v>5862773</v>
      </c>
      <c r="G98" s="34"/>
    </row>
    <row r="99" spans="1:7" ht="15">
      <c r="A99" s="34" t="s">
        <v>225</v>
      </c>
      <c r="B99" s="34"/>
      <c r="C99" s="34"/>
      <c r="D99" s="53">
        <f>1216117.4+722910.4</f>
        <v>1939027.7999999998</v>
      </c>
      <c r="E99" s="34"/>
      <c r="F99" s="34">
        <f>825622</f>
        <v>825622</v>
      </c>
      <c r="G99" s="34"/>
    </row>
    <row r="100" spans="1:7" ht="15">
      <c r="A100" s="34" t="s">
        <v>226</v>
      </c>
      <c r="B100" s="34"/>
      <c r="C100" s="34"/>
      <c r="D100" s="53">
        <f>124478944.74+4274987.21-52500*137.96</f>
        <v>121511031.94999999</v>
      </c>
      <c r="E100" s="34"/>
      <c r="F100" s="34">
        <f>21153209.6</f>
        <v>21153209.6</v>
      </c>
      <c r="G100" s="34"/>
    </row>
    <row r="101" spans="1:7" ht="15">
      <c r="A101" s="34" t="s">
        <v>227</v>
      </c>
      <c r="B101" s="34"/>
      <c r="C101" s="34"/>
      <c r="D101" s="222">
        <f>3909048</f>
        <v>3909048</v>
      </c>
      <c r="E101" s="34"/>
      <c r="F101" s="34">
        <f>10729942.96</f>
        <v>10729942.96</v>
      </c>
      <c r="G101" s="34"/>
    </row>
    <row r="102" spans="1:7" ht="15">
      <c r="A102" s="34" t="s">
        <v>407</v>
      </c>
      <c r="B102" s="34"/>
      <c r="C102" s="34"/>
      <c r="D102" s="222">
        <f>3897370</f>
        <v>3897370</v>
      </c>
      <c r="E102" s="34"/>
      <c r="F102" s="34"/>
      <c r="G102" s="34"/>
    </row>
    <row r="103" spans="1:7" ht="15">
      <c r="A103" s="34" t="s">
        <v>405</v>
      </c>
      <c r="B103" s="34"/>
      <c r="C103" s="34"/>
      <c r="D103" s="222">
        <f>5623.66</f>
        <v>5623.66</v>
      </c>
      <c r="E103" s="34"/>
      <c r="F103" s="34"/>
      <c r="G103" s="34"/>
    </row>
    <row r="104" spans="1:7" ht="15">
      <c r="A104" s="34" t="s">
        <v>228</v>
      </c>
      <c r="B104" s="34"/>
      <c r="C104" s="34"/>
      <c r="D104" s="222">
        <f>1064391.75+168596.85</f>
        <v>1232988.6</v>
      </c>
      <c r="E104" s="34"/>
      <c r="F104" s="34">
        <f>8972515.69</f>
        <v>8972515.69</v>
      </c>
      <c r="G104" s="34"/>
    </row>
    <row r="105" spans="1:7" ht="15">
      <c r="A105" s="34" t="s">
        <v>404</v>
      </c>
      <c r="B105" s="34"/>
      <c r="C105" s="34"/>
      <c r="D105" s="34">
        <f>1546942.72</f>
        <v>1546942.72</v>
      </c>
      <c r="E105" s="34"/>
      <c r="F105" s="34"/>
      <c r="G105" s="34"/>
    </row>
    <row r="106" spans="1:7" ht="15">
      <c r="A106" s="34" t="s">
        <v>229</v>
      </c>
      <c r="B106" s="34"/>
      <c r="C106" s="34"/>
      <c r="D106" s="222">
        <v>414112.08</v>
      </c>
      <c r="E106" s="34"/>
      <c r="F106" s="34">
        <f>372120.51</f>
        <v>372120.51</v>
      </c>
      <c r="G106" s="34"/>
    </row>
    <row r="107" spans="1:7" ht="15">
      <c r="A107" s="34" t="s">
        <v>408</v>
      </c>
      <c r="B107" s="34"/>
      <c r="C107" s="34"/>
      <c r="D107" s="222">
        <f>1984905</f>
        <v>1984905</v>
      </c>
      <c r="E107" s="34"/>
      <c r="F107" s="34"/>
      <c r="G107" s="34"/>
    </row>
    <row r="108" spans="1:7" ht="15">
      <c r="A108" s="34" t="s">
        <v>230</v>
      </c>
      <c r="B108" s="34"/>
      <c r="C108" s="34"/>
      <c r="D108" s="222">
        <f>D84-SUM(D96:D107)</f>
        <v>6707123.189999998</v>
      </c>
      <c r="E108" s="34"/>
      <c r="F108" s="34">
        <f>F84-SUM(F96:F106)</f>
        <v>5121371.720000006</v>
      </c>
      <c r="G108" s="34"/>
    </row>
    <row r="109" spans="1:7" ht="15.75" thickBot="1">
      <c r="A109" s="39" t="s">
        <v>231</v>
      </c>
      <c r="B109" s="39"/>
      <c r="C109" s="39"/>
      <c r="D109" s="38">
        <f>SUM(D96:D108)</f>
        <v>143472785</v>
      </c>
      <c r="E109" s="38"/>
      <c r="F109" s="38">
        <f>SUM(F96:F108)</f>
        <v>55718194.27</v>
      </c>
      <c r="G109" s="38"/>
    </row>
    <row r="110" spans="1:7" ht="16.5" thickBot="1" thickTop="1">
      <c r="A110" s="39"/>
      <c r="B110" s="39"/>
      <c r="C110" s="39"/>
      <c r="D110" s="115"/>
      <c r="E110" s="34"/>
      <c r="F110" s="115"/>
      <c r="G110" s="115"/>
    </row>
    <row r="111" spans="1:8" ht="16.5" thickBot="1" thickTop="1">
      <c r="A111" s="39" t="s">
        <v>272</v>
      </c>
      <c r="B111" s="39" t="s">
        <v>145</v>
      </c>
      <c r="C111" s="34"/>
      <c r="D111" s="35" t="s">
        <v>393</v>
      </c>
      <c r="E111" s="36"/>
      <c r="F111" s="35" t="s">
        <v>118</v>
      </c>
      <c r="G111" s="35"/>
      <c r="H111" s="126"/>
    </row>
    <row r="112" spans="1:8" ht="15.75" thickTop="1">
      <c r="A112" s="34" t="s">
        <v>116</v>
      </c>
      <c r="B112" s="34"/>
      <c r="C112" s="34"/>
      <c r="D112" s="34">
        <v>417177</v>
      </c>
      <c r="E112" s="34"/>
      <c r="F112" s="34">
        <v>404612</v>
      </c>
      <c r="G112" s="34"/>
      <c r="H112" s="66"/>
    </row>
    <row r="113" spans="1:8" ht="15">
      <c r="A113" s="34" t="s">
        <v>117</v>
      </c>
      <c r="B113" s="34"/>
      <c r="C113" s="34"/>
      <c r="D113" s="34">
        <v>203125</v>
      </c>
      <c r="E113" s="34"/>
      <c r="F113" s="34">
        <v>197778</v>
      </c>
      <c r="G113" s="34"/>
      <c r="H113" s="66"/>
    </row>
    <row r="114" spans="1:8" ht="15">
      <c r="A114" s="34" t="s">
        <v>150</v>
      </c>
      <c r="B114" s="34"/>
      <c r="C114" s="34"/>
      <c r="D114" s="34"/>
      <c r="E114" s="34"/>
      <c r="F114" s="34">
        <v>639977.5</v>
      </c>
      <c r="G114" s="34"/>
      <c r="H114" s="66"/>
    </row>
    <row r="115" spans="1:8" ht="15">
      <c r="A115" s="34" t="s">
        <v>149</v>
      </c>
      <c r="B115" s="34"/>
      <c r="C115" s="34"/>
      <c r="D115" s="34"/>
      <c r="E115" s="34"/>
      <c r="F115" s="34"/>
      <c r="G115" s="34"/>
      <c r="H115" s="66"/>
    </row>
    <row r="116" spans="1:8" ht="15">
      <c r="A116" s="34" t="s">
        <v>151</v>
      </c>
      <c r="B116" s="34"/>
      <c r="C116" s="34"/>
      <c r="D116" s="34"/>
      <c r="E116" s="34"/>
      <c r="F116" s="34"/>
      <c r="G116" s="34"/>
      <c r="H116" s="66"/>
    </row>
    <row r="117" spans="1:8" ht="15">
      <c r="A117" s="34" t="s">
        <v>132</v>
      </c>
      <c r="B117" s="34"/>
      <c r="C117" s="34"/>
      <c r="D117" s="34"/>
      <c r="E117" s="34"/>
      <c r="F117" s="34"/>
      <c r="G117" s="34"/>
      <c r="H117" s="66"/>
    </row>
    <row r="118" spans="1:8" ht="15.75" thickBot="1">
      <c r="A118" s="37" t="s">
        <v>2</v>
      </c>
      <c r="B118" s="37"/>
      <c r="C118" s="37"/>
      <c r="D118" s="38">
        <f>SUM(D112:D117)</f>
        <v>620302</v>
      </c>
      <c r="E118" s="39"/>
      <c r="F118" s="38">
        <f>SUM(F112:F117)</f>
        <v>1242367.5</v>
      </c>
      <c r="G118" s="38"/>
      <c r="H118" s="127"/>
    </row>
    <row r="119" spans="1:7" ht="15.75" thickTop="1">
      <c r="A119" s="34"/>
      <c r="B119" s="34"/>
      <c r="C119" s="34"/>
      <c r="D119" s="34">
        <f>+D118-D86</f>
        <v>0</v>
      </c>
      <c r="E119" s="34"/>
      <c r="F119" s="34">
        <f>+F118-F86</f>
        <v>0</v>
      </c>
      <c r="G119" s="34"/>
    </row>
    <row r="120" spans="1:7" ht="15">
      <c r="A120" s="34"/>
      <c r="B120" s="34"/>
      <c r="C120" s="34"/>
      <c r="D120" s="34"/>
      <c r="E120" s="34"/>
      <c r="F120" s="34"/>
      <c r="G120" s="34"/>
    </row>
    <row r="121" spans="1:7" ht="15">
      <c r="A121" s="34"/>
      <c r="B121" s="34"/>
      <c r="C121" s="34"/>
      <c r="D121" s="34"/>
      <c r="E121" s="34"/>
      <c r="F121" s="34"/>
      <c r="G121" s="34"/>
    </row>
    <row r="122" spans="4:6" ht="14.25" customHeight="1" thickBot="1">
      <c r="D122" s="68" t="s">
        <v>409</v>
      </c>
      <c r="F122" s="68" t="s">
        <v>301</v>
      </c>
    </row>
    <row r="123" spans="1:6" s="107" customFormat="1" ht="13.5" thickTop="1">
      <c r="A123" s="107" t="s">
        <v>299</v>
      </c>
      <c r="D123" s="279">
        <f>3522078</f>
        <v>3522078</v>
      </c>
      <c r="F123" s="89">
        <f>3522081</f>
        <v>3522081</v>
      </c>
    </row>
    <row r="124" spans="1:4" ht="12.75">
      <c r="A124" t="s">
        <v>300</v>
      </c>
      <c r="D124" s="116"/>
    </row>
    <row r="125" ht="12.75">
      <c r="D125" s="116"/>
    </row>
    <row r="126" spans="1:4" ht="12.75">
      <c r="A126" t="s">
        <v>477</v>
      </c>
      <c r="D126" s="116">
        <v>2558426.34</v>
      </c>
    </row>
    <row r="127" spans="1:4" ht="12.75">
      <c r="A127" t="s">
        <v>410</v>
      </c>
      <c r="D127" s="116">
        <f>278263.27</f>
        <v>278263.27</v>
      </c>
    </row>
    <row r="128" spans="1:6" ht="15">
      <c r="A128" s="167" t="s">
        <v>302</v>
      </c>
      <c r="D128" s="229">
        <f>329270+19919959.83+6287328.87</f>
        <v>26536558.7</v>
      </c>
      <c r="F128" s="168">
        <v>21103010</v>
      </c>
    </row>
    <row r="129" spans="1:6" ht="15">
      <c r="A129" s="41" t="s">
        <v>303</v>
      </c>
      <c r="D129" s="229">
        <f>357272</f>
        <v>357272</v>
      </c>
      <c r="F129" s="168">
        <v>4700109</v>
      </c>
    </row>
    <row r="130" spans="1:6" ht="15">
      <c r="A130" s="41" t="s">
        <v>304</v>
      </c>
      <c r="D130" s="230"/>
      <c r="F130" s="166">
        <v>11275</v>
      </c>
    </row>
    <row r="131" spans="1:7" ht="15">
      <c r="A131" s="64" t="s">
        <v>411</v>
      </c>
      <c r="B131" s="64"/>
      <c r="C131" s="64"/>
      <c r="D131" s="17">
        <f>5655557.69</f>
        <v>5655557.69</v>
      </c>
      <c r="E131" s="67"/>
      <c r="F131" s="17"/>
      <c r="G131" s="62"/>
    </row>
    <row r="132" spans="1:7" ht="15">
      <c r="A132" s="64" t="s">
        <v>412</v>
      </c>
      <c r="B132" s="64"/>
      <c r="C132" s="64"/>
      <c r="D132" s="231">
        <f>146883.25</f>
        <v>146883.25</v>
      </c>
      <c r="E132" s="64"/>
      <c r="F132" s="64"/>
      <c r="G132" s="64"/>
    </row>
    <row r="133" spans="1:7" ht="15" thickBot="1">
      <c r="A133" s="69" t="s">
        <v>2</v>
      </c>
      <c r="B133" s="69" t="s">
        <v>305</v>
      </c>
      <c r="C133" s="69"/>
      <c r="D133" s="65">
        <f>SUM(D126:D132)</f>
        <v>35532961.25</v>
      </c>
      <c r="E133" s="70"/>
      <c r="F133" s="65">
        <f>SUM(F128:F132)</f>
        <v>25814394</v>
      </c>
      <c r="G133" s="65"/>
    </row>
    <row r="134" spans="1:7" ht="15.75" thickTop="1">
      <c r="A134" s="49"/>
      <c r="B134" s="49"/>
      <c r="C134" s="49"/>
      <c r="D134" s="49"/>
      <c r="E134" s="49"/>
      <c r="F134" s="49"/>
      <c r="G134" s="49"/>
    </row>
    <row r="135" spans="1:8" ht="15">
      <c r="A135" s="41"/>
      <c r="B135" s="41"/>
      <c r="C135" s="41"/>
      <c r="D135" s="41"/>
      <c r="E135" s="41"/>
      <c r="F135" s="41"/>
      <c r="G135" s="41"/>
      <c r="H135" t="s">
        <v>478</v>
      </c>
    </row>
    <row r="136" spans="1:7" ht="15.75" thickBot="1">
      <c r="A136" s="117" t="s">
        <v>239</v>
      </c>
      <c r="B136" s="166">
        <v>9</v>
      </c>
      <c r="C136" s="41"/>
      <c r="D136" s="42" t="s">
        <v>393</v>
      </c>
      <c r="E136" s="43"/>
      <c r="F136" s="42" t="s">
        <v>118</v>
      </c>
      <c r="G136" s="42"/>
    </row>
    <row r="137" spans="1:8" ht="13.5" thickTop="1">
      <c r="A137" t="s">
        <v>479</v>
      </c>
      <c r="D137" s="116">
        <f>368268862+107278979-1376078+47556+1392873+261899+102456-3899-52000*137.96</f>
        <v>468798728</v>
      </c>
      <c r="F137" s="116">
        <f>287700577.74+283258.9</f>
        <v>287983836.64</v>
      </c>
      <c r="G137" s="86"/>
      <c r="H137">
        <f>84038931+34110335+275452433+73168644+1392872.7+261898.93+102156.4+223900</f>
        <v>468751171.03</v>
      </c>
    </row>
    <row r="138" spans="1:8" ht="12.75">
      <c r="A138" t="s">
        <v>233</v>
      </c>
      <c r="D138" s="116">
        <f>1376077.54</f>
        <v>1376077.54</v>
      </c>
      <c r="F138" s="116">
        <f>1945500</f>
        <v>1945500</v>
      </c>
      <c r="G138" s="86"/>
      <c r="H138" s="73">
        <f>D137-H137</f>
        <v>47556.97000002861</v>
      </c>
    </row>
    <row r="139" spans="1:7" ht="12.75">
      <c r="A139" t="s">
        <v>237</v>
      </c>
      <c r="D139" s="73">
        <f>26156732+610499+1237867</f>
        <v>28005098</v>
      </c>
      <c r="F139" s="73">
        <f>23113819.11+79470+50321.23+1029269.86+0.29</f>
        <v>24272880.49</v>
      </c>
      <c r="G139" s="86"/>
    </row>
    <row r="140" spans="1:6" ht="12.75">
      <c r="A140" t="s">
        <v>238</v>
      </c>
      <c r="D140" s="73">
        <f>10295551</f>
        <v>10295551</v>
      </c>
      <c r="F140" s="73">
        <f>22975160</f>
        <v>22975160</v>
      </c>
    </row>
    <row r="141" spans="1:6" ht="12.75">
      <c r="A141" t="s">
        <v>234</v>
      </c>
      <c r="D141" s="73"/>
      <c r="F141" s="73">
        <f>151217</f>
        <v>151217</v>
      </c>
    </row>
    <row r="142" spans="1:6" ht="12.75">
      <c r="A142" t="s">
        <v>235</v>
      </c>
      <c r="D142" s="73"/>
      <c r="F142" s="73">
        <f>296359.87</f>
        <v>296359.87</v>
      </c>
    </row>
    <row r="143" spans="1:6" ht="12.75">
      <c r="A143" t="s">
        <v>236</v>
      </c>
      <c r="D143" s="73"/>
      <c r="F143" s="73">
        <f>40890</f>
        <v>40890</v>
      </c>
    </row>
    <row r="144" spans="1:7" ht="15" thickBot="1">
      <c r="A144" s="46" t="s">
        <v>2</v>
      </c>
      <c r="B144" s="46"/>
      <c r="C144" s="46"/>
      <c r="D144" s="47">
        <f>SUM(D137:D143)</f>
        <v>508475454.54</v>
      </c>
      <c r="E144" s="47"/>
      <c r="F144" s="47">
        <f>SUM(F137:F143)</f>
        <v>337665844</v>
      </c>
      <c r="G144" s="47"/>
    </row>
    <row r="145" spans="1:7" ht="15.75" thickTop="1">
      <c r="A145" s="41"/>
      <c r="B145" s="41"/>
      <c r="C145" s="41"/>
      <c r="D145" s="41">
        <f>+D144+'ardh-shpenz'!D11</f>
        <v>0</v>
      </c>
      <c r="E145" s="41"/>
      <c r="F145" s="41">
        <f>+F144+'ardh-shpenz'!F11</f>
        <v>0</v>
      </c>
      <c r="G145" s="41"/>
    </row>
    <row r="146" spans="1:7" ht="15">
      <c r="A146" s="41"/>
      <c r="B146" s="41"/>
      <c r="C146" s="41"/>
      <c r="D146" s="41"/>
      <c r="E146" s="41"/>
      <c r="F146" s="41"/>
      <c r="G146" s="41"/>
    </row>
    <row r="147" spans="1:7" ht="15">
      <c r="A147" s="41"/>
      <c r="B147" s="41"/>
      <c r="C147" s="41"/>
      <c r="D147" s="41"/>
      <c r="E147" s="41"/>
      <c r="F147" s="41"/>
      <c r="G147" s="41"/>
    </row>
    <row r="148" spans="1:7" ht="15.75" thickBot="1">
      <c r="A148" s="64"/>
      <c r="B148" s="64"/>
      <c r="C148" s="70">
        <f>'ardh-shpenz'!C13</f>
        <v>11</v>
      </c>
      <c r="D148" s="68" t="s">
        <v>393</v>
      </c>
      <c r="E148" s="52"/>
      <c r="F148" s="68" t="s">
        <v>118</v>
      </c>
      <c r="G148" s="68"/>
    </row>
    <row r="149" spans="1:7" ht="15.75" thickTop="1">
      <c r="A149" s="64" t="s">
        <v>120</v>
      </c>
      <c r="B149" s="64"/>
      <c r="C149" s="64"/>
      <c r="D149" s="63">
        <f>'sigurimet pagat'!C16</f>
        <v>25837943</v>
      </c>
      <c r="E149" s="63"/>
      <c r="F149" s="63">
        <f>18373886.5</f>
        <v>18373886.5</v>
      </c>
      <c r="G149" s="64"/>
    </row>
    <row r="150" spans="1:7" ht="15">
      <c r="A150" s="64" t="s">
        <v>116</v>
      </c>
      <c r="B150" s="64"/>
      <c r="C150" s="64"/>
      <c r="D150" s="64">
        <f>'sigurimet pagat'!F16</f>
        <v>2870256.5</v>
      </c>
      <c r="E150" s="64"/>
      <c r="F150" s="64">
        <f>2924470.5</f>
        <v>2924470.5</v>
      </c>
      <c r="G150" s="64"/>
    </row>
    <row r="151" spans="1:7" ht="15">
      <c r="A151" s="64" t="s">
        <v>240</v>
      </c>
      <c r="B151" s="64"/>
      <c r="C151" s="64"/>
      <c r="D151" s="64">
        <v>135000</v>
      </c>
      <c r="E151" s="64"/>
      <c r="F151" s="64">
        <v>150500</v>
      </c>
      <c r="G151" s="64"/>
    </row>
    <row r="152" spans="1:7" ht="15" thickBot="1">
      <c r="A152" s="69" t="s">
        <v>2</v>
      </c>
      <c r="B152" s="69"/>
      <c r="C152" s="69"/>
      <c r="D152" s="65">
        <f>SUM(D149:D151)</f>
        <v>28843199.5</v>
      </c>
      <c r="E152" s="70"/>
      <c r="F152" s="65">
        <f>SUM(F149:F151)</f>
        <v>21448857</v>
      </c>
      <c r="G152" s="65"/>
    </row>
    <row r="153" spans="1:7" ht="15.75" thickTop="1">
      <c r="A153" s="41"/>
      <c r="B153" s="41"/>
      <c r="C153" s="41"/>
      <c r="D153" s="41">
        <f>+D152+'ardh-shpenz'!D13</f>
        <v>0</v>
      </c>
      <c r="E153" s="41"/>
      <c r="F153" s="41">
        <f>+F152+'ardh-shpenz'!F13</f>
        <v>0</v>
      </c>
      <c r="G153" s="41"/>
    </row>
    <row r="154" spans="1:7" ht="15">
      <c r="A154" s="41"/>
      <c r="B154" s="41"/>
      <c r="C154" s="41"/>
      <c r="D154" s="41"/>
      <c r="E154" s="41"/>
      <c r="F154" s="41"/>
      <c r="G154" s="41"/>
    </row>
    <row r="155" spans="1:7" ht="15">
      <c r="A155" s="41"/>
      <c r="B155" s="41"/>
      <c r="C155" s="41"/>
      <c r="D155" s="41"/>
      <c r="E155" s="41"/>
      <c r="F155" s="41"/>
      <c r="G155" s="41"/>
    </row>
    <row r="156" spans="1:7" ht="15">
      <c r="A156" s="41"/>
      <c r="B156" s="41"/>
      <c r="C156" s="41"/>
      <c r="D156" s="41"/>
      <c r="E156" s="41"/>
      <c r="F156" s="41"/>
      <c r="G156" s="41"/>
    </row>
    <row r="157" spans="1:7" ht="15.75" thickBot="1">
      <c r="A157" s="64"/>
      <c r="B157" s="64"/>
      <c r="C157" s="68"/>
      <c r="D157" s="223" t="s">
        <v>393</v>
      </c>
      <c r="E157" s="224"/>
      <c r="F157" s="223" t="s">
        <v>118</v>
      </c>
      <c r="G157" s="68"/>
    </row>
    <row r="158" spans="1:7" ht="15.75" thickTop="1">
      <c r="A158" s="64"/>
      <c r="B158" s="64"/>
      <c r="C158" s="118"/>
      <c r="D158" s="223"/>
      <c r="E158" s="224"/>
      <c r="F158" s="223"/>
      <c r="G158" s="118"/>
    </row>
    <row r="159" spans="1:7" ht="15">
      <c r="A159" s="64" t="s">
        <v>241</v>
      </c>
      <c r="B159" s="64">
        <v>10</v>
      </c>
      <c r="C159" s="163">
        <f>1283590</f>
        <v>1283590</v>
      </c>
      <c r="D159" s="52">
        <f>1524612.1</f>
        <v>1524612.1</v>
      </c>
      <c r="E159" s="52"/>
      <c r="F159" s="52">
        <v>1283590</v>
      </c>
      <c r="G159" s="118"/>
    </row>
    <row r="160" spans="1:7" ht="15">
      <c r="A160" s="64" t="s">
        <v>252</v>
      </c>
      <c r="B160" s="64"/>
      <c r="C160" s="163">
        <f>11023208+48824</f>
        <v>11072032</v>
      </c>
      <c r="D160" s="52">
        <v>12297470</v>
      </c>
      <c r="E160" s="52"/>
      <c r="F160" s="52">
        <v>11072032</v>
      </c>
      <c r="G160" s="118"/>
    </row>
    <row r="161" spans="1:7" ht="15">
      <c r="A161" s="64" t="s">
        <v>268</v>
      </c>
      <c r="B161" s="64"/>
      <c r="C161" s="163">
        <f>1476431.91</f>
        <v>1476431.91</v>
      </c>
      <c r="D161" s="52">
        <f>1841938.51</f>
        <v>1841938.51</v>
      </c>
      <c r="E161" s="52"/>
      <c r="F161" s="52">
        <v>1476432</v>
      </c>
      <c r="G161" s="118"/>
    </row>
    <row r="162" spans="1:8" ht="15">
      <c r="A162" s="64" t="s">
        <v>243</v>
      </c>
      <c r="B162" s="64"/>
      <c r="C162" s="163">
        <f>1081792.5</f>
        <v>1081792.5</v>
      </c>
      <c r="D162" s="52">
        <f>433844</f>
        <v>433844</v>
      </c>
      <c r="E162" s="52"/>
      <c r="F162" s="52">
        <f>956231.17</f>
        <v>956231.17</v>
      </c>
      <c r="G162" s="118"/>
      <c r="H162" s="66"/>
    </row>
    <row r="163" spans="1:7" ht="15">
      <c r="A163" s="64" t="s">
        <v>258</v>
      </c>
      <c r="B163" s="64"/>
      <c r="C163" s="163">
        <f>2334924.95+725861.93+762575.82</f>
        <v>3823362.7</v>
      </c>
      <c r="D163" s="52">
        <f>1523911.03+217538.49+179811.1+715000</f>
        <v>2636260.62</v>
      </c>
      <c r="E163" s="52"/>
      <c r="F163" s="52">
        <f>585866.35+1319416.68+1299043.54+144743.48+474293.32</f>
        <v>3823363.3699999996</v>
      </c>
      <c r="G163" s="118"/>
    </row>
    <row r="164" spans="1:7" ht="15">
      <c r="A164" s="64" t="s">
        <v>242</v>
      </c>
      <c r="B164" s="64"/>
      <c r="C164" s="163">
        <f>1313167.56+628856</f>
        <v>1942023.56</v>
      </c>
      <c r="D164" s="52"/>
      <c r="E164" s="52"/>
      <c r="F164" s="52">
        <f>1354774.79+587248.35</f>
        <v>1942023.1400000001</v>
      </c>
      <c r="G164" s="118"/>
    </row>
    <row r="165" spans="1:7" ht="15">
      <c r="A165" s="64" t="s">
        <v>245</v>
      </c>
      <c r="B165" s="64"/>
      <c r="C165" s="280">
        <f>626670.76</f>
        <v>626670.76</v>
      </c>
      <c r="D165" s="52">
        <f>325056.17</f>
        <v>325056.17</v>
      </c>
      <c r="E165" s="52"/>
      <c r="F165" s="52">
        <f>535979.47</f>
        <v>535979.47</v>
      </c>
      <c r="G165" s="118"/>
    </row>
    <row r="166" spans="1:7" ht="15">
      <c r="A166" s="64" t="s">
        <v>244</v>
      </c>
      <c r="B166" s="64"/>
      <c r="C166" s="280"/>
      <c r="D166" s="52">
        <f>1434119.52+127361.7</f>
        <v>1561481.22</v>
      </c>
      <c r="E166" s="52"/>
      <c r="F166" s="52">
        <f>1141693.46+94126</f>
        <v>1235819.46</v>
      </c>
      <c r="G166" s="118"/>
    </row>
    <row r="167" spans="1:7" ht="15">
      <c r="A167" s="64" t="s">
        <v>413</v>
      </c>
      <c r="B167" s="64"/>
      <c r="C167" s="280"/>
      <c r="D167" s="52">
        <f>958579.42</f>
        <v>958579.42</v>
      </c>
      <c r="E167" s="52"/>
      <c r="F167" s="52"/>
      <c r="G167" s="118"/>
    </row>
    <row r="168" spans="1:7" ht="15">
      <c r="A168" s="64" t="s">
        <v>267</v>
      </c>
      <c r="B168" s="64"/>
      <c r="C168" s="163">
        <v>12500</v>
      </c>
      <c r="D168" s="52"/>
      <c r="E168" s="52"/>
      <c r="F168" s="52">
        <v>12500</v>
      </c>
      <c r="G168" s="118"/>
    </row>
    <row r="169" spans="1:7" ht="15">
      <c r="A169" s="64" t="s">
        <v>246</v>
      </c>
      <c r="B169" s="64"/>
      <c r="C169" s="163">
        <f>519400</f>
        <v>519400</v>
      </c>
      <c r="D169" s="52">
        <f>594800</f>
        <v>594800</v>
      </c>
      <c r="E169" s="52"/>
      <c r="F169" s="52">
        <v>519454</v>
      </c>
      <c r="G169" s="118"/>
    </row>
    <row r="170" spans="1:7" ht="15">
      <c r="A170" s="64" t="s">
        <v>247</v>
      </c>
      <c r="B170" s="64"/>
      <c r="C170" s="163">
        <f>1027404.88+34705</f>
        <v>1062109.88</v>
      </c>
      <c r="D170" s="52">
        <f>1238294.24</f>
        <v>1238294.24</v>
      </c>
      <c r="E170" s="52"/>
      <c r="F170" s="52">
        <f>902559+159550</f>
        <v>1062109</v>
      </c>
      <c r="G170" s="118"/>
    </row>
    <row r="171" spans="1:7" ht="15">
      <c r="A171" s="64" t="s">
        <v>414</v>
      </c>
      <c r="B171" s="64"/>
      <c r="C171" s="163">
        <f>1058410</f>
        <v>1058410</v>
      </c>
      <c r="D171" s="52">
        <f>1508990+194964</f>
        <v>1703954</v>
      </c>
      <c r="E171" s="52"/>
      <c r="F171" s="52">
        <f>1058410</f>
        <v>1058410</v>
      </c>
      <c r="G171" s="118"/>
    </row>
    <row r="172" spans="1:7" ht="15">
      <c r="A172" s="64" t="s">
        <v>248</v>
      </c>
      <c r="B172" s="64"/>
      <c r="C172" s="163">
        <f>49200</f>
        <v>49200</v>
      </c>
      <c r="D172" s="52"/>
      <c r="E172" s="52"/>
      <c r="F172" s="52">
        <v>49200</v>
      </c>
      <c r="G172" s="118"/>
    </row>
    <row r="173" spans="1:7" ht="15">
      <c r="A173" s="64" t="s">
        <v>249</v>
      </c>
      <c r="B173" s="64"/>
      <c r="C173" s="163">
        <f>206223</f>
        <v>206223</v>
      </c>
      <c r="D173" s="52">
        <f>411749.91+7777.8</f>
        <v>419527.70999999996</v>
      </c>
      <c r="E173" s="52"/>
      <c r="F173" s="52">
        <v>206223</v>
      </c>
      <c r="G173" s="118"/>
    </row>
    <row r="174" spans="1:7" ht="18" customHeight="1">
      <c r="A174" s="64" t="s">
        <v>152</v>
      </c>
      <c r="B174" s="64"/>
      <c r="C174" s="163">
        <f>148374+24779.67</f>
        <v>173153.66999999998</v>
      </c>
      <c r="D174" s="52">
        <f>169200</f>
        <v>169200</v>
      </c>
      <c r="E174" s="52"/>
      <c r="F174" s="52">
        <f>173154</f>
        <v>173154</v>
      </c>
      <c r="G174" s="118"/>
    </row>
    <row r="175" spans="1:8" ht="15">
      <c r="A175" s="64" t="s">
        <v>155</v>
      </c>
      <c r="B175" s="64"/>
      <c r="C175" s="163">
        <v>122829.23</v>
      </c>
      <c r="D175" s="52">
        <f>119792.4+143520</f>
        <v>263312.4</v>
      </c>
      <c r="E175" s="52"/>
      <c r="F175" s="52">
        <f>116581.26</f>
        <v>116581.26</v>
      </c>
      <c r="G175" s="118"/>
      <c r="H175" s="66"/>
    </row>
    <row r="176" spans="1:7" ht="15">
      <c r="A176" s="64" t="s">
        <v>250</v>
      </c>
      <c r="B176" s="64"/>
      <c r="C176" s="163">
        <f>99000+147200+8000</f>
        <v>254200</v>
      </c>
      <c r="D176" s="52">
        <f>108000</f>
        <v>108000</v>
      </c>
      <c r="E176" s="52"/>
      <c r="F176" s="52">
        <f>155200+99000</f>
        <v>254200</v>
      </c>
      <c r="G176" s="118"/>
    </row>
    <row r="177" spans="1:7" ht="15">
      <c r="A177" s="64" t="s">
        <v>269</v>
      </c>
      <c r="B177" s="64"/>
      <c r="C177" s="163">
        <f>305313.18+10000+4000</f>
        <v>319313.18</v>
      </c>
      <c r="D177" s="52"/>
      <c r="E177" s="52"/>
      <c r="F177" s="52">
        <f>305312+10000+4000</f>
        <v>319312</v>
      </c>
      <c r="G177" s="118"/>
    </row>
    <row r="178" spans="1:8" ht="15">
      <c r="A178" s="64" t="s">
        <v>153</v>
      </c>
      <c r="B178" s="64"/>
      <c r="C178" s="163">
        <f>200937+156675+2962</f>
        <v>360574</v>
      </c>
      <c r="D178" s="52">
        <f>577216.28+27778</f>
        <v>604994.28</v>
      </c>
      <c r="E178" s="52"/>
      <c r="F178" s="52">
        <f>357612</f>
        <v>357612</v>
      </c>
      <c r="G178" s="118"/>
      <c r="H178" s="66"/>
    </row>
    <row r="179" spans="1:7" ht="15">
      <c r="A179" s="64" t="s">
        <v>251</v>
      </c>
      <c r="B179" s="64"/>
      <c r="C179" s="163">
        <f>105813</f>
        <v>105813</v>
      </c>
      <c r="D179" s="52">
        <f>332370</f>
        <v>332370</v>
      </c>
      <c r="E179" s="52"/>
      <c r="F179" s="52">
        <v>105813</v>
      </c>
      <c r="G179" s="118"/>
    </row>
    <row r="180" spans="1:7" ht="15">
      <c r="A180" s="64" t="s">
        <v>415</v>
      </c>
      <c r="B180" s="64"/>
      <c r="C180" s="163"/>
      <c r="D180" s="52">
        <f>142320.48</f>
        <v>142320.48</v>
      </c>
      <c r="E180" s="52"/>
      <c r="F180" s="52"/>
      <c r="G180" s="118"/>
    </row>
    <row r="181" spans="1:8" ht="15">
      <c r="A181" s="64" t="s">
        <v>253</v>
      </c>
      <c r="B181" s="64"/>
      <c r="C181" s="163">
        <f>749777.94+781939.93+95978.34</f>
        <v>1627696.2100000002</v>
      </c>
      <c r="D181" s="52">
        <f>711692.64+1791891.2+107965.86</f>
        <v>2611549.6999999997</v>
      </c>
      <c r="E181" s="52"/>
      <c r="F181" s="52">
        <f>876038+176549+848191</f>
        <v>1900778</v>
      </c>
      <c r="G181" s="118"/>
      <c r="H181" s="66"/>
    </row>
    <row r="182" spans="1:7" ht="15">
      <c r="A182" s="64" t="s">
        <v>254</v>
      </c>
      <c r="B182" s="64"/>
      <c r="C182" s="163">
        <f>1608158</f>
        <v>1608158</v>
      </c>
      <c r="D182" s="52">
        <f>1337499.4</f>
        <v>1337499.4</v>
      </c>
      <c r="E182" s="52"/>
      <c r="F182" s="52">
        <f>1608158</f>
        <v>1608158</v>
      </c>
      <c r="G182" s="118"/>
    </row>
    <row r="183" spans="1:7" ht="15">
      <c r="A183" s="64" t="s">
        <v>255</v>
      </c>
      <c r="B183" s="64"/>
      <c r="C183" s="163">
        <f>1241565.8+76965</f>
        <v>1318530.8</v>
      </c>
      <c r="D183" s="52">
        <f>1591914</f>
        <v>1591914</v>
      </c>
      <c r="E183" s="52"/>
      <c r="F183" s="52">
        <f>1241565.8+76965.08</f>
        <v>1318530.8800000001</v>
      </c>
      <c r="G183" s="118"/>
    </row>
    <row r="184" spans="1:7" ht="15">
      <c r="A184" s="64" t="s">
        <v>256</v>
      </c>
      <c r="B184" s="64"/>
      <c r="C184" s="163">
        <f>5483432.33+3568982.87+259137+95903+76020+1042335</f>
        <v>10525810.2</v>
      </c>
      <c r="D184" s="52">
        <f>9326993.16+328380+263660.85+462690</f>
        <v>10381724.01</v>
      </c>
      <c r="E184" s="52"/>
      <c r="F184" s="52">
        <f>5579335.2+3568982+76020+259138+1042335</f>
        <v>10525810.2</v>
      </c>
      <c r="G184" s="118"/>
    </row>
    <row r="185" spans="1:7" ht="15">
      <c r="A185" s="64" t="s">
        <v>257</v>
      </c>
      <c r="B185" s="64"/>
      <c r="C185" s="163">
        <f>1911113.69+77839.97</f>
        <v>1988953.66</v>
      </c>
      <c r="D185" s="52">
        <f>1387840.51+306302.84</f>
        <v>1694143.35</v>
      </c>
      <c r="E185" s="52"/>
      <c r="F185" s="52">
        <f>1988953.65</f>
        <v>1988953.65</v>
      </c>
      <c r="G185" s="118"/>
    </row>
    <row r="186" spans="1:7" ht="15">
      <c r="A186" s="64" t="s">
        <v>259</v>
      </c>
      <c r="B186" s="64"/>
      <c r="C186" s="163">
        <f>1373195.66+2701516.87+3103480.93</f>
        <v>7178193.460000001</v>
      </c>
      <c r="D186" s="52">
        <f>2560565.46+5431462.4+22325</f>
        <v>8014352.86</v>
      </c>
      <c r="E186" s="52"/>
      <c r="F186" s="52">
        <f>7178193</f>
        <v>7178193</v>
      </c>
      <c r="G186" s="118"/>
    </row>
    <row r="187" spans="1:8" ht="15">
      <c r="A187" s="64" t="s">
        <v>260</v>
      </c>
      <c r="B187" s="64"/>
      <c r="C187" s="163">
        <f>341919+213780+76900+220200+701378.45+34600+586069+321423+192028+30000</f>
        <v>2718297.45</v>
      </c>
      <c r="D187" s="52">
        <f>543321.63+100000+689157.43+1477755+200000</f>
        <v>3010234.06</v>
      </c>
      <c r="E187" s="52"/>
      <c r="F187" s="52">
        <f>51149.2+57717+38846+725005+124734+596923.22+273000+632678+39909+189840</f>
        <v>2729801.42</v>
      </c>
      <c r="G187" s="118"/>
      <c r="H187" s="66"/>
    </row>
    <row r="188" spans="1:7" ht="15">
      <c r="A188" s="64" t="s">
        <v>261</v>
      </c>
      <c r="B188" s="64"/>
      <c r="C188" s="163">
        <f>208340.3</f>
        <v>208340.3</v>
      </c>
      <c r="D188" s="52"/>
      <c r="E188" s="52"/>
      <c r="F188" s="52">
        <v>208340</v>
      </c>
      <c r="G188" s="118"/>
    </row>
    <row r="189" spans="1:7" ht="15">
      <c r="A189" s="64" t="s">
        <v>270</v>
      </c>
      <c r="B189" s="64"/>
      <c r="C189" s="163"/>
      <c r="D189" s="52">
        <v>2230443</v>
      </c>
      <c r="E189" s="52"/>
      <c r="F189" s="52">
        <v>-0.42</v>
      </c>
      <c r="G189" s="118"/>
    </row>
    <row r="190" spans="1:8" ht="15">
      <c r="A190" s="64" t="s">
        <v>263</v>
      </c>
      <c r="B190" s="64"/>
      <c r="C190" s="163">
        <f>27867.53+508535+54341.38+0.31</f>
        <v>590744.2200000001</v>
      </c>
      <c r="D190" s="52">
        <f>306490+29510+473990</f>
        <v>809990</v>
      </c>
      <c r="E190" s="52"/>
      <c r="F190" s="52">
        <v>540334</v>
      </c>
      <c r="G190" s="118"/>
      <c r="H190" s="66"/>
    </row>
    <row r="191" spans="1:7" ht="15">
      <c r="A191" s="64" t="s">
        <v>262</v>
      </c>
      <c r="B191" s="64"/>
      <c r="C191" s="163">
        <f>120972</f>
        <v>120972</v>
      </c>
      <c r="D191" s="52"/>
      <c r="E191" s="52"/>
      <c r="F191" s="52">
        <v>120972</v>
      </c>
      <c r="G191" s="118"/>
    </row>
    <row r="192" spans="1:7" ht="15">
      <c r="A192" s="64" t="s">
        <v>264</v>
      </c>
      <c r="B192" s="64"/>
      <c r="C192" s="163">
        <f>5134984</f>
        <v>5134984</v>
      </c>
      <c r="D192" s="52"/>
      <c r="E192" s="52"/>
      <c r="F192" s="52">
        <f>5134984.4</f>
        <v>5134984.4</v>
      </c>
      <c r="G192" s="118"/>
    </row>
    <row r="193" spans="1:7" ht="15">
      <c r="A193" s="64" t="s">
        <v>265</v>
      </c>
      <c r="B193" s="64"/>
      <c r="C193" s="163">
        <f>971087.2</f>
        <v>971087.2</v>
      </c>
      <c r="D193" s="52">
        <f>106676.8</f>
        <v>106676.8</v>
      </c>
      <c r="E193" s="52"/>
      <c r="F193" s="52">
        <f>971071</f>
        <v>971071</v>
      </c>
      <c r="G193" s="118"/>
    </row>
    <row r="194" spans="1:7" ht="15">
      <c r="A194" s="64" t="s">
        <v>416</v>
      </c>
      <c r="B194" s="64"/>
      <c r="C194" s="163">
        <f>873225.07</f>
        <v>873225.07</v>
      </c>
      <c r="D194" s="52">
        <f>394731.7</f>
        <v>394731.7</v>
      </c>
      <c r="E194" s="52"/>
      <c r="F194" s="52">
        <v>873325</v>
      </c>
      <c r="G194" s="118"/>
    </row>
    <row r="195" spans="1:8" ht="15">
      <c r="A195" s="64" t="s">
        <v>266</v>
      </c>
      <c r="B195" s="64"/>
      <c r="C195" s="163">
        <v>50997.28</v>
      </c>
      <c r="D195" s="52"/>
      <c r="E195" s="52"/>
      <c r="F195" s="52"/>
      <c r="G195" s="118"/>
      <c r="H195" s="66"/>
    </row>
    <row r="196" spans="1:9" ht="15" thickBot="1">
      <c r="A196" s="69" t="s">
        <v>2</v>
      </c>
      <c r="B196" s="69"/>
      <c r="C196" s="65">
        <f>SUM(C159:C195)</f>
        <v>60465619.24</v>
      </c>
      <c r="D196" s="65">
        <f>SUM(D159:D195)</f>
        <v>59339274.03</v>
      </c>
      <c r="E196" s="65">
        <f>SUM(E159:E195)</f>
        <v>0</v>
      </c>
      <c r="F196" s="65">
        <f>SUM(F159:F195)</f>
        <v>61659290</v>
      </c>
      <c r="G196" s="65"/>
      <c r="I196" s="66"/>
    </row>
    <row r="197" spans="1:7" ht="15.75" thickTop="1">
      <c r="A197" s="41"/>
      <c r="B197" s="41"/>
      <c r="C197" s="41"/>
      <c r="D197" s="41">
        <f>+D196+'ardh-shpenz'!D12</f>
        <v>0</v>
      </c>
      <c r="E197" s="41"/>
      <c r="F197" s="41">
        <f>+F196+'ardh-shpenz'!F12</f>
        <v>0</v>
      </c>
      <c r="G197" s="41"/>
    </row>
    <row r="198" spans="1:7" ht="15">
      <c r="A198" s="41"/>
      <c r="B198" s="41"/>
      <c r="C198" s="41"/>
      <c r="D198" s="41"/>
      <c r="E198" s="41"/>
      <c r="F198" s="41"/>
      <c r="G198" s="41"/>
    </row>
    <row r="199" spans="1:7" ht="15.75" thickBot="1">
      <c r="A199" s="41"/>
      <c r="B199" s="41">
        <v>12</v>
      </c>
      <c r="C199" s="41"/>
      <c r="D199" s="42" t="s">
        <v>118</v>
      </c>
      <c r="E199" s="43"/>
      <c r="F199" s="42" t="s">
        <v>118</v>
      </c>
      <c r="G199" s="42"/>
    </row>
    <row r="200" spans="1:7" ht="15.75" thickTop="1">
      <c r="A200" s="41" t="s">
        <v>121</v>
      </c>
      <c r="B200" s="41"/>
      <c r="C200" s="41"/>
      <c r="D200" s="164">
        <f>1638701.86</f>
        <v>1638701.86</v>
      </c>
      <c r="E200" s="45"/>
      <c r="F200" s="164">
        <f>5942601.95</f>
        <v>5942601.95</v>
      </c>
      <c r="G200" s="44"/>
    </row>
    <row r="201" spans="1:7" ht="15">
      <c r="A201" s="41" t="s">
        <v>122</v>
      </c>
      <c r="B201" s="41"/>
      <c r="C201" s="41"/>
      <c r="D201" s="164">
        <f>39021.19</f>
        <v>39021.19</v>
      </c>
      <c r="E201" s="45"/>
      <c r="F201" s="164">
        <v>41126</v>
      </c>
      <c r="G201" s="62"/>
    </row>
    <row r="202" spans="1:7" ht="15">
      <c r="A202" s="41" t="s">
        <v>101</v>
      </c>
      <c r="B202" s="41"/>
      <c r="C202" s="41"/>
      <c r="D202" s="164"/>
      <c r="E202" s="45"/>
      <c r="F202" s="164">
        <v>642338</v>
      </c>
      <c r="G202" s="62"/>
    </row>
    <row r="203" spans="1:7" ht="15">
      <c r="A203" s="50" t="s">
        <v>123</v>
      </c>
      <c r="B203" s="50"/>
      <c r="C203" s="50"/>
      <c r="D203" s="165">
        <f>-(6167313.78+161752.52+4760254.74+1052079.85+2693690.63+4248000+1624644.3-1315657)</f>
        <v>-19392078.82</v>
      </c>
      <c r="E203" s="45"/>
      <c r="F203" s="165">
        <f>-1912843.83-3528525.1-788996.04</f>
        <v>-6230364.97</v>
      </c>
      <c r="G203" s="62"/>
    </row>
    <row r="204" spans="1:7" ht="15">
      <c r="A204" s="41" t="s">
        <v>31</v>
      </c>
      <c r="B204" s="41"/>
      <c r="C204" s="41"/>
      <c r="D204" s="164">
        <f>-(6821.21+7935537+1335994.5+5346351.21+3263912.39+789480.57+682211.38)</f>
        <v>-19360308.26</v>
      </c>
      <c r="E204" s="45"/>
      <c r="F204" s="164">
        <f>-3574129.82-2974282.81</f>
        <v>-6548412.63</v>
      </c>
      <c r="G204" s="62"/>
    </row>
    <row r="205" spans="1:7" ht="15" thickBot="1">
      <c r="A205" s="46" t="s">
        <v>2</v>
      </c>
      <c r="B205" s="46"/>
      <c r="C205" s="46"/>
      <c r="D205" s="65">
        <f>SUM(D200:D204)</f>
        <v>-37074664.03</v>
      </c>
      <c r="E205" s="48"/>
      <c r="F205" s="65">
        <f>SUM(F200:F204)</f>
        <v>-6152711.649999999</v>
      </c>
      <c r="G205" s="65"/>
    </row>
    <row r="206" spans="1:7" ht="15.75" thickTop="1">
      <c r="A206" s="41"/>
      <c r="B206" s="41"/>
      <c r="C206" s="41"/>
      <c r="D206" s="64">
        <f>+D205-'ardh-shpenz'!D20</f>
        <v>-0.0299999937415123</v>
      </c>
      <c r="E206" s="41"/>
      <c r="F206" s="64">
        <f>+F205-'ardh-shpenz'!F20</f>
        <v>0.35000000055879354</v>
      </c>
      <c r="G206" s="64"/>
    </row>
    <row r="207" spans="1:7" ht="15">
      <c r="A207" s="41"/>
      <c r="B207" s="41"/>
      <c r="C207" s="41"/>
      <c r="D207" s="41"/>
      <c r="E207" s="41"/>
      <c r="F207" s="41"/>
      <c r="G207" s="41"/>
    </row>
    <row r="208" spans="1:7" ht="15.75" thickBot="1">
      <c r="A208" s="64"/>
      <c r="B208" s="64"/>
      <c r="C208" s="64"/>
      <c r="D208" s="68" t="s">
        <v>328</v>
      </c>
      <c r="E208" s="52"/>
      <c r="F208" s="68" t="s">
        <v>80</v>
      </c>
      <c r="G208" s="68"/>
    </row>
    <row r="209" spans="1:7" ht="15.75" thickTop="1">
      <c r="A209" s="64" t="s">
        <v>124</v>
      </c>
      <c r="B209" s="64"/>
      <c r="C209" s="64"/>
      <c r="D209" s="64">
        <f>+'ardh-shpenz'!D22</f>
        <v>25408321.59999997</v>
      </c>
      <c r="E209" s="64"/>
      <c r="F209" s="64">
        <f>+'ardh-shpenz'!F22</f>
        <v>32163353.449999988</v>
      </c>
      <c r="G209" s="64"/>
    </row>
    <row r="210" spans="1:7" ht="15">
      <c r="A210" s="64" t="s">
        <v>125</v>
      </c>
      <c r="B210" s="64"/>
      <c r="C210" s="64"/>
      <c r="D210" s="64">
        <f>shpa!E25</f>
        <v>12959711.2</v>
      </c>
      <c r="E210" s="64"/>
      <c r="F210" s="64">
        <f>shpa!F29</f>
        <v>0</v>
      </c>
      <c r="G210" s="64"/>
    </row>
    <row r="211" spans="1:7" ht="15">
      <c r="A211" s="64" t="s">
        <v>306</v>
      </c>
      <c r="B211" s="64"/>
      <c r="C211" s="64"/>
      <c r="D211" s="64">
        <f>-3522081</f>
        <v>-3522081</v>
      </c>
      <c r="E211" s="64"/>
      <c r="F211" s="64">
        <f>-3522081</f>
        <v>-3522081</v>
      </c>
      <c r="G211" s="64"/>
    </row>
    <row r="212" spans="1:7" ht="15">
      <c r="A212" s="64" t="s">
        <v>126</v>
      </c>
      <c r="B212" s="64"/>
      <c r="C212" s="64"/>
      <c r="D212" s="71">
        <f>D209+D210+D211</f>
        <v>34845951.79999997</v>
      </c>
      <c r="E212" s="71">
        <f>E209+E210-E211</f>
        <v>0</v>
      </c>
      <c r="F212" s="71">
        <f>F209+F210+F211</f>
        <v>28641272.449999988</v>
      </c>
      <c r="G212" s="71"/>
    </row>
    <row r="213" spans="1:7" ht="15">
      <c r="A213" s="64" t="s">
        <v>127</v>
      </c>
      <c r="B213" s="64"/>
      <c r="C213" s="64"/>
      <c r="D213" s="51">
        <v>10</v>
      </c>
      <c r="E213" s="52"/>
      <c r="F213" s="51">
        <v>10</v>
      </c>
      <c r="G213" s="51"/>
    </row>
    <row r="214" spans="1:7" ht="14.25">
      <c r="A214" s="70" t="s">
        <v>128</v>
      </c>
      <c r="B214" s="70"/>
      <c r="C214" s="70"/>
      <c r="D214" s="70">
        <f>-'ardh-shpenz'!D24</f>
        <v>3484595</v>
      </c>
      <c r="E214" s="70"/>
      <c r="F214" s="70">
        <f>-'ardh-shpenz'!F24</f>
        <v>4757422</v>
      </c>
      <c r="G214" s="70"/>
    </row>
    <row r="215" spans="1:7" ht="15">
      <c r="A215" s="64"/>
      <c r="B215" s="64"/>
      <c r="C215" s="64"/>
      <c r="D215" s="64"/>
      <c r="E215" s="64"/>
      <c r="F215" s="64"/>
      <c r="G215" s="64"/>
    </row>
    <row r="216" spans="1:7" ht="14.25">
      <c r="A216" s="70" t="s">
        <v>129</v>
      </c>
      <c r="B216" s="70">
        <v>13</v>
      </c>
      <c r="C216" s="70"/>
      <c r="D216" s="70">
        <f>+D209-D214</f>
        <v>21923726.59999997</v>
      </c>
      <c r="E216" s="70"/>
      <c r="F216" s="70">
        <f>+F209-F214</f>
        <v>27405931.449999988</v>
      </c>
      <c r="G216" s="70"/>
    </row>
    <row r="219" spans="4:7" ht="15.75" thickBot="1">
      <c r="D219" s="42" t="s">
        <v>328</v>
      </c>
      <c r="E219" s="43"/>
      <c r="F219" s="42" t="s">
        <v>80</v>
      </c>
      <c r="G219" s="42"/>
    </row>
    <row r="220" spans="1:7" ht="13.5" thickTop="1">
      <c r="A220" s="1" t="s">
        <v>38</v>
      </c>
      <c r="B220" s="1"/>
      <c r="C220" s="1"/>
      <c r="D220" s="23">
        <f>+'BK'!D48</f>
        <v>100000</v>
      </c>
      <c r="E220" s="18"/>
      <c r="F220" s="23">
        <f>+'BK'!F48</f>
        <v>100000</v>
      </c>
      <c r="G220" s="23"/>
    </row>
    <row r="221" spans="1:7" ht="12.75">
      <c r="A221" s="1" t="s">
        <v>67</v>
      </c>
      <c r="B221" s="1"/>
      <c r="C221" s="1"/>
      <c r="D221" s="17">
        <v>10000</v>
      </c>
      <c r="E221" s="18"/>
      <c r="F221" s="17">
        <v>10000</v>
      </c>
      <c r="G221" s="17"/>
    </row>
    <row r="222" spans="1:7" ht="12.75">
      <c r="A222" s="1" t="s">
        <v>9</v>
      </c>
      <c r="B222" s="1"/>
      <c r="C222" s="1"/>
      <c r="D222" s="17">
        <f>+'BK'!D52</f>
        <v>0</v>
      </c>
      <c r="E222" s="18"/>
      <c r="F222" s="17">
        <f>+'BK'!F52-10000</f>
        <v>71348957.42</v>
      </c>
      <c r="G222" s="17"/>
    </row>
    <row r="223" spans="1:7" ht="12.75">
      <c r="A223" s="1" t="s">
        <v>68</v>
      </c>
      <c r="B223" s="1"/>
      <c r="C223" s="1"/>
      <c r="D223" s="17">
        <f>+'BK'!D53</f>
        <v>0</v>
      </c>
      <c r="E223" s="18"/>
      <c r="F223" s="17">
        <f>+'BK'!F53</f>
        <v>0</v>
      </c>
      <c r="G223" s="17"/>
    </row>
    <row r="224" spans="1:7" ht="12.75">
      <c r="A224" s="1" t="s">
        <v>102</v>
      </c>
      <c r="B224" s="1"/>
      <c r="C224" s="1"/>
      <c r="D224" s="17">
        <f>+'BK'!D54</f>
        <v>21923727</v>
      </c>
      <c r="E224" s="18"/>
      <c r="F224" s="17">
        <f>+'BK'!F54</f>
        <v>27405931.449999988</v>
      </c>
      <c r="G224" s="17"/>
    </row>
    <row r="225" spans="1:7" ht="13.5" thickBot="1">
      <c r="A225" s="2"/>
      <c r="B225" s="2"/>
      <c r="C225" s="2"/>
      <c r="D225" s="119">
        <f>SUM(D220:D224)</f>
        <v>22033727</v>
      </c>
      <c r="E225" s="120"/>
      <c r="F225" s="119">
        <f>SUM(F220:F224)</f>
        <v>98864888.86999999</v>
      </c>
      <c r="G225" s="119"/>
    </row>
    <row r="226" ht="13.5" thickTop="1"/>
    <row r="229" spans="1:4" ht="15">
      <c r="A229" s="309" t="s">
        <v>480</v>
      </c>
      <c r="B229" s="309"/>
      <c r="C229" s="309"/>
      <c r="D229" s="309"/>
    </row>
    <row r="230" spans="1:4" ht="12.75">
      <c r="A230" s="90" t="s">
        <v>481</v>
      </c>
      <c r="B230" s="90"/>
      <c r="C230" s="90"/>
      <c r="D230" s="90">
        <v>211632</v>
      </c>
    </row>
    <row r="231" spans="1:4" ht="12.75">
      <c r="A231" s="90" t="s">
        <v>482</v>
      </c>
      <c r="B231" s="90"/>
      <c r="C231" s="90"/>
      <c r="D231" s="90">
        <v>185232</v>
      </c>
    </row>
    <row r="232" spans="1:4" ht="12.75">
      <c r="A232" s="161" t="s">
        <v>483</v>
      </c>
      <c r="B232" s="161"/>
      <c r="C232" s="161"/>
      <c r="D232" s="161">
        <f>SUM(D230:D231)</f>
        <v>396864</v>
      </c>
    </row>
    <row r="233" spans="1:4" ht="12.75">
      <c r="A233" s="90" t="s">
        <v>484</v>
      </c>
      <c r="B233" s="90"/>
      <c r="C233" s="90"/>
      <c r="D233" s="90">
        <v>-290187.2</v>
      </c>
    </row>
    <row r="234" spans="1:4" ht="12.75">
      <c r="A234" s="284" t="s">
        <v>485</v>
      </c>
      <c r="B234" s="284"/>
      <c r="C234" s="284"/>
      <c r="D234" s="284">
        <f>SUM(D232:D233)</f>
        <v>106676.79999999999</v>
      </c>
    </row>
  </sheetData>
  <sheetProtection/>
  <mergeCells count="2">
    <mergeCell ref="A1:D1"/>
    <mergeCell ref="A229:D22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Edil Al-It</cp:lastModifiedBy>
  <cp:lastPrinted>2010-03-19T11:52:06Z</cp:lastPrinted>
  <dcterms:created xsi:type="dcterms:W3CDTF">2008-12-17T10:29:05Z</dcterms:created>
  <dcterms:modified xsi:type="dcterms:W3CDTF">2010-06-09T13:07:45Z</dcterms:modified>
  <cp:category/>
  <cp:version/>
  <cp:contentType/>
  <cp:contentStatus/>
</cp:coreProperties>
</file>