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8820" windowHeight="3885" tabRatio="859" activeTab="10"/>
  </bookViews>
  <sheets>
    <sheet name="Kapaku" sheetId="1" r:id="rId1"/>
    <sheet name="Aktivet e detajuara" sheetId="2" r:id="rId2"/>
    <sheet name="Te ardhura e shpenzime" sheetId="3" r:id="rId3"/>
    <sheet name="Fluksi 2" sheetId="4" r:id="rId4"/>
    <sheet name="Kapitali 2" sheetId="5" r:id="rId5"/>
    <sheet name="Shenime (2)" sheetId="6" r:id="rId6"/>
    <sheet name="Te ardhura" sheetId="7" r:id="rId7"/>
    <sheet name="Shpenzime" sheetId="8" r:id="rId8"/>
    <sheet name="aktivitet per BM" sheetId="9" r:id="rId9"/>
    <sheet name="AAM" sheetId="10" r:id="rId10"/>
    <sheet name="Deklarate" sheetId="11" r:id="rId11"/>
  </sheets>
  <externalReferences>
    <externalReference r:id="rId14"/>
    <externalReference r:id="rId15"/>
    <externalReference r:id="rId16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  <definedName name="_xlnm.Print_Area" localSheetId="1">'Aktivet e detajuara'!$A$1:$M$48,'Aktivet e detajuara'!$A$52:$M$96</definedName>
    <definedName name="_xlnm.Print_Area" localSheetId="3">'Fluksi 2'!$A$1:$J$37</definedName>
    <definedName name="_xlnm.Print_Area" localSheetId="0">'Kapaku'!$A$1:$E$33</definedName>
    <definedName name="_xlnm.Print_Area" localSheetId="5">'Shenime (2)'!$A$1:$H$88</definedName>
    <definedName name="_xlnm.Print_Area" localSheetId="6">'Te ardhura'!$A$1:$L$50</definedName>
    <definedName name="_xlnm.Print_Area" localSheetId="2">'Te ardhura e shpenzime'!$A$2:$H$29</definedName>
  </definedNames>
  <calcPr fullCalcOnLoad="1"/>
</workbook>
</file>

<file path=xl/sharedStrings.xml><?xml version="1.0" encoding="utf-8"?>
<sst xmlns="http://schemas.openxmlformats.org/spreadsheetml/2006/main" count="731" uniqueCount="488">
  <si>
    <t>I</t>
  </si>
  <si>
    <t>II</t>
  </si>
  <si>
    <t>III</t>
  </si>
  <si>
    <t>Hua te tjera</t>
  </si>
  <si>
    <t>Shpenzime te tjera rrjedhese</t>
  </si>
  <si>
    <t>Ndertesa</t>
  </si>
  <si>
    <t>AKTIVET</t>
  </si>
  <si>
    <t>Shenimet</t>
  </si>
  <si>
    <t>AKTIVET AFATSHKURTERA</t>
  </si>
  <si>
    <t>Aktive monetare</t>
  </si>
  <si>
    <t>Derivative dhe aktive te mbajtura per tregetim</t>
  </si>
  <si>
    <t>(i)</t>
  </si>
  <si>
    <t>Derivativet</t>
  </si>
  <si>
    <t>(ii)</t>
  </si>
  <si>
    <t>Aktivet e mbajtura per tregetim</t>
  </si>
  <si>
    <t>Totali 2</t>
  </si>
  <si>
    <t>Aktive te tjera financiare afatshkurtera</t>
  </si>
  <si>
    <t>Llogari / Kerkesa te arketueshme</t>
  </si>
  <si>
    <t>Llogari / Kerkesa te tjera  te arketueshme</t>
  </si>
  <si>
    <t>(iii)</t>
  </si>
  <si>
    <t>Instrumente te tjera borxhi</t>
  </si>
  <si>
    <t>(iv)</t>
  </si>
  <si>
    <t>Investime te tjera financiare</t>
  </si>
  <si>
    <t>Totali 3</t>
  </si>
  <si>
    <t>Inventari</t>
  </si>
  <si>
    <t>(v)</t>
  </si>
  <si>
    <t>Ledet e para</t>
  </si>
  <si>
    <t>Prodhimi ne proces</t>
  </si>
  <si>
    <t>Produkte te gateshme</t>
  </si>
  <si>
    <t>Mallra per rishitje</t>
  </si>
  <si>
    <t>Parapagesat per furnizime</t>
  </si>
  <si>
    <t>Totali 4</t>
  </si>
  <si>
    <t>Aktivet biologjike afatshkurtera</t>
  </si>
  <si>
    <t>Aktivet afatshkurtera te mbajtura per shitje</t>
  </si>
  <si>
    <t>Parapagimet dhe shpenzimet e shtyra</t>
  </si>
  <si>
    <t>AKTIVET AFATGJATA</t>
  </si>
  <si>
    <t>Investimet financiare afatgjata</t>
  </si>
  <si>
    <t>Pjesemarrje te tjera ne njesi te kontrolluara (vetem ne PF )</t>
  </si>
  <si>
    <t>Aksione dhe investime te tjera ne pjesemarrje</t>
  </si>
  <si>
    <t>Aksione dhe letra te tjera me vlere</t>
  </si>
  <si>
    <t>Llogari / Kerkesa te arketueshme afatgjata</t>
  </si>
  <si>
    <t>Totali 1</t>
  </si>
  <si>
    <t>Aktive afatgjata materiale</t>
  </si>
  <si>
    <t>Toka</t>
  </si>
  <si>
    <t>Makineri dhe pajisje</t>
  </si>
  <si>
    <t>Aktive te tjera afatgjata materiale ( me vl. kontabel )</t>
  </si>
  <si>
    <t>Aktivet biologjike afatgjata</t>
  </si>
  <si>
    <t>Aktive afatgjata jomateriale</t>
  </si>
  <si>
    <t>Emri I mire</t>
  </si>
  <si>
    <t>Shpenzimet e zhvillimit</t>
  </si>
  <si>
    <t>Aktive te tjera afatgjata jomateriale</t>
  </si>
  <si>
    <t>Kapital aksionar I pa paguar</t>
  </si>
  <si>
    <t xml:space="preserve">Aktive te tjera afatgjata </t>
  </si>
  <si>
    <t>TOTALI I AKTIVEVE AFATGJATA ( II )</t>
  </si>
  <si>
    <t>TOTALI I AKTIVEVE  ( I + II )</t>
  </si>
  <si>
    <t>DETYRIMET DHE KAPITALI</t>
  </si>
  <si>
    <t>DETYRIMET AFATSHKURTERA</t>
  </si>
  <si>
    <t>Huamarrjet</t>
  </si>
  <si>
    <t>Huat dhe obligacionet afatshkurtera</t>
  </si>
  <si>
    <t>Kthimet / ripagesat e huave afatgjata</t>
  </si>
  <si>
    <t>Bono te konvertueshme</t>
  </si>
  <si>
    <t>Huat dhe parapagimet</t>
  </si>
  <si>
    <t>Te pagueshme ndaj furnitoreve</t>
  </si>
  <si>
    <t>Te pagueshme ndaj punonjesve</t>
  </si>
  <si>
    <t>Detyrime tatimore</t>
  </si>
  <si>
    <t>Parapagimet e arketuara</t>
  </si>
  <si>
    <t>Grantet dhe te ardhurat e shtyra</t>
  </si>
  <si>
    <t>Provizionet afatshkurtera</t>
  </si>
  <si>
    <t>TOTALI I DETYRIMEVE AFATSHKURTERA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</si>
  <si>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</si>
  <si>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</si>
  <si>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</si>
  <si>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</si>
  <si>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</si>
  <si>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</si>
  <si>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 II )</t>
  </si>
  <si>
    <t>TOTALI I DETYRIMEVE</t>
  </si>
  <si>
    <t>KAPITALI</t>
  </si>
  <si>
    <t>Aksionet e pakices ( perdoret vetem ne pasqyrat financiare te konsoliduara )</t>
  </si>
  <si>
    <t>Kapitali qe I perket aksionareve te shoqerise meme ( perdoret vetem ne PF te konsoliduara )</t>
  </si>
  <si>
    <t>Kapitali aksionar</t>
  </si>
  <si>
    <t>Primi I aksionit</t>
  </si>
  <si>
    <t>Njesite dhe aksionet e thesarit ( negative )</t>
  </si>
  <si>
    <t>Rezerva statusore</t>
  </si>
  <si>
    <t>Rezerva ligjore</t>
  </si>
  <si>
    <t>Rezerva te tjera</t>
  </si>
  <si>
    <t>Fitimet e pa shperndara</t>
  </si>
  <si>
    <t>Fitimi ( humbja ) e vitit financiar</t>
  </si>
  <si>
    <t>TOTALI I KAPITALIT ( III )</t>
  </si>
  <si>
    <t>TOTALI I DETYRIMEVE KAPITALIT ( I,II,III )</t>
  </si>
  <si>
    <t>Pershkrimi I Elementeve</t>
  </si>
  <si>
    <t>Shitjet neto</t>
  </si>
  <si>
    <t>Te ardhura te tjera nga veprimtarite e shfrytezimit</t>
  </si>
  <si>
    <t>Ndryshimet ne inventarin e produkteve te gatshme dhe prodhimit ne proces</t>
  </si>
  <si>
    <t>Materialet e konsumuara</t>
  </si>
  <si>
    <t>Kosto e punes</t>
  </si>
  <si>
    <t>pagat e personelit</t>
  </si>
  <si>
    <t>shpenzimet per sigurimet shoqerore dhe shendetesore</t>
  </si>
  <si>
    <t>Amortizimet dhe zhvleresimet</t>
  </si>
  <si>
    <t>Totali I shpenzimeve  ( shuma 4 - 7 )</t>
  </si>
  <si>
    <t>Fitimi apo humbja nga veprimtaria kryesore ( 1+2+/-3-8 )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</si>
  <si>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</si>
  <si>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</si>
  <si>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</si>
  <si>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Te ardhurat dhe shpenzimet financiare nga investime te tjera financiare afatgjata</t>
  </si>
  <si>
    <t xml:space="preserve">Te ardhurat dhe shpenzimet nga interesat </t>
  </si>
  <si>
    <t>Fitimet ( humbjet ) nga kursi I kembimit</t>
  </si>
  <si>
    <t>Te ardhura dhe shpenzime te tjera financiare</t>
  </si>
  <si>
    <t>Totali I te ardhurave dhe shpenzimeve financiare ( 12.1+/-12.2+/-12.3+/-12.4 )</t>
  </si>
  <si>
    <t>Fitimi ( humbja ) para tatimit ( 9+/-13 )</t>
  </si>
  <si>
    <t>Shpenzimet e tatimit mbi fitimin</t>
  </si>
  <si>
    <t>Fitimi ( humbja ) neto e vitit financiar ( 14 - 15 )</t>
  </si>
  <si>
    <t>Elementet e pasqyrave te konsoliduara</t>
  </si>
  <si>
    <t xml:space="preserve">                     PASQYRA E TE ARDHURAVE DHE SHPENZIMEVE</t>
  </si>
  <si>
    <t>Fluksi monetar nga veprimtarite investuese</t>
  </si>
  <si>
    <t>Dividentet e arketuar</t>
  </si>
  <si>
    <t>Fluksi monetar nga aktivitetet financiare</t>
  </si>
  <si>
    <t>Te ardhura nga huamarrje afatgjata</t>
  </si>
  <si>
    <t>Dividente te paguar</t>
  </si>
  <si>
    <t>Mjetet monetare ne fillim te periudhes kontabel</t>
  </si>
  <si>
    <t>Mjetet monetare ne fund te periudhes kontabel</t>
  </si>
  <si>
    <t>Dividentet e paguar</t>
  </si>
  <si>
    <t>Fitimi neto per periudhen kontabel</t>
  </si>
  <si>
    <t>Totali I te Ardhurave  ( shuma 1+2+/-3 )</t>
  </si>
  <si>
    <t>( Bazuar ne klasifikimin e Shpenzimeve sipas Natyres  )</t>
  </si>
  <si>
    <t>Pozicioni me 31 dhjetor 2008</t>
  </si>
  <si>
    <t>Viti 2008</t>
  </si>
  <si>
    <t>PASIVET</t>
  </si>
  <si>
    <t>Te dhena identifikuese</t>
  </si>
  <si>
    <t>Emri</t>
  </si>
  <si>
    <t>Nipt</t>
  </si>
  <si>
    <t>Te dhena te tjera</t>
  </si>
  <si>
    <t xml:space="preserve">Pasqyra Finaciare </t>
  </si>
  <si>
    <t>Periudha Kontabel</t>
  </si>
  <si>
    <t>Aktive totale Afatshkurtra</t>
  </si>
  <si>
    <t>Diferenca konvertimi</t>
  </si>
  <si>
    <t>Nr</t>
  </si>
  <si>
    <t>Pasqyra e fluksit monetar - Metoda Indirekte</t>
  </si>
  <si>
    <t>Periudha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</si>
  <si>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</si>
  <si>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</si>
  <si>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</si>
  <si>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</si>
  <si>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</si>
  <si>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</si>
  <si>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</si>
  <si>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</si>
  <si>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</si>
  <si>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</si>
  <si>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</si>
  <si>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</si>
  <si>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</si>
  <si>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</si>
  <si>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</si>
  <si>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</si>
  <si>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</si>
  <si>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</si>
  <si>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</si>
  <si>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</si>
  <si>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MM neto te perdoruara ne veprimtarite investuese</t>
  </si>
  <si>
    <t>Te ardhura nga emetimi i kapitalit aksioner</t>
  </si>
  <si>
    <t>Pagesat e detyrimive te qerase financiare</t>
  </si>
  <si>
    <t>MM neto e perdorur ne veprimtarite Financiare</t>
  </si>
  <si>
    <t>Rritja/Renia neto e mjeteve monetare</t>
  </si>
  <si>
    <t>Rritje/renie ne Tepricen/parapagime dhe shpenz te shtyra</t>
  </si>
  <si>
    <t>Kapitali Aksionar</t>
  </si>
  <si>
    <t>Shenime Shpjeguese</t>
  </si>
  <si>
    <t xml:space="preserve">Mjete monetare </t>
  </si>
  <si>
    <t>Arka</t>
  </si>
  <si>
    <t>TAP</t>
  </si>
  <si>
    <t>PASQYRAT FINANCIARE</t>
  </si>
  <si>
    <t>Mbeshtetur ne ligjin nr 9228 dt 29.04.2004 "Per Kontabilitetin dhe Pasqyrat Financiare",  te ndryshuar dhe ne Standartet Kombetare te Kontabilitetit - SKK-2</t>
  </si>
  <si>
    <t>Individuale</t>
  </si>
  <si>
    <t>Monedha</t>
  </si>
  <si>
    <t>Lek</t>
  </si>
  <si>
    <t>Data e krijimit</t>
  </si>
  <si>
    <t>Rrumbullakimi</t>
  </si>
  <si>
    <t>S'Ka</t>
  </si>
  <si>
    <t>Nr Regjistrit Tregetar</t>
  </si>
  <si>
    <t>Fusha e veprimtarise</t>
  </si>
  <si>
    <t xml:space="preserve">Data e plotesimit te PF </t>
  </si>
  <si>
    <t xml:space="preserve">Pasqyra   e   Fluksit   Monetar  -  Metoda  Indirekte   </t>
  </si>
  <si>
    <t xml:space="preserve">Pasqyra  e  Ndryshimeve  ne  Kapital </t>
  </si>
  <si>
    <t>Nje pasqyre e pa Konsoliduar</t>
  </si>
  <si>
    <t>Primi aksionit</t>
  </si>
  <si>
    <t>Aksione thesari</t>
  </si>
  <si>
    <t>Rezerva stat.ligjore</t>
  </si>
  <si>
    <t>Rezerva Te tjera</t>
  </si>
  <si>
    <t xml:space="preserve">Fitimi pashperndare </t>
  </si>
  <si>
    <t>TOTALI</t>
  </si>
  <si>
    <t>Transferimi ne rezerva</t>
  </si>
  <si>
    <t>Emetimi aksioneve</t>
  </si>
  <si>
    <t>Emetimi kapitali aksionar</t>
  </si>
  <si>
    <t>Aksione te thesari te riblera</t>
  </si>
  <si>
    <t>Adresa</t>
  </si>
  <si>
    <t>Politikat kontabël</t>
  </si>
  <si>
    <t>Qera</t>
  </si>
  <si>
    <t>Pozicioni me 31 dhjetor 2009</t>
  </si>
  <si>
    <t>Viti 2009</t>
  </si>
  <si>
    <t>Shitje nga sherbimi</t>
  </si>
  <si>
    <t>2009</t>
  </si>
  <si>
    <t>2008</t>
  </si>
  <si>
    <t>5</t>
  </si>
  <si>
    <t xml:space="preserve">Per percaktimin e kostos se inventareve eshte zgjedhur metoda " mesatare e ponderuar" </t>
  </si>
  <si>
    <t>Vleresimi fillestar i nje elementi te AAM qe ploteson kriteret per njohje si aktiv ne bilanc  eshte vlersuar me kosto</t>
  </si>
  <si>
    <t>Per vleresimin e metejshem te AAM eshte zgjedhur modeli i kostos duke i paraqitur ne bilanc me kosto minus amortizimin e akumuluar</t>
  </si>
  <si>
    <t>Per llogaritjen e amortizimit te AAM , jane perdorur te njejtat norma si ato fiskale ne fuqi:</t>
  </si>
  <si>
    <t>1-Kompjutera e paisje IT me 25 % te vleftes se mbetur</t>
  </si>
  <si>
    <t>2-Te gjitha AAM te tjera me 20 % te vleftes se mbetur</t>
  </si>
  <si>
    <t>4</t>
  </si>
  <si>
    <t>AAGJM</t>
  </si>
  <si>
    <t>Viti 2010</t>
  </si>
  <si>
    <t>2010</t>
  </si>
  <si>
    <t>Pozicioni me 31 dhjetor 2010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</si>
  <si>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</si>
  <si>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</si>
  <si>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</si>
  <si>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</si>
  <si>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</si>
  <si>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</si>
  <si>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</si>
  <si>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</si>
  <si>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</si>
  <si>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</si>
  <si>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</si>
  <si>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</si>
  <si>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</si>
  <si>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</si>
  <si>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</si>
  <si>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</si>
  <si>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</si>
  <si>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</si>
  <si>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</si>
  <si>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</si>
  <si>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</si>
  <si>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</si>
  <si>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</si>
  <si>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</si>
  <si>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</si>
  <si>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</si>
  <si>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</si>
  <si>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</si>
  <si>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</si>
  <si>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</si>
  <si>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</si>
  <si>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</si>
  <si>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</si>
  <si>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</si>
  <si>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</si>
  <si>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</si>
  <si>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</si>
  <si>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</si>
  <si>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</si>
  <si>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</si>
  <si>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</si>
  <si>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</si>
  <si>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</si>
  <si>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</si>
  <si>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</si>
  <si>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</si>
  <si>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</si>
  <si>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</si>
  <si>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</si>
  <si>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</si>
  <si>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</si>
  <si>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</si>
  <si>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</si>
  <si>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</si>
  <si>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</si>
  <si>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</si>
  <si>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</si>
  <si>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</si>
  <si>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</si>
  <si>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</si>
  <si>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</si>
  <si>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</si>
  <si>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</si>
  <si>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</si>
  <si>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</si>
  <si>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</si>
  <si>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</si>
  <si>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</si>
  <si>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</si>
  <si>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</si>
  <si>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</si>
  <si>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</si>
  <si>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</si>
  <si>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</si>
  <si>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</si>
  <si>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</si>
  <si>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</si>
  <si>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</si>
  <si>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</si>
  <si>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</si>
  <si>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</si>
  <si>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</si>
  <si>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</si>
  <si>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</si>
  <si>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</si>
  <si>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</si>
  <si>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</si>
  <si>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</si>
  <si>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</si>
  <si>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</si>
  <si>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</si>
  <si>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</si>
  <si>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</si>
  <si>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</si>
  <si>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</si>
  <si>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</si>
  <si>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</si>
  <si>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</si>
  <si>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</si>
  <si>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</si>
  <si>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</si>
  <si>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</si>
  <si>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</si>
  <si>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</si>
  <si>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</si>
  <si>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</si>
  <si>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</si>
  <si>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</si>
  <si>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</si>
  <si>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</si>
  <si>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</si>
  <si>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</si>
  <si>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</si>
  <si>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</si>
  <si>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</si>
  <si>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</si>
  <si>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</si>
  <si>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</si>
  <si>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</si>
  <si>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</si>
  <si>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</si>
  <si>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</si>
  <si>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</si>
  <si>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</si>
  <si>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</si>
  <si>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</si>
  <si>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</si>
  <si>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</si>
  <si>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</si>
  <si>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</si>
  <si>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</si>
  <si>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</si>
  <si>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</si>
  <si>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</si>
  <si>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</si>
  <si>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</si>
  <si>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</si>
  <si>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</si>
  <si>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</si>
  <si>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</si>
  <si>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</si>
  <si>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</si>
  <si>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</si>
  <si>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</si>
  <si>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</si>
  <si>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</si>
  <si>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</si>
  <si>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</si>
  <si>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</si>
  <si>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</si>
  <si>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</si>
  <si>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</si>
  <si>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</si>
  <si>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</si>
  <si>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</si>
  <si>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</si>
  <si>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</si>
  <si>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</si>
  <si>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</si>
  <si>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</si>
  <si>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</si>
  <si>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</si>
  <si>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</si>
  <si>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</si>
  <si>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</si>
  <si>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</si>
  <si>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</si>
  <si>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</si>
  <si>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</si>
  <si>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</si>
  <si>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</si>
  <si>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</si>
  <si>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</si>
  <si>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2011</t>
  </si>
  <si>
    <t>Viti 2011</t>
  </si>
  <si>
    <t>Sherbime bankare</t>
  </si>
  <si>
    <t>Shp. te pazbritshme</t>
  </si>
  <si>
    <t>Te tjera tatime dhe taksa</t>
  </si>
  <si>
    <t>Shpenzime postare e telekomunik</t>
  </si>
  <si>
    <t>Tatim Fitimi</t>
  </si>
  <si>
    <t>Parapaguar</t>
  </si>
  <si>
    <t>Per tu paguar</t>
  </si>
  <si>
    <t>Nr.</t>
  </si>
  <si>
    <t>Vlera Fillestare e Aktivit</t>
  </si>
  <si>
    <t>Hyrje Aktivesh</t>
  </si>
  <si>
    <t>Dajje Aktivesh</t>
  </si>
  <si>
    <t>Norma e amortizimit</t>
  </si>
  <si>
    <t>TOTAL</t>
  </si>
  <si>
    <t>Euro</t>
  </si>
  <si>
    <t>RZB</t>
  </si>
  <si>
    <t>Vlera</t>
  </si>
  <si>
    <t>USD</t>
  </si>
  <si>
    <t>Kursi euro/lek</t>
  </si>
  <si>
    <t>Kursi usd/lek</t>
  </si>
  <si>
    <t xml:space="preserve">Banka  </t>
  </si>
  <si>
    <t>2</t>
  </si>
  <si>
    <t>3</t>
  </si>
  <si>
    <t>6</t>
  </si>
  <si>
    <t xml:space="preserve">DEKLARATE </t>
  </si>
  <si>
    <t xml:space="preserve">ka hartuar pasqyrat financiare të vitit 2010 komform standarteve kombetare te kontabilitetit. </t>
  </si>
  <si>
    <t xml:space="preserve">Hartuesi i pasqyrave financiare eshte: </t>
  </si>
  <si>
    <t xml:space="preserve">Shoqeria_________(studio kontabiliteti) me NIPT ___________. </t>
  </si>
  <si>
    <t xml:space="preserve">Administratori i Shoqërisë </t>
  </si>
  <si>
    <t>Te punesuar mesatarisht per vitin 2011:</t>
  </si>
  <si>
    <t xml:space="preserve">Z/Zj. _________ (kontabël i miratuar ) me NIPT_____________ </t>
  </si>
  <si>
    <t>_</t>
  </si>
  <si>
    <t>Anetaresime</t>
  </si>
  <si>
    <t>Autorizim Frekuencash</t>
  </si>
  <si>
    <t>E drejta e Artistit</t>
  </si>
  <si>
    <t>Riparim Transmetuesi</t>
  </si>
  <si>
    <t>Energji elektrike</t>
  </si>
  <si>
    <t>Pro credit Bank</t>
  </si>
  <si>
    <t xml:space="preserve">Kërkesa  të arkëtueshme </t>
  </si>
  <si>
    <t>Albatelecom</t>
  </si>
  <si>
    <t>ALL</t>
  </si>
  <si>
    <t>Eagle Mobile sha</t>
  </si>
  <si>
    <t>KK</t>
  </si>
  <si>
    <t>Furnitoret</t>
  </si>
  <si>
    <t>Ylli Alimemaj</t>
  </si>
  <si>
    <t xml:space="preserve">Sigurime Shoqerore </t>
  </si>
  <si>
    <t>Tatim ne burim</t>
  </si>
  <si>
    <t>7</t>
  </si>
  <si>
    <t>Detyrim ndaj D Poci</t>
  </si>
  <si>
    <t>Detyrim ndaj Gj Poci</t>
  </si>
  <si>
    <t>Detyrime ndaj A. Alimemaj</t>
  </si>
  <si>
    <t>8</t>
  </si>
  <si>
    <t>Parapagim nga KKRT ( Garanci )</t>
  </si>
  <si>
    <t>9</t>
  </si>
  <si>
    <t>Hua financiare Pro Credit</t>
  </si>
  <si>
    <t>Pozicioni me 31 dhjetor 2011</t>
  </si>
  <si>
    <t>Dynamic Sound shpk</t>
  </si>
  <si>
    <t>18.04.2008</t>
  </si>
  <si>
    <t>K81618034U</t>
  </si>
  <si>
    <t>Rruga Margarita Tutulani, Pallati "Pinari 1",Shkalla.1,Apartamenti.9</t>
  </si>
  <si>
    <t>QKR</t>
  </si>
  <si>
    <t>Ushtrimi i aktivitetit si stacion transmetuesradio FM,prodhimi e tregtimi i mater te ndryshem audio.</t>
  </si>
  <si>
    <t>SHOQERIA __DynamicSound shpk__</t>
  </si>
  <si>
    <t>NIPT ___K81618034U__</t>
  </si>
  <si>
    <t>Andi Alimemaj</t>
  </si>
  <si>
    <t>Deklaroj se Shoqëria __DynamicSound shpk__ me NIPT __K81618034U___me administrator Z/Zj.____Andi Alimemaj___dhe aksionere:</t>
  </si>
  <si>
    <t>1. Z/Zj__Andi Alimemaj__ perqindja e pjesemarrjes  50%</t>
  </si>
  <si>
    <t>1. Z/Zj__Gjergji Poci__ perqindja e pjesemarrjes  25%</t>
  </si>
  <si>
    <t>1. Z/Zj__Dorian Poci__ perqindja e pjesemarrjes  25%</t>
  </si>
  <si>
    <t xml:space="preserve">Z/Zj. _Andi Aliememaj__(Administrator) </t>
  </si>
  <si>
    <t>1 Janar 2012- 31 Dhjetor 2012</t>
  </si>
  <si>
    <t>Viti 2012</t>
  </si>
  <si>
    <t>Reklama, publicitet</t>
  </si>
  <si>
    <t>Shpenzime per administrim</t>
  </si>
  <si>
    <t>Humbja e mbartur</t>
  </si>
  <si>
    <t>Fitimi I fiscal I 2012</t>
  </si>
  <si>
    <t>Fitimi I tatueshem 10%</t>
  </si>
  <si>
    <t>Pozicioni me 31 dhjetor 2012</t>
  </si>
  <si>
    <t>Kesti Afat gjate</t>
  </si>
  <si>
    <t>Kesti Afat shkurter  viti 2013</t>
  </si>
  <si>
    <t>Tatim fitimi 2012</t>
  </si>
  <si>
    <t xml:space="preserve"> </t>
  </si>
  <si>
    <t>AKDIE</t>
  </si>
  <si>
    <t>Albtelecom sha</t>
  </si>
  <si>
    <t>CEZ</t>
  </si>
  <si>
    <t>Dynamic sound</t>
  </si>
  <si>
    <t>Eagle SHA</t>
  </si>
  <si>
    <t>Megatek sha</t>
  </si>
  <si>
    <t>T.B.S Grup shpk</t>
  </si>
  <si>
    <t>UKT</t>
  </si>
  <si>
    <t>Agna shpk</t>
  </si>
  <si>
    <t>Alfa Sha</t>
  </si>
  <si>
    <t>Aktivet Afatgjata Materiale  me vlere fillestare   2012</t>
  </si>
  <si>
    <t>Amortizimi A.A.Materiale   2012</t>
  </si>
  <si>
    <t>Vlera Kontabel Neto e A.A.Materiale  2012</t>
  </si>
  <si>
    <t>Datë, _____/____/2013</t>
  </si>
  <si>
    <t>2012</t>
  </si>
  <si>
    <t>Amortizimi i 2012</t>
  </si>
  <si>
    <t>Vlera ne fund te 2012</t>
  </si>
  <si>
    <t>7.03.2013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</si>
</sst>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NU$&quot;\ #,##0_);\(&quot;NU$&quot;\ #,##0\)"/>
    <numFmt numFmtId="179" formatCode="&quot;NU$&quot;\ #,##0_);[Red]\(&quot;NU$&quot;\ #,##0\)"/>
    <numFmt numFmtId="180" formatCode="&quot;NU$&quot;\ #,##0.00_);\(&quot;NU$&quot;\ #,##0.00\)"/>
    <numFmt numFmtId="181" formatCode="&quot;NU$&quot;\ #,##0.00_);[Red]\(&quot;NU$&quot;\ #,##0.00\)"/>
    <numFmt numFmtId="182" formatCode="_(&quot;NU$&quot;\ * #,##0_);_(&quot;NU$&quot;\ * \(#,##0\);_(&quot;NU$&quot;\ * &quot;-&quot;_);_(@_)"/>
    <numFmt numFmtId="183" formatCode="_(&quot;NU$&quot;\ * #,##0.00_);_(&quot;NU$&quot;\ * \(#,##0.00\);_(&quot;NU$&quot;\ * &quot;-&quot;??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  <numFmt numFmtId="188" formatCode="_-* #,##0.0_-;\-* #,##0.0_-;_-* &quot;-&quot;_-;_-@_-"/>
    <numFmt numFmtId="189" formatCode="_-* #,##0.00_-;\-* #,##0.00_-;_-* &quot;-&quot;_-;_-@_-"/>
    <numFmt numFmtId="190" formatCode="0.0"/>
    <numFmt numFmtId="191" formatCode="_(* #,##0.0_);_(* \(#,##0.0\);_(* &quot;-&quot;??_);_(@_)"/>
    <numFmt numFmtId="192" formatCode="_(* #,##0_);_(* \(#,##0\);_(* &quot;-&quot;??_);_(@_)"/>
    <numFmt numFmtId="193" formatCode="0.0000"/>
    <numFmt numFmtId="194" formatCode="0.000"/>
    <numFmt numFmtId="195" formatCode="0.00000000"/>
    <numFmt numFmtId="196" formatCode="_(* #,##0.0_);_(* \(#,##0.0\);_(* &quot;-&quot;?_);_(@_)"/>
    <numFmt numFmtId="197" formatCode="#,##0&quot;Lek&quot;;\-#,##0&quot;Lek&quot;"/>
    <numFmt numFmtId="198" formatCode="#,##0&quot;Lek&quot;;[Red]\-#,##0&quot;Lek&quot;"/>
    <numFmt numFmtId="199" formatCode="#,##0.00&quot;Lek&quot;;\-#,##0.00&quot;Lek&quot;"/>
    <numFmt numFmtId="200" formatCode="#,##0.00&quot;Lek&quot;;[Red]\-#,##0.00&quot;Lek&quot;"/>
    <numFmt numFmtId="201" formatCode="_-* #,##0&quot;Lek&quot;_-;\-* #,##0&quot;Lek&quot;_-;_-* &quot;-&quot;&quot;Lek&quot;_-;_-@_-"/>
    <numFmt numFmtId="202" formatCode="_-* #,##0_L_e_k_-;\-* #,##0_L_e_k_-;_-* &quot;-&quot;_L_e_k_-;_-@_-"/>
    <numFmt numFmtId="203" formatCode="_-* #,##0.00&quot;Lek&quot;_-;\-* #,##0.00&quot;Lek&quot;_-;_-* &quot;-&quot;??&quot;Lek&quot;_-;_-@_-"/>
    <numFmt numFmtId="204" formatCode="_-* #,##0.00_L_e_k_-;\-* #,##0.00_L_e_k_-;_-* &quot;-&quot;??_L_e_k_-;_-@_-"/>
    <numFmt numFmtId="205" formatCode="#,##0.0"/>
    <numFmt numFmtId="206" formatCode="#,##0.00;\-#,##0.00"/>
    <numFmt numFmtId="207" formatCode="[$-409]dddd\,\ mmmm\ dd\,\ yyyy"/>
    <numFmt numFmtId="208" formatCode="[$-409]h:mm:ss\ AM/PM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(* #,##0.000_);_(* \(#,##0.000\);_(* &quot;-&quot;??_);_(@_)"/>
    <numFmt numFmtId="214" formatCode="_(* #,##0.0000_);_(* \(#,##0.0000\);_(* &quot;-&quot;??_);_(@_)"/>
    <numFmt numFmtId="215" formatCode="#,##0.00_);\-#,##0.00;&quot;&lt;Default Format&gt;&quot;"/>
    <numFmt numFmtId="216" formatCode="#,##0.000"/>
    <numFmt numFmtId="217" formatCode="#,##0.0000"/>
    <numFmt numFmtId="218" formatCode="#,##0.00_);\(#,##0.00\);&quot;-&quot;"/>
    <numFmt numFmtId="219" formatCode="dd/mm/yyyy"/>
    <numFmt numFmtId="220" formatCode="#,##0_);\-#,##0;&quot;&lt;Default Format&gt;&quot;"/>
  </numFmts>
  <fonts count="7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.5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2"/>
      <name val="Tahoma"/>
      <family val="2"/>
    </font>
    <font>
      <sz val="10"/>
      <name val="Tahoma"/>
      <family val="2"/>
    </font>
    <font>
      <sz val="36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i/>
      <sz val="12"/>
      <name val="Tahoma"/>
      <family val="2"/>
    </font>
    <font>
      <i/>
      <sz val="11"/>
      <name val="Tahoma"/>
      <family val="2"/>
    </font>
    <font>
      <u val="single"/>
      <sz val="10"/>
      <name val="Tahoma"/>
      <family val="2"/>
    </font>
    <font>
      <u val="single"/>
      <sz val="12"/>
      <name val="Tahoma"/>
      <family val="2"/>
    </font>
    <font>
      <i/>
      <u val="single"/>
      <sz val="12"/>
      <name val="Tahoma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8.5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 quotePrefix="1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Alignment="1">
      <alignment/>
    </xf>
    <xf numFmtId="2" fontId="3" fillId="0" borderId="0" xfId="42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85" fontId="4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85" fontId="3" fillId="0" borderId="0" xfId="0" applyNumberFormat="1" applyFont="1" applyFill="1" applyAlignment="1">
      <alignment/>
    </xf>
    <xf numFmtId="185" fontId="3" fillId="0" borderId="0" xfId="42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185" fontId="4" fillId="0" borderId="0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5" fontId="3" fillId="0" borderId="10" xfId="4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85" fontId="3" fillId="0" borderId="10" xfId="42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1" fontId="4" fillId="0" borderId="10" xfId="42" applyNumberFormat="1" applyFont="1" applyFill="1" applyBorder="1" applyAlignment="1">
      <alignment horizontal="center"/>
    </xf>
    <xf numFmtId="185" fontId="3" fillId="0" borderId="10" xfId="42" applyNumberFormat="1" applyFont="1" applyFill="1" applyBorder="1" applyAlignment="1">
      <alignment/>
    </xf>
    <xf numFmtId="193" fontId="1" fillId="0" borderId="0" xfId="42" applyNumberFormat="1" applyFont="1" applyFill="1" applyBorder="1" applyAlignment="1">
      <alignment/>
    </xf>
    <xf numFmtId="194" fontId="1" fillId="0" borderId="0" xfId="42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85" fontId="4" fillId="0" borderId="10" xfId="42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49" fontId="10" fillId="0" borderId="0" xfId="60" applyNumberFormat="1" applyFont="1" applyBorder="1" applyAlignment="1">
      <alignment horizontal="left" vertical="justify"/>
      <protection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49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85" fontId="4" fillId="0" borderId="10" xfId="42" applyNumberFormat="1" applyFont="1" applyBorder="1" applyAlignment="1">
      <alignment vertical="center"/>
    </xf>
    <xf numFmtId="37" fontId="3" fillId="0" borderId="10" xfId="42" applyNumberFormat="1" applyFont="1" applyFill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171" fontId="0" fillId="0" borderId="0" xfId="42" applyFont="1" applyBorder="1" applyAlignment="1">
      <alignment vertical="center"/>
    </xf>
    <xf numFmtId="171" fontId="0" fillId="0" borderId="0" xfId="42" applyFont="1" applyAlignment="1">
      <alignment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37" fontId="9" fillId="0" borderId="10" xfId="42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171" fontId="9" fillId="0" borderId="10" xfId="42" applyFont="1" applyBorder="1" applyAlignment="1">
      <alignment horizontal="right" vertical="center"/>
    </xf>
    <xf numFmtId="37" fontId="21" fillId="0" borderId="10" xfId="42" applyNumberFormat="1" applyFont="1" applyBorder="1" applyAlignment="1">
      <alignment horizontal="right" vertical="center"/>
    </xf>
    <xf numFmtId="37" fontId="9" fillId="0" borderId="10" xfId="42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7" fontId="21" fillId="0" borderId="10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1" fontId="9" fillId="0" borderId="10" xfId="42" applyFont="1" applyBorder="1" applyAlignment="1">
      <alignment vertical="center"/>
    </xf>
    <xf numFmtId="185" fontId="9" fillId="0" borderId="10" xfId="42" applyNumberFormat="1" applyFont="1" applyBorder="1" applyAlignment="1">
      <alignment vertical="center"/>
    </xf>
    <xf numFmtId="185" fontId="21" fillId="0" borderId="10" xfId="42" applyNumberFormat="1" applyFont="1" applyBorder="1" applyAlignment="1">
      <alignment vertical="center"/>
    </xf>
    <xf numFmtId="1" fontId="4" fillId="0" borderId="10" xfId="42" applyNumberFormat="1" applyFont="1" applyFill="1" applyBorder="1" applyAlignment="1">
      <alignment horizontal="center" vertical="center"/>
    </xf>
    <xf numFmtId="1" fontId="4" fillId="0" borderId="0" xfId="42" applyNumberFormat="1" applyFont="1" applyFill="1" applyAlignment="1">
      <alignment horizontal="center"/>
    </xf>
    <xf numFmtId="1" fontId="4" fillId="0" borderId="10" xfId="42" applyNumberFormat="1" applyFont="1" applyBorder="1" applyAlignment="1">
      <alignment horizontal="center" vertical="center"/>
    </xf>
    <xf numFmtId="1" fontId="4" fillId="0" borderId="10" xfId="42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184" fontId="10" fillId="0" borderId="0" xfId="42" applyNumberFormat="1" applyFont="1" applyBorder="1" applyAlignment="1">
      <alignment horizontal="left" vertical="justify"/>
    </xf>
    <xf numFmtId="171" fontId="21" fillId="0" borderId="10" xfId="42" applyFont="1" applyBorder="1" applyAlignment="1">
      <alignment horizontal="right" vertical="center"/>
    </xf>
    <xf numFmtId="171" fontId="21" fillId="0" borderId="10" xfId="42" applyFont="1" applyFill="1" applyBorder="1" applyAlignment="1">
      <alignment horizontal="right" vertical="center"/>
    </xf>
    <xf numFmtId="171" fontId="21" fillId="0" borderId="10" xfId="42" applyFont="1" applyBorder="1" applyAlignment="1">
      <alignment horizontal="right"/>
    </xf>
    <xf numFmtId="37" fontId="0" fillId="0" borderId="0" xfId="0" applyNumberFormat="1" applyFont="1" applyAlignment="1">
      <alignment vertical="center"/>
    </xf>
    <xf numFmtId="185" fontId="0" fillId="0" borderId="0" xfId="42" applyNumberFormat="1" applyFont="1" applyAlignment="1">
      <alignment/>
    </xf>
    <xf numFmtId="171" fontId="1" fillId="0" borderId="0" xfId="42" applyFont="1" applyAlignment="1">
      <alignment/>
    </xf>
    <xf numFmtId="171" fontId="2" fillId="0" borderId="0" xfId="42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49" fontId="8" fillId="0" borderId="0" xfId="61" applyNumberFormat="1" applyFont="1" applyBorder="1" applyAlignment="1">
      <alignment horizontal="left" wrapText="1" readingOrder="1"/>
      <protection/>
    </xf>
    <xf numFmtId="192" fontId="26" fillId="0" borderId="0" xfId="44" applyNumberFormat="1" applyFont="1" applyAlignment="1">
      <alignment/>
    </xf>
    <xf numFmtId="0" fontId="7" fillId="0" borderId="0" xfId="61">
      <alignment/>
      <protection/>
    </xf>
    <xf numFmtId="49" fontId="10" fillId="0" borderId="0" xfId="61" applyNumberFormat="1" applyFont="1" applyBorder="1" applyAlignment="1">
      <alignment horizontal="left" wrapText="1" readingOrder="1"/>
      <protection/>
    </xf>
    <xf numFmtId="192" fontId="27" fillId="0" borderId="0" xfId="44" applyNumberFormat="1" applyFont="1" applyAlignment="1">
      <alignment/>
    </xf>
    <xf numFmtId="43" fontId="7" fillId="0" borderId="0" xfId="61" applyNumberFormat="1">
      <alignment/>
      <protection/>
    </xf>
    <xf numFmtId="192" fontId="29" fillId="0" borderId="0" xfId="44" applyNumberFormat="1" applyFont="1" applyAlignment="1">
      <alignment horizontal="left"/>
    </xf>
    <xf numFmtId="0" fontId="27" fillId="0" borderId="0" xfId="61" applyFont="1" applyAlignment="1">
      <alignment horizontal="center"/>
      <protection/>
    </xf>
    <xf numFmtId="49" fontId="21" fillId="0" borderId="0" xfId="61" applyNumberFormat="1" applyFont="1" applyBorder="1" applyAlignment="1">
      <alignment horizontal="center" wrapText="1" readingOrder="1"/>
      <protection/>
    </xf>
    <xf numFmtId="0" fontId="21" fillId="0" borderId="0" xfId="61" applyNumberFormat="1" applyFont="1" applyBorder="1" applyAlignment="1">
      <alignment horizontal="center" wrapText="1" readingOrder="1"/>
      <protection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1" fillId="0" borderId="0" xfId="0" applyFont="1" applyFill="1" applyAlignment="1">
      <alignment/>
    </xf>
    <xf numFmtId="171" fontId="3" fillId="0" borderId="0" xfId="42" applyFont="1" applyFill="1" applyBorder="1" applyAlignment="1">
      <alignment/>
    </xf>
    <xf numFmtId="43" fontId="1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1" fontId="9" fillId="0" borderId="10" xfId="42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5" fontId="3" fillId="0" borderId="0" xfId="0" applyNumberFormat="1" applyFont="1" applyFill="1" applyBorder="1" applyAlignment="1">
      <alignment/>
    </xf>
    <xf numFmtId="171" fontId="3" fillId="0" borderId="0" xfId="42" applyNumberFormat="1" applyFont="1" applyFill="1" applyAlignment="1">
      <alignment/>
    </xf>
    <xf numFmtId="171" fontId="21" fillId="0" borderId="10" xfId="42" applyFont="1" applyBorder="1" applyAlignment="1">
      <alignment vertical="center"/>
    </xf>
    <xf numFmtId="171" fontId="9" fillId="0" borderId="10" xfId="42" applyFont="1" applyBorder="1" applyAlignment="1">
      <alignment horizontal="left" vertical="center"/>
    </xf>
    <xf numFmtId="171" fontId="9" fillId="0" borderId="12" xfId="42" applyFont="1" applyBorder="1" applyAlignment="1">
      <alignment horizontal="left" vertical="center"/>
    </xf>
    <xf numFmtId="171" fontId="9" fillId="0" borderId="13" xfId="42" applyFont="1" applyBorder="1" applyAlignment="1">
      <alignment vertical="center"/>
    </xf>
    <xf numFmtId="171" fontId="9" fillId="0" borderId="10" xfId="42" applyFont="1" applyBorder="1" applyAlignment="1">
      <alignment/>
    </xf>
    <xf numFmtId="185" fontId="9" fillId="0" borderId="0" xfId="42" applyNumberFormat="1" applyFont="1" applyAlignment="1">
      <alignment vertical="center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2" fontId="33" fillId="0" borderId="0" xfId="63" applyNumberFormat="1" applyFont="1" applyBorder="1" applyAlignment="1">
      <alignment wrapText="1"/>
      <protection/>
    </xf>
    <xf numFmtId="0" fontId="6" fillId="0" borderId="12" xfId="63" applyFont="1" applyBorder="1" applyAlignment="1">
      <alignment horizontal="center"/>
      <protection/>
    </xf>
    <xf numFmtId="2" fontId="34" fillId="0" borderId="17" xfId="63" applyNumberFormat="1" applyFont="1" applyBorder="1" applyAlignment="1">
      <alignment horizontal="center" wrapText="1"/>
      <protection/>
    </xf>
    <xf numFmtId="0" fontId="35" fillId="0" borderId="18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/>
      <protection/>
    </xf>
    <xf numFmtId="0" fontId="6" fillId="0" borderId="20" xfId="63" applyFont="1" applyBorder="1" applyAlignment="1">
      <alignment horizontal="left" wrapText="1"/>
      <protection/>
    </xf>
    <xf numFmtId="0" fontId="0" fillId="0" borderId="21" xfId="63" applyFont="1" applyBorder="1" applyAlignment="1">
      <alignment horizontal="center"/>
      <protection/>
    </xf>
    <xf numFmtId="0" fontId="0" fillId="0" borderId="22" xfId="63" applyFont="1" applyBorder="1" applyAlignment="1">
      <alignment horizontal="left" wrapText="1"/>
      <protection/>
    </xf>
    <xf numFmtId="0" fontId="0" fillId="0" borderId="23" xfId="63" applyFont="1" applyBorder="1" applyAlignment="1">
      <alignment horizontal="center"/>
      <protection/>
    </xf>
    <xf numFmtId="0" fontId="31" fillId="0" borderId="22" xfId="63" applyFont="1" applyBorder="1" applyAlignment="1">
      <alignment horizontal="left" wrapText="1"/>
      <protection/>
    </xf>
    <xf numFmtId="0" fontId="6" fillId="0" borderId="24" xfId="63" applyFont="1" applyBorder="1" applyAlignment="1">
      <alignment horizontal="center"/>
      <protection/>
    </xf>
    <xf numFmtId="0" fontId="6" fillId="0" borderId="22" xfId="63" applyFont="1" applyBorder="1" applyAlignment="1">
      <alignment horizontal="left" wrapText="1"/>
      <protection/>
    </xf>
    <xf numFmtId="0" fontId="0" fillId="0" borderId="13" xfId="63" applyFont="1" applyBorder="1" applyAlignment="1">
      <alignment horizontal="left" wrapText="1"/>
      <protection/>
    </xf>
    <xf numFmtId="0" fontId="0" fillId="0" borderId="25" xfId="63" applyFont="1" applyBorder="1" applyAlignment="1">
      <alignment horizontal="center"/>
      <protection/>
    </xf>
    <xf numFmtId="0" fontId="0" fillId="0" borderId="16" xfId="63" applyFont="1" applyBorder="1" applyAlignment="1">
      <alignment horizontal="left" wrapText="1"/>
      <protection/>
    </xf>
    <xf numFmtId="0" fontId="6" fillId="0" borderId="24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0" fillId="0" borderId="22" xfId="63" applyFont="1" applyBorder="1" applyAlignment="1">
      <alignment horizontal="center" wrapText="1"/>
      <protection/>
    </xf>
    <xf numFmtId="0" fontId="6" fillId="0" borderId="21" xfId="63" applyFont="1" applyBorder="1" applyAlignment="1">
      <alignment horizontal="center"/>
      <protection/>
    </xf>
    <xf numFmtId="0" fontId="30" fillId="0" borderId="10" xfId="63" applyFont="1" applyBorder="1" applyAlignment="1">
      <alignment horizontal="left" wrapText="1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6" fillId="0" borderId="23" xfId="63" applyFont="1" applyBorder="1" applyAlignment="1">
      <alignment horizontal="center"/>
      <protection/>
    </xf>
    <xf numFmtId="0" fontId="6" fillId="0" borderId="10" xfId="63" applyFont="1" applyBorder="1" applyAlignment="1">
      <alignment horizontal="left" wrapText="1"/>
      <protection/>
    </xf>
    <xf numFmtId="0" fontId="6" fillId="0" borderId="25" xfId="63" applyFont="1" applyBorder="1" applyAlignment="1">
      <alignment horizontal="center"/>
      <protection/>
    </xf>
    <xf numFmtId="0" fontId="6" fillId="0" borderId="13" xfId="63" applyFont="1" applyBorder="1" applyAlignment="1">
      <alignment horizontal="left" wrapText="1"/>
      <protection/>
    </xf>
    <xf numFmtId="0" fontId="6" fillId="0" borderId="26" xfId="63" applyFont="1" applyBorder="1" applyAlignment="1">
      <alignment horizontal="center"/>
      <protection/>
    </xf>
    <xf numFmtId="0" fontId="6" fillId="0" borderId="27" xfId="63" applyFont="1" applyBorder="1" applyAlignment="1">
      <alignment horizontal="left" wrapText="1"/>
      <protection/>
    </xf>
    <xf numFmtId="0" fontId="6" fillId="0" borderId="0" xfId="63" applyFont="1" applyBorder="1" applyAlignment="1">
      <alignment horizontal="center"/>
      <protection/>
    </xf>
    <xf numFmtId="0" fontId="6" fillId="0" borderId="0" xfId="63" applyFont="1" applyBorder="1" applyAlignment="1">
      <alignment horizontal="left" wrapText="1"/>
      <protection/>
    </xf>
    <xf numFmtId="0" fontId="6" fillId="0" borderId="0" xfId="63" applyFont="1" applyBorder="1" applyAlignment="1">
      <alignment horizontal="left"/>
      <protection/>
    </xf>
    <xf numFmtId="0" fontId="5" fillId="0" borderId="12" xfId="63" applyFont="1" applyBorder="1">
      <alignment/>
      <protection/>
    </xf>
    <xf numFmtId="2" fontId="34" fillId="0" borderId="12" xfId="63" applyNumberFormat="1" applyFont="1" applyBorder="1" applyAlignment="1">
      <alignment horizontal="center" wrapText="1"/>
      <protection/>
    </xf>
    <xf numFmtId="0" fontId="35" fillId="0" borderId="28" xfId="63" applyFont="1" applyBorder="1" applyAlignment="1">
      <alignment horizontal="center"/>
      <protection/>
    </xf>
    <xf numFmtId="0" fontId="35" fillId="0" borderId="20" xfId="63" applyFont="1" applyBorder="1" applyAlignment="1">
      <alignment horizontal="left" wrapText="1"/>
      <protection/>
    </xf>
    <xf numFmtId="0" fontId="5" fillId="0" borderId="24" xfId="63" applyFont="1" applyBorder="1" applyAlignment="1">
      <alignment horizontal="left"/>
      <protection/>
    </xf>
    <xf numFmtId="0" fontId="5" fillId="0" borderId="10" xfId="64" applyFont="1" applyFill="1" applyBorder="1" applyAlignment="1">
      <alignment horizontal="left" wrapText="1"/>
      <protection/>
    </xf>
    <xf numFmtId="0" fontId="35" fillId="0" borderId="10" xfId="63" applyFont="1" applyBorder="1" applyAlignment="1">
      <alignment horizontal="left"/>
      <protection/>
    </xf>
    <xf numFmtId="0" fontId="5" fillId="0" borderId="10" xfId="63" applyFont="1" applyBorder="1" applyAlignment="1">
      <alignment horizontal="left" wrapText="1"/>
      <protection/>
    </xf>
    <xf numFmtId="0" fontId="35" fillId="0" borderId="24" xfId="63" applyFont="1" applyBorder="1" applyAlignment="1">
      <alignment horizontal="center"/>
      <protection/>
    </xf>
    <xf numFmtId="0" fontId="35" fillId="0" borderId="10" xfId="63" applyFont="1" applyBorder="1" applyAlignment="1">
      <alignment horizontal="left" wrapText="1"/>
      <protection/>
    </xf>
    <xf numFmtId="0" fontId="5" fillId="0" borderId="24" xfId="63" applyFont="1" applyBorder="1" applyAlignment="1">
      <alignment horizontal="center"/>
      <protection/>
    </xf>
    <xf numFmtId="0" fontId="5" fillId="0" borderId="10" xfId="63" applyFont="1" applyBorder="1" applyAlignment="1">
      <alignment horizontal="left"/>
      <protection/>
    </xf>
    <xf numFmtId="0" fontId="5" fillId="0" borderId="24" xfId="63" applyFont="1" applyFill="1" applyBorder="1" applyAlignment="1">
      <alignment horizontal="center"/>
      <protection/>
    </xf>
    <xf numFmtId="0" fontId="5" fillId="0" borderId="29" xfId="0" applyFont="1" applyBorder="1" applyAlignment="1">
      <alignment/>
    </xf>
    <xf numFmtId="0" fontId="3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5" fillId="0" borderId="24" xfId="63" applyFont="1" applyBorder="1">
      <alignment/>
      <protection/>
    </xf>
    <xf numFmtId="0" fontId="5" fillId="0" borderId="24" xfId="0" applyFont="1" applyBorder="1" applyAlignment="1">
      <alignment/>
    </xf>
    <xf numFmtId="0" fontId="5" fillId="0" borderId="24" xfId="63" applyFont="1" applyBorder="1">
      <alignment/>
      <protection/>
    </xf>
    <xf numFmtId="0" fontId="5" fillId="0" borderId="26" xfId="63" applyFont="1" applyBorder="1">
      <alignment/>
      <protection/>
    </xf>
    <xf numFmtId="0" fontId="35" fillId="0" borderId="27" xfId="63" applyFont="1" applyBorder="1" applyAlignment="1">
      <alignment horizontal="left"/>
      <protection/>
    </xf>
    <xf numFmtId="0" fontId="5" fillId="0" borderId="27" xfId="63" applyFont="1" applyBorder="1" applyAlignment="1">
      <alignment horizontal="left"/>
      <protection/>
    </xf>
    <xf numFmtId="0" fontId="5" fillId="0" borderId="0" xfId="0" applyFont="1" applyAlignment="1">
      <alignment/>
    </xf>
    <xf numFmtId="0" fontId="0" fillId="0" borderId="0" xfId="63" applyFont="1">
      <alignment/>
      <protection/>
    </xf>
    <xf numFmtId="185" fontId="6" fillId="0" borderId="20" xfId="42" applyNumberFormat="1" applyFont="1" applyBorder="1" applyAlignment="1">
      <alignment horizontal="left"/>
    </xf>
    <xf numFmtId="185" fontId="6" fillId="0" borderId="10" xfId="42" applyNumberFormat="1" applyFont="1" applyBorder="1" applyAlignment="1">
      <alignment horizontal="left"/>
    </xf>
    <xf numFmtId="185" fontId="6" fillId="0" borderId="30" xfId="42" applyNumberFormat="1" applyFont="1" applyBorder="1" applyAlignment="1">
      <alignment horizontal="left"/>
    </xf>
    <xf numFmtId="185" fontId="6" fillId="0" borderId="27" xfId="42" applyNumberFormat="1" applyFont="1" applyBorder="1" applyAlignment="1">
      <alignment horizontal="left"/>
    </xf>
    <xf numFmtId="171" fontId="6" fillId="0" borderId="0" xfId="42" applyFont="1" applyAlignment="1">
      <alignment/>
    </xf>
    <xf numFmtId="171" fontId="35" fillId="0" borderId="12" xfId="42" applyFont="1" applyBorder="1" applyAlignment="1">
      <alignment horizontal="center" vertical="center" wrapText="1"/>
    </xf>
    <xf numFmtId="171" fontId="35" fillId="0" borderId="0" xfId="42" applyFont="1" applyBorder="1" applyAlignment="1">
      <alignment horizontal="left"/>
    </xf>
    <xf numFmtId="171" fontId="24" fillId="0" borderId="0" xfId="42" applyFont="1" applyBorder="1" applyAlignment="1">
      <alignment horizontal="left"/>
    </xf>
    <xf numFmtId="0" fontId="6" fillId="0" borderId="0" xfId="62" applyFont="1">
      <alignment/>
      <protection/>
    </xf>
    <xf numFmtId="0" fontId="0" fillId="0" borderId="0" xfId="62">
      <alignment/>
      <protection/>
    </xf>
    <xf numFmtId="0" fontId="30" fillId="0" borderId="0" xfId="62" applyFont="1">
      <alignment/>
      <protection/>
    </xf>
    <xf numFmtId="0" fontId="0" fillId="0" borderId="0" xfId="62" applyFont="1">
      <alignment/>
      <protection/>
    </xf>
    <xf numFmtId="0" fontId="0" fillId="0" borderId="10" xfId="62" applyBorder="1">
      <alignment/>
      <protection/>
    </xf>
    <xf numFmtId="0" fontId="6" fillId="0" borderId="10" xfId="62" applyFont="1" applyBorder="1">
      <alignment/>
      <protection/>
    </xf>
    <xf numFmtId="0" fontId="0" fillId="0" borderId="10" xfId="62" applyFont="1" applyBorder="1">
      <alignment/>
      <protection/>
    </xf>
    <xf numFmtId="0" fontId="0" fillId="0" borderId="18" xfId="62" applyFont="1" applyFill="1" applyBorder="1">
      <alignment/>
      <protection/>
    </xf>
    <xf numFmtId="0" fontId="0" fillId="0" borderId="10" xfId="62" applyFill="1" applyBorder="1">
      <alignment/>
      <protection/>
    </xf>
    <xf numFmtId="0" fontId="6" fillId="0" borderId="12" xfId="62" applyFont="1" applyBorder="1">
      <alignment/>
      <protection/>
    </xf>
    <xf numFmtId="0" fontId="0" fillId="0" borderId="12" xfId="62" applyBorder="1">
      <alignment/>
      <protection/>
    </xf>
    <xf numFmtId="0" fontId="0" fillId="0" borderId="11" xfId="62" applyBorder="1">
      <alignment/>
      <protection/>
    </xf>
    <xf numFmtId="0" fontId="0" fillId="0" borderId="22" xfId="62" applyBorder="1">
      <alignment/>
      <protection/>
    </xf>
    <xf numFmtId="0" fontId="0" fillId="0" borderId="13" xfId="62" applyBorder="1">
      <alignment/>
      <protection/>
    </xf>
    <xf numFmtId="0" fontId="0" fillId="0" borderId="12" xfId="62" applyFont="1" applyBorder="1">
      <alignment/>
      <protection/>
    </xf>
    <xf numFmtId="0" fontId="6" fillId="0" borderId="11" xfId="62" applyFont="1" applyBorder="1">
      <alignment/>
      <protection/>
    </xf>
    <xf numFmtId="0" fontId="6" fillId="0" borderId="22" xfId="62" applyFont="1" applyBorder="1">
      <alignment/>
      <protection/>
    </xf>
    <xf numFmtId="185" fontId="0" fillId="0" borderId="0" xfId="42" applyNumberFormat="1" applyFont="1" applyAlignment="1">
      <alignment/>
    </xf>
    <xf numFmtId="185" fontId="6" fillId="0" borderId="0" xfId="42" applyNumberFormat="1" applyFont="1" applyAlignment="1">
      <alignment/>
    </xf>
    <xf numFmtId="185" fontId="6" fillId="0" borderId="10" xfId="42" applyNumberFormat="1" applyFont="1" applyBorder="1" applyAlignment="1">
      <alignment/>
    </xf>
    <xf numFmtId="185" fontId="0" fillId="0" borderId="10" xfId="42" applyNumberFormat="1" applyFont="1" applyBorder="1" applyAlignment="1">
      <alignment/>
    </xf>
    <xf numFmtId="185" fontId="0" fillId="0" borderId="22" xfId="42" applyNumberFormat="1" applyFont="1" applyBorder="1" applyAlignment="1">
      <alignment/>
    </xf>
    <xf numFmtId="185" fontId="6" fillId="0" borderId="22" xfId="42" applyNumberFormat="1" applyFont="1" applyBorder="1" applyAlignment="1">
      <alignment/>
    </xf>
    <xf numFmtId="0" fontId="0" fillId="0" borderId="12" xfId="62" applyFont="1" applyBorder="1" applyAlignment="1">
      <alignment horizontal="center"/>
      <protection/>
    </xf>
    <xf numFmtId="14" fontId="0" fillId="0" borderId="13" xfId="62" applyNumberFormat="1" applyFont="1" applyBorder="1" applyAlignment="1">
      <alignment horizontal="center"/>
      <protection/>
    </xf>
    <xf numFmtId="0" fontId="0" fillId="0" borderId="0" xfId="62" applyBorder="1">
      <alignment/>
      <protection/>
    </xf>
    <xf numFmtId="0" fontId="0" fillId="0" borderId="10" xfId="62" applyBorder="1" applyAlignment="1">
      <alignment horizontal="center"/>
      <protection/>
    </xf>
    <xf numFmtId="0" fontId="5" fillId="0" borderId="10" xfId="62" applyFont="1" applyBorder="1">
      <alignment/>
      <protection/>
    </xf>
    <xf numFmtId="3" fontId="0" fillId="0" borderId="10" xfId="46" applyNumberFormat="1" applyBorder="1" applyAlignment="1">
      <alignment/>
    </xf>
    <xf numFmtId="0" fontId="5" fillId="0" borderId="0" xfId="62" applyFont="1">
      <alignment/>
      <protection/>
    </xf>
    <xf numFmtId="3" fontId="5" fillId="0" borderId="0" xfId="62" applyNumberFormat="1" applyFont="1" applyBorder="1">
      <alignment/>
      <protection/>
    </xf>
    <xf numFmtId="3" fontId="0" fillId="0" borderId="0" xfId="62" applyNumberFormat="1" applyBorder="1">
      <alignment/>
      <protection/>
    </xf>
    <xf numFmtId="0" fontId="0" fillId="0" borderId="12" xfId="62" applyBorder="1" applyAlignment="1">
      <alignment horizontal="center"/>
      <protection/>
    </xf>
    <xf numFmtId="3" fontId="0" fillId="0" borderId="12" xfId="46" applyNumberFormat="1" applyBorder="1" applyAlignment="1">
      <alignment/>
    </xf>
    <xf numFmtId="0" fontId="0" fillId="0" borderId="31" xfId="62" applyFont="1" applyBorder="1" applyAlignment="1">
      <alignment vertical="center"/>
      <protection/>
    </xf>
    <xf numFmtId="0" fontId="31" fillId="0" borderId="32" xfId="62" applyFont="1" applyBorder="1" applyAlignment="1">
      <alignment vertical="center"/>
      <protection/>
    </xf>
    <xf numFmtId="0" fontId="31" fillId="0" borderId="32" xfId="62" applyFont="1" applyBorder="1" applyAlignment="1">
      <alignment horizontal="center" vertical="center"/>
      <protection/>
    </xf>
    <xf numFmtId="3" fontId="31" fillId="0" borderId="32" xfId="46" applyNumberFormat="1" applyFont="1" applyBorder="1" applyAlignment="1">
      <alignment vertical="center"/>
    </xf>
    <xf numFmtId="3" fontId="31" fillId="0" borderId="33" xfId="46" applyNumberFormat="1" applyFont="1" applyBorder="1" applyAlignment="1">
      <alignment vertical="center"/>
    </xf>
    <xf numFmtId="3" fontId="0" fillId="0" borderId="0" xfId="62" applyNumberFormat="1">
      <alignment/>
      <protection/>
    </xf>
    <xf numFmtId="1" fontId="0" fillId="0" borderId="10" xfId="62" applyNumberFormat="1" applyBorder="1">
      <alignment/>
      <protection/>
    </xf>
    <xf numFmtId="1" fontId="0" fillId="0" borderId="0" xfId="62" applyNumberFormat="1">
      <alignment/>
      <protection/>
    </xf>
    <xf numFmtId="0" fontId="6" fillId="0" borderId="0" xfId="62" applyFont="1" applyBorder="1">
      <alignment/>
      <protection/>
    </xf>
    <xf numFmtId="3" fontId="0" fillId="0" borderId="0" xfId="46" applyNumberFormat="1" applyFill="1" applyBorder="1" applyAlignment="1">
      <alignment/>
    </xf>
    <xf numFmtId="185" fontId="3" fillId="0" borderId="0" xfId="42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8" fillId="0" borderId="0" xfId="61" applyFont="1">
      <alignment/>
      <protection/>
    </xf>
    <xf numFmtId="185" fontId="21" fillId="0" borderId="34" xfId="42" applyNumberFormat="1" applyFont="1" applyBorder="1" applyAlignment="1">
      <alignment horizontal="center" wrapText="1" readingOrder="1"/>
    </xf>
    <xf numFmtId="49" fontId="10" fillId="0" borderId="34" xfId="61" applyNumberFormat="1" applyFont="1" applyBorder="1" applyAlignment="1">
      <alignment horizontal="left" wrapText="1" readingOrder="1"/>
      <protection/>
    </xf>
    <xf numFmtId="185" fontId="10" fillId="0" borderId="34" xfId="42" applyNumberFormat="1" applyFont="1" applyBorder="1" applyAlignment="1">
      <alignment horizontal="left" wrapText="1" readingOrder="1"/>
    </xf>
    <xf numFmtId="9" fontId="10" fillId="0" borderId="34" xfId="67" applyFont="1" applyBorder="1" applyAlignment="1">
      <alignment horizontal="left" wrapText="1" readingOrder="1"/>
    </xf>
    <xf numFmtId="192" fontId="7" fillId="0" borderId="0" xfId="61" applyNumberFormat="1">
      <alignment/>
      <protection/>
    </xf>
    <xf numFmtId="185" fontId="21" fillId="0" borderId="35" xfId="42" applyNumberFormat="1" applyFont="1" applyBorder="1" applyAlignment="1">
      <alignment horizontal="center" wrapText="1" readingOrder="1"/>
    </xf>
    <xf numFmtId="49" fontId="10" fillId="0" borderId="35" xfId="61" applyNumberFormat="1" applyFont="1" applyBorder="1" applyAlignment="1">
      <alignment horizontal="left" wrapText="1" readingOrder="1"/>
      <protection/>
    </xf>
    <xf numFmtId="185" fontId="10" fillId="0" borderId="35" xfId="42" applyNumberFormat="1" applyFont="1" applyBorder="1" applyAlignment="1">
      <alignment horizontal="left" wrapText="1" readingOrder="1"/>
    </xf>
    <xf numFmtId="9" fontId="10" fillId="0" borderId="35" xfId="67" applyFont="1" applyBorder="1" applyAlignment="1">
      <alignment horizontal="left" wrapText="1" readingOrder="1"/>
    </xf>
    <xf numFmtId="185" fontId="21" fillId="0" borderId="10" xfId="42" applyNumberFormat="1" applyFont="1" applyBorder="1" applyAlignment="1">
      <alignment horizontal="center" wrapText="1" readingOrder="1"/>
    </xf>
    <xf numFmtId="185" fontId="8" fillId="0" borderId="10" xfId="42" applyNumberFormat="1" applyFont="1" applyBorder="1" applyAlignment="1">
      <alignment horizontal="center" wrapText="1" readingOrder="1"/>
    </xf>
    <xf numFmtId="185" fontId="27" fillId="0" borderId="10" xfId="42" applyNumberFormat="1" applyFont="1" applyBorder="1" applyAlignment="1">
      <alignment horizontal="center" wrapText="1"/>
    </xf>
    <xf numFmtId="185" fontId="28" fillId="0" borderId="10" xfId="42" applyNumberFormat="1" applyFont="1" applyBorder="1" applyAlignment="1">
      <alignment horizontal="center" wrapText="1"/>
    </xf>
    <xf numFmtId="185" fontId="27" fillId="0" borderId="13" xfId="42" applyNumberFormat="1" applyFont="1" applyBorder="1" applyAlignment="1">
      <alignment/>
    </xf>
    <xf numFmtId="185" fontId="3" fillId="0" borderId="0" xfId="42" applyNumberFormat="1" applyFont="1" applyFill="1" applyBorder="1" applyAlignment="1">
      <alignment/>
    </xf>
    <xf numFmtId="49" fontId="21" fillId="0" borderId="36" xfId="61" applyNumberFormat="1" applyFont="1" applyBorder="1" applyAlignment="1">
      <alignment horizontal="center" wrapText="1" readingOrder="1"/>
      <protection/>
    </xf>
    <xf numFmtId="49" fontId="21" fillId="0" borderId="34" xfId="61" applyNumberFormat="1" applyFont="1" applyBorder="1" applyAlignment="1">
      <alignment horizontal="center" wrapText="1" readingOrder="1"/>
      <protection/>
    </xf>
    <xf numFmtId="49" fontId="8" fillId="0" borderId="34" xfId="61" applyNumberFormat="1" applyFont="1" applyFill="1" applyBorder="1" applyAlignment="1">
      <alignment horizontal="left" wrapText="1" readingOrder="1"/>
      <protection/>
    </xf>
    <xf numFmtId="43" fontId="26" fillId="0" borderId="34" xfId="44" applyNumberFormat="1" applyFont="1" applyFill="1" applyBorder="1" applyAlignment="1">
      <alignment/>
    </xf>
    <xf numFmtId="49" fontId="21" fillId="0" borderId="37" xfId="61" applyNumberFormat="1" applyFont="1" applyBorder="1" applyAlignment="1">
      <alignment horizontal="center" wrapText="1" readingOrder="1"/>
      <protection/>
    </xf>
    <xf numFmtId="49" fontId="8" fillId="0" borderId="36" xfId="61" applyNumberFormat="1" applyFont="1" applyBorder="1" applyAlignment="1">
      <alignment horizontal="center" wrapText="1" readingOrder="1"/>
      <protection/>
    </xf>
    <xf numFmtId="192" fontId="27" fillId="0" borderId="36" xfId="44" applyNumberFormat="1" applyFont="1" applyBorder="1" applyAlignment="1">
      <alignment horizontal="center"/>
    </xf>
    <xf numFmtId="0" fontId="28" fillId="0" borderId="36" xfId="61" applyFont="1" applyBorder="1" applyAlignment="1">
      <alignment horizontal="center"/>
      <protection/>
    </xf>
    <xf numFmtId="49" fontId="8" fillId="0" borderId="37" xfId="61" applyNumberFormat="1" applyFont="1" applyBorder="1" applyAlignment="1">
      <alignment horizontal="center" wrapText="1" readingOrder="1"/>
      <protection/>
    </xf>
    <xf numFmtId="192" fontId="27" fillId="0" borderId="37" xfId="44" applyNumberFormat="1" applyFont="1" applyBorder="1" applyAlignment="1">
      <alignment horizontal="center"/>
    </xf>
    <xf numFmtId="185" fontId="35" fillId="0" borderId="20" xfId="42" applyNumberFormat="1" applyFont="1" applyBorder="1" applyAlignment="1">
      <alignment horizontal="left" wrapText="1"/>
    </xf>
    <xf numFmtId="185" fontId="5" fillId="0" borderId="10" xfId="42" applyNumberFormat="1" applyFont="1" applyFill="1" applyBorder="1" applyAlignment="1">
      <alignment horizontal="left" wrapText="1"/>
    </xf>
    <xf numFmtId="185" fontId="35" fillId="0" borderId="10" xfId="42" applyNumberFormat="1" applyFont="1" applyBorder="1" applyAlignment="1">
      <alignment horizontal="left"/>
    </xf>
    <xf numFmtId="185" fontId="5" fillId="0" borderId="10" xfId="42" applyNumberFormat="1" applyFont="1" applyBorder="1" applyAlignment="1">
      <alignment horizontal="left" wrapText="1"/>
    </xf>
    <xf numFmtId="185" fontId="35" fillId="0" borderId="10" xfId="42" applyNumberFormat="1" applyFont="1" applyBorder="1" applyAlignment="1">
      <alignment horizontal="left" wrapText="1"/>
    </xf>
    <xf numFmtId="185" fontId="5" fillId="0" borderId="10" xfId="42" applyNumberFormat="1" applyFont="1" applyBorder="1" applyAlignment="1">
      <alignment horizontal="left"/>
    </xf>
    <xf numFmtId="185" fontId="5" fillId="0" borderId="0" xfId="42" applyNumberFormat="1" applyFont="1" applyBorder="1" applyAlignment="1">
      <alignment/>
    </xf>
    <xf numFmtId="185" fontId="5" fillId="0" borderId="27" xfId="42" applyNumberFormat="1" applyFont="1" applyBorder="1" applyAlignment="1">
      <alignment horizontal="left"/>
    </xf>
    <xf numFmtId="0" fontId="24" fillId="0" borderId="0" xfId="0" applyFont="1" applyAlignment="1">
      <alignment/>
    </xf>
    <xf numFmtId="0" fontId="0" fillId="0" borderId="0" xfId="0" applyNumberFormat="1" applyFont="1" applyAlignment="1">
      <alignment/>
    </xf>
    <xf numFmtId="185" fontId="10" fillId="0" borderId="0" xfId="42" applyNumberFormat="1" applyFont="1" applyFill="1" applyBorder="1" applyAlignment="1">
      <alignment horizontal="left" wrapText="1" readingOrder="1"/>
    </xf>
    <xf numFmtId="185" fontId="5" fillId="0" borderId="10" xfId="42" applyNumberFormat="1" applyFont="1" applyFill="1" applyBorder="1" applyAlignment="1">
      <alignment horizontal="left"/>
    </xf>
    <xf numFmtId="171" fontId="4" fillId="0" borderId="10" xfId="42" applyFont="1" applyFill="1" applyBorder="1" applyAlignment="1">
      <alignment horizontal="center" vertical="center"/>
    </xf>
    <xf numFmtId="185" fontId="7" fillId="0" borderId="0" xfId="61" applyNumberFormat="1">
      <alignment/>
      <protection/>
    </xf>
    <xf numFmtId="185" fontId="4" fillId="0" borderId="10" xfId="42" applyNumberFormat="1" applyFont="1" applyFill="1" applyBorder="1" applyAlignment="1">
      <alignment horizontal="center" vertical="center"/>
    </xf>
    <xf numFmtId="0" fontId="10" fillId="0" borderId="0" xfId="61" applyNumberFormat="1" applyFont="1" applyBorder="1" applyAlignment="1">
      <alignment horizontal="left" wrapText="1" readingOrder="1"/>
      <protection/>
    </xf>
    <xf numFmtId="171" fontId="0" fillId="0" borderId="0" xfId="42" applyFont="1" applyAlignment="1">
      <alignment vertical="center"/>
    </xf>
    <xf numFmtId="185" fontId="6" fillId="0" borderId="20" xfId="42" applyNumberFormat="1" applyFont="1" applyBorder="1" applyAlignment="1">
      <alignment horizontal="left" wrapText="1"/>
    </xf>
    <xf numFmtId="185" fontId="0" fillId="0" borderId="22" xfId="42" applyNumberFormat="1" applyFont="1" applyBorder="1" applyAlignment="1">
      <alignment horizontal="left" wrapText="1"/>
    </xf>
    <xf numFmtId="185" fontId="0" fillId="0" borderId="13" xfId="42" applyNumberFormat="1" applyFont="1" applyBorder="1" applyAlignment="1">
      <alignment horizontal="left" wrapText="1"/>
    </xf>
    <xf numFmtId="185" fontId="0" fillId="0" borderId="16" xfId="42" applyNumberFormat="1" applyFont="1" applyBorder="1" applyAlignment="1">
      <alignment horizontal="left" wrapText="1"/>
    </xf>
    <xf numFmtId="185" fontId="0" fillId="0" borderId="10" xfId="42" applyNumberFormat="1" applyFont="1" applyBorder="1" applyAlignment="1">
      <alignment horizontal="left"/>
    </xf>
    <xf numFmtId="185" fontId="6" fillId="0" borderId="10" xfId="42" applyNumberFormat="1" applyFont="1" applyBorder="1" applyAlignment="1">
      <alignment horizontal="left" wrapText="1"/>
    </xf>
    <xf numFmtId="185" fontId="6" fillId="0" borderId="13" xfId="42" applyNumberFormat="1" applyFont="1" applyBorder="1" applyAlignment="1">
      <alignment horizontal="left" wrapText="1"/>
    </xf>
    <xf numFmtId="185" fontId="6" fillId="0" borderId="22" xfId="42" applyNumberFormat="1" applyFont="1" applyBorder="1" applyAlignment="1">
      <alignment horizontal="left" wrapText="1"/>
    </xf>
    <xf numFmtId="185" fontId="6" fillId="0" borderId="27" xfId="42" applyNumberFormat="1" applyFont="1" applyBorder="1" applyAlignment="1">
      <alignment horizontal="left" wrapText="1"/>
    </xf>
    <xf numFmtId="0" fontId="18" fillId="0" borderId="0" xfId="0" applyFont="1" applyAlignment="1">
      <alignment wrapText="1"/>
    </xf>
    <xf numFmtId="37" fontId="1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/>
    </xf>
    <xf numFmtId="206" fontId="77" fillId="0" borderId="0" xfId="0" applyNumberFormat="1" applyFont="1" applyAlignment="1">
      <alignment/>
    </xf>
    <xf numFmtId="206" fontId="77" fillId="0" borderId="0" xfId="0" applyNumberFormat="1" applyFont="1" applyBorder="1" applyAlignment="1">
      <alignment/>
    </xf>
    <xf numFmtId="49" fontId="78" fillId="0" borderId="0" xfId="0" applyNumberFormat="1" applyFont="1" applyAlignment="1">
      <alignment/>
    </xf>
    <xf numFmtId="206" fontId="78" fillId="0" borderId="0" xfId="0" applyNumberFormat="1" applyFont="1" applyBorder="1" applyAlignment="1">
      <alignment/>
    </xf>
    <xf numFmtId="171" fontId="7" fillId="0" borderId="0" xfId="42" applyFont="1" applyAlignment="1">
      <alignment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37" fontId="9" fillId="0" borderId="10" xfId="42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171" fontId="9" fillId="0" borderId="10" xfId="42" applyFont="1" applyBorder="1" applyAlignment="1">
      <alignment horizontal="right" vertical="center"/>
    </xf>
    <xf numFmtId="171" fontId="9" fillId="0" borderId="22" xfId="42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171" fontId="9" fillId="0" borderId="12" xfId="42" applyFont="1" applyBorder="1" applyAlignment="1">
      <alignment horizontal="right" vertical="center"/>
    </xf>
    <xf numFmtId="171" fontId="9" fillId="0" borderId="13" xfId="42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185" fontId="21" fillId="0" borderId="13" xfId="42" applyNumberFormat="1" applyFont="1" applyBorder="1" applyAlignment="1">
      <alignment horizontal="center" wrapText="1" readingOrder="1"/>
    </xf>
    <xf numFmtId="0" fontId="6" fillId="0" borderId="27" xfId="63" applyFont="1" applyBorder="1" applyAlignment="1">
      <alignment horizontal="left" wrapText="1"/>
      <protection/>
    </xf>
    <xf numFmtId="0" fontId="0" fillId="0" borderId="42" xfId="63" applyFont="1" applyBorder="1" applyAlignment="1">
      <alignment horizontal="center" wrapText="1"/>
      <protection/>
    </xf>
    <xf numFmtId="0" fontId="0" fillId="0" borderId="22" xfId="63" applyFont="1" applyBorder="1" applyAlignment="1">
      <alignment horizontal="center" wrapText="1"/>
      <protection/>
    </xf>
    <xf numFmtId="0" fontId="6" fillId="0" borderId="42" xfId="63" applyFont="1" applyBorder="1" applyAlignment="1">
      <alignment horizontal="left" wrapText="1"/>
      <protection/>
    </xf>
    <xf numFmtId="0" fontId="6" fillId="0" borderId="22" xfId="63" applyFont="1" applyBorder="1" applyAlignment="1">
      <alignment horizontal="left" wrapText="1"/>
      <protection/>
    </xf>
    <xf numFmtId="0" fontId="31" fillId="0" borderId="22" xfId="63" applyFont="1" applyBorder="1" applyAlignment="1">
      <alignment horizontal="left" wrapText="1"/>
      <protection/>
    </xf>
    <xf numFmtId="0" fontId="31" fillId="0" borderId="10" xfId="63" applyFont="1" applyBorder="1" applyAlignment="1">
      <alignment horizontal="left" wrapText="1"/>
      <protection/>
    </xf>
    <xf numFmtId="0" fontId="6" fillId="0" borderId="10" xfId="63" applyFont="1" applyBorder="1" applyAlignment="1">
      <alignment horizontal="left" wrapText="1"/>
      <protection/>
    </xf>
    <xf numFmtId="0" fontId="0" fillId="0" borderId="42" xfId="63" applyFont="1" applyBorder="1" applyAlignment="1">
      <alignment horizontal="left" wrapText="1"/>
      <protection/>
    </xf>
    <xf numFmtId="0" fontId="0" fillId="0" borderId="22" xfId="63" applyFont="1" applyBorder="1" applyAlignment="1">
      <alignment horizontal="left" wrapText="1"/>
      <protection/>
    </xf>
    <xf numFmtId="2" fontId="6" fillId="0" borderId="11" xfId="63" applyNumberFormat="1" applyFont="1" applyBorder="1" applyAlignment="1">
      <alignment horizontal="center" wrapText="1"/>
      <protection/>
    </xf>
    <xf numFmtId="2" fontId="6" fillId="0" borderId="42" xfId="63" applyNumberFormat="1" applyFont="1" applyBorder="1" applyAlignment="1">
      <alignment horizontal="center" wrapText="1"/>
      <protection/>
    </xf>
    <xf numFmtId="2" fontId="6" fillId="0" borderId="22" xfId="63" applyNumberFormat="1" applyFont="1" applyBorder="1" applyAlignment="1">
      <alignment horizontal="center" wrapText="1"/>
      <protection/>
    </xf>
    <xf numFmtId="2" fontId="34" fillId="0" borderId="0" xfId="63" applyNumberFormat="1" applyFont="1" applyBorder="1" applyAlignment="1">
      <alignment horizontal="center" wrapText="1"/>
      <protection/>
    </xf>
    <xf numFmtId="2" fontId="34" fillId="0" borderId="17" xfId="63" applyNumberFormat="1" applyFont="1" applyBorder="1" applyAlignment="1">
      <alignment horizontal="center" wrapText="1"/>
      <protection/>
    </xf>
    <xf numFmtId="0" fontId="6" fillId="0" borderId="43" xfId="63" applyFont="1" applyBorder="1" applyAlignment="1">
      <alignment horizontal="left" wrapText="1"/>
      <protection/>
    </xf>
    <xf numFmtId="0" fontId="6" fillId="0" borderId="20" xfId="63" applyFont="1" applyBorder="1" applyAlignment="1">
      <alignment horizontal="left" wrapText="1"/>
      <protection/>
    </xf>
    <xf numFmtId="0" fontId="34" fillId="0" borderId="38" xfId="63" applyFont="1" applyBorder="1" applyAlignment="1">
      <alignment horizontal="center" wrapText="1"/>
      <protection/>
    </xf>
    <xf numFmtId="0" fontId="34" fillId="0" borderId="39" xfId="63" applyFont="1" applyBorder="1" applyAlignment="1">
      <alignment horizontal="center" wrapText="1"/>
      <protection/>
    </xf>
    <xf numFmtId="0" fontId="34" fillId="0" borderId="40" xfId="63" applyFont="1" applyBorder="1" applyAlignment="1">
      <alignment horizontal="center" wrapText="1"/>
      <protection/>
    </xf>
    <xf numFmtId="0" fontId="35" fillId="0" borderId="43" xfId="63" applyFont="1" applyBorder="1" applyAlignment="1">
      <alignment horizontal="left" wrapText="1"/>
      <protection/>
    </xf>
    <xf numFmtId="0" fontId="35" fillId="0" borderId="20" xfId="63" applyFont="1" applyBorder="1" applyAlignment="1">
      <alignment horizontal="left" wrapText="1"/>
      <protection/>
    </xf>
    <xf numFmtId="0" fontId="5" fillId="0" borderId="10" xfId="64" applyFont="1" applyFill="1" applyBorder="1" applyAlignment="1">
      <alignment horizontal="left" wrapText="1"/>
      <protection/>
    </xf>
    <xf numFmtId="0" fontId="35" fillId="0" borderId="10" xfId="64" applyFont="1" applyFill="1" applyBorder="1" applyAlignment="1">
      <alignment horizontal="left" wrapText="1"/>
      <protection/>
    </xf>
    <xf numFmtId="0" fontId="35" fillId="0" borderId="10" xfId="63" applyFont="1" applyBorder="1" applyAlignment="1">
      <alignment horizontal="left" wrapText="1"/>
      <protection/>
    </xf>
    <xf numFmtId="0" fontId="5" fillId="0" borderId="10" xfId="63" applyFont="1" applyBorder="1" applyAlignment="1">
      <alignment horizontal="left" wrapText="1"/>
      <protection/>
    </xf>
    <xf numFmtId="0" fontId="5" fillId="0" borderId="10" xfId="63" applyFont="1" applyBorder="1" applyAlignment="1">
      <alignment horizontal="left"/>
      <protection/>
    </xf>
    <xf numFmtId="0" fontId="35" fillId="0" borderId="10" xfId="63" applyFont="1" applyBorder="1" applyAlignment="1">
      <alignment horizontal="left"/>
      <protection/>
    </xf>
    <xf numFmtId="0" fontId="36" fillId="0" borderId="10" xfId="64" applyFont="1" applyFill="1" applyBorder="1" applyAlignment="1">
      <alignment horizontal="left" wrapText="1"/>
      <protection/>
    </xf>
    <xf numFmtId="0" fontId="36" fillId="0" borderId="10" xfId="63" applyFont="1" applyBorder="1" applyAlignment="1">
      <alignment horizontal="left"/>
      <protection/>
    </xf>
    <xf numFmtId="0" fontId="36" fillId="0" borderId="27" xfId="63" applyFont="1" applyBorder="1" applyAlignment="1">
      <alignment horizontal="left"/>
      <protection/>
    </xf>
    <xf numFmtId="0" fontId="24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0" fontId="37" fillId="0" borderId="0" xfId="62" applyFont="1" applyAlignment="1">
      <alignment horizont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38" fillId="0" borderId="12" xfId="62" applyFont="1" applyBorder="1" applyAlignment="1">
      <alignment horizontal="center" vertical="center"/>
      <protection/>
    </xf>
    <xf numFmtId="0" fontId="38" fillId="0" borderId="13" xfId="62" applyFont="1" applyBorder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21.Aktivet Afatgjata Materiale  09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_Pasqyrat financiare DIXHI PRINT -AL shpk" xfId="61"/>
    <cellStyle name="Normal 3" xfId="62"/>
    <cellStyle name="Normal_asn_2009 Propozim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F_Student\Documents\Blerina\Personale\Pand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F_Student\Documents\Blerina\Personale\Bilanc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G4">
            <v>351.38</v>
          </cell>
        </row>
        <row r="8">
          <cell r="G8">
            <v>102575.84</v>
          </cell>
        </row>
        <row r="23">
          <cell r="G23">
            <v>-0.01</v>
          </cell>
        </row>
        <row r="40">
          <cell r="G40">
            <v>1934375.86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0">
          <cell r="E30" t="str">
            <v>2131 · Instalime teknike specifike</v>
          </cell>
        </row>
        <row r="33">
          <cell r="E33" t="str">
            <v>2181 · Mobilje &amp; Orendi_FA</v>
          </cell>
        </row>
        <row r="34">
          <cell r="E34" t="str">
            <v>2182 · Paisje Zyre &amp; Informatike_FA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22.57421875" style="44" customWidth="1"/>
    <col min="2" max="2" width="29.7109375" style="44" customWidth="1"/>
    <col min="3" max="3" width="3.57421875" style="44" customWidth="1"/>
    <col min="4" max="4" width="23.00390625" style="44" customWidth="1"/>
    <col min="5" max="5" width="20.7109375" style="44" customWidth="1"/>
    <col min="6" max="6" width="6.421875" style="44" customWidth="1"/>
    <col min="7" max="16384" width="9.140625" style="44" customWidth="1"/>
  </cols>
  <sheetData>
    <row r="1" spans="1:6" ht="15">
      <c r="A1" s="42"/>
      <c r="B1" s="42"/>
      <c r="C1" s="42"/>
      <c r="D1" s="43"/>
      <c r="E1" s="43"/>
      <c r="F1" s="43"/>
    </row>
    <row r="2" spans="1:6" ht="15">
      <c r="A2" s="42"/>
      <c r="B2" s="42"/>
      <c r="C2" s="42"/>
      <c r="D2" s="43"/>
      <c r="E2" s="43"/>
      <c r="F2" s="43"/>
    </row>
    <row r="3" spans="1:8" ht="44.25">
      <c r="A3" s="313" t="s">
        <v>170</v>
      </c>
      <c r="B3" s="313"/>
      <c r="C3" s="313"/>
      <c r="D3" s="313"/>
      <c r="E3" s="313"/>
      <c r="F3" s="45"/>
      <c r="G3" s="45"/>
      <c r="H3" s="45"/>
    </row>
    <row r="4" spans="1:6" ht="15">
      <c r="A4" s="42"/>
      <c r="B4" s="42"/>
      <c r="C4" s="42"/>
      <c r="D4" s="43"/>
      <c r="E4" s="43"/>
      <c r="F4" s="43"/>
    </row>
    <row r="5" spans="1:6" ht="15">
      <c r="A5" s="42"/>
      <c r="B5" s="43"/>
      <c r="C5" s="43"/>
      <c r="D5" s="43"/>
      <c r="E5" s="43"/>
      <c r="F5" s="43"/>
    </row>
    <row r="6" spans="1:8" ht="48.75" customHeight="1">
      <c r="A6" s="314" t="s">
        <v>171</v>
      </c>
      <c r="B6" s="314"/>
      <c r="C6" s="314"/>
      <c r="D6" s="314"/>
      <c r="E6" s="314"/>
      <c r="F6" s="46"/>
      <c r="G6" s="46"/>
      <c r="H6" s="46"/>
    </row>
    <row r="7" spans="1:6" ht="15">
      <c r="A7" s="42"/>
      <c r="B7" s="47"/>
      <c r="C7" s="47"/>
      <c r="D7" s="43"/>
      <c r="E7" s="43"/>
      <c r="F7" s="43"/>
    </row>
    <row r="8" spans="1:6" ht="15">
      <c r="A8" s="42"/>
      <c r="B8" s="43"/>
      <c r="C8" s="43"/>
      <c r="D8" s="43"/>
      <c r="E8" s="43"/>
      <c r="F8" s="43"/>
    </row>
    <row r="9" spans="1:6" ht="15">
      <c r="A9" s="42"/>
      <c r="B9" s="42"/>
      <c r="C9" s="42"/>
      <c r="D9" s="43"/>
      <c r="E9" s="43"/>
      <c r="F9" s="43"/>
    </row>
    <row r="10" spans="1:6" ht="15">
      <c r="A10" s="42"/>
      <c r="B10" s="42"/>
      <c r="C10" s="42"/>
      <c r="D10" s="43"/>
      <c r="E10" s="43"/>
      <c r="F10" s="43"/>
    </row>
    <row r="11" spans="1:6" ht="15">
      <c r="A11" s="42"/>
      <c r="B11" s="42"/>
      <c r="C11" s="42"/>
      <c r="D11" s="43"/>
      <c r="E11" s="43"/>
      <c r="F11" s="43"/>
    </row>
    <row r="12" spans="1:6" ht="18">
      <c r="A12" s="42"/>
      <c r="B12" s="48"/>
      <c r="C12" s="48"/>
      <c r="D12" s="43"/>
      <c r="E12" s="43"/>
      <c r="F12" s="43"/>
    </row>
    <row r="13" spans="1:6" ht="15">
      <c r="A13" s="42"/>
      <c r="B13" s="42"/>
      <c r="C13" s="42"/>
      <c r="D13" s="43"/>
      <c r="E13" s="43"/>
      <c r="F13" s="43"/>
    </row>
    <row r="14" spans="1:6" ht="15">
      <c r="A14" s="42"/>
      <c r="B14" s="42"/>
      <c r="C14" s="42"/>
      <c r="D14" s="42"/>
      <c r="E14" s="42"/>
      <c r="F14" s="43"/>
    </row>
    <row r="15" spans="1:6" ht="15">
      <c r="A15" s="315" t="s">
        <v>128</v>
      </c>
      <c r="B15" s="315"/>
      <c r="D15" s="315" t="s">
        <v>131</v>
      </c>
      <c r="E15" s="315"/>
      <c r="F15" s="43"/>
    </row>
    <row r="16" spans="1:6" ht="15">
      <c r="A16" s="42"/>
      <c r="E16" s="49"/>
      <c r="F16" s="43"/>
    </row>
    <row r="17" spans="1:6" ht="14.25">
      <c r="A17" s="50" t="s">
        <v>129</v>
      </c>
      <c r="B17" s="51" t="s">
        <v>444</v>
      </c>
      <c r="D17" s="50" t="s">
        <v>132</v>
      </c>
      <c r="E17" s="94" t="s">
        <v>172</v>
      </c>
      <c r="F17" s="43"/>
    </row>
    <row r="18" spans="1:6" ht="14.25">
      <c r="A18" s="50"/>
      <c r="B18" s="51"/>
      <c r="D18" s="50"/>
      <c r="E18" s="94"/>
      <c r="F18" s="43"/>
    </row>
    <row r="19" spans="1:6" ht="14.25">
      <c r="A19" s="50" t="s">
        <v>130</v>
      </c>
      <c r="B19" s="51" t="s">
        <v>446</v>
      </c>
      <c r="D19" s="50" t="s">
        <v>173</v>
      </c>
      <c r="E19" s="94" t="s">
        <v>174</v>
      </c>
      <c r="F19" s="43"/>
    </row>
    <row r="20" spans="1:6" ht="14.25">
      <c r="A20" s="50"/>
      <c r="B20" s="51"/>
      <c r="D20" s="50"/>
      <c r="E20" s="94"/>
      <c r="F20" s="43"/>
    </row>
    <row r="21" spans="1:6" ht="25.5">
      <c r="A21" s="50" t="s">
        <v>194</v>
      </c>
      <c r="B21" s="304" t="s">
        <v>447</v>
      </c>
      <c r="D21" s="50" t="s">
        <v>176</v>
      </c>
      <c r="E21" s="95" t="s">
        <v>177</v>
      </c>
      <c r="F21" s="43"/>
    </row>
    <row r="22" spans="1:6" ht="15">
      <c r="A22" s="50"/>
      <c r="B22" s="51"/>
      <c r="D22" s="50"/>
      <c r="E22" s="52"/>
      <c r="F22" s="43"/>
    </row>
    <row r="23" spans="1:6" ht="15">
      <c r="A23" s="50" t="s">
        <v>175</v>
      </c>
      <c r="B23" s="51" t="s">
        <v>445</v>
      </c>
      <c r="D23" s="50" t="s">
        <v>133</v>
      </c>
      <c r="E23" s="42"/>
      <c r="F23" s="43"/>
    </row>
    <row r="24" spans="1:6" ht="14.25">
      <c r="A24" s="50"/>
      <c r="B24" s="51"/>
      <c r="F24" s="43"/>
    </row>
    <row r="25" spans="1:6" ht="14.25">
      <c r="A25" s="50" t="s">
        <v>178</v>
      </c>
      <c r="B25" s="51" t="s">
        <v>448</v>
      </c>
      <c r="D25" s="312" t="s">
        <v>458</v>
      </c>
      <c r="E25" s="312"/>
      <c r="F25" s="43"/>
    </row>
    <row r="26" spans="1:6" ht="15">
      <c r="A26" s="50"/>
      <c r="B26" s="51"/>
      <c r="F26" s="53"/>
    </row>
    <row r="27" spans="1:6" ht="51">
      <c r="A27" s="50" t="s">
        <v>179</v>
      </c>
      <c r="B27" s="304" t="s">
        <v>449</v>
      </c>
      <c r="D27" s="50" t="s">
        <v>180</v>
      </c>
      <c r="E27" s="94" t="s">
        <v>487</v>
      </c>
      <c r="F27" s="43"/>
    </row>
    <row r="28" spans="1:6" ht="15">
      <c r="A28" s="42"/>
      <c r="B28" s="54"/>
      <c r="C28" s="54"/>
      <c r="D28" s="42"/>
      <c r="E28" s="42"/>
      <c r="F28" s="43"/>
    </row>
    <row r="29" spans="1:6" ht="15">
      <c r="A29" s="42"/>
      <c r="B29" s="55"/>
      <c r="C29" s="55"/>
      <c r="D29" s="55"/>
      <c r="E29" s="55"/>
      <c r="F29" s="43"/>
    </row>
    <row r="30" spans="1:6" ht="15">
      <c r="A30" s="42"/>
      <c r="B30" s="42"/>
      <c r="C30" s="42"/>
      <c r="D30" s="42"/>
      <c r="E30" s="42"/>
      <c r="F30" s="43"/>
    </row>
    <row r="31" spans="1:6" ht="15">
      <c r="A31" s="42"/>
      <c r="B31" s="42"/>
      <c r="C31" s="42"/>
      <c r="D31" s="43"/>
      <c r="E31" s="43"/>
      <c r="F31" s="43"/>
    </row>
    <row r="32" spans="1:6" ht="15">
      <c r="A32" s="42"/>
      <c r="B32" s="42"/>
      <c r="C32" s="42"/>
      <c r="D32" s="43"/>
      <c r="E32" s="43"/>
      <c r="F32" s="43"/>
    </row>
    <row r="33" spans="1:6" ht="15">
      <c r="A33" s="42"/>
      <c r="B33" s="42"/>
      <c r="C33" s="42"/>
      <c r="D33" s="43"/>
      <c r="E33" s="43"/>
      <c r="F33" s="43"/>
    </row>
    <row r="34" spans="1:6" ht="15">
      <c r="A34" s="42"/>
      <c r="B34" s="42"/>
      <c r="C34" s="42"/>
      <c r="D34" s="43"/>
      <c r="E34" s="43"/>
      <c r="F34" s="43"/>
    </row>
    <row r="35" spans="1:6" ht="12.75">
      <c r="A35" s="43"/>
      <c r="B35" s="43"/>
      <c r="C35" s="43"/>
      <c r="D35" s="43"/>
      <c r="E35" s="43"/>
      <c r="F35" s="43"/>
    </row>
    <row r="36" spans="1:6" ht="12.75">
      <c r="A36" s="43"/>
      <c r="B36" s="43"/>
      <c r="C36" s="43"/>
      <c r="D36" s="43"/>
      <c r="E36" s="43"/>
      <c r="F36" s="43"/>
    </row>
    <row r="37" spans="1:6" ht="12.75">
      <c r="A37" s="43"/>
      <c r="B37" s="43"/>
      <c r="C37" s="43"/>
      <c r="D37" s="43"/>
      <c r="E37" s="43"/>
      <c r="F37" s="43"/>
    </row>
    <row r="38" spans="1:6" ht="12.75">
      <c r="A38" s="43"/>
      <c r="B38" s="43"/>
      <c r="C38" s="43"/>
      <c r="D38" s="43"/>
      <c r="E38" s="43"/>
      <c r="F38" s="43"/>
    </row>
    <row r="39" spans="1:6" ht="12.75">
      <c r="A39" s="43"/>
      <c r="B39" s="43"/>
      <c r="C39" s="43"/>
      <c r="D39" s="43"/>
      <c r="E39" s="43"/>
      <c r="F39" s="43"/>
    </row>
    <row r="40" spans="1:6" ht="12.75">
      <c r="A40" s="43"/>
      <c r="B40" s="43"/>
      <c r="C40" s="43"/>
      <c r="D40" s="43"/>
      <c r="E40" s="43"/>
      <c r="F40" s="43"/>
    </row>
    <row r="41" spans="1:6" ht="12.75">
      <c r="A41" s="43"/>
      <c r="B41" s="43"/>
      <c r="C41" s="43"/>
      <c r="D41" s="43"/>
      <c r="E41" s="43"/>
      <c r="F41" s="43"/>
    </row>
    <row r="42" spans="1:6" ht="12.75">
      <c r="A42" s="43"/>
      <c r="B42" s="43"/>
      <c r="C42" s="43"/>
      <c r="D42" s="43"/>
      <c r="E42" s="43"/>
      <c r="F42" s="43"/>
    </row>
    <row r="43" spans="1:6" ht="12.75">
      <c r="A43" s="43"/>
      <c r="B43" s="43"/>
      <c r="C43" s="43"/>
      <c r="D43" s="43"/>
      <c r="E43" s="43"/>
      <c r="F43" s="43"/>
    </row>
    <row r="44" spans="1:6" ht="12.75">
      <c r="A44" s="43"/>
      <c r="B44" s="43"/>
      <c r="C44" s="43"/>
      <c r="D44" s="43"/>
      <c r="E44" s="43"/>
      <c r="F44" s="43"/>
    </row>
    <row r="45" spans="1:6" ht="12.75">
      <c r="A45" s="43"/>
      <c r="B45" s="43"/>
      <c r="C45" s="43"/>
      <c r="D45" s="43"/>
      <c r="E45" s="43"/>
      <c r="F45" s="43"/>
    </row>
    <row r="46" spans="1:6" ht="12.75">
      <c r="A46" s="43"/>
      <c r="B46" s="43"/>
      <c r="C46" s="43"/>
      <c r="D46" s="43"/>
      <c r="E46" s="43"/>
      <c r="F46" s="43"/>
    </row>
    <row r="47" spans="1:6" ht="12.75">
      <c r="A47" s="43"/>
      <c r="B47" s="43"/>
      <c r="C47" s="43"/>
      <c r="D47" s="43"/>
      <c r="E47" s="43"/>
      <c r="F47" s="43"/>
    </row>
    <row r="48" spans="1:6" ht="12.75">
      <c r="A48" s="43"/>
      <c r="B48" s="43"/>
      <c r="C48" s="43"/>
      <c r="D48" s="43"/>
      <c r="E48" s="43"/>
      <c r="F48" s="43"/>
    </row>
    <row r="49" spans="1:6" ht="12.75">
      <c r="A49" s="43"/>
      <c r="B49" s="43"/>
      <c r="C49" s="43"/>
      <c r="D49" s="43"/>
      <c r="E49" s="43"/>
      <c r="F49" s="43"/>
    </row>
    <row r="50" spans="1:6" ht="12.75">
      <c r="A50" s="43"/>
      <c r="B50" s="43"/>
      <c r="C50" s="43"/>
      <c r="D50" s="43"/>
      <c r="E50" s="43"/>
      <c r="F50" s="43"/>
    </row>
    <row r="51" spans="1:6" ht="12.75">
      <c r="A51" s="43"/>
      <c r="B51" s="43"/>
      <c r="C51" s="43"/>
      <c r="D51" s="43"/>
      <c r="E51" s="43"/>
      <c r="F51" s="43"/>
    </row>
    <row r="52" spans="1:6" ht="12.75">
      <c r="A52" s="43"/>
      <c r="B52" s="43"/>
      <c r="C52" s="43"/>
      <c r="D52" s="43"/>
      <c r="E52" s="43"/>
      <c r="F52" s="43"/>
    </row>
    <row r="53" spans="1:6" ht="12.75">
      <c r="A53" s="43"/>
      <c r="B53" s="43"/>
      <c r="C53" s="43"/>
      <c r="D53" s="43"/>
      <c r="E53" s="43"/>
      <c r="F53" s="43"/>
    </row>
    <row r="54" spans="1:6" ht="12.75">
      <c r="A54" s="43"/>
      <c r="B54" s="43"/>
      <c r="C54" s="43"/>
      <c r="D54" s="43"/>
      <c r="E54" s="43"/>
      <c r="F54" s="43"/>
    </row>
    <row r="55" spans="1:6" ht="12.75">
      <c r="A55" s="43"/>
      <c r="B55" s="43"/>
      <c r="C55" s="43"/>
      <c r="D55" s="43"/>
      <c r="E55" s="43"/>
      <c r="F55" s="43"/>
    </row>
    <row r="56" spans="1:6" ht="12.75">
      <c r="A56" s="43"/>
      <c r="B56" s="43"/>
      <c r="C56" s="43"/>
      <c r="D56" s="43"/>
      <c r="E56" s="43"/>
      <c r="F56" s="43"/>
    </row>
    <row r="57" spans="1:6" ht="12.75">
      <c r="A57" s="43"/>
      <c r="B57" s="43"/>
      <c r="C57" s="43"/>
      <c r="D57" s="43"/>
      <c r="E57" s="43"/>
      <c r="F57" s="43"/>
    </row>
  </sheetData>
  <sheetProtection/>
  <mergeCells count="5">
    <mergeCell ref="D25:E25"/>
    <mergeCell ref="A3:E3"/>
    <mergeCell ref="A6:E6"/>
    <mergeCell ref="A15:B15"/>
    <mergeCell ref="D15:E15"/>
  </mergeCells>
  <printOptions/>
  <pageMargins left="0.47" right="0.35" top="1" bottom="1" header="0.5" footer="0.5"/>
  <pageSetup horizontalDpi="600" verticalDpi="600" orientation="portrait" r:id="rId1"/>
  <headerFooter alignWithMargins="0">
    <oddHeader>&amp;C&amp;"Arial,Bold"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5.140625" style="207" customWidth="1"/>
    <col min="2" max="2" width="21.140625" style="207" customWidth="1"/>
    <col min="3" max="3" width="9.421875" style="207" customWidth="1"/>
    <col min="4" max="4" width="11.57421875" style="207" customWidth="1"/>
    <col min="5" max="5" width="11.00390625" style="207" customWidth="1"/>
    <col min="6" max="6" width="12.00390625" style="207" customWidth="1"/>
    <col min="7" max="7" width="13.421875" style="207" customWidth="1"/>
    <col min="8" max="8" width="9.140625" style="207" customWidth="1"/>
    <col min="9" max="10" width="10.140625" style="207" bestFit="1" customWidth="1"/>
    <col min="11" max="12" width="9.140625" style="207" customWidth="1"/>
    <col min="13" max="13" width="12.28125" style="207" customWidth="1"/>
    <col min="14" max="16384" width="9.140625" style="207" customWidth="1"/>
  </cols>
  <sheetData>
    <row r="1" ht="12.75">
      <c r="B1" s="138" t="s">
        <v>450</v>
      </c>
    </row>
    <row r="2" ht="12.75">
      <c r="B2" s="138" t="s">
        <v>451</v>
      </c>
    </row>
    <row r="3" ht="12.75">
      <c r="B3" s="208"/>
    </row>
    <row r="4" spans="2:7" ht="15.75">
      <c r="B4" s="373" t="s">
        <v>480</v>
      </c>
      <c r="C4" s="373"/>
      <c r="D4" s="373"/>
      <c r="E4" s="373"/>
      <c r="F4" s="373"/>
      <c r="G4" s="373"/>
    </row>
    <row r="6" spans="1:7" ht="12.75">
      <c r="A6" s="374" t="s">
        <v>136</v>
      </c>
      <c r="B6" s="376" t="s">
        <v>375</v>
      </c>
      <c r="C6" s="374" t="s">
        <v>376</v>
      </c>
      <c r="D6" s="229" t="s">
        <v>377</v>
      </c>
      <c r="E6" s="374" t="s">
        <v>378</v>
      </c>
      <c r="F6" s="374" t="s">
        <v>379</v>
      </c>
      <c r="G6" s="229" t="s">
        <v>377</v>
      </c>
    </row>
    <row r="7" spans="1:9" ht="12.75">
      <c r="A7" s="375"/>
      <c r="B7" s="377"/>
      <c r="C7" s="375"/>
      <c r="D7" s="230">
        <v>40909</v>
      </c>
      <c r="E7" s="375"/>
      <c r="F7" s="375"/>
      <c r="G7" s="230">
        <v>41274</v>
      </c>
      <c r="H7" s="231"/>
      <c r="I7" s="231"/>
    </row>
    <row r="8" spans="1:9" ht="12.75">
      <c r="A8" s="232">
        <v>1</v>
      </c>
      <c r="B8" s="233" t="s">
        <v>43</v>
      </c>
      <c r="C8" s="232"/>
      <c r="D8" s="234"/>
      <c r="E8" s="234"/>
      <c r="F8" s="234"/>
      <c r="G8" s="234">
        <f aca="true" t="shared" si="0" ref="G8:G16">D8+E8-F8</f>
        <v>0</v>
      </c>
      <c r="H8" s="231"/>
      <c r="I8" s="231"/>
    </row>
    <row r="9" spans="1:9" ht="12.75">
      <c r="A9" s="232">
        <v>2</v>
      </c>
      <c r="B9" s="235" t="s">
        <v>380</v>
      </c>
      <c r="C9" s="232"/>
      <c r="D9" s="234"/>
      <c r="E9" s="234"/>
      <c r="F9" s="234"/>
      <c r="G9" s="234">
        <f t="shared" si="0"/>
        <v>0</v>
      </c>
      <c r="H9" s="236"/>
      <c r="I9" s="237"/>
    </row>
    <row r="10" spans="1:9" ht="12.75">
      <c r="A10" s="232">
        <v>3</v>
      </c>
      <c r="B10" s="233" t="s">
        <v>381</v>
      </c>
      <c r="C10" s="232"/>
      <c r="D10" s="234">
        <v>17600624.312</v>
      </c>
      <c r="E10" s="234"/>
      <c r="F10" s="234"/>
      <c r="G10" s="234">
        <f t="shared" si="0"/>
        <v>17600624.312</v>
      </c>
      <c r="H10" s="236"/>
      <c r="I10" s="237"/>
    </row>
    <row r="11" spans="1:9" ht="12.75">
      <c r="A11" s="232">
        <v>4</v>
      </c>
      <c r="B11" s="233" t="s">
        <v>382</v>
      </c>
      <c r="C11" s="232"/>
      <c r="D11" s="234"/>
      <c r="E11" s="234"/>
      <c r="F11" s="234"/>
      <c r="G11" s="234">
        <f t="shared" si="0"/>
        <v>0</v>
      </c>
      <c r="H11" s="236"/>
      <c r="I11" s="237"/>
    </row>
    <row r="12" spans="1:9" ht="12.75">
      <c r="A12" s="232">
        <v>5</v>
      </c>
      <c r="B12" s="233" t="s">
        <v>383</v>
      </c>
      <c r="C12" s="232"/>
      <c r="D12" s="234">
        <v>441402</v>
      </c>
      <c r="E12" s="234"/>
      <c r="F12" s="234"/>
      <c r="G12" s="234">
        <f t="shared" si="0"/>
        <v>441402</v>
      </c>
      <c r="H12" s="236"/>
      <c r="I12" s="237"/>
    </row>
    <row r="13" spans="1:9" ht="12.75">
      <c r="A13" s="232">
        <v>1</v>
      </c>
      <c r="B13" s="233" t="s">
        <v>384</v>
      </c>
      <c r="C13" s="232"/>
      <c r="D13" s="234">
        <v>129536</v>
      </c>
      <c r="E13" s="234"/>
      <c r="F13" s="234"/>
      <c r="G13" s="234">
        <f t="shared" si="0"/>
        <v>129536</v>
      </c>
      <c r="H13" s="236"/>
      <c r="I13" s="237"/>
    </row>
    <row r="14" spans="1:9" ht="12.75">
      <c r="A14" s="232">
        <v>2</v>
      </c>
      <c r="B14" s="210"/>
      <c r="C14" s="232"/>
      <c r="D14" s="234"/>
      <c r="E14" s="234"/>
      <c r="F14" s="234"/>
      <c r="G14" s="234">
        <f t="shared" si="0"/>
        <v>0</v>
      </c>
      <c r="H14" s="231"/>
      <c r="I14" s="231"/>
    </row>
    <row r="15" spans="1:9" ht="12.75">
      <c r="A15" s="232">
        <v>3</v>
      </c>
      <c r="B15" s="210"/>
      <c r="C15" s="232"/>
      <c r="D15" s="234"/>
      <c r="E15" s="234"/>
      <c r="F15" s="234"/>
      <c r="G15" s="234">
        <f t="shared" si="0"/>
        <v>0</v>
      </c>
      <c r="H15" s="231"/>
      <c r="I15" s="231"/>
    </row>
    <row r="16" spans="1:9" ht="13.5" thickBot="1">
      <c r="A16" s="238">
        <v>4</v>
      </c>
      <c r="B16" s="216"/>
      <c r="C16" s="238"/>
      <c r="D16" s="239"/>
      <c r="E16" s="239"/>
      <c r="F16" s="239"/>
      <c r="G16" s="239">
        <f t="shared" si="0"/>
        <v>0</v>
      </c>
      <c r="H16" s="231"/>
      <c r="I16" s="231"/>
    </row>
    <row r="17" spans="1:9" ht="13.5" thickBot="1">
      <c r="A17" s="240"/>
      <c r="B17" s="241" t="s">
        <v>385</v>
      </c>
      <c r="C17" s="242"/>
      <c r="D17" s="243">
        <f>SUM(D8:D16)</f>
        <v>18171562.312</v>
      </c>
      <c r="E17" s="243">
        <f>SUM(E8:E16)</f>
        <v>0</v>
      </c>
      <c r="F17" s="243">
        <f>SUM(F8:F16)</f>
        <v>0</v>
      </c>
      <c r="G17" s="244">
        <f>SUM(G8:G16)</f>
        <v>18171562.312</v>
      </c>
      <c r="I17" s="245"/>
    </row>
    <row r="20" spans="2:9" ht="15.75">
      <c r="B20" s="373" t="s">
        <v>481</v>
      </c>
      <c r="C20" s="373"/>
      <c r="D20" s="373"/>
      <c r="E20" s="373"/>
      <c r="F20" s="373"/>
      <c r="G20" s="373"/>
      <c r="I20" s="245"/>
    </row>
    <row r="22" spans="1:7" ht="12.75">
      <c r="A22" s="374" t="s">
        <v>136</v>
      </c>
      <c r="B22" s="376" t="s">
        <v>375</v>
      </c>
      <c r="C22" s="374" t="s">
        <v>376</v>
      </c>
      <c r="D22" s="229" t="s">
        <v>377</v>
      </c>
      <c r="E22" s="374" t="s">
        <v>378</v>
      </c>
      <c r="F22" s="374" t="s">
        <v>379</v>
      </c>
      <c r="G22" s="229" t="s">
        <v>377</v>
      </c>
    </row>
    <row r="23" spans="1:7" ht="12.75">
      <c r="A23" s="375"/>
      <c r="B23" s="377"/>
      <c r="C23" s="375"/>
      <c r="D23" s="230">
        <v>40909</v>
      </c>
      <c r="E23" s="375"/>
      <c r="F23" s="375"/>
      <c r="G23" s="230">
        <v>41274</v>
      </c>
    </row>
    <row r="24" spans="1:7" ht="12.75">
      <c r="A24" s="232">
        <v>1</v>
      </c>
      <c r="B24" s="233" t="s">
        <v>43</v>
      </c>
      <c r="C24" s="232"/>
      <c r="D24" s="234">
        <v>0</v>
      </c>
      <c r="E24" s="234">
        <v>0</v>
      </c>
      <c r="F24" s="234"/>
      <c r="G24" s="234">
        <f aca="true" t="shared" si="1" ref="G24:G29">D24+E24</f>
        <v>0</v>
      </c>
    </row>
    <row r="25" spans="1:7" ht="12.75">
      <c r="A25" s="232">
        <v>2</v>
      </c>
      <c r="B25" s="235" t="s">
        <v>380</v>
      </c>
      <c r="C25" s="232"/>
      <c r="D25" s="234"/>
      <c r="E25" s="234"/>
      <c r="F25" s="234"/>
      <c r="G25" s="234">
        <f t="shared" si="1"/>
        <v>0</v>
      </c>
    </row>
    <row r="26" spans="1:7" ht="12.75">
      <c r="A26" s="232">
        <v>3</v>
      </c>
      <c r="B26" s="233" t="s">
        <v>386</v>
      </c>
      <c r="C26" s="232"/>
      <c r="D26" s="234">
        <f>'Shenime (2)'!G28</f>
        <v>3520124.8624</v>
      </c>
      <c r="E26" s="246"/>
      <c r="F26" s="234"/>
      <c r="G26" s="234">
        <f t="shared" si="1"/>
        <v>3520124.8624</v>
      </c>
    </row>
    <row r="27" spans="1:7" ht="12.75">
      <c r="A27" s="232">
        <v>4</v>
      </c>
      <c r="B27" s="233" t="s">
        <v>382</v>
      </c>
      <c r="C27" s="232"/>
      <c r="D27" s="234"/>
      <c r="E27" s="234"/>
      <c r="F27" s="234"/>
      <c r="G27" s="234">
        <f t="shared" si="1"/>
        <v>0</v>
      </c>
    </row>
    <row r="28" spans="1:7" ht="12.75">
      <c r="A28" s="232">
        <v>5</v>
      </c>
      <c r="B28" s="233" t="s">
        <v>383</v>
      </c>
      <c r="C28" s="232"/>
      <c r="D28" s="234">
        <f>'Shenime (2)'!G30</f>
        <v>110350.5</v>
      </c>
      <c r="E28" s="246"/>
      <c r="F28" s="234"/>
      <c r="G28" s="234">
        <f t="shared" si="1"/>
        <v>110350.5</v>
      </c>
    </row>
    <row r="29" spans="1:7" ht="12.75">
      <c r="A29" s="232">
        <v>1</v>
      </c>
      <c r="B29" s="233" t="s">
        <v>384</v>
      </c>
      <c r="C29" s="232"/>
      <c r="D29" s="234">
        <f>'Shenime (2)'!G29</f>
        <v>25907.2</v>
      </c>
      <c r="E29" s="234"/>
      <c r="F29" s="234"/>
      <c r="G29" s="234">
        <f t="shared" si="1"/>
        <v>25907.2</v>
      </c>
    </row>
    <row r="30" spans="1:7" ht="12.75">
      <c r="A30" s="232">
        <v>2</v>
      </c>
      <c r="B30" s="210"/>
      <c r="C30" s="232"/>
      <c r="D30" s="234"/>
      <c r="E30" s="234"/>
      <c r="F30" s="234"/>
      <c r="G30" s="234">
        <f>D30+E30-F30</f>
        <v>0</v>
      </c>
    </row>
    <row r="31" spans="1:13" ht="12.75">
      <c r="A31" s="232">
        <v>3</v>
      </c>
      <c r="B31" s="210"/>
      <c r="C31" s="232"/>
      <c r="D31" s="234"/>
      <c r="E31" s="234"/>
      <c r="F31" s="234"/>
      <c r="G31" s="234">
        <f>D31+E31-F31</f>
        <v>0</v>
      </c>
      <c r="I31" s="231"/>
      <c r="J31" s="231"/>
      <c r="K31" s="231"/>
      <c r="L31" s="231"/>
      <c r="M31" s="231"/>
    </row>
    <row r="32" spans="1:13" ht="13.5" thickBot="1">
      <c r="A32" s="238">
        <v>4</v>
      </c>
      <c r="B32" s="216"/>
      <c r="C32" s="238"/>
      <c r="D32" s="239"/>
      <c r="E32" s="239"/>
      <c r="F32" s="239"/>
      <c r="G32" s="239">
        <f>D32+E32-F32</f>
        <v>0</v>
      </c>
      <c r="I32" s="231"/>
      <c r="J32" s="231"/>
      <c r="K32" s="231"/>
      <c r="L32" s="231"/>
      <c r="M32" s="231"/>
    </row>
    <row r="33" spans="1:13" ht="13.5" thickBot="1">
      <c r="A33" s="240"/>
      <c r="B33" s="241" t="s">
        <v>385</v>
      </c>
      <c r="C33" s="242"/>
      <c r="D33" s="243">
        <f>SUM(D24:D32)</f>
        <v>3656382.5624</v>
      </c>
      <c r="E33" s="243">
        <f>SUM(E24:E32)</f>
        <v>0</v>
      </c>
      <c r="F33" s="243">
        <f>SUM(F24:F32)</f>
        <v>0</v>
      </c>
      <c r="G33" s="244">
        <f>SUM(G24:G32)</f>
        <v>3656382.5624</v>
      </c>
      <c r="H33" s="247"/>
      <c r="I33" s="250"/>
      <c r="J33" s="237"/>
      <c r="K33" s="231"/>
      <c r="L33" s="231"/>
      <c r="M33" s="231"/>
    </row>
    <row r="34" spans="7:13" ht="12.75">
      <c r="G34" s="247"/>
      <c r="I34" s="231"/>
      <c r="J34" s="231"/>
      <c r="K34" s="231"/>
      <c r="L34" s="231"/>
      <c r="M34" s="231"/>
    </row>
    <row r="35" spans="9:13" ht="12.75">
      <c r="I35" s="231"/>
      <c r="J35" s="231"/>
      <c r="K35" s="231"/>
      <c r="L35" s="231"/>
      <c r="M35" s="231"/>
    </row>
    <row r="36" spans="2:13" ht="15.75">
      <c r="B36" s="373" t="s">
        <v>482</v>
      </c>
      <c r="C36" s="373"/>
      <c r="D36" s="373"/>
      <c r="E36" s="373"/>
      <c r="F36" s="373"/>
      <c r="G36" s="373"/>
      <c r="I36" s="231"/>
      <c r="J36" s="231"/>
      <c r="K36" s="231"/>
      <c r="L36" s="231"/>
      <c r="M36" s="231"/>
    </row>
    <row r="38" spans="1:7" ht="12.75">
      <c r="A38" s="374" t="s">
        <v>136</v>
      </c>
      <c r="B38" s="376" t="s">
        <v>375</v>
      </c>
      <c r="C38" s="374" t="s">
        <v>376</v>
      </c>
      <c r="D38" s="229" t="s">
        <v>377</v>
      </c>
      <c r="E38" s="374" t="s">
        <v>378</v>
      </c>
      <c r="F38" s="374" t="s">
        <v>379</v>
      </c>
      <c r="G38" s="229" t="s">
        <v>377</v>
      </c>
    </row>
    <row r="39" spans="1:7" ht="12.75">
      <c r="A39" s="375"/>
      <c r="B39" s="377"/>
      <c r="C39" s="375"/>
      <c r="D39" s="230">
        <v>40909</v>
      </c>
      <c r="E39" s="375"/>
      <c r="F39" s="375"/>
      <c r="G39" s="230">
        <v>41274</v>
      </c>
    </row>
    <row r="40" spans="1:7" ht="12.75">
      <c r="A40" s="232">
        <v>1</v>
      </c>
      <c r="B40" s="235" t="s">
        <v>43</v>
      </c>
      <c r="C40" s="232"/>
      <c r="D40" s="234">
        <v>0</v>
      </c>
      <c r="E40" s="234"/>
      <c r="F40" s="234">
        <v>0</v>
      </c>
      <c r="G40" s="234">
        <f aca="true" t="shared" si="2" ref="G40:G48">D40+E40-F40</f>
        <v>0</v>
      </c>
    </row>
    <row r="41" spans="1:14" ht="12.75">
      <c r="A41" s="232">
        <v>2</v>
      </c>
      <c r="B41" s="233" t="s">
        <v>380</v>
      </c>
      <c r="C41" s="232"/>
      <c r="D41" s="234"/>
      <c r="E41" s="234"/>
      <c r="F41" s="234"/>
      <c r="G41" s="234">
        <f t="shared" si="2"/>
        <v>0</v>
      </c>
      <c r="M41" s="231"/>
      <c r="N41" s="231"/>
    </row>
    <row r="42" spans="1:14" ht="12.75">
      <c r="A42" s="232">
        <v>3</v>
      </c>
      <c r="B42" s="233" t="s">
        <v>386</v>
      </c>
      <c r="C42" s="232"/>
      <c r="D42" s="234">
        <f>D10-D26</f>
        <v>14080499.4496</v>
      </c>
      <c r="E42" s="247"/>
      <c r="F42" s="234"/>
      <c r="G42" s="234">
        <f t="shared" si="2"/>
        <v>14080499.4496</v>
      </c>
      <c r="M42" s="231"/>
      <c r="N42" s="231"/>
    </row>
    <row r="43" spans="1:14" ht="12.75">
      <c r="A43" s="232">
        <v>4</v>
      </c>
      <c r="B43" s="233" t="s">
        <v>382</v>
      </c>
      <c r="C43" s="232"/>
      <c r="D43" s="234">
        <f>D11-D27</f>
        <v>0</v>
      </c>
      <c r="E43" s="234"/>
      <c r="F43" s="234"/>
      <c r="G43" s="234">
        <f t="shared" si="2"/>
        <v>0</v>
      </c>
      <c r="M43" s="231"/>
      <c r="N43" s="231"/>
    </row>
    <row r="44" spans="1:14" ht="12.75">
      <c r="A44" s="232">
        <v>5</v>
      </c>
      <c r="B44" s="233" t="s">
        <v>383</v>
      </c>
      <c r="C44" s="232"/>
      <c r="D44" s="234">
        <f>D12-D28</f>
        <v>331051.5</v>
      </c>
      <c r="E44" s="234">
        <f>E12-E28</f>
        <v>0</v>
      </c>
      <c r="F44" s="234"/>
      <c r="G44" s="234">
        <f>D44+E44-F44</f>
        <v>331051.5</v>
      </c>
      <c r="M44" s="231"/>
      <c r="N44" s="231"/>
    </row>
    <row r="45" spans="1:14" ht="12.75">
      <c r="A45" s="232">
        <v>1</v>
      </c>
      <c r="B45" s="233" t="s">
        <v>384</v>
      </c>
      <c r="C45" s="232"/>
      <c r="D45" s="234">
        <f>D13-D29</f>
        <v>103628.8</v>
      </c>
      <c r="E45" s="234">
        <f>E13-E29</f>
        <v>0</v>
      </c>
      <c r="F45" s="234"/>
      <c r="G45" s="234">
        <f>D45+E45-F45</f>
        <v>103628.8</v>
      </c>
      <c r="M45" s="231"/>
      <c r="N45" s="231"/>
    </row>
    <row r="46" spans="1:14" ht="12.75">
      <c r="A46" s="232">
        <v>2</v>
      </c>
      <c r="B46" s="233"/>
      <c r="C46" s="232"/>
      <c r="D46" s="234"/>
      <c r="E46" s="234"/>
      <c r="F46" s="234"/>
      <c r="G46" s="234">
        <f t="shared" si="2"/>
        <v>0</v>
      </c>
      <c r="M46" s="231"/>
      <c r="N46" s="231"/>
    </row>
    <row r="47" spans="1:14" ht="12.75">
      <c r="A47" s="232">
        <v>3</v>
      </c>
      <c r="B47" s="210"/>
      <c r="C47" s="232"/>
      <c r="D47" s="234"/>
      <c r="E47" s="234"/>
      <c r="F47" s="234"/>
      <c r="G47" s="234">
        <f t="shared" si="2"/>
        <v>0</v>
      </c>
      <c r="M47" s="231"/>
      <c r="N47" s="231"/>
    </row>
    <row r="48" spans="1:14" ht="13.5" thickBot="1">
      <c r="A48" s="238">
        <v>4</v>
      </c>
      <c r="B48" s="216"/>
      <c r="C48" s="238"/>
      <c r="D48" s="239"/>
      <c r="E48" s="239"/>
      <c r="F48" s="239"/>
      <c r="G48" s="239">
        <f t="shared" si="2"/>
        <v>0</v>
      </c>
      <c r="M48" s="231"/>
      <c r="N48" s="231"/>
    </row>
    <row r="49" spans="1:14" ht="13.5" thickBot="1">
      <c r="A49" s="240"/>
      <c r="B49" s="241" t="s">
        <v>385</v>
      </c>
      <c r="C49" s="242"/>
      <c r="D49" s="243">
        <f>SUM(D40:D48)</f>
        <v>14515179.7496</v>
      </c>
      <c r="E49" s="243">
        <f>SUM(E40:E48)</f>
        <v>0</v>
      </c>
      <c r="F49" s="243">
        <f>SUM(F40:F48)</f>
        <v>0</v>
      </c>
      <c r="G49" s="244">
        <f>SUM(G40:G48)</f>
        <v>14515179.7496</v>
      </c>
      <c r="I49" s="247"/>
      <c r="J49" s="245"/>
      <c r="M49" s="248"/>
      <c r="N49" s="231"/>
    </row>
    <row r="50" spans="6:10" s="231" customFormat="1" ht="12.75">
      <c r="F50" s="237"/>
      <c r="G50" s="249"/>
      <c r="J50" s="237"/>
    </row>
    <row r="51" spans="4:14" ht="12.75">
      <c r="D51" s="245"/>
      <c r="G51" s="245"/>
      <c r="I51" s="247"/>
      <c r="M51" s="231"/>
      <c r="N51" s="231"/>
    </row>
    <row r="52" spans="4:14" ht="12.75">
      <c r="D52" s="245"/>
      <c r="G52" s="245"/>
      <c r="I52" s="245"/>
      <c r="M52" s="231"/>
      <c r="N52" s="231"/>
    </row>
    <row r="53" spans="5:14" ht="15.75">
      <c r="E53" s="371" t="s">
        <v>244</v>
      </c>
      <c r="F53" s="371"/>
      <c r="G53" s="371"/>
      <c r="M53" s="231"/>
      <c r="N53" s="231"/>
    </row>
    <row r="54" spans="5:7" ht="12.75">
      <c r="E54" s="372" t="s">
        <v>452</v>
      </c>
      <c r="F54" s="372"/>
      <c r="G54" s="372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5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I26"/>
  <sheetViews>
    <sheetView tabSelected="1" zoomScalePageLayoutView="0" workbookViewId="0" topLeftCell="A1">
      <selection activeCell="H32" sqref="H32"/>
    </sheetView>
  </sheetViews>
  <sheetFormatPr defaultColWidth="9.140625" defaultRowHeight="12.75"/>
  <sheetData>
    <row r="4" ht="12.75">
      <c r="A4" s="138" t="s">
        <v>450</v>
      </c>
    </row>
    <row r="5" ht="12.75">
      <c r="A5" s="138" t="s">
        <v>451</v>
      </c>
    </row>
    <row r="7" ht="12.75">
      <c r="I7" s="137" t="s">
        <v>483</v>
      </c>
    </row>
    <row r="10" ht="15.75">
      <c r="D10" s="286" t="s">
        <v>412</v>
      </c>
    </row>
    <row r="12" ht="12.75">
      <c r="A12" s="137" t="s">
        <v>453</v>
      </c>
    </row>
    <row r="14" ht="12.75">
      <c r="B14" s="137" t="s">
        <v>454</v>
      </c>
    </row>
    <row r="15" ht="12.75">
      <c r="B15" s="137" t="s">
        <v>455</v>
      </c>
    </row>
    <row r="16" ht="12.75">
      <c r="B16" s="137" t="s">
        <v>456</v>
      </c>
    </row>
    <row r="18" ht="12.75">
      <c r="A18" s="287" t="s">
        <v>413</v>
      </c>
    </row>
    <row r="20" ht="12.75">
      <c r="A20" s="287" t="s">
        <v>414</v>
      </c>
    </row>
    <row r="21" ht="12.75">
      <c r="A21" s="137" t="s">
        <v>457</v>
      </c>
    </row>
    <row r="22" spans="1:6" ht="12.75">
      <c r="A22" s="137" t="s">
        <v>418</v>
      </c>
      <c r="F22" s="137" t="s">
        <v>419</v>
      </c>
    </row>
    <row r="23" ht="12.75">
      <c r="A23" s="137" t="s">
        <v>415</v>
      </c>
    </row>
    <row r="25" ht="12.75">
      <c r="F25" s="137" t="s">
        <v>416</v>
      </c>
    </row>
    <row r="26" ht="12.75">
      <c r="F26" s="137" t="s">
        <v>452</v>
      </c>
    </row>
  </sheetData>
  <sheetProtection/>
  <printOptions/>
  <pageMargins left="0.29" right="0.08" top="0.75" bottom="0.75" header="0.3" footer="0.3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4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6.00390625" style="3" customWidth="1"/>
    <col min="2" max="2" width="41.00390625" style="3" bestFit="1" customWidth="1"/>
    <col min="3" max="3" width="10.57421875" style="3" hidden="1" customWidth="1"/>
    <col min="4" max="6" width="10.421875" style="3" hidden="1" customWidth="1"/>
    <col min="7" max="7" width="16.140625" style="3" hidden="1" customWidth="1"/>
    <col min="8" max="8" width="8.57421875" style="3" customWidth="1"/>
    <col min="9" max="9" width="12.8515625" style="3" customWidth="1"/>
    <col min="10" max="10" width="13.140625" style="3" customWidth="1"/>
    <col min="11" max="11" width="16.8515625" style="3" hidden="1" customWidth="1"/>
    <col min="12" max="12" width="14.57421875" style="3" hidden="1" customWidth="1"/>
    <col min="13" max="13" width="14.00390625" style="3" hidden="1" customWidth="1"/>
    <col min="14" max="14" width="9.140625" style="3" customWidth="1"/>
    <col min="15" max="15" width="12.8515625" style="3" bestFit="1" customWidth="1"/>
    <col min="16" max="16384" width="9.140625" style="3" customWidth="1"/>
  </cols>
  <sheetData>
    <row r="1" spans="1:13" ht="12.75" customHeight="1">
      <c r="A1" s="316" t="s">
        <v>6</v>
      </c>
      <c r="B1" s="316"/>
      <c r="C1" s="5">
        <v>1999</v>
      </c>
      <c r="D1" s="5">
        <v>2000</v>
      </c>
      <c r="E1" s="6">
        <v>2001</v>
      </c>
      <c r="F1" s="10">
        <v>2002</v>
      </c>
      <c r="G1" s="10">
        <v>2003</v>
      </c>
      <c r="H1" s="10" t="s">
        <v>7</v>
      </c>
      <c r="I1" s="24">
        <v>2012</v>
      </c>
      <c r="J1" s="10">
        <v>2011</v>
      </c>
      <c r="K1" s="24">
        <v>2010</v>
      </c>
      <c r="L1" s="24">
        <v>2009</v>
      </c>
      <c r="M1" s="24">
        <v>2008</v>
      </c>
    </row>
    <row r="2" spans="1:13" ht="12.75" customHeight="1">
      <c r="A2" s="10" t="s">
        <v>0</v>
      </c>
      <c r="B2" s="28" t="s">
        <v>8</v>
      </c>
      <c r="C2" s="20">
        <v>0</v>
      </c>
      <c r="D2" s="20">
        <v>0</v>
      </c>
      <c r="E2" s="20">
        <v>0</v>
      </c>
      <c r="F2" s="20">
        <v>0</v>
      </c>
      <c r="G2" s="20">
        <v>0</v>
      </c>
      <c r="H2" s="90"/>
      <c r="I2" s="90"/>
      <c r="J2" s="90"/>
      <c r="K2" s="20"/>
      <c r="L2" s="20">
        <v>0</v>
      </c>
      <c r="M2" s="20">
        <v>0</v>
      </c>
    </row>
    <row r="3" spans="1:13" ht="12.75" customHeight="1">
      <c r="A3" s="10">
        <v>1</v>
      </c>
      <c r="B3" s="28" t="s">
        <v>9</v>
      </c>
      <c r="C3" s="20">
        <f>C4+C11+C18</f>
        <v>201263989</v>
      </c>
      <c r="D3" s="20">
        <f>D4+D11+D18</f>
        <v>336682728</v>
      </c>
      <c r="E3" s="20">
        <v>373521787</v>
      </c>
      <c r="F3" s="20">
        <f>F4+F11+F18</f>
        <v>425809640</v>
      </c>
      <c r="G3" s="20">
        <f>G4+G11+G18</f>
        <v>425143477</v>
      </c>
      <c r="H3" s="90">
        <v>2</v>
      </c>
      <c r="I3" s="20">
        <v>1342542.2672</v>
      </c>
      <c r="J3" s="20">
        <v>1313508.19</v>
      </c>
      <c r="K3" s="20">
        <v>121569</v>
      </c>
      <c r="L3" s="20">
        <v>968519.61</v>
      </c>
      <c r="M3" s="20">
        <v>0</v>
      </c>
    </row>
    <row r="4" spans="1:13" ht="12.75" customHeight="1">
      <c r="A4" s="10">
        <v>2</v>
      </c>
      <c r="B4" s="28" t="s">
        <v>10</v>
      </c>
      <c r="C4" s="20">
        <f>C5+C6+C7+C8+C9+C10</f>
        <v>0</v>
      </c>
      <c r="D4" s="20">
        <f>D5+D6+D7+D8+D9+D10</f>
        <v>0</v>
      </c>
      <c r="E4" s="20">
        <v>0</v>
      </c>
      <c r="F4" s="20">
        <f>F5+F6+F7+F8+F9+F10</f>
        <v>0</v>
      </c>
      <c r="G4" s="20">
        <f>G5+G6+G7+G8+G9+G10</f>
        <v>0</v>
      </c>
      <c r="H4" s="90"/>
      <c r="I4" s="90"/>
      <c r="J4" s="90"/>
      <c r="K4" s="20"/>
      <c r="L4" s="20">
        <v>0</v>
      </c>
      <c r="M4" s="20">
        <v>0</v>
      </c>
    </row>
    <row r="5" spans="1:13" ht="12.75" customHeight="1">
      <c r="A5" s="18" t="s">
        <v>11</v>
      </c>
      <c r="B5" s="19" t="s">
        <v>12</v>
      </c>
      <c r="C5" s="20">
        <v>0</v>
      </c>
      <c r="D5" s="20">
        <v>0</v>
      </c>
      <c r="E5" s="20">
        <v>0</v>
      </c>
      <c r="F5" s="20">
        <v>0</v>
      </c>
      <c r="G5" s="20"/>
      <c r="H5" s="90"/>
      <c r="I5" s="90"/>
      <c r="J5" s="90"/>
      <c r="K5" s="25"/>
      <c r="L5" s="25"/>
      <c r="M5" s="25"/>
    </row>
    <row r="6" spans="1:13" ht="12.75" customHeight="1">
      <c r="A6" s="18" t="s">
        <v>13</v>
      </c>
      <c r="B6" s="19" t="s">
        <v>14</v>
      </c>
      <c r="C6" s="20">
        <v>0</v>
      </c>
      <c r="D6" s="20">
        <v>0</v>
      </c>
      <c r="E6" s="20">
        <v>0</v>
      </c>
      <c r="F6" s="20">
        <v>0</v>
      </c>
      <c r="G6" s="20"/>
      <c r="H6" s="90"/>
      <c r="I6" s="90"/>
      <c r="J6" s="90"/>
      <c r="K6" s="25"/>
      <c r="L6" s="25"/>
      <c r="M6" s="25"/>
    </row>
    <row r="7" spans="1:13" s="34" customFormat="1" ht="12.75" customHeight="1">
      <c r="A7" s="10"/>
      <c r="B7" s="28" t="s">
        <v>15</v>
      </c>
      <c r="C7" s="33">
        <v>0</v>
      </c>
      <c r="D7" s="33">
        <v>0</v>
      </c>
      <c r="E7" s="33">
        <v>0</v>
      </c>
      <c r="F7" s="33">
        <v>0</v>
      </c>
      <c r="G7" s="33"/>
      <c r="H7" s="90"/>
      <c r="I7" s="7">
        <f>SUM(I3:I6)</f>
        <v>1342542.2672</v>
      </c>
      <c r="J7" s="7">
        <f>SUM(J3:J6)</f>
        <v>1313508.19</v>
      </c>
      <c r="K7" s="7">
        <f>SUM(K3:K6)</f>
        <v>121569</v>
      </c>
      <c r="L7" s="7">
        <v>968519.61</v>
      </c>
      <c r="M7" s="7">
        <v>0</v>
      </c>
    </row>
    <row r="8" spans="1:13" ht="12.75" customHeight="1">
      <c r="A8" s="10">
        <v>3</v>
      </c>
      <c r="B8" s="28" t="s">
        <v>16</v>
      </c>
      <c r="C8" s="20">
        <v>0</v>
      </c>
      <c r="D8" s="20">
        <v>0</v>
      </c>
      <c r="E8" s="20">
        <v>0</v>
      </c>
      <c r="F8" s="20">
        <v>0</v>
      </c>
      <c r="G8" s="20"/>
      <c r="H8" s="90"/>
      <c r="I8" s="90"/>
      <c r="J8" s="90"/>
      <c r="K8" s="25"/>
      <c r="L8" s="25">
        <v>0</v>
      </c>
      <c r="M8" s="25">
        <v>0</v>
      </c>
    </row>
    <row r="9" spans="1:13" ht="12.75" customHeight="1">
      <c r="A9" s="18" t="s">
        <v>11</v>
      </c>
      <c r="B9" s="19" t="s">
        <v>17</v>
      </c>
      <c r="C9" s="20">
        <v>0</v>
      </c>
      <c r="D9" s="20">
        <v>0</v>
      </c>
      <c r="E9" s="20">
        <v>0</v>
      </c>
      <c r="F9" s="20">
        <v>0</v>
      </c>
      <c r="G9" s="20"/>
      <c r="H9" s="90">
        <v>3</v>
      </c>
      <c r="I9" s="25">
        <f>'Shenime (2)'!F24</f>
        <v>1042279.9180000001</v>
      </c>
      <c r="J9" s="25">
        <v>1024179.79</v>
      </c>
      <c r="K9" s="25">
        <v>135000</v>
      </c>
      <c r="L9" s="25">
        <v>705293.72</v>
      </c>
      <c r="M9" s="25"/>
    </row>
    <row r="10" spans="1:13" ht="12.75" customHeight="1">
      <c r="A10" s="18" t="s">
        <v>13</v>
      </c>
      <c r="B10" s="19" t="s">
        <v>18</v>
      </c>
      <c r="C10" s="20">
        <v>0</v>
      </c>
      <c r="D10" s="20">
        <v>0</v>
      </c>
      <c r="E10" s="20">
        <v>0</v>
      </c>
      <c r="F10" s="20">
        <v>0</v>
      </c>
      <c r="G10" s="20"/>
      <c r="H10" s="90"/>
      <c r="I10" s="25"/>
      <c r="J10" s="25"/>
      <c r="K10" s="25"/>
      <c r="L10" s="25">
        <v>600061.61</v>
      </c>
      <c r="M10" s="25"/>
    </row>
    <row r="11" spans="1:13" ht="12.75" customHeight="1">
      <c r="A11" s="18" t="s">
        <v>19</v>
      </c>
      <c r="B11" s="19" t="s">
        <v>20</v>
      </c>
      <c r="C11" s="20">
        <f>C12+C13+C14+C15+C16+C17</f>
        <v>196835689</v>
      </c>
      <c r="D11" s="20">
        <f>D12+D13+D14+D15+D16+D17</f>
        <v>336682728</v>
      </c>
      <c r="E11" s="20">
        <v>373521787</v>
      </c>
      <c r="F11" s="20">
        <f>F12+F13+F14+F15+F16+F17</f>
        <v>425809640</v>
      </c>
      <c r="G11" s="20">
        <f>G12+G13+G14+G15+G16+G17</f>
        <v>425143477</v>
      </c>
      <c r="H11" s="90"/>
      <c r="I11" s="90"/>
      <c r="J11" s="90"/>
      <c r="K11" s="20"/>
      <c r="L11" s="20"/>
      <c r="M11" s="20"/>
    </row>
    <row r="12" spans="1:13" ht="12.75" customHeight="1">
      <c r="A12" s="18" t="s">
        <v>21</v>
      </c>
      <c r="B12" s="19" t="s">
        <v>22</v>
      </c>
      <c r="C12" s="20">
        <v>45512084</v>
      </c>
      <c r="D12" s="20">
        <v>146103471</v>
      </c>
      <c r="E12" s="20">
        <v>146103471</v>
      </c>
      <c r="F12" s="20">
        <f>145479500+64505971</f>
        <v>209985471</v>
      </c>
      <c r="G12" s="20">
        <f>131693000+64505971</f>
        <v>196198971</v>
      </c>
      <c r="H12" s="90"/>
      <c r="I12" s="90"/>
      <c r="J12" s="90"/>
      <c r="K12" s="25"/>
      <c r="L12" s="25"/>
      <c r="M12" s="25"/>
    </row>
    <row r="13" spans="1:13" s="34" customFormat="1" ht="12.75" customHeight="1">
      <c r="A13" s="10"/>
      <c r="B13" s="28" t="s">
        <v>23</v>
      </c>
      <c r="C13" s="33">
        <v>89808807</v>
      </c>
      <c r="D13" s="33">
        <v>105953520</v>
      </c>
      <c r="E13" s="33">
        <v>205449592</v>
      </c>
      <c r="F13" s="33">
        <f>28805025+180115995+1407360</f>
        <v>210328380</v>
      </c>
      <c r="G13" s="33">
        <f>225855822+1407360</f>
        <v>227263182</v>
      </c>
      <c r="H13" s="90"/>
      <c r="I13" s="7">
        <v>1042279.9180000001</v>
      </c>
      <c r="J13" s="7">
        <f>SUM(J8:J12)</f>
        <v>1024179.79</v>
      </c>
      <c r="K13" s="7">
        <f>SUM(K8:K12)</f>
        <v>135000</v>
      </c>
      <c r="L13" s="7">
        <v>1305355.33</v>
      </c>
      <c r="M13" s="7">
        <v>0</v>
      </c>
    </row>
    <row r="14" spans="1:13" ht="12.75" customHeight="1">
      <c r="A14" s="10">
        <v>4</v>
      </c>
      <c r="B14" s="28" t="s">
        <v>24</v>
      </c>
      <c r="C14" s="20">
        <v>96204577</v>
      </c>
      <c r="D14" s="20">
        <v>162272174</v>
      </c>
      <c r="E14" s="20">
        <v>171204805</v>
      </c>
      <c r="F14" s="20">
        <f>173065760+3267439+1827725+1931387</f>
        <v>180092311</v>
      </c>
      <c r="G14" s="20">
        <f>224460536+3267439+2153882+1931387</f>
        <v>231813244</v>
      </c>
      <c r="H14" s="90"/>
      <c r="I14" s="90"/>
      <c r="J14" s="90"/>
      <c r="K14" s="25"/>
      <c r="L14" s="25"/>
      <c r="M14" s="25"/>
    </row>
    <row r="15" spans="1:13" ht="12.75" customHeight="1">
      <c r="A15" s="18" t="s">
        <v>11</v>
      </c>
      <c r="B15" s="19" t="s">
        <v>26</v>
      </c>
      <c r="C15" s="20">
        <v>4708078</v>
      </c>
      <c r="D15" s="20">
        <v>0</v>
      </c>
      <c r="E15" s="20">
        <v>0</v>
      </c>
      <c r="F15" s="20">
        <v>0</v>
      </c>
      <c r="G15" s="20">
        <f>88319137-88319137</f>
        <v>0</v>
      </c>
      <c r="H15" s="90"/>
      <c r="I15" s="90"/>
      <c r="J15" s="90"/>
      <c r="K15" s="25"/>
      <c r="L15" s="25"/>
      <c r="M15" s="25"/>
    </row>
    <row r="16" spans="1:13" ht="12.75" customHeight="1">
      <c r="A16" s="18" t="s">
        <v>13</v>
      </c>
      <c r="B16" s="19" t="s">
        <v>27</v>
      </c>
      <c r="C16" s="20">
        <v>-39397857</v>
      </c>
      <c r="D16" s="20">
        <v>-77646437</v>
      </c>
      <c r="E16" s="20">
        <v>-149236081</v>
      </c>
      <c r="F16" s="20">
        <f>-(6290169+89418873+75833866+3053614)</f>
        <v>-174596522</v>
      </c>
      <c r="G16" s="20">
        <f>-(9515468+115044258+101669438+3902756)</f>
        <v>-230131920</v>
      </c>
      <c r="H16" s="90"/>
      <c r="I16" s="90"/>
      <c r="J16" s="90"/>
      <c r="K16" s="25"/>
      <c r="L16" s="25"/>
      <c r="M16" s="25"/>
    </row>
    <row r="17" spans="1:16" ht="12.75" customHeight="1">
      <c r="A17" s="18" t="s">
        <v>19</v>
      </c>
      <c r="B17" s="19" t="s">
        <v>28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90"/>
      <c r="I17" s="90"/>
      <c r="J17" s="90"/>
      <c r="K17" s="25"/>
      <c r="L17" s="25"/>
      <c r="M17" s="25"/>
      <c r="P17" s="12"/>
    </row>
    <row r="18" spans="1:13" ht="12.75" customHeight="1">
      <c r="A18" s="18" t="s">
        <v>21</v>
      </c>
      <c r="B18" s="19" t="s">
        <v>29</v>
      </c>
      <c r="C18" s="20">
        <f>SUM(C19:C22)</f>
        <v>4428300</v>
      </c>
      <c r="D18" s="20">
        <f>SUM(D19:D22)</f>
        <v>0</v>
      </c>
      <c r="E18" s="20">
        <v>0</v>
      </c>
      <c r="F18" s="20">
        <f>SUM(F19:F22)</f>
        <v>0</v>
      </c>
      <c r="G18" s="20">
        <f>SUM(G19:G22)</f>
        <v>0</v>
      </c>
      <c r="H18" s="90"/>
      <c r="I18" s="90"/>
      <c r="J18" s="90"/>
      <c r="K18" s="20"/>
      <c r="L18" s="20"/>
      <c r="M18" s="20"/>
    </row>
    <row r="19" spans="1:16" ht="12.75" customHeight="1">
      <c r="A19" s="18" t="s">
        <v>25</v>
      </c>
      <c r="B19" s="19" t="s">
        <v>30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90"/>
      <c r="I19" s="90"/>
      <c r="J19" s="90"/>
      <c r="K19" s="25"/>
      <c r="L19" s="25">
        <v>0</v>
      </c>
      <c r="M19" s="25">
        <v>0</v>
      </c>
      <c r="P19" s="12"/>
    </row>
    <row r="20" spans="1:16" s="34" customFormat="1" ht="12.75" customHeight="1">
      <c r="A20" s="10"/>
      <c r="B20" s="28" t="s">
        <v>31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90"/>
      <c r="I20" s="290">
        <f>SUM(I15:I19)</f>
        <v>0</v>
      </c>
      <c r="J20" s="290">
        <f>SUM(J15:J19)</f>
        <v>0</v>
      </c>
      <c r="K20" s="290">
        <f>SUM(K15:K19)</f>
        <v>0</v>
      </c>
      <c r="L20" s="7">
        <v>0</v>
      </c>
      <c r="M20" s="7">
        <v>0</v>
      </c>
      <c r="P20" s="3"/>
    </row>
    <row r="21" spans="1:13" ht="12.75" customHeight="1">
      <c r="A21" s="10">
        <v>5</v>
      </c>
      <c r="B21" s="28" t="s">
        <v>32</v>
      </c>
      <c r="C21" s="20">
        <v>4428300</v>
      </c>
      <c r="D21" s="20">
        <v>0</v>
      </c>
      <c r="E21" s="20">
        <v>0</v>
      </c>
      <c r="F21" s="20">
        <v>0</v>
      </c>
      <c r="G21" s="20">
        <v>0</v>
      </c>
      <c r="H21" s="90"/>
      <c r="I21" s="90"/>
      <c r="J21" s="90"/>
      <c r="K21" s="25"/>
      <c r="L21" s="25"/>
      <c r="M21" s="25"/>
    </row>
    <row r="22" spans="1:13" ht="12.75" customHeight="1">
      <c r="A22" s="10">
        <v>6</v>
      </c>
      <c r="B22" s="28" t="s">
        <v>33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90"/>
      <c r="I22" s="90"/>
      <c r="J22" s="90"/>
      <c r="K22" s="25"/>
      <c r="L22" s="25"/>
      <c r="M22" s="25"/>
    </row>
    <row r="23" spans="1:13" ht="12.75" customHeight="1">
      <c r="A23" s="10">
        <v>7</v>
      </c>
      <c r="B23" s="28" t="s">
        <v>34</v>
      </c>
      <c r="C23" s="20">
        <f>C24+C30+C36+C39+C43</f>
        <v>75970003</v>
      </c>
      <c r="D23" s="20">
        <f>D24+D30+D36+D39+D43</f>
        <v>65872862</v>
      </c>
      <c r="E23" s="20">
        <v>91535489.25</v>
      </c>
      <c r="F23" s="20" t="e">
        <f>F24+F30+F36+F39+F43</f>
        <v>#REF!</v>
      </c>
      <c r="G23" s="20" t="e">
        <f>G24+G30+G36+G39+G43</f>
        <v>#REF!</v>
      </c>
      <c r="H23" s="90"/>
      <c r="I23" s="90"/>
      <c r="J23" s="90"/>
      <c r="K23" s="20"/>
      <c r="L23" s="20"/>
      <c r="M23" s="20">
        <v>0</v>
      </c>
    </row>
    <row r="24" spans="1:16" s="34" customFormat="1" ht="12.75" customHeight="1">
      <c r="A24" s="10"/>
      <c r="B24" s="28" t="s">
        <v>134</v>
      </c>
      <c r="C24" s="33">
        <f>SUM(C25:C29)</f>
        <v>7700726</v>
      </c>
      <c r="D24" s="33">
        <f>SUM(D25:D29)</f>
        <v>23542873</v>
      </c>
      <c r="E24" s="33">
        <v>47861579</v>
      </c>
      <c r="F24" s="33">
        <f>SUM(F25:F29)</f>
        <v>41253384</v>
      </c>
      <c r="G24" s="33">
        <f>SUM(G25:G29)</f>
        <v>50444295</v>
      </c>
      <c r="H24" s="90"/>
      <c r="I24" s="33">
        <f>I7+I13+I20</f>
        <v>2384822.1852</v>
      </c>
      <c r="J24" s="33">
        <f>J7+J13+J20</f>
        <v>2337687.98</v>
      </c>
      <c r="K24" s="33">
        <f>K7+K13+K20</f>
        <v>256569</v>
      </c>
      <c r="L24" s="33">
        <v>2273874.94</v>
      </c>
      <c r="M24" s="33">
        <v>0</v>
      </c>
      <c r="P24" s="3"/>
    </row>
    <row r="25" spans="1:13" ht="12.75" customHeight="1">
      <c r="A25" s="10" t="s">
        <v>1</v>
      </c>
      <c r="B25" s="28" t="s">
        <v>35</v>
      </c>
      <c r="C25" s="20">
        <v>7109995</v>
      </c>
      <c r="D25" s="20">
        <v>18559628</v>
      </c>
      <c r="E25" s="20">
        <v>32115465</v>
      </c>
      <c r="F25" s="20">
        <f>4196409+20215562+1434568+890237</f>
        <v>26736776</v>
      </c>
      <c r="G25" s="20">
        <f>8411650+688241+18958901+2788940+3797740</f>
        <v>34645472</v>
      </c>
      <c r="H25" s="90"/>
      <c r="I25" s="90"/>
      <c r="J25" s="90"/>
      <c r="K25" s="25"/>
      <c r="L25" s="25">
        <v>0</v>
      </c>
      <c r="M25" s="25">
        <v>0</v>
      </c>
    </row>
    <row r="26" spans="1:13" ht="12.75" customHeight="1">
      <c r="A26" s="10">
        <v>1</v>
      </c>
      <c r="B26" s="28" t="s">
        <v>36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90"/>
      <c r="I26" s="90"/>
      <c r="J26" s="90"/>
      <c r="K26" s="25"/>
      <c r="L26" s="25">
        <v>0</v>
      </c>
      <c r="M26" s="25">
        <v>0</v>
      </c>
    </row>
    <row r="27" spans="1:13" ht="12.75" customHeight="1">
      <c r="A27" s="18" t="s">
        <v>11</v>
      </c>
      <c r="B27" s="19" t="s">
        <v>37</v>
      </c>
      <c r="C27" s="20">
        <v>0</v>
      </c>
      <c r="D27" s="20">
        <v>4718872</v>
      </c>
      <c r="E27" s="20">
        <v>14544535</v>
      </c>
      <c r="F27" s="20">
        <f>1671310+11279261</f>
        <v>12950571</v>
      </c>
      <c r="G27" s="20">
        <f>7570540+6428196</f>
        <v>13998736</v>
      </c>
      <c r="H27" s="90"/>
      <c r="I27" s="20"/>
      <c r="J27" s="20"/>
      <c r="K27" s="25"/>
      <c r="L27" s="25"/>
      <c r="M27" s="25"/>
    </row>
    <row r="28" spans="1:13" ht="12.75" customHeight="1">
      <c r="A28" s="18" t="s">
        <v>13</v>
      </c>
      <c r="B28" s="19" t="s">
        <v>38</v>
      </c>
      <c r="C28" s="20">
        <v>590731</v>
      </c>
      <c r="D28" s="20">
        <v>264373</v>
      </c>
      <c r="E28" s="20">
        <v>1201579</v>
      </c>
      <c r="F28" s="20">
        <f>693737+872300</f>
        <v>1566037</v>
      </c>
      <c r="G28" s="20">
        <f>929409+870678</f>
        <v>1800087</v>
      </c>
      <c r="H28" s="90"/>
      <c r="I28" s="90"/>
      <c r="J28" s="90"/>
      <c r="K28" s="25"/>
      <c r="L28" s="25"/>
      <c r="M28" s="25"/>
    </row>
    <row r="29" spans="1:13" ht="12.75" customHeight="1">
      <c r="A29" s="18" t="s">
        <v>19</v>
      </c>
      <c r="B29" s="19" t="s">
        <v>39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90"/>
      <c r="I29" s="90"/>
      <c r="J29" s="90"/>
      <c r="K29" s="25"/>
      <c r="L29" s="25"/>
      <c r="M29" s="25"/>
    </row>
    <row r="30" spans="1:13" ht="12.75" customHeight="1">
      <c r="A30" s="18" t="s">
        <v>21</v>
      </c>
      <c r="B30" s="21" t="s">
        <v>40</v>
      </c>
      <c r="C30" s="20">
        <f>SUM(C31:C35)</f>
        <v>61561438</v>
      </c>
      <c r="D30" s="20">
        <f>SUM(D31:D35)</f>
        <v>33568786</v>
      </c>
      <c r="E30" s="20">
        <v>38296642.25</v>
      </c>
      <c r="F30" s="20" t="e">
        <f>SUM(F31:F35)</f>
        <v>#REF!</v>
      </c>
      <c r="G30" s="20" t="e">
        <f>SUM(G31:G35)</f>
        <v>#REF!</v>
      </c>
      <c r="H30" s="90"/>
      <c r="I30" s="90"/>
      <c r="J30" s="90"/>
      <c r="K30" s="20"/>
      <c r="L30" s="20"/>
      <c r="M30" s="20"/>
    </row>
    <row r="31" spans="1:13" ht="12.75" customHeight="1">
      <c r="A31" s="18"/>
      <c r="B31" s="28" t="s">
        <v>41</v>
      </c>
      <c r="C31" s="20">
        <v>27761769</v>
      </c>
      <c r="D31" s="20">
        <v>15679466</v>
      </c>
      <c r="E31" s="20">
        <v>28007796</v>
      </c>
      <c r="F31" s="20">
        <f>43249534-18390838</f>
        <v>24858696</v>
      </c>
      <c r="G31" s="20">
        <v>56700754</v>
      </c>
      <c r="H31" s="90"/>
      <c r="I31" s="33">
        <f>I27</f>
        <v>0</v>
      </c>
      <c r="J31" s="33">
        <f>J27</f>
        <v>0</v>
      </c>
      <c r="K31" s="33">
        <f>K27</f>
        <v>0</v>
      </c>
      <c r="L31" s="25">
        <v>0</v>
      </c>
      <c r="M31" s="25">
        <v>0</v>
      </c>
    </row>
    <row r="32" spans="1:13" ht="12.75" customHeight="1">
      <c r="A32" s="10">
        <v>2</v>
      </c>
      <c r="B32" s="28" t="s">
        <v>42</v>
      </c>
      <c r="C32" s="20">
        <v>0</v>
      </c>
      <c r="D32" s="20">
        <v>12029319</v>
      </c>
      <c r="E32" s="20">
        <v>0</v>
      </c>
      <c r="F32" s="20">
        <v>0</v>
      </c>
      <c r="G32" s="20">
        <v>0</v>
      </c>
      <c r="H32" s="90"/>
      <c r="I32" s="90"/>
      <c r="J32" s="90"/>
      <c r="K32" s="25"/>
      <c r="L32" s="25"/>
      <c r="M32" s="25"/>
    </row>
    <row r="33" spans="1:13" ht="12.75" customHeight="1">
      <c r="A33" s="18" t="s">
        <v>11</v>
      </c>
      <c r="B33" s="19" t="s">
        <v>43</v>
      </c>
      <c r="C33" s="20">
        <v>237000</v>
      </c>
      <c r="D33" s="20">
        <v>730001</v>
      </c>
      <c r="E33" s="20">
        <v>0</v>
      </c>
      <c r="F33" s="20">
        <f>317000</f>
        <v>317000</v>
      </c>
      <c r="G33" s="20">
        <v>0</v>
      </c>
      <c r="H33" s="90"/>
      <c r="I33" s="90"/>
      <c r="J33" s="90"/>
      <c r="K33" s="25"/>
      <c r="L33" s="25"/>
      <c r="M33" s="25"/>
    </row>
    <row r="34" spans="1:13" ht="12.75" customHeight="1">
      <c r="A34" s="18" t="s">
        <v>13</v>
      </c>
      <c r="B34" s="19" t="s">
        <v>5</v>
      </c>
      <c r="C34" s="20">
        <v>33562669</v>
      </c>
      <c r="D34" s="20">
        <v>5130000</v>
      </c>
      <c r="E34" s="20">
        <v>10288846.25</v>
      </c>
      <c r="F34" s="20" t="e">
        <f>17678006-'Te ardhura e shpenzime'!#REF!</f>
        <v>#REF!</v>
      </c>
      <c r="G34" s="20" t="e">
        <f>26487723-718910-'Te ardhura e shpenzime'!#REF!+5130000</f>
        <v>#REF!</v>
      </c>
      <c r="H34" s="90"/>
      <c r="I34" s="90"/>
      <c r="J34" s="90"/>
      <c r="K34" s="25"/>
      <c r="L34" s="25"/>
      <c r="M34" s="25"/>
    </row>
    <row r="35" spans="1:13" ht="12.75" customHeight="1">
      <c r="A35" s="18" t="s">
        <v>19</v>
      </c>
      <c r="B35" s="19" t="s">
        <v>44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90"/>
      <c r="I35" s="25">
        <v>14080499.39</v>
      </c>
      <c r="J35" s="25">
        <v>17600624.312</v>
      </c>
      <c r="K35" s="25">
        <v>22000781</v>
      </c>
      <c r="L35" s="25"/>
      <c r="M35" s="25"/>
    </row>
    <row r="36" spans="1:13" ht="12.75" customHeight="1">
      <c r="A36" s="18" t="s">
        <v>21</v>
      </c>
      <c r="B36" s="19" t="s">
        <v>45</v>
      </c>
      <c r="C36" s="20">
        <f>SUM(C37:C38)</f>
        <v>0</v>
      </c>
      <c r="D36" s="20">
        <f>SUM(D37:D38)</f>
        <v>0</v>
      </c>
      <c r="E36" s="20">
        <v>0</v>
      </c>
      <c r="F36" s="20">
        <f>SUM(F37:F38)</f>
        <v>0</v>
      </c>
      <c r="G36" s="20">
        <v>0</v>
      </c>
      <c r="H36" s="90">
        <v>4</v>
      </c>
      <c r="I36" s="25">
        <v>434680.5</v>
      </c>
      <c r="J36" s="25">
        <v>570938</v>
      </c>
      <c r="K36" s="25">
        <v>750456</v>
      </c>
      <c r="L36" s="25">
        <v>1239154.38</v>
      </c>
      <c r="M36" s="25"/>
    </row>
    <row r="37" spans="1:13" s="34" customFormat="1" ht="12.75" customHeight="1">
      <c r="A37" s="10"/>
      <c r="B37" s="28" t="s">
        <v>15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90"/>
      <c r="I37" s="7">
        <f>I36+I35</f>
        <v>14515179.89</v>
      </c>
      <c r="J37" s="7">
        <f>J36+J35</f>
        <v>18171562.312</v>
      </c>
      <c r="K37" s="7">
        <f>K36+K35</f>
        <v>22751237</v>
      </c>
      <c r="L37" s="7">
        <v>1239154.38</v>
      </c>
      <c r="M37" s="7">
        <v>0</v>
      </c>
    </row>
    <row r="38" spans="1:13" ht="12.75" customHeight="1">
      <c r="A38" s="10">
        <v>3</v>
      </c>
      <c r="B38" s="28" t="s">
        <v>46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90"/>
      <c r="I38" s="90"/>
      <c r="J38" s="90"/>
      <c r="K38" s="25"/>
      <c r="L38" s="25"/>
      <c r="M38" s="25"/>
    </row>
    <row r="39" spans="1:13" ht="12.75" customHeight="1">
      <c r="A39" s="10">
        <v>4</v>
      </c>
      <c r="B39" s="28" t="s">
        <v>47</v>
      </c>
      <c r="C39" s="20">
        <f>SUM(C40:C42)</f>
        <v>6707839</v>
      </c>
      <c r="D39" s="20">
        <f>SUM(D40:D42)</f>
        <v>8761203</v>
      </c>
      <c r="E39" s="20">
        <v>5377268</v>
      </c>
      <c r="F39" s="20">
        <f>SUM(F40:F42)</f>
        <v>13013243</v>
      </c>
      <c r="G39" s="20">
        <f>SUM(G40:G42)</f>
        <v>1313177</v>
      </c>
      <c r="H39" s="91"/>
      <c r="I39" s="24"/>
      <c r="J39" s="24"/>
      <c r="K39" s="20"/>
      <c r="L39" s="20"/>
      <c r="M39" s="20">
        <v>0</v>
      </c>
    </row>
    <row r="40" spans="1:13" ht="12.75" customHeight="1">
      <c r="A40" s="18" t="s">
        <v>11</v>
      </c>
      <c r="B40" s="19" t="s">
        <v>48</v>
      </c>
      <c r="C40" s="20">
        <v>2555535</v>
      </c>
      <c r="D40" s="20">
        <v>1152332</v>
      </c>
      <c r="E40" s="20">
        <v>5053412</v>
      </c>
      <c r="F40" s="20">
        <f>4090529+859568+60696+18682+20198+71188+11962+20515+113315</f>
        <v>5266653</v>
      </c>
      <c r="G40" s="20">
        <f>1299+1759+60696+28211+13318+71188+76941+48487+203390-1616-3370</f>
        <v>500303</v>
      </c>
      <c r="H40" s="90"/>
      <c r="I40" s="90"/>
      <c r="J40" s="90"/>
      <c r="K40" s="25"/>
      <c r="L40" s="25"/>
      <c r="M40" s="25"/>
    </row>
    <row r="41" spans="1:13" ht="12.75" customHeight="1">
      <c r="A41" s="18" t="s">
        <v>13</v>
      </c>
      <c r="B41" s="19" t="s">
        <v>49</v>
      </c>
      <c r="C41" s="20">
        <v>4152304</v>
      </c>
      <c r="D41" s="20">
        <v>7608871</v>
      </c>
      <c r="E41" s="20">
        <v>323856</v>
      </c>
      <c r="F41" s="20">
        <f>7249076+485180+12334</f>
        <v>7746590</v>
      </c>
      <c r="G41" s="20">
        <f>114281+687656+10937</f>
        <v>812874</v>
      </c>
      <c r="H41" s="90"/>
      <c r="I41" s="90"/>
      <c r="J41" s="90"/>
      <c r="K41" s="25"/>
      <c r="L41" s="25"/>
      <c r="M41" s="25"/>
    </row>
    <row r="42" spans="1:13" ht="12.75" customHeight="1">
      <c r="A42" s="18" t="s">
        <v>19</v>
      </c>
      <c r="B42" s="19" t="s">
        <v>50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90"/>
      <c r="I42" s="90"/>
      <c r="J42" s="90"/>
      <c r="K42" s="25"/>
      <c r="L42" s="25"/>
      <c r="M42" s="25"/>
    </row>
    <row r="43" spans="1:13" s="34" customFormat="1" ht="12.75" customHeight="1">
      <c r="A43" s="10"/>
      <c r="B43" s="28" t="s">
        <v>31</v>
      </c>
      <c r="C43" s="33">
        <f>C44</f>
        <v>0</v>
      </c>
      <c r="D43" s="33">
        <f>D44</f>
        <v>0</v>
      </c>
      <c r="E43" s="33">
        <v>0</v>
      </c>
      <c r="F43" s="33">
        <f>F44</f>
        <v>0</v>
      </c>
      <c r="G43" s="33">
        <v>0</v>
      </c>
      <c r="H43" s="90"/>
      <c r="I43" s="90"/>
      <c r="J43" s="90"/>
      <c r="K43" s="7"/>
      <c r="L43" s="7">
        <v>0</v>
      </c>
      <c r="M43" s="7">
        <v>0</v>
      </c>
    </row>
    <row r="44" spans="1:13" s="34" customFormat="1" ht="12.75" customHeight="1">
      <c r="A44" s="10">
        <v>5</v>
      </c>
      <c r="B44" s="28" t="s">
        <v>51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90"/>
      <c r="I44" s="90"/>
      <c r="J44" s="90"/>
      <c r="K44" s="7"/>
      <c r="L44" s="7"/>
      <c r="M44" s="7">
        <v>0</v>
      </c>
    </row>
    <row r="45" spans="1:13" ht="12.75" customHeight="1">
      <c r="A45" s="10">
        <v>6</v>
      </c>
      <c r="B45" s="28" t="s">
        <v>52</v>
      </c>
      <c r="C45" s="20">
        <f>SUM(C46:C48)</f>
        <v>0</v>
      </c>
      <c r="D45" s="20">
        <f>SUM(D46:D48)</f>
        <v>0</v>
      </c>
      <c r="E45" s="20">
        <v>0</v>
      </c>
      <c r="F45" s="20">
        <f>SUM(F46:F48)</f>
        <v>0</v>
      </c>
      <c r="G45" s="20">
        <v>0</v>
      </c>
      <c r="H45" s="90"/>
      <c r="I45" s="90"/>
      <c r="J45" s="90"/>
      <c r="K45" s="25"/>
      <c r="L45" s="25"/>
      <c r="M45" s="25"/>
    </row>
    <row r="46" spans="1:13" s="34" customFormat="1" ht="12.75" customHeight="1">
      <c r="A46" s="10"/>
      <c r="B46" s="28" t="s">
        <v>53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90"/>
      <c r="I46" s="7">
        <f>I37</f>
        <v>14515179.89</v>
      </c>
      <c r="J46" s="7">
        <f>J37</f>
        <v>18171562.312</v>
      </c>
      <c r="K46" s="7">
        <f>K37</f>
        <v>22751237</v>
      </c>
      <c r="L46" s="7">
        <v>1239154.38</v>
      </c>
      <c r="M46" s="7">
        <v>0</v>
      </c>
    </row>
    <row r="47" spans="1:13" s="34" customFormat="1" ht="12.75" customHeight="1">
      <c r="A47" s="10"/>
      <c r="B47" s="28" t="s">
        <v>135</v>
      </c>
      <c r="C47" s="33"/>
      <c r="D47" s="33"/>
      <c r="E47" s="33"/>
      <c r="F47" s="33"/>
      <c r="G47" s="33"/>
      <c r="H47" s="90"/>
      <c r="I47" s="90"/>
      <c r="J47" s="90"/>
      <c r="K47" s="7"/>
      <c r="L47" s="7"/>
      <c r="M47" s="7"/>
    </row>
    <row r="48" spans="1:13" s="34" customFormat="1" ht="12.75" customHeight="1">
      <c r="A48" s="10"/>
      <c r="B48" s="28" t="s">
        <v>54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90"/>
      <c r="I48" s="7">
        <f>I24+I31+I46</f>
        <v>16900002.0752</v>
      </c>
      <c r="J48" s="7">
        <f>J24+J31+J46</f>
        <v>20509250.292</v>
      </c>
      <c r="K48" s="7">
        <f>K24+K31+K46</f>
        <v>23007806</v>
      </c>
      <c r="L48" s="7">
        <v>3513029.32</v>
      </c>
      <c r="M48" s="7">
        <v>0</v>
      </c>
    </row>
    <row r="49" spans="1:13" ht="12.75" customHeight="1">
      <c r="A49" s="9"/>
      <c r="B49" s="9"/>
      <c r="C49" s="17"/>
      <c r="D49" s="17"/>
      <c r="E49" s="17"/>
      <c r="F49" s="17"/>
      <c r="G49" s="17"/>
      <c r="H49" s="17"/>
      <c r="I49" s="17"/>
      <c r="J49" s="17"/>
      <c r="K49" s="17"/>
      <c r="M49" s="13"/>
    </row>
    <row r="50" spans="1:13" ht="12.75" customHeight="1">
      <c r="A50" s="317"/>
      <c r="B50" s="317"/>
      <c r="C50" s="13"/>
      <c r="D50" s="13"/>
      <c r="F50" s="11"/>
      <c r="G50" s="11"/>
      <c r="H50" s="11"/>
      <c r="I50" s="11"/>
      <c r="J50" s="11"/>
      <c r="K50" s="11"/>
      <c r="M50" s="13"/>
    </row>
    <row r="51" spans="1:13" ht="12.75" customHeight="1">
      <c r="A51" s="317"/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13"/>
    </row>
    <row r="52" spans="1:13" ht="12.75" customHeight="1">
      <c r="A52" s="316" t="s">
        <v>127</v>
      </c>
      <c r="B52" s="316"/>
      <c r="C52" s="5">
        <v>1999</v>
      </c>
      <c r="D52" s="5">
        <v>2000</v>
      </c>
      <c r="E52" s="6">
        <v>2001</v>
      </c>
      <c r="F52" s="10">
        <v>2002</v>
      </c>
      <c r="G52" s="10">
        <v>2003</v>
      </c>
      <c r="H52" s="90"/>
      <c r="I52" s="23">
        <v>2012</v>
      </c>
      <c r="J52" s="90">
        <v>2011</v>
      </c>
      <c r="K52" s="23">
        <v>2010</v>
      </c>
      <c r="L52" s="23">
        <v>2009</v>
      </c>
      <c r="M52" s="23">
        <v>2008</v>
      </c>
    </row>
    <row r="53" spans="1:13" ht="12.75" customHeight="1">
      <c r="A53" s="316" t="s">
        <v>55</v>
      </c>
      <c r="B53" s="316"/>
      <c r="C53" s="5"/>
      <c r="D53" s="5"/>
      <c r="E53" s="6"/>
      <c r="F53" s="10"/>
      <c r="G53" s="10"/>
      <c r="H53" s="90"/>
      <c r="I53" s="90"/>
      <c r="J53" s="90"/>
      <c r="K53" s="23"/>
      <c r="L53" s="23"/>
      <c r="M53" s="23"/>
    </row>
    <row r="54" spans="1:13" ht="12.75" customHeight="1">
      <c r="A54" s="10" t="s">
        <v>0</v>
      </c>
      <c r="B54" s="28" t="s">
        <v>56</v>
      </c>
      <c r="C54" s="20">
        <f>C55+C65+C70+C71</f>
        <v>56512963</v>
      </c>
      <c r="D54" s="20">
        <f>D55+D65+D70+D71</f>
        <v>113958327</v>
      </c>
      <c r="E54" s="20">
        <v>215426152.25</v>
      </c>
      <c r="F54" s="20" t="e">
        <f>F55+F65+F70+F71</f>
        <v>#REF!</v>
      </c>
      <c r="G54" s="20" t="e">
        <f>G55+G65+G70+G71</f>
        <v>#REF!</v>
      </c>
      <c r="H54" s="90"/>
      <c r="I54" s="90"/>
      <c r="J54" s="90"/>
      <c r="K54" s="20"/>
      <c r="L54" s="20"/>
      <c r="M54" s="20"/>
    </row>
    <row r="55" spans="1:13" ht="12.75" customHeight="1">
      <c r="A55" s="10">
        <v>1</v>
      </c>
      <c r="B55" s="28" t="s">
        <v>12</v>
      </c>
      <c r="C55" s="20">
        <f>C56+C57+C58+C59+C63+C64</f>
        <v>39609170</v>
      </c>
      <c r="D55" s="20">
        <f>D56+D57+D58+D59+D63+D64</f>
        <v>79162316</v>
      </c>
      <c r="E55" s="20">
        <v>158062086.75</v>
      </c>
      <c r="F55" s="20" t="e">
        <f>F56+F57+F58+F59+F63+F64</f>
        <v>#REF!</v>
      </c>
      <c r="G55" s="20" t="e">
        <f>G56+G57+G58+G59+G63+G64</f>
        <v>#REF!</v>
      </c>
      <c r="H55" s="90"/>
      <c r="I55" s="25"/>
      <c r="J55" s="25"/>
      <c r="K55" s="25"/>
      <c r="L55" s="20"/>
      <c r="M55" s="20"/>
    </row>
    <row r="56" spans="1:13" ht="12.75" customHeight="1">
      <c r="A56" s="10">
        <v>2</v>
      </c>
      <c r="B56" s="28" t="s">
        <v>57</v>
      </c>
      <c r="C56" s="20">
        <v>100000</v>
      </c>
      <c r="D56" s="20">
        <v>100000</v>
      </c>
      <c r="E56" s="20">
        <v>72120000</v>
      </c>
      <c r="F56" s="20">
        <v>72120000</v>
      </c>
      <c r="G56" s="20">
        <v>72120000</v>
      </c>
      <c r="H56" s="90"/>
      <c r="I56" s="25"/>
      <c r="J56" s="25"/>
      <c r="K56" s="25"/>
      <c r="L56" s="25"/>
      <c r="M56" s="25"/>
    </row>
    <row r="57" spans="1:13" ht="12.75" customHeight="1">
      <c r="A57" s="18" t="s">
        <v>11</v>
      </c>
      <c r="B57" s="19" t="s">
        <v>58</v>
      </c>
      <c r="C57" s="20">
        <v>0</v>
      </c>
      <c r="D57" s="20">
        <v>0</v>
      </c>
      <c r="E57" s="20">
        <v>47205564.25</v>
      </c>
      <c r="F57" s="20">
        <v>47205564</v>
      </c>
      <c r="G57" s="20">
        <v>47205564</v>
      </c>
      <c r="H57" s="90">
        <v>9</v>
      </c>
      <c r="I57" s="25">
        <v>4690767.83</v>
      </c>
      <c r="J57" s="25"/>
      <c r="K57" s="25"/>
      <c r="L57" s="25"/>
      <c r="M57" s="25">
        <v>0</v>
      </c>
    </row>
    <row r="58" spans="1:13" ht="12.75" customHeight="1">
      <c r="A58" s="18" t="s">
        <v>13</v>
      </c>
      <c r="B58" s="19" t="s">
        <v>59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90"/>
      <c r="I58" s="25"/>
      <c r="J58" s="25"/>
      <c r="K58" s="25"/>
      <c r="L58" s="25"/>
      <c r="M58" s="25"/>
    </row>
    <row r="59" spans="1:13" ht="12.75" customHeight="1">
      <c r="A59" s="18" t="s">
        <v>19</v>
      </c>
      <c r="B59" s="19" t="s">
        <v>60</v>
      </c>
      <c r="C59" s="20">
        <f>SUM(C60:C62)</f>
        <v>0</v>
      </c>
      <c r="D59" s="20">
        <f>SUM(D60:D62)</f>
        <v>0</v>
      </c>
      <c r="E59" s="20">
        <v>7042316</v>
      </c>
      <c r="F59" s="20">
        <f>SUM(F60:F62)</f>
        <v>7042316</v>
      </c>
      <c r="G59" s="20">
        <f>SUM(G60:G62)</f>
        <v>46364118</v>
      </c>
      <c r="H59" s="90"/>
      <c r="I59" s="90"/>
      <c r="J59" s="90"/>
      <c r="K59" s="20"/>
      <c r="L59" s="20"/>
      <c r="M59" s="20"/>
    </row>
    <row r="60" spans="1:13" s="34" customFormat="1" ht="12.75" customHeight="1">
      <c r="A60" s="10"/>
      <c r="B60" s="28" t="s">
        <v>15</v>
      </c>
      <c r="C60" s="33">
        <v>0</v>
      </c>
      <c r="D60" s="33">
        <v>0</v>
      </c>
      <c r="E60" s="33">
        <v>100000</v>
      </c>
      <c r="F60" s="33">
        <v>100000</v>
      </c>
      <c r="G60" s="33">
        <f>100000+7112000</f>
        <v>7212000</v>
      </c>
      <c r="H60" s="90"/>
      <c r="I60" s="7">
        <f>SUM(I57:I59)</f>
        <v>4690767.83</v>
      </c>
      <c r="J60" s="7">
        <f>SUM(J57:J59)</f>
        <v>0</v>
      </c>
      <c r="K60" s="7">
        <f>SUM(K57:K59)</f>
        <v>0</v>
      </c>
      <c r="L60" s="7">
        <v>0</v>
      </c>
      <c r="M60" s="7">
        <v>0</v>
      </c>
    </row>
    <row r="61" spans="1:13" ht="12.75" customHeight="1">
      <c r="A61" s="10">
        <v>3</v>
      </c>
      <c r="B61" s="28" t="s">
        <v>61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90"/>
      <c r="I61" s="90"/>
      <c r="J61" s="90"/>
      <c r="K61" s="25"/>
      <c r="L61" s="25"/>
      <c r="M61" s="25"/>
    </row>
    <row r="62" spans="1:13" ht="12.75" customHeight="1">
      <c r="A62" s="18" t="s">
        <v>11</v>
      </c>
      <c r="B62" s="21" t="s">
        <v>62</v>
      </c>
      <c r="C62" s="20">
        <v>0</v>
      </c>
      <c r="D62" s="20">
        <v>0</v>
      </c>
      <c r="E62" s="20">
        <v>6942316</v>
      </c>
      <c r="F62" s="20">
        <v>6942316</v>
      </c>
      <c r="G62" s="20">
        <v>39152118</v>
      </c>
      <c r="H62" s="90">
        <v>5</v>
      </c>
      <c r="I62" s="25">
        <v>378649.19</v>
      </c>
      <c r="J62" s="25">
        <v>383429.21</v>
      </c>
      <c r="K62" s="25">
        <v>208084</v>
      </c>
      <c r="L62" s="25">
        <v>190773.62</v>
      </c>
      <c r="M62" s="25"/>
    </row>
    <row r="63" spans="1:13" ht="12.75" customHeight="1">
      <c r="A63" s="18" t="s">
        <v>13</v>
      </c>
      <c r="B63" s="21" t="s">
        <v>63</v>
      </c>
      <c r="C63" s="20">
        <v>8149519</v>
      </c>
      <c r="D63" s="20">
        <v>39509170</v>
      </c>
      <c r="E63" s="20">
        <v>0</v>
      </c>
      <c r="F63" s="20">
        <v>25017223</v>
      </c>
      <c r="G63" s="20">
        <v>0</v>
      </c>
      <c r="H63" s="90"/>
      <c r="I63" s="25">
        <v>2896341</v>
      </c>
      <c r="J63" s="25">
        <v>2450263</v>
      </c>
      <c r="K63" s="25">
        <v>1297379</v>
      </c>
      <c r="L63" s="25"/>
      <c r="M63" s="25"/>
    </row>
    <row r="64" spans="1:13" ht="12.75" customHeight="1">
      <c r="A64" s="18" t="s">
        <v>19</v>
      </c>
      <c r="B64" s="21" t="s">
        <v>64</v>
      </c>
      <c r="C64" s="20">
        <v>31359651</v>
      </c>
      <c r="D64" s="20">
        <v>39553146</v>
      </c>
      <c r="E64" s="20">
        <v>31694206.5</v>
      </c>
      <c r="F64" s="20" t="e">
        <f>'Te ardhura e shpenzime'!#REF!</f>
        <v>#REF!</v>
      </c>
      <c r="G64" s="20" t="e">
        <f>'Te ardhura e shpenzime'!#REF!</f>
        <v>#REF!</v>
      </c>
      <c r="H64" s="90">
        <v>6</v>
      </c>
      <c r="I64" s="25">
        <v>258626.62200000006</v>
      </c>
      <c r="J64" s="25">
        <v>73416.09</v>
      </c>
      <c r="K64" s="25">
        <v>69750</v>
      </c>
      <c r="L64" s="25">
        <v>456964</v>
      </c>
      <c r="M64" s="25"/>
    </row>
    <row r="65" spans="1:13" ht="12.75" customHeight="1">
      <c r="A65" s="18" t="s">
        <v>21</v>
      </c>
      <c r="B65" s="21" t="s">
        <v>3</v>
      </c>
      <c r="C65" s="20">
        <f>SUM(C66:C69)</f>
        <v>0</v>
      </c>
      <c r="D65" s="20">
        <f>SUM(D66:D69)</f>
        <v>0</v>
      </c>
      <c r="E65" s="20">
        <v>0</v>
      </c>
      <c r="F65" s="20">
        <f>SUM(F66:F69)</f>
        <v>0</v>
      </c>
      <c r="G65" s="20">
        <f>SUM(G66:G69)</f>
        <v>0</v>
      </c>
      <c r="H65" s="90">
        <v>7</v>
      </c>
      <c r="I65" s="20">
        <v>803018.06</v>
      </c>
      <c r="J65" s="20">
        <v>2254159.48</v>
      </c>
      <c r="K65" s="20">
        <v>2254159</v>
      </c>
      <c r="L65" s="20">
        <v>4097824.87</v>
      </c>
      <c r="M65" s="20">
        <v>0</v>
      </c>
    </row>
    <row r="66" spans="1:13" ht="12.75" customHeight="1">
      <c r="A66" s="18" t="s">
        <v>25</v>
      </c>
      <c r="B66" s="21" t="s">
        <v>65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90">
        <v>8</v>
      </c>
      <c r="I66" s="20">
        <v>500000</v>
      </c>
      <c r="J66" s="20">
        <v>500000</v>
      </c>
      <c r="K66" s="25"/>
      <c r="L66" s="25">
        <v>0</v>
      </c>
      <c r="M66" s="25">
        <v>0</v>
      </c>
    </row>
    <row r="67" spans="1:13" s="34" customFormat="1" ht="12.75" customHeight="1">
      <c r="A67" s="10"/>
      <c r="B67" s="28" t="s">
        <v>23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90"/>
      <c r="I67" s="7">
        <f>SUM(I61:I66)</f>
        <v>4836634.8719999995</v>
      </c>
      <c r="J67" s="7">
        <f>SUM(J61:J66)</f>
        <v>5661267.779999999</v>
      </c>
      <c r="K67" s="7">
        <f>SUM(K61:K66)</f>
        <v>3829372</v>
      </c>
      <c r="L67" s="7">
        <v>4745562.49</v>
      </c>
      <c r="M67" s="7">
        <v>0</v>
      </c>
    </row>
    <row r="68" spans="1:13" ht="12.75" customHeight="1">
      <c r="A68" s="10">
        <v>4</v>
      </c>
      <c r="B68" s="28" t="s">
        <v>66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90"/>
      <c r="I68" s="90"/>
      <c r="J68" s="90"/>
      <c r="K68" s="25"/>
      <c r="L68" s="25">
        <v>0</v>
      </c>
      <c r="M68" s="25"/>
    </row>
    <row r="69" spans="1:13" ht="12.75" customHeight="1">
      <c r="A69" s="10">
        <v>5</v>
      </c>
      <c r="B69" s="28" t="s">
        <v>67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90"/>
      <c r="I69" s="90"/>
      <c r="J69" s="90"/>
      <c r="K69" s="25"/>
      <c r="L69" s="25"/>
      <c r="M69" s="25"/>
    </row>
    <row r="70" spans="1:13" s="34" customFormat="1" ht="12.75" customHeight="1">
      <c r="A70" s="10"/>
      <c r="B70" s="28" t="s">
        <v>68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90"/>
      <c r="I70" s="7">
        <f>I67+I60</f>
        <v>9527402.702</v>
      </c>
      <c r="J70" s="7">
        <f>J67</f>
        <v>5661267.779999999</v>
      </c>
      <c r="K70" s="7">
        <f>K67</f>
        <v>3829372</v>
      </c>
      <c r="L70" s="7">
        <v>4745562.49</v>
      </c>
      <c r="M70" s="7">
        <v>0</v>
      </c>
    </row>
    <row r="71" spans="1:13" ht="12.75" customHeight="1">
      <c r="A71" s="18"/>
      <c r="B71" s="21"/>
      <c r="C71" s="20">
        <f>SUM(C72:C73)</f>
        <v>16903793</v>
      </c>
      <c r="D71" s="20">
        <f>SUM(D72:D73)</f>
        <v>34796011</v>
      </c>
      <c r="E71" s="20">
        <v>57364065.5</v>
      </c>
      <c r="F71" s="20">
        <f>SUM(F72:F73)</f>
        <v>64041050</v>
      </c>
      <c r="G71" s="20">
        <f>SUM(G72:G73)</f>
        <v>64041050</v>
      </c>
      <c r="H71" s="90"/>
      <c r="I71" s="90"/>
      <c r="J71" s="90"/>
      <c r="K71" s="20"/>
      <c r="L71" s="20"/>
      <c r="M71" s="20"/>
    </row>
    <row r="72" spans="1:13" ht="12.75" customHeight="1">
      <c r="A72" s="10" t="s">
        <v>1</v>
      </c>
      <c r="B72" s="28" t="s">
        <v>69</v>
      </c>
      <c r="C72" s="20">
        <v>16903793</v>
      </c>
      <c r="D72" s="20">
        <v>34796011</v>
      </c>
      <c r="E72" s="20">
        <v>57364065.5</v>
      </c>
      <c r="F72" s="20">
        <v>64041050</v>
      </c>
      <c r="G72" s="20">
        <v>64041050</v>
      </c>
      <c r="H72" s="90"/>
      <c r="I72" s="90"/>
      <c r="J72" s="90"/>
      <c r="K72" s="25"/>
      <c r="L72" s="25"/>
      <c r="M72" s="25"/>
    </row>
    <row r="73" spans="1:13" ht="12.75" customHeight="1">
      <c r="A73" s="10">
        <v>1</v>
      </c>
      <c r="B73" s="28" t="s">
        <v>70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90"/>
      <c r="I73" s="292">
        <f>I74+I75</f>
        <v>5463148.36</v>
      </c>
      <c r="J73" s="292">
        <f>J74+J75</f>
        <v>14344244.64</v>
      </c>
      <c r="K73" s="292">
        <f>K74+K75</f>
        <v>18101714</v>
      </c>
      <c r="L73" s="25"/>
      <c r="M73" s="25">
        <v>0</v>
      </c>
    </row>
    <row r="74" spans="1:13" ht="12.75" customHeight="1">
      <c r="A74" s="18" t="s">
        <v>11</v>
      </c>
      <c r="B74" s="19" t="s">
        <v>71</v>
      </c>
      <c r="C74" s="20">
        <f>C75+C83</f>
        <v>220721029</v>
      </c>
      <c r="D74" s="20">
        <f>D75+D83</f>
        <v>288597263</v>
      </c>
      <c r="E74" s="20">
        <v>249631124</v>
      </c>
      <c r="F74" s="20">
        <f>F75+F83</f>
        <v>288008954</v>
      </c>
      <c r="G74" s="20">
        <f>G75+G83</f>
        <v>293613970</v>
      </c>
      <c r="H74" s="90">
        <v>9</v>
      </c>
      <c r="I74" s="20">
        <v>5463148.36</v>
      </c>
      <c r="J74" s="20">
        <v>14344244.64</v>
      </c>
      <c r="K74" s="20">
        <v>18101714</v>
      </c>
      <c r="L74" s="20"/>
      <c r="M74" s="20"/>
    </row>
    <row r="75" spans="1:13" ht="12.75" customHeight="1">
      <c r="A75" s="18" t="s">
        <v>13</v>
      </c>
      <c r="B75" s="19" t="s">
        <v>72</v>
      </c>
      <c r="C75" s="20">
        <f>SUM(C76:C82)</f>
        <v>84481379</v>
      </c>
      <c r="D75" s="20">
        <f>SUM(D76:D82)</f>
        <v>145032122</v>
      </c>
      <c r="E75" s="20">
        <v>204986429</v>
      </c>
      <c r="F75" s="20">
        <f>SUM(F76:F82)</f>
        <v>218896549</v>
      </c>
      <c r="G75" s="20">
        <f>SUM(G76:G82)</f>
        <v>130802045</v>
      </c>
      <c r="H75" s="90"/>
      <c r="I75" s="90"/>
      <c r="J75" s="90"/>
      <c r="K75" s="20"/>
      <c r="L75" s="20"/>
      <c r="M75" s="20"/>
    </row>
    <row r="76" spans="1:13" s="34" customFormat="1" ht="12.75" customHeight="1">
      <c r="A76" s="10"/>
      <c r="B76" s="28" t="s">
        <v>41</v>
      </c>
      <c r="C76" s="33">
        <v>27813645</v>
      </c>
      <c r="D76" s="33">
        <v>30215728</v>
      </c>
      <c r="E76" s="33">
        <v>51320728</v>
      </c>
      <c r="F76" s="33">
        <f>34925000+20490000</f>
        <v>55415000</v>
      </c>
      <c r="G76" s="33">
        <v>26184347</v>
      </c>
      <c r="H76" s="90"/>
      <c r="I76" s="90"/>
      <c r="J76" s="90"/>
      <c r="K76" s="7">
        <v>0</v>
      </c>
      <c r="L76" s="7">
        <v>0</v>
      </c>
      <c r="M76" s="7">
        <v>0</v>
      </c>
    </row>
    <row r="77" spans="1:13" s="34" customFormat="1" ht="12.75" customHeight="1">
      <c r="A77" s="10">
        <v>2</v>
      </c>
      <c r="B77" s="28" t="s">
        <v>73</v>
      </c>
      <c r="C77" s="33">
        <v>56667734</v>
      </c>
      <c r="D77" s="33">
        <v>114816394</v>
      </c>
      <c r="E77" s="33">
        <v>75318498</v>
      </c>
      <c r="F77" s="33">
        <f>6481212+70848337</f>
        <v>77329549</v>
      </c>
      <c r="G77" s="33">
        <f>56620069+26475469</f>
        <v>83095538</v>
      </c>
      <c r="H77" s="90"/>
      <c r="I77" s="7"/>
      <c r="J77" s="7"/>
      <c r="K77" s="7"/>
      <c r="L77" s="7"/>
      <c r="M77" s="7"/>
    </row>
    <row r="78" spans="1:13" ht="12.75" customHeight="1">
      <c r="A78" s="10">
        <v>3</v>
      </c>
      <c r="B78" s="28" t="s">
        <v>74</v>
      </c>
      <c r="C78" s="20">
        <v>0</v>
      </c>
      <c r="D78" s="20">
        <v>0</v>
      </c>
      <c r="E78" s="20">
        <v>0</v>
      </c>
      <c r="F78" s="20">
        <v>13700000</v>
      </c>
      <c r="G78" s="20">
        <v>0</v>
      </c>
      <c r="H78" s="90"/>
      <c r="I78" s="90"/>
      <c r="J78" s="90"/>
      <c r="K78" s="25"/>
      <c r="L78" s="25"/>
      <c r="M78" s="25"/>
    </row>
    <row r="79" spans="1:13" ht="12.75" customHeight="1">
      <c r="A79" s="10">
        <v>4</v>
      </c>
      <c r="B79" s="28" t="s">
        <v>66</v>
      </c>
      <c r="C79" s="20">
        <v>0</v>
      </c>
      <c r="D79" s="20">
        <v>0</v>
      </c>
      <c r="E79" s="20">
        <v>15801738</v>
      </c>
      <c r="F79" s="20">
        <f>33452000</f>
        <v>33452000</v>
      </c>
      <c r="G79" s="20">
        <f>11522160</f>
        <v>11522160</v>
      </c>
      <c r="H79" s="90"/>
      <c r="I79" s="90"/>
      <c r="J79" s="90"/>
      <c r="K79" s="25"/>
      <c r="L79" s="25"/>
      <c r="M79" s="25"/>
    </row>
    <row r="80" spans="1:13" s="34" customFormat="1" ht="12.75" customHeight="1">
      <c r="A80" s="10"/>
      <c r="B80" s="28" t="s">
        <v>75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90"/>
      <c r="I80" s="7"/>
      <c r="J80" s="7">
        <f>J77</f>
        <v>0</v>
      </c>
      <c r="K80" s="7">
        <f>K77</f>
        <v>0</v>
      </c>
      <c r="L80" s="7">
        <v>0</v>
      </c>
      <c r="M80" s="7">
        <v>0</v>
      </c>
    </row>
    <row r="81" spans="1:13" s="34" customFormat="1" ht="12.75" customHeight="1">
      <c r="A81" s="10"/>
      <c r="B81" s="28" t="s">
        <v>76</v>
      </c>
      <c r="C81" s="33">
        <v>0</v>
      </c>
      <c r="D81" s="33">
        <v>0</v>
      </c>
      <c r="E81" s="33">
        <v>45505465</v>
      </c>
      <c r="F81" s="33">
        <f>54228159+14409416+1954059-31591634</f>
        <v>39000000</v>
      </c>
      <c r="G81" s="33">
        <f>10000000</f>
        <v>10000000</v>
      </c>
      <c r="H81" s="90"/>
      <c r="I81" s="7">
        <f>I70+I77+I73</f>
        <v>14990551.061999999</v>
      </c>
      <c r="J81" s="7">
        <f>J70+J77+J73</f>
        <v>20005512.42</v>
      </c>
      <c r="K81" s="7">
        <f>K70+K77+K73</f>
        <v>21931086</v>
      </c>
      <c r="L81" s="7">
        <v>4745562.49</v>
      </c>
      <c r="M81" s="7">
        <v>0</v>
      </c>
    </row>
    <row r="82" spans="1:13" ht="12.75" customHeight="1">
      <c r="A82" s="18"/>
      <c r="B82" s="19"/>
      <c r="C82" s="20">
        <v>0</v>
      </c>
      <c r="D82" s="20">
        <v>0</v>
      </c>
      <c r="E82" s="20">
        <v>17040000</v>
      </c>
      <c r="F82" s="20">
        <v>0</v>
      </c>
      <c r="G82" s="20">
        <v>0</v>
      </c>
      <c r="H82" s="90"/>
      <c r="I82" s="90"/>
      <c r="J82" s="90"/>
      <c r="K82" s="25"/>
      <c r="L82" s="25"/>
      <c r="M82" s="25"/>
    </row>
    <row r="83" spans="1:13" ht="12.75" customHeight="1">
      <c r="A83" s="10" t="s">
        <v>2</v>
      </c>
      <c r="B83" s="28" t="s">
        <v>77</v>
      </c>
      <c r="C83" s="20">
        <f>SUM(C84:C92)</f>
        <v>136239650</v>
      </c>
      <c r="D83" s="20">
        <f>SUM(D84:D92)</f>
        <v>143565141</v>
      </c>
      <c r="E83" s="20">
        <v>44644695</v>
      </c>
      <c r="F83" s="20">
        <f>SUM(F84:F92)</f>
        <v>69112405</v>
      </c>
      <c r="G83" s="20">
        <f>SUM(G84:G92)</f>
        <v>162811925</v>
      </c>
      <c r="H83" s="90"/>
      <c r="I83" s="90"/>
      <c r="J83" s="90"/>
      <c r="K83" s="20"/>
      <c r="L83" s="20"/>
      <c r="M83" s="20"/>
    </row>
    <row r="84" spans="1:13" ht="27" customHeight="1">
      <c r="A84" s="10">
        <v>1</v>
      </c>
      <c r="B84" s="30" t="s">
        <v>78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90"/>
      <c r="I84" s="90"/>
      <c r="J84" s="90"/>
      <c r="K84" s="25"/>
      <c r="L84" s="25"/>
      <c r="M84" s="25"/>
    </row>
    <row r="85" spans="1:13" ht="28.5" customHeight="1">
      <c r="A85" s="10">
        <v>2</v>
      </c>
      <c r="B85" s="29" t="s">
        <v>79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90"/>
      <c r="I85" s="25"/>
      <c r="J85" s="25"/>
      <c r="K85" s="25"/>
      <c r="L85" s="25"/>
      <c r="M85" s="25"/>
    </row>
    <row r="86" spans="1:13" ht="12.75" customHeight="1">
      <c r="A86" s="10">
        <v>3</v>
      </c>
      <c r="B86" s="19" t="s">
        <v>80</v>
      </c>
      <c r="C86" s="20">
        <v>0</v>
      </c>
      <c r="D86" s="20">
        <v>0</v>
      </c>
      <c r="E86" s="20">
        <v>0</v>
      </c>
      <c r="F86" s="20">
        <v>0</v>
      </c>
      <c r="G86" s="20">
        <f>25502780+4928194</f>
        <v>30430974</v>
      </c>
      <c r="H86" s="90"/>
      <c r="I86" s="25">
        <v>2000000</v>
      </c>
      <c r="J86" s="25">
        <v>2000000</v>
      </c>
      <c r="K86" s="25">
        <v>2000000</v>
      </c>
      <c r="L86" s="25">
        <v>100000</v>
      </c>
      <c r="M86" s="25"/>
    </row>
    <row r="87" spans="1:13" ht="12.75" customHeight="1">
      <c r="A87" s="10">
        <v>4</v>
      </c>
      <c r="B87" s="19" t="s">
        <v>81</v>
      </c>
      <c r="C87" s="20">
        <v>58100520</v>
      </c>
      <c r="D87" s="20">
        <v>29447042</v>
      </c>
      <c r="E87" s="20">
        <v>29596919</v>
      </c>
      <c r="F87" s="20">
        <f>62887782-3249540-21630746</f>
        <v>38007496</v>
      </c>
      <c r="G87" s="20">
        <f>90217943+25640002</f>
        <v>115857945</v>
      </c>
      <c r="H87" s="90"/>
      <c r="I87" s="90"/>
      <c r="J87" s="90"/>
      <c r="K87" s="25"/>
      <c r="L87" s="25"/>
      <c r="M87" s="25"/>
    </row>
    <row r="88" spans="1:13" ht="12.75" customHeight="1">
      <c r="A88" s="10">
        <v>5</v>
      </c>
      <c r="B88" s="19" t="s">
        <v>82</v>
      </c>
      <c r="C88" s="20">
        <v>275448</v>
      </c>
      <c r="D88" s="20">
        <v>604436</v>
      </c>
      <c r="E88" s="20">
        <v>1201616</v>
      </c>
      <c r="F88" s="20">
        <f>1243183+12000</f>
        <v>1255183</v>
      </c>
      <c r="G88" s="20">
        <f>2341575+12000</f>
        <v>2353575</v>
      </c>
      <c r="H88" s="90"/>
      <c r="I88" s="90"/>
      <c r="J88" s="90"/>
      <c r="K88" s="25"/>
      <c r="L88" s="25"/>
      <c r="M88" s="25"/>
    </row>
    <row r="89" spans="1:13" ht="12.75" customHeight="1">
      <c r="A89" s="10">
        <v>6</v>
      </c>
      <c r="B89" s="19" t="s">
        <v>83</v>
      </c>
      <c r="C89" s="20">
        <v>372404</v>
      </c>
      <c r="D89" s="20">
        <v>1338666</v>
      </c>
      <c r="E89" s="20">
        <v>3050222</v>
      </c>
      <c r="F89" s="20">
        <v>2761080</v>
      </c>
      <c r="G89" s="20">
        <v>1981890</v>
      </c>
      <c r="H89" s="90"/>
      <c r="I89" s="90"/>
      <c r="J89" s="90"/>
      <c r="K89" s="25"/>
      <c r="L89" s="25"/>
      <c r="M89" s="25"/>
    </row>
    <row r="90" spans="1:13" ht="12.75" customHeight="1">
      <c r="A90" s="10">
        <v>7</v>
      </c>
      <c r="B90" s="19" t="s">
        <v>84</v>
      </c>
      <c r="C90" s="20">
        <v>207948</v>
      </c>
      <c r="D90" s="20">
        <v>400965</v>
      </c>
      <c r="E90" s="20">
        <v>5487669</v>
      </c>
      <c r="F90" s="20">
        <f>247869+2311200+6085558+80000</f>
        <v>8724627</v>
      </c>
      <c r="G90" s="20">
        <f>407094+2914156+80000+2646755-55000</f>
        <v>5993005</v>
      </c>
      <c r="H90" s="90"/>
      <c r="I90" s="90"/>
      <c r="J90" s="90"/>
      <c r="K90" s="25"/>
      <c r="L90" s="25"/>
      <c r="M90" s="25"/>
    </row>
    <row r="91" spans="1:13" ht="12.75" customHeight="1">
      <c r="A91" s="10">
        <v>8</v>
      </c>
      <c r="B91" s="19" t="s">
        <v>85</v>
      </c>
      <c r="C91" s="20">
        <v>43362116</v>
      </c>
      <c r="D91" s="20">
        <v>76990330</v>
      </c>
      <c r="E91" s="20">
        <v>0</v>
      </c>
      <c r="F91" s="20">
        <f>48346168+3249540-18390838-20412993</f>
        <v>12791877</v>
      </c>
      <c r="G91" s="20">
        <v>0</v>
      </c>
      <c r="H91" s="90"/>
      <c r="I91" s="90"/>
      <c r="J91" s="90"/>
      <c r="K91" s="25"/>
      <c r="L91" s="25"/>
      <c r="M91" s="25"/>
    </row>
    <row r="92" spans="1:13" ht="12.75" customHeight="1">
      <c r="A92" s="10">
        <v>9</v>
      </c>
      <c r="B92" s="19" t="s">
        <v>86</v>
      </c>
      <c r="C92" s="20">
        <v>33921214</v>
      </c>
      <c r="D92" s="20">
        <v>34783702</v>
      </c>
      <c r="E92" s="20">
        <v>5308269</v>
      </c>
      <c r="F92" s="20">
        <f>58800+1513342+4000000</f>
        <v>5572142</v>
      </c>
      <c r="G92" s="20">
        <f>6135736+58800</f>
        <v>6194536</v>
      </c>
      <c r="H92" s="90"/>
      <c r="I92" s="25">
        <v>-1496261.5899999999</v>
      </c>
      <c r="J92" s="25">
        <v>-923281</v>
      </c>
      <c r="K92" s="25"/>
      <c r="L92" s="25">
        <v>1389557.12</v>
      </c>
      <c r="M92" s="25"/>
    </row>
    <row r="93" spans="1:15" ht="12.75" customHeight="1">
      <c r="A93" s="10">
        <v>10</v>
      </c>
      <c r="B93" s="19" t="s">
        <v>87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90"/>
      <c r="I93" s="7">
        <f>'Te ardhura e shpenzime'!D28</f>
        <v>1405713.0580000004</v>
      </c>
      <c r="J93" s="25">
        <v>-572980.59</v>
      </c>
      <c r="K93" s="25">
        <v>-923281</v>
      </c>
      <c r="L93" s="25">
        <v>-2722089.93</v>
      </c>
      <c r="M93" s="25"/>
      <c r="O93" s="130"/>
    </row>
    <row r="94" spans="1:13" s="34" customFormat="1" ht="12.75" customHeight="1">
      <c r="A94" s="10"/>
      <c r="B94" s="28" t="s">
        <v>88</v>
      </c>
      <c r="C94" s="33">
        <f>C95</f>
        <v>0</v>
      </c>
      <c r="D94" s="33">
        <f>D95</f>
        <v>0</v>
      </c>
      <c r="E94" s="33">
        <v>0</v>
      </c>
      <c r="F94" s="33">
        <f>F95</f>
        <v>0</v>
      </c>
      <c r="G94" s="33">
        <v>0</v>
      </c>
      <c r="H94" s="7">
        <f>SUM(H86:H93)</f>
        <v>0</v>
      </c>
      <c r="I94" s="25">
        <f>I86+I92+I93+I85</f>
        <v>1909451.4680000006</v>
      </c>
      <c r="J94" s="25">
        <f>J86+J92+J93+J85</f>
        <v>503738.41000000003</v>
      </c>
      <c r="K94" s="25">
        <f>K86+K92+K93+K85</f>
        <v>1076719</v>
      </c>
      <c r="L94" s="7">
        <v>-1232532.81</v>
      </c>
      <c r="M94" s="7">
        <v>0</v>
      </c>
    </row>
    <row r="95" spans="1:13" ht="12.75" customHeight="1">
      <c r="A95" s="18"/>
      <c r="B95" s="28" t="s">
        <v>135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90"/>
      <c r="I95" s="7"/>
      <c r="J95" s="7"/>
      <c r="K95" s="25"/>
      <c r="L95" s="25"/>
      <c r="M95" s="25">
        <v>0</v>
      </c>
    </row>
    <row r="96" spans="1:13" s="34" customFormat="1" ht="12.75" customHeight="1">
      <c r="A96" s="10"/>
      <c r="B96" s="28" t="s">
        <v>89</v>
      </c>
      <c r="C96" s="33"/>
      <c r="D96" s="33"/>
      <c r="E96" s="28"/>
      <c r="F96" s="28"/>
      <c r="G96" s="33"/>
      <c r="H96" s="90"/>
      <c r="I96" s="7">
        <f>I94+I81</f>
        <v>16900002.53</v>
      </c>
      <c r="J96" s="7">
        <f>J94+J81</f>
        <v>20509250.830000002</v>
      </c>
      <c r="K96" s="7">
        <f>K94+K81</f>
        <v>23007805</v>
      </c>
      <c r="L96" s="7">
        <v>3513029.68</v>
      </c>
      <c r="M96" s="7">
        <v>0</v>
      </c>
    </row>
    <row r="97" spans="3:11" ht="12.75" customHeight="1">
      <c r="C97" s="14"/>
      <c r="F97" s="11"/>
      <c r="G97" s="11"/>
      <c r="H97" s="11"/>
      <c r="I97" s="11"/>
      <c r="J97" s="11"/>
      <c r="K97" s="11"/>
    </row>
    <row r="98" spans="3:12" ht="12.75" customHeight="1">
      <c r="C98" s="15"/>
      <c r="F98" s="11"/>
      <c r="G98" s="11"/>
      <c r="H98" s="11"/>
      <c r="I98" s="267">
        <f>I48-I96</f>
        <v>-0.45480000227689743</v>
      </c>
      <c r="J98" s="267">
        <f>J48-J96</f>
        <v>-0.5380000025033951</v>
      </c>
      <c r="K98" s="120">
        <f>K48-K96</f>
        <v>1</v>
      </c>
      <c r="L98" s="129">
        <v>0.3600000003352761</v>
      </c>
    </row>
    <row r="99" spans="3:11" ht="12.75" customHeight="1">
      <c r="C99" s="14"/>
      <c r="F99" s="11"/>
      <c r="G99" s="11"/>
      <c r="H99" s="11"/>
      <c r="I99" s="11"/>
      <c r="J99" s="11"/>
      <c r="K99" s="11"/>
    </row>
    <row r="100" spans="3:11" ht="12.75" customHeight="1">
      <c r="C100" s="14"/>
      <c r="F100" s="11"/>
      <c r="G100" s="11"/>
      <c r="H100" s="11"/>
      <c r="I100" s="11"/>
      <c r="J100" s="11"/>
      <c r="K100" s="11"/>
    </row>
    <row r="101" spans="3:11" ht="12.75" customHeight="1">
      <c r="C101" s="14"/>
      <c r="F101" s="11"/>
      <c r="G101" s="11"/>
      <c r="H101" s="11"/>
      <c r="I101" s="11"/>
      <c r="J101" s="11"/>
      <c r="K101" s="11"/>
    </row>
    <row r="102" spans="3:11" ht="12.75" customHeight="1">
      <c r="C102" s="14"/>
      <c r="F102" s="11"/>
      <c r="G102" s="11"/>
      <c r="H102" s="11"/>
      <c r="I102" s="11"/>
      <c r="J102" s="11"/>
      <c r="K102" s="11"/>
    </row>
    <row r="103" spans="3:11" ht="12.75" customHeight="1">
      <c r="C103" s="14"/>
      <c r="F103" s="11"/>
      <c r="G103" s="11"/>
      <c r="H103" s="11"/>
      <c r="I103" s="11"/>
      <c r="J103" s="11"/>
      <c r="K103" s="11"/>
    </row>
    <row r="104" spans="3:11" ht="12.75" customHeight="1">
      <c r="C104" s="14"/>
      <c r="F104" s="11"/>
      <c r="G104" s="11"/>
      <c r="H104" s="11"/>
      <c r="I104" s="11"/>
      <c r="J104" s="11"/>
      <c r="K104" s="11"/>
    </row>
    <row r="105" spans="3:11" ht="12.75" customHeight="1">
      <c r="C105" s="14"/>
      <c r="F105" s="11"/>
      <c r="G105" s="11"/>
      <c r="H105" s="11"/>
      <c r="I105" s="11"/>
      <c r="J105" s="11"/>
      <c r="K105" s="11"/>
    </row>
    <row r="106" spans="3:11" ht="11.25">
      <c r="C106" s="14"/>
      <c r="F106" s="11"/>
      <c r="G106" s="11"/>
      <c r="H106" s="11"/>
      <c r="I106" s="11"/>
      <c r="J106" s="11"/>
      <c r="K106" s="11"/>
    </row>
    <row r="107" spans="3:11" ht="11.25">
      <c r="C107" s="14"/>
      <c r="F107" s="11"/>
      <c r="G107" s="11"/>
      <c r="H107" s="11"/>
      <c r="I107" s="11"/>
      <c r="J107" s="11"/>
      <c r="K107" s="11"/>
    </row>
    <row r="108" spans="3:11" ht="11.25">
      <c r="C108" s="14"/>
      <c r="F108" s="11"/>
      <c r="G108" s="11"/>
      <c r="H108" s="11"/>
      <c r="I108" s="11"/>
      <c r="J108" s="11"/>
      <c r="K108" s="11"/>
    </row>
    <row r="109" spans="3:11" ht="11.25">
      <c r="C109" s="14"/>
      <c r="F109" s="11"/>
      <c r="G109" s="11"/>
      <c r="H109" s="11"/>
      <c r="I109" s="11"/>
      <c r="J109" s="11"/>
      <c r="K109" s="11"/>
    </row>
    <row r="110" spans="3:11" ht="11.25">
      <c r="C110" s="14"/>
      <c r="F110" s="11"/>
      <c r="G110" s="11"/>
      <c r="H110" s="11"/>
      <c r="I110" s="11"/>
      <c r="J110" s="11"/>
      <c r="K110" s="11"/>
    </row>
    <row r="111" spans="3:11" ht="11.25">
      <c r="C111" s="14"/>
      <c r="F111" s="11"/>
      <c r="G111" s="11"/>
      <c r="H111" s="11"/>
      <c r="I111" s="11"/>
      <c r="J111" s="11"/>
      <c r="K111" s="11"/>
    </row>
    <row r="112" spans="3:11" ht="11.25">
      <c r="C112" s="14"/>
      <c r="F112" s="11"/>
      <c r="G112" s="11"/>
      <c r="H112" s="11"/>
      <c r="I112" s="11"/>
      <c r="J112" s="11"/>
      <c r="K112" s="11"/>
    </row>
    <row r="113" spans="3:11" ht="11.25">
      <c r="C113" s="14"/>
      <c r="F113" s="11"/>
      <c r="G113" s="11"/>
      <c r="H113" s="11"/>
      <c r="I113" s="11"/>
      <c r="J113" s="11"/>
      <c r="K113" s="11"/>
    </row>
    <row r="114" spans="3:11" ht="11.25">
      <c r="C114" s="14"/>
      <c r="F114" s="11"/>
      <c r="G114" s="11"/>
      <c r="H114" s="11"/>
      <c r="I114" s="11"/>
      <c r="J114" s="11"/>
      <c r="K114" s="11"/>
    </row>
    <row r="115" spans="3:11" ht="11.25">
      <c r="C115" s="14"/>
      <c r="F115" s="11"/>
      <c r="G115" s="11"/>
      <c r="H115" s="11"/>
      <c r="I115" s="11"/>
      <c r="J115" s="11"/>
      <c r="K115" s="11"/>
    </row>
    <row r="116" spans="3:11" ht="11.25">
      <c r="C116" s="14"/>
      <c r="F116" s="11"/>
      <c r="G116" s="11"/>
      <c r="H116" s="11"/>
      <c r="I116" s="11"/>
      <c r="J116" s="11"/>
      <c r="K116" s="11"/>
    </row>
    <row r="117" spans="3:11" ht="11.25">
      <c r="C117" s="16"/>
      <c r="F117" s="11"/>
      <c r="G117" s="11"/>
      <c r="H117" s="11"/>
      <c r="I117" s="11"/>
      <c r="J117" s="11"/>
      <c r="K117" s="11"/>
    </row>
    <row r="118" spans="3:11" ht="11.25">
      <c r="C118" s="14"/>
      <c r="F118" s="11"/>
      <c r="G118" s="11"/>
      <c r="H118" s="11"/>
      <c r="I118" s="11"/>
      <c r="J118" s="11"/>
      <c r="K118" s="11"/>
    </row>
    <row r="119" spans="3:11" ht="11.25">
      <c r="C119" s="14"/>
      <c r="F119" s="11"/>
      <c r="G119" s="11"/>
      <c r="H119" s="11"/>
      <c r="I119" s="11"/>
      <c r="J119" s="11"/>
      <c r="K119" s="11"/>
    </row>
    <row r="120" spans="6:11" ht="11.25">
      <c r="F120" s="11"/>
      <c r="G120" s="11"/>
      <c r="H120" s="11"/>
      <c r="I120" s="11"/>
      <c r="J120" s="11"/>
      <c r="K120" s="11"/>
    </row>
    <row r="121" spans="6:11" ht="11.25">
      <c r="F121" s="11"/>
      <c r="G121" s="11"/>
      <c r="H121" s="11"/>
      <c r="I121" s="11"/>
      <c r="J121" s="11"/>
      <c r="K121" s="11"/>
    </row>
    <row r="122" spans="6:11" ht="11.25">
      <c r="F122" s="11"/>
      <c r="G122" s="11"/>
      <c r="H122" s="11"/>
      <c r="I122" s="11"/>
      <c r="J122" s="11"/>
      <c r="K122" s="11"/>
    </row>
    <row r="123" spans="6:11" ht="11.25">
      <c r="F123" s="11"/>
      <c r="G123" s="11"/>
      <c r="H123" s="11"/>
      <c r="I123" s="11"/>
      <c r="J123" s="11"/>
      <c r="K123" s="11"/>
    </row>
    <row r="124" spans="6:11" ht="11.25">
      <c r="F124" s="11"/>
      <c r="G124" s="11"/>
      <c r="H124" s="11"/>
      <c r="I124" s="11"/>
      <c r="J124" s="11"/>
      <c r="K124" s="11"/>
    </row>
    <row r="125" spans="6:11" ht="11.25">
      <c r="F125" s="11"/>
      <c r="G125" s="11"/>
      <c r="H125" s="11"/>
      <c r="I125" s="11"/>
      <c r="J125" s="11"/>
      <c r="K125" s="11"/>
    </row>
    <row r="126" spans="6:11" ht="11.25">
      <c r="F126" s="11"/>
      <c r="G126" s="11"/>
      <c r="H126" s="11"/>
      <c r="I126" s="11"/>
      <c r="J126" s="11"/>
      <c r="K126" s="11"/>
    </row>
    <row r="127" spans="6:11" ht="11.25">
      <c r="F127" s="11"/>
      <c r="G127" s="11"/>
      <c r="H127" s="11"/>
      <c r="I127" s="11"/>
      <c r="J127" s="11"/>
      <c r="K127" s="11"/>
    </row>
    <row r="128" spans="6:11" ht="11.25">
      <c r="F128" s="11"/>
      <c r="G128" s="11"/>
      <c r="H128" s="11"/>
      <c r="I128" s="11"/>
      <c r="J128" s="11"/>
      <c r="K128" s="11"/>
    </row>
    <row r="129" spans="6:11" ht="11.25">
      <c r="F129" s="11"/>
      <c r="G129" s="11"/>
      <c r="H129" s="11"/>
      <c r="I129" s="11"/>
      <c r="J129" s="11"/>
      <c r="K129" s="11"/>
    </row>
    <row r="130" spans="6:11" ht="11.25">
      <c r="F130" s="11"/>
      <c r="G130" s="11"/>
      <c r="H130" s="11"/>
      <c r="I130" s="11"/>
      <c r="J130" s="11"/>
      <c r="K130" s="11"/>
    </row>
    <row r="131" spans="6:11" ht="11.25">
      <c r="F131" s="11"/>
      <c r="G131" s="11"/>
      <c r="H131" s="11"/>
      <c r="I131" s="11"/>
      <c r="J131" s="11"/>
      <c r="K131" s="11"/>
    </row>
    <row r="132" spans="6:11" ht="11.25">
      <c r="F132" s="11"/>
      <c r="G132" s="11"/>
      <c r="H132" s="11"/>
      <c r="I132" s="11"/>
      <c r="J132" s="11"/>
      <c r="K132" s="11"/>
    </row>
    <row r="133" spans="6:11" ht="11.25">
      <c r="F133" s="11"/>
      <c r="G133" s="11"/>
      <c r="H133" s="11"/>
      <c r="I133" s="11"/>
      <c r="J133" s="11"/>
      <c r="K133" s="11"/>
    </row>
    <row r="134" spans="6:11" ht="11.25">
      <c r="F134" s="11"/>
      <c r="G134" s="11"/>
      <c r="H134" s="11"/>
      <c r="I134" s="11"/>
      <c r="J134" s="11"/>
      <c r="K134" s="11"/>
    </row>
    <row r="135" spans="6:11" ht="11.25">
      <c r="F135" s="11"/>
      <c r="G135" s="11"/>
      <c r="H135" s="11"/>
      <c r="I135" s="11"/>
      <c r="J135" s="11"/>
      <c r="K135" s="11"/>
    </row>
    <row r="136" spans="6:11" ht="11.25">
      <c r="F136" s="11"/>
      <c r="G136" s="11"/>
      <c r="H136" s="11"/>
      <c r="I136" s="11"/>
      <c r="J136" s="11"/>
      <c r="K136" s="11"/>
    </row>
    <row r="137" spans="6:11" ht="11.25">
      <c r="F137" s="11"/>
      <c r="G137" s="11"/>
      <c r="H137" s="11"/>
      <c r="I137" s="11"/>
      <c r="J137" s="11"/>
      <c r="K137" s="11"/>
    </row>
    <row r="138" spans="6:11" ht="11.25">
      <c r="F138" s="11"/>
      <c r="G138" s="11"/>
      <c r="H138" s="11"/>
      <c r="I138" s="11"/>
      <c r="J138" s="11"/>
      <c r="K138" s="11"/>
    </row>
    <row r="139" spans="6:11" ht="11.25">
      <c r="F139" s="11"/>
      <c r="G139" s="11"/>
      <c r="H139" s="11"/>
      <c r="I139" s="11"/>
      <c r="J139" s="11"/>
      <c r="K139" s="11"/>
    </row>
    <row r="140" spans="6:11" ht="11.25">
      <c r="F140" s="11"/>
      <c r="G140" s="11"/>
      <c r="H140" s="11"/>
      <c r="I140" s="11"/>
      <c r="J140" s="11"/>
      <c r="K140" s="11"/>
    </row>
    <row r="141" spans="6:11" ht="11.25">
      <c r="F141" s="11"/>
      <c r="G141" s="11"/>
      <c r="H141" s="11"/>
      <c r="I141" s="11"/>
      <c r="J141" s="11"/>
      <c r="K141" s="11"/>
    </row>
    <row r="142" spans="6:11" ht="11.25">
      <c r="F142" s="11"/>
      <c r="G142" s="11"/>
      <c r="H142" s="11"/>
      <c r="I142" s="11"/>
      <c r="J142" s="11"/>
      <c r="K142" s="11"/>
    </row>
    <row r="143" spans="6:11" ht="11.25">
      <c r="F143" s="11"/>
      <c r="G143" s="11"/>
      <c r="H143" s="11"/>
      <c r="I143" s="11"/>
      <c r="J143" s="11"/>
      <c r="K143" s="11"/>
    </row>
    <row r="144" spans="6:11" ht="11.25">
      <c r="F144" s="11"/>
      <c r="G144" s="11"/>
      <c r="H144" s="11"/>
      <c r="I144" s="11"/>
      <c r="J144" s="11"/>
      <c r="K144" s="11"/>
    </row>
    <row r="145" spans="6:11" ht="11.25">
      <c r="F145" s="11"/>
      <c r="G145" s="11"/>
      <c r="H145" s="11"/>
      <c r="I145" s="11"/>
      <c r="J145" s="11"/>
      <c r="K145" s="11"/>
    </row>
    <row r="146" spans="6:11" ht="11.25">
      <c r="F146" s="11"/>
      <c r="G146" s="11"/>
      <c r="H146" s="11"/>
      <c r="I146" s="11"/>
      <c r="J146" s="11"/>
      <c r="K146" s="11"/>
    </row>
    <row r="147" spans="6:11" ht="11.25">
      <c r="F147" s="11"/>
      <c r="G147" s="11"/>
      <c r="H147" s="11"/>
      <c r="I147" s="11"/>
      <c r="J147" s="11"/>
      <c r="K147" s="11"/>
    </row>
    <row r="148" spans="6:11" ht="11.25">
      <c r="F148" s="11"/>
      <c r="G148" s="11"/>
      <c r="H148" s="11"/>
      <c r="I148" s="11"/>
      <c r="J148" s="11"/>
      <c r="K148" s="11"/>
    </row>
    <row r="149" spans="6:11" ht="11.25">
      <c r="F149" s="11"/>
      <c r="G149" s="11"/>
      <c r="H149" s="11"/>
      <c r="I149" s="11"/>
      <c r="J149" s="11"/>
      <c r="K149" s="11"/>
    </row>
    <row r="150" spans="6:11" ht="11.25">
      <c r="F150" s="11"/>
      <c r="G150" s="11"/>
      <c r="H150" s="11"/>
      <c r="I150" s="11"/>
      <c r="J150" s="11"/>
      <c r="K150" s="11"/>
    </row>
    <row r="151" spans="6:11" ht="11.25">
      <c r="F151" s="11"/>
      <c r="G151" s="11"/>
      <c r="H151" s="11"/>
      <c r="I151" s="11"/>
      <c r="J151" s="11"/>
      <c r="K151" s="11"/>
    </row>
    <row r="152" spans="6:11" ht="11.25">
      <c r="F152" s="11"/>
      <c r="G152" s="11"/>
      <c r="H152" s="11"/>
      <c r="I152" s="11"/>
      <c r="J152" s="11"/>
      <c r="K152" s="11"/>
    </row>
    <row r="153" spans="6:11" ht="11.25">
      <c r="F153" s="11"/>
      <c r="G153" s="11"/>
      <c r="H153" s="11"/>
      <c r="I153" s="11"/>
      <c r="J153" s="11"/>
      <c r="K153" s="11"/>
    </row>
    <row r="154" spans="6:11" ht="11.25">
      <c r="F154" s="11"/>
      <c r="G154" s="11"/>
      <c r="H154" s="11"/>
      <c r="I154" s="11"/>
      <c r="J154" s="11"/>
      <c r="K154" s="11"/>
    </row>
    <row r="155" spans="6:11" ht="11.25">
      <c r="F155" s="11"/>
      <c r="G155" s="11"/>
      <c r="H155" s="11"/>
      <c r="I155" s="11"/>
      <c r="J155" s="11"/>
      <c r="K155" s="11"/>
    </row>
    <row r="156" spans="6:11" ht="11.25">
      <c r="F156" s="11"/>
      <c r="G156" s="11"/>
      <c r="H156" s="11"/>
      <c r="I156" s="11"/>
      <c r="J156" s="11"/>
      <c r="K156" s="11"/>
    </row>
    <row r="157" spans="6:11" ht="11.25">
      <c r="F157" s="11"/>
      <c r="G157" s="11"/>
      <c r="H157" s="11"/>
      <c r="I157" s="11"/>
      <c r="J157" s="11"/>
      <c r="K157" s="11"/>
    </row>
    <row r="158" spans="6:11" ht="11.25">
      <c r="F158" s="11"/>
      <c r="G158" s="11"/>
      <c r="H158" s="11"/>
      <c r="I158" s="11"/>
      <c r="J158" s="11"/>
      <c r="K158" s="11"/>
    </row>
    <row r="159" spans="6:11" ht="11.25">
      <c r="F159" s="11"/>
      <c r="G159" s="11"/>
      <c r="H159" s="11"/>
      <c r="I159" s="11"/>
      <c r="J159" s="11"/>
      <c r="K159" s="11"/>
    </row>
    <row r="160" spans="6:11" ht="11.25">
      <c r="F160" s="11"/>
      <c r="G160" s="11"/>
      <c r="H160" s="11"/>
      <c r="I160" s="11"/>
      <c r="J160" s="11"/>
      <c r="K160" s="11"/>
    </row>
    <row r="161" spans="6:11" ht="11.25">
      <c r="F161" s="11"/>
      <c r="G161" s="11"/>
      <c r="H161" s="11"/>
      <c r="I161" s="11"/>
      <c r="J161" s="11"/>
      <c r="K161" s="11"/>
    </row>
    <row r="162" spans="6:11" ht="11.25">
      <c r="F162" s="11"/>
      <c r="G162" s="11"/>
      <c r="H162" s="11"/>
      <c r="I162" s="11"/>
      <c r="J162" s="11"/>
      <c r="K162" s="11"/>
    </row>
    <row r="163" spans="6:11" ht="11.25">
      <c r="F163" s="11"/>
      <c r="G163" s="11"/>
      <c r="H163" s="11"/>
      <c r="I163" s="11"/>
      <c r="J163" s="11"/>
      <c r="K163" s="11"/>
    </row>
    <row r="164" spans="6:11" ht="11.25">
      <c r="F164" s="11"/>
      <c r="G164" s="11"/>
      <c r="H164" s="11"/>
      <c r="I164" s="11"/>
      <c r="J164" s="11"/>
      <c r="K164" s="11"/>
    </row>
  </sheetData>
  <sheetProtection/>
  <mergeCells count="5">
    <mergeCell ref="A53:B53"/>
    <mergeCell ref="A1:B1"/>
    <mergeCell ref="A52:B52"/>
    <mergeCell ref="A50:B50"/>
    <mergeCell ref="A51:L51"/>
  </mergeCells>
  <printOptions verticalCentered="1"/>
  <pageMargins left="0.48" right="0.143700787" top="1" bottom="0.81" header="0.511811023622047" footer="0.511811023622047"/>
  <pageSetup horizontalDpi="300" verticalDpi="300" orientation="portrait" paperSize="9" scale="110" r:id="rId1"/>
  <headerFooter alignWithMargins="0">
    <oddHeader>&amp;C&amp;"Arial,Bold"&amp;12DynamicSound shpk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3.8515625" style="1" customWidth="1"/>
    <col min="2" max="2" width="42.421875" style="1" customWidth="1"/>
    <col min="3" max="3" width="8.00390625" style="1" customWidth="1"/>
    <col min="4" max="4" width="14.421875" style="1" customWidth="1"/>
    <col min="5" max="5" width="12.57421875" style="1" customWidth="1"/>
    <col min="6" max="6" width="14.8515625" style="1" hidden="1" customWidth="1"/>
    <col min="7" max="7" width="14.8515625" style="119" hidden="1" customWidth="1"/>
    <col min="8" max="8" width="14.00390625" style="1" hidden="1" customWidth="1"/>
    <col min="9" max="9" width="10.7109375" style="1" customWidth="1"/>
    <col min="10" max="10" width="9.8515625" style="1" bestFit="1" customWidth="1"/>
    <col min="11" max="11" width="9.140625" style="1" customWidth="1"/>
    <col min="12" max="12" width="13.57421875" style="102" bestFit="1" customWidth="1"/>
    <col min="13" max="13" width="13.57421875" style="1" bestFit="1" customWidth="1"/>
    <col min="14" max="16384" width="9.140625" style="1" customWidth="1"/>
  </cols>
  <sheetData>
    <row r="1" ht="12.75" customHeight="1"/>
    <row r="2" spans="1:8" ht="12.75" customHeight="1">
      <c r="A2" s="320" t="s">
        <v>113</v>
      </c>
      <c r="B2" s="321"/>
      <c r="C2" s="321"/>
      <c r="D2" s="321"/>
      <c r="E2" s="321"/>
      <c r="F2" s="321"/>
      <c r="G2" s="321"/>
      <c r="H2" s="322"/>
    </row>
    <row r="3" spans="1:8" ht="12.75" customHeight="1">
      <c r="A3" s="323" t="s">
        <v>124</v>
      </c>
      <c r="B3" s="324"/>
      <c r="C3" s="324"/>
      <c r="D3" s="324"/>
      <c r="E3" s="324"/>
      <c r="F3" s="324"/>
      <c r="G3" s="324"/>
      <c r="H3" s="325"/>
    </row>
    <row r="4" spans="1:8" ht="12.75" customHeight="1">
      <c r="A4" s="122"/>
      <c r="B4" s="123"/>
      <c r="C4" s="123"/>
      <c r="D4" s="123"/>
      <c r="E4" s="123"/>
      <c r="F4" s="123"/>
      <c r="G4" s="123"/>
      <c r="H4" s="124"/>
    </row>
    <row r="5" spans="1:11" ht="33.75" customHeight="1">
      <c r="A5" s="318" t="s">
        <v>90</v>
      </c>
      <c r="B5" s="319"/>
      <c r="C5" s="10" t="s">
        <v>7</v>
      </c>
      <c r="D5" s="5" t="s">
        <v>459</v>
      </c>
      <c r="E5" s="5" t="s">
        <v>388</v>
      </c>
      <c r="F5" s="5" t="s">
        <v>211</v>
      </c>
      <c r="G5" s="5" t="s">
        <v>198</v>
      </c>
      <c r="H5" s="8" t="s">
        <v>126</v>
      </c>
      <c r="I5" s="2"/>
      <c r="J5" s="2"/>
      <c r="K5" s="2"/>
    </row>
    <row r="6" spans="1:11" ht="19.5" customHeight="1">
      <c r="A6" s="28">
        <v>1</v>
      </c>
      <c r="B6" s="19" t="s">
        <v>91</v>
      </c>
      <c r="C6" s="90">
        <v>10</v>
      </c>
      <c r="D6" s="20">
        <v>10175725.9</v>
      </c>
      <c r="E6" s="20">
        <v>11147902.44</v>
      </c>
      <c r="F6" s="20">
        <v>4574613</v>
      </c>
      <c r="G6" s="20">
        <v>8172455.36</v>
      </c>
      <c r="H6" s="20"/>
      <c r="I6" s="2"/>
      <c r="J6" s="2"/>
      <c r="K6" s="2"/>
    </row>
    <row r="7" spans="1:11" ht="19.5" customHeight="1">
      <c r="A7" s="28">
        <v>2</v>
      </c>
      <c r="B7" s="19" t="s">
        <v>92</v>
      </c>
      <c r="C7" s="90"/>
      <c r="D7" s="20"/>
      <c r="E7" s="20"/>
      <c r="F7" s="20"/>
      <c r="G7" s="20">
        <v>6100</v>
      </c>
      <c r="H7" s="20"/>
      <c r="I7" s="2"/>
      <c r="J7" s="2"/>
      <c r="K7" s="2"/>
    </row>
    <row r="8" spans="1:11" ht="28.5" customHeight="1">
      <c r="A8" s="28">
        <v>3</v>
      </c>
      <c r="B8" s="29" t="s">
        <v>93</v>
      </c>
      <c r="C8" s="92"/>
      <c r="D8" s="92"/>
      <c r="E8" s="92"/>
      <c r="F8" s="20"/>
      <c r="G8" s="20"/>
      <c r="H8" s="22"/>
      <c r="I8" s="2"/>
      <c r="J8" s="2"/>
      <c r="K8" s="2"/>
    </row>
    <row r="9" spans="1:12" s="56" customFormat="1" ht="28.5" customHeight="1">
      <c r="A9" s="28"/>
      <c r="B9" s="28" t="s">
        <v>123</v>
      </c>
      <c r="C9" s="92"/>
      <c r="D9" s="33">
        <f>SUM(D6:D8)</f>
        <v>10175725.9</v>
      </c>
      <c r="E9" s="33">
        <f>SUM(E6:E8)</f>
        <v>11147902.44</v>
      </c>
      <c r="F9" s="33">
        <f>SUM(F6:F8)</f>
        <v>4574613</v>
      </c>
      <c r="G9" s="33">
        <v>8178555.36</v>
      </c>
      <c r="H9" s="57">
        <v>0</v>
      </c>
      <c r="I9" s="96"/>
      <c r="J9" s="41"/>
      <c r="K9" s="41"/>
      <c r="L9" s="103"/>
    </row>
    <row r="10" spans="1:11" ht="19.5" customHeight="1">
      <c r="A10" s="28">
        <v>4</v>
      </c>
      <c r="B10" s="19" t="s">
        <v>94</v>
      </c>
      <c r="C10" s="90"/>
      <c r="D10" s="90"/>
      <c r="E10" s="90"/>
      <c r="F10" s="20"/>
      <c r="G10" s="20"/>
      <c r="H10" s="22"/>
      <c r="I10" s="40"/>
      <c r="J10" s="2"/>
      <c r="K10" s="2"/>
    </row>
    <row r="11" spans="1:12" s="56" customFormat="1" ht="19.5" customHeight="1">
      <c r="A11" s="28">
        <v>5</v>
      </c>
      <c r="B11" s="31" t="s">
        <v>95</v>
      </c>
      <c r="C11" s="90"/>
      <c r="D11" s="33">
        <f>SUM(D12:D13)</f>
        <v>1842222</v>
      </c>
      <c r="E11" s="33">
        <f>SUM(E12:E13)</f>
        <v>2211421</v>
      </c>
      <c r="F11" s="33">
        <f>SUM(F12:F13)</f>
        <v>2118353</v>
      </c>
      <c r="G11" s="33">
        <v>6288741</v>
      </c>
      <c r="H11" s="33">
        <v>0</v>
      </c>
      <c r="I11" s="40"/>
      <c r="J11" s="41"/>
      <c r="K11" s="41"/>
      <c r="L11" s="103"/>
    </row>
    <row r="12" spans="1:11" ht="19.5" customHeight="1">
      <c r="A12" s="28"/>
      <c r="B12" s="19" t="s">
        <v>96</v>
      </c>
      <c r="C12" s="92"/>
      <c r="D12" s="20">
        <v>1578588</v>
      </c>
      <c r="E12" s="20">
        <v>1894952</v>
      </c>
      <c r="F12" s="20">
        <v>1815200</v>
      </c>
      <c r="G12" s="20">
        <v>5719722</v>
      </c>
      <c r="H12" s="22"/>
      <c r="I12" s="2"/>
      <c r="J12" s="2"/>
      <c r="K12" s="2"/>
    </row>
    <row r="13" spans="1:11" ht="19.5" customHeight="1">
      <c r="A13" s="28"/>
      <c r="B13" s="19" t="s">
        <v>97</v>
      </c>
      <c r="C13" s="92"/>
      <c r="D13" s="20">
        <v>263634</v>
      </c>
      <c r="E13" s="20">
        <v>316469</v>
      </c>
      <c r="F13" s="20">
        <v>303153</v>
      </c>
      <c r="G13" s="20">
        <v>569019</v>
      </c>
      <c r="H13" s="22"/>
      <c r="I13" s="2"/>
      <c r="J13" s="2"/>
      <c r="K13" s="2"/>
    </row>
    <row r="14" spans="1:11" ht="19.5" customHeight="1">
      <c r="A14" s="28">
        <v>6</v>
      </c>
      <c r="B14" s="19" t="s">
        <v>98</v>
      </c>
      <c r="C14" s="92">
        <v>4</v>
      </c>
      <c r="D14" s="20">
        <v>3656382.5</v>
      </c>
      <c r="E14" s="20">
        <v>4579674</v>
      </c>
      <c r="F14" s="20">
        <v>995307</v>
      </c>
      <c r="G14" s="20">
        <v>326225.25</v>
      </c>
      <c r="H14" s="22"/>
      <c r="I14" s="2"/>
      <c r="J14" s="2"/>
      <c r="K14" s="2"/>
    </row>
    <row r="15" spans="1:11" ht="19.5" customHeight="1">
      <c r="A15" s="28">
        <v>7</v>
      </c>
      <c r="B15" s="19" t="s">
        <v>4</v>
      </c>
      <c r="C15" s="90">
        <v>11</v>
      </c>
      <c r="D15" s="20">
        <f>'Shenime (2)'!C79</f>
        <v>1722678.76</v>
      </c>
      <c r="E15" s="20">
        <v>2893187.7</v>
      </c>
      <c r="F15" s="20">
        <v>1437794</v>
      </c>
      <c r="G15" s="20">
        <v>4491853.5600000005</v>
      </c>
      <c r="H15" s="20"/>
      <c r="I15" s="2"/>
      <c r="J15" s="2"/>
      <c r="K15" s="2"/>
    </row>
    <row r="16" spans="1:12" s="56" customFormat="1" ht="19.5" customHeight="1">
      <c r="A16" s="28">
        <v>8</v>
      </c>
      <c r="B16" s="28" t="s">
        <v>99</v>
      </c>
      <c r="C16" s="92"/>
      <c r="D16" s="33">
        <f>D11+D14+D15</f>
        <v>7221283.26</v>
      </c>
      <c r="E16" s="33">
        <f>E11+E14+E15</f>
        <v>9684282.7</v>
      </c>
      <c r="F16" s="33">
        <f>F11+F14+F15</f>
        <v>4551454</v>
      </c>
      <c r="G16" s="33">
        <v>11106819.81</v>
      </c>
      <c r="H16" s="57">
        <v>0</v>
      </c>
      <c r="I16" s="41"/>
      <c r="J16" s="41"/>
      <c r="K16" s="41"/>
      <c r="L16" s="103"/>
    </row>
    <row r="17" spans="1:12" s="56" customFormat="1" ht="19.5" customHeight="1">
      <c r="A17" s="28">
        <v>9</v>
      </c>
      <c r="B17" s="28" t="s">
        <v>100</v>
      </c>
      <c r="C17" s="92"/>
      <c r="D17" s="33">
        <f>D9-D16</f>
        <v>2954442.6400000006</v>
      </c>
      <c r="E17" s="33">
        <f>E9-E16</f>
        <v>1463619.7400000002</v>
      </c>
      <c r="F17" s="33">
        <f>F9-F16</f>
        <v>23159</v>
      </c>
      <c r="G17" s="33">
        <v>-2928264.45</v>
      </c>
      <c r="H17" s="57">
        <v>0</v>
      </c>
      <c r="I17" s="41"/>
      <c r="J17" s="41"/>
      <c r="K17" s="41"/>
      <c r="L17" s="103"/>
    </row>
    <row r="18" spans="1:11" ht="24.75" customHeight="1">
      <c r="A18" s="28">
        <v>10</v>
      </c>
      <c r="B18" s="29" t="s">
        <v>101</v>
      </c>
      <c r="C18" s="92"/>
      <c r="D18" s="92"/>
      <c r="E18" s="92"/>
      <c r="F18" s="20"/>
      <c r="G18" s="20"/>
      <c r="H18" s="22"/>
      <c r="I18" s="2"/>
      <c r="J18" s="2"/>
      <c r="K18" s="2"/>
    </row>
    <row r="19" spans="1:11" ht="26.25" customHeight="1">
      <c r="A19" s="28">
        <v>11</v>
      </c>
      <c r="B19" s="29" t="s">
        <v>102</v>
      </c>
      <c r="C19" s="92"/>
      <c r="D19" s="92"/>
      <c r="E19" s="92"/>
      <c r="F19" s="20"/>
      <c r="G19" s="20"/>
      <c r="H19" s="22"/>
      <c r="I19" s="2"/>
      <c r="J19" s="2"/>
      <c r="K19" s="2"/>
    </row>
    <row r="20" spans="1:11" ht="19.5" customHeight="1">
      <c r="A20" s="28">
        <v>12</v>
      </c>
      <c r="B20" s="29" t="s">
        <v>103</v>
      </c>
      <c r="C20" s="90"/>
      <c r="D20" s="90"/>
      <c r="E20" s="90"/>
      <c r="F20" s="20"/>
      <c r="G20" s="20"/>
      <c r="H20" s="20">
        <v>0</v>
      </c>
      <c r="I20" s="2"/>
      <c r="J20" s="2"/>
      <c r="K20" s="2"/>
    </row>
    <row r="21" spans="1:11" ht="30" customHeight="1">
      <c r="A21" s="28">
        <v>12.1</v>
      </c>
      <c r="B21" s="29" t="s">
        <v>104</v>
      </c>
      <c r="C21" s="93"/>
      <c r="D21" s="93"/>
      <c r="E21" s="93"/>
      <c r="F21" s="20"/>
      <c r="G21" s="20"/>
      <c r="H21" s="22"/>
      <c r="I21" s="2"/>
      <c r="J21" s="2"/>
      <c r="K21" s="2"/>
    </row>
    <row r="22" spans="1:11" ht="19.5" customHeight="1">
      <c r="A22" s="28">
        <v>12.2</v>
      </c>
      <c r="B22" s="29" t="s">
        <v>105</v>
      </c>
      <c r="C22" s="92"/>
      <c r="D22" s="58">
        <v>-1449197.07</v>
      </c>
      <c r="E22" s="58">
        <f>'[2]Sheet1'!$G$4-'[2]Sheet1'!$G$40</f>
        <v>-1934024.4800000002</v>
      </c>
      <c r="F22" s="58">
        <v>-843166</v>
      </c>
      <c r="G22" s="58"/>
      <c r="H22" s="22">
        <v>0</v>
      </c>
      <c r="I22" s="2"/>
      <c r="J22" s="305"/>
      <c r="K22" s="2"/>
    </row>
    <row r="23" spans="1:11" ht="19.5" customHeight="1">
      <c r="A23" s="28">
        <v>12.3</v>
      </c>
      <c r="B23" s="19" t="s">
        <v>106</v>
      </c>
      <c r="C23" s="92"/>
      <c r="D23" s="58">
        <v>-81894.31</v>
      </c>
      <c r="E23" s="58">
        <f>-'[2]Sheet1'!$G$8+'[2]Sheet1'!$G$23</f>
        <v>-102575.84999999999</v>
      </c>
      <c r="F23" s="58">
        <v>-103916</v>
      </c>
      <c r="G23" s="58">
        <v>199626.39</v>
      </c>
      <c r="H23" s="22"/>
      <c r="I23" s="2"/>
      <c r="J23" s="305"/>
      <c r="K23" s="2"/>
    </row>
    <row r="24" spans="1:11" ht="19.5" customHeight="1">
      <c r="A24" s="28">
        <v>12.4</v>
      </c>
      <c r="B24" s="19" t="s">
        <v>107</v>
      </c>
      <c r="C24" s="90"/>
      <c r="D24" s="58">
        <v>204.83</v>
      </c>
      <c r="E24" s="90"/>
      <c r="F24" s="58">
        <v>642</v>
      </c>
      <c r="G24" s="58">
        <v>6548.13</v>
      </c>
      <c r="H24" s="20"/>
      <c r="I24" s="2"/>
      <c r="J24" s="306"/>
      <c r="K24" s="2"/>
    </row>
    <row r="25" spans="1:11" ht="26.25" customHeight="1">
      <c r="A25" s="28">
        <v>13</v>
      </c>
      <c r="B25" s="31" t="s">
        <v>108</v>
      </c>
      <c r="C25" s="92"/>
      <c r="D25" s="92"/>
      <c r="E25" s="92"/>
      <c r="F25" s="58"/>
      <c r="G25" s="58">
        <v>206174.52000000002</v>
      </c>
      <c r="H25" s="22"/>
      <c r="I25" s="2"/>
      <c r="J25" s="2"/>
      <c r="K25" s="2"/>
    </row>
    <row r="26" spans="1:13" s="56" customFormat="1" ht="19.5" customHeight="1">
      <c r="A26" s="28">
        <v>14</v>
      </c>
      <c r="B26" s="28" t="s">
        <v>109</v>
      </c>
      <c r="C26" s="92"/>
      <c r="D26" s="33">
        <f>D17+D22+D23+D24</f>
        <v>1423556.0900000005</v>
      </c>
      <c r="E26" s="33">
        <f>E17+E22+E23+E24</f>
        <v>-572980.59</v>
      </c>
      <c r="F26" s="33">
        <f>F17+F22+F23+F24</f>
        <v>-923281</v>
      </c>
      <c r="G26" s="33">
        <v>-2722089.93</v>
      </c>
      <c r="H26" s="57">
        <v>0</v>
      </c>
      <c r="I26" s="41"/>
      <c r="J26" s="41"/>
      <c r="K26" s="41"/>
      <c r="L26" s="103"/>
      <c r="M26" s="104"/>
    </row>
    <row r="27" spans="1:11" ht="19.5" customHeight="1">
      <c r="A27" s="28">
        <v>15</v>
      </c>
      <c r="B27" s="19" t="s">
        <v>110</v>
      </c>
      <c r="C27" s="92"/>
      <c r="D27" s="20">
        <f>'Shenime (2)'!C89</f>
        <v>17843.032000000076</v>
      </c>
      <c r="E27" s="20"/>
      <c r="F27" s="20">
        <v>0</v>
      </c>
      <c r="G27" s="251"/>
      <c r="H27" s="22"/>
      <c r="I27" s="2"/>
      <c r="J27" s="2"/>
      <c r="K27" s="2"/>
    </row>
    <row r="28" spans="1:13" s="56" customFormat="1" ht="19.5" customHeight="1">
      <c r="A28" s="28">
        <v>16</v>
      </c>
      <c r="B28" s="28" t="s">
        <v>111</v>
      </c>
      <c r="C28" s="92"/>
      <c r="D28" s="33">
        <f>D26-D27</f>
        <v>1405713.0580000004</v>
      </c>
      <c r="E28" s="33">
        <f>E26-E27</f>
        <v>-572980.59</v>
      </c>
      <c r="F28" s="33">
        <f>F26-F27</f>
        <v>-923281</v>
      </c>
      <c r="G28" s="33">
        <v>-2722089.93</v>
      </c>
      <c r="H28" s="57">
        <v>0</v>
      </c>
      <c r="I28" s="41"/>
      <c r="J28" s="41"/>
      <c r="K28" s="41"/>
      <c r="L28" s="103"/>
      <c r="M28" s="105"/>
    </row>
    <row r="29" spans="1:11" ht="19.5" customHeight="1">
      <c r="A29" s="28">
        <v>17</v>
      </c>
      <c r="B29" s="19" t="s">
        <v>112</v>
      </c>
      <c r="C29" s="92"/>
      <c r="D29" s="92"/>
      <c r="E29" s="92"/>
      <c r="F29" s="20"/>
      <c r="G29" s="20"/>
      <c r="H29" s="22"/>
      <c r="I29" s="2"/>
      <c r="J29" s="2"/>
      <c r="K29" s="2"/>
    </row>
    <row r="30" spans="1:11" ht="12.75" customHeight="1">
      <c r="A30" s="3"/>
      <c r="B30" s="3"/>
      <c r="C30" s="4"/>
      <c r="D30" s="4"/>
      <c r="E30" s="4"/>
      <c r="F30" s="4"/>
      <c r="G30" s="120"/>
      <c r="H30" s="26"/>
      <c r="I30" s="2"/>
      <c r="J30" s="2"/>
      <c r="K30" s="2"/>
    </row>
    <row r="31" spans="1:11" ht="12.75" customHeight="1">
      <c r="A31" s="3"/>
      <c r="B31" s="3"/>
      <c r="C31" s="4"/>
      <c r="D31" s="4"/>
      <c r="E31" s="4"/>
      <c r="F31" s="4"/>
      <c r="G31" s="120"/>
      <c r="H31" s="27"/>
      <c r="I31" s="2"/>
      <c r="J31" s="2"/>
      <c r="K31" s="2"/>
    </row>
    <row r="32" spans="4:7" ht="12.75">
      <c r="D32" s="102"/>
      <c r="G32" s="121"/>
    </row>
    <row r="33" ht="12.75">
      <c r="G33" s="121"/>
    </row>
  </sheetData>
  <sheetProtection/>
  <mergeCells count="3">
    <mergeCell ref="A5:B5"/>
    <mergeCell ref="A2:H2"/>
    <mergeCell ref="A3:H3"/>
  </mergeCells>
  <printOptions horizontalCentered="1" verticalCentered="1"/>
  <pageMargins left="0.24" right="0.143700787" top="0.73" bottom="0.57" header="0.27" footer="0.34"/>
  <pageSetup horizontalDpi="300" verticalDpi="300" orientation="portrait" paperSize="9" scale="115" r:id="rId1"/>
  <headerFooter alignWithMargins="0">
    <oddHeader>&amp;C&amp;"Arial,Bold"&amp;14DynamicSound shpk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3.7109375" style="36" customWidth="1"/>
    <col min="2" max="2" width="2.8515625" style="36" customWidth="1"/>
    <col min="3" max="3" width="3.57421875" style="36" customWidth="1"/>
    <col min="4" max="4" width="44.421875" style="37" customWidth="1"/>
    <col min="5" max="5" width="6.140625" style="37" customWidth="1"/>
    <col min="6" max="6" width="12.57421875" style="37" customWidth="1"/>
    <col min="7" max="7" width="12.8515625" style="37" customWidth="1"/>
    <col min="8" max="8" width="17.00390625" style="37" hidden="1" customWidth="1"/>
    <col min="9" max="9" width="14.7109375" style="38" hidden="1" customWidth="1"/>
    <col min="10" max="10" width="14.57421875" style="38" hidden="1" customWidth="1"/>
    <col min="11" max="11" width="9.140625" style="37" customWidth="1"/>
    <col min="12" max="12" width="12.8515625" style="37" bestFit="1" customWidth="1"/>
    <col min="13" max="13" width="10.28125" style="37" bestFit="1" customWidth="1"/>
    <col min="14" max="16384" width="9.140625" style="37" customWidth="1"/>
  </cols>
  <sheetData>
    <row r="1" spans="1:10" s="35" customFormat="1" ht="18" customHeight="1">
      <c r="A1" s="333" t="s">
        <v>181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s="35" customFormat="1" ht="15.75" customHeight="1">
      <c r="A2" s="330" t="s">
        <v>136</v>
      </c>
      <c r="B2" s="328" t="s">
        <v>137</v>
      </c>
      <c r="C2" s="328"/>
      <c r="D2" s="328"/>
      <c r="E2" s="64"/>
      <c r="F2" s="65" t="s">
        <v>138</v>
      </c>
      <c r="G2" s="65" t="s">
        <v>138</v>
      </c>
      <c r="H2" s="65" t="s">
        <v>138</v>
      </c>
      <c r="I2" s="65" t="s">
        <v>138</v>
      </c>
      <c r="J2" s="65" t="s">
        <v>138</v>
      </c>
    </row>
    <row r="3" spans="1:10" s="35" customFormat="1" ht="15.75" customHeight="1">
      <c r="A3" s="330"/>
      <c r="B3" s="328"/>
      <c r="C3" s="328"/>
      <c r="D3" s="328"/>
      <c r="E3" s="64"/>
      <c r="F3" s="66" t="s">
        <v>484</v>
      </c>
      <c r="G3" s="66" t="s">
        <v>387</v>
      </c>
      <c r="H3" s="66" t="s">
        <v>212</v>
      </c>
      <c r="I3" s="66" t="s">
        <v>200</v>
      </c>
      <c r="J3" s="66" t="s">
        <v>201</v>
      </c>
    </row>
    <row r="4" spans="1:10" s="35" customFormat="1" ht="18.75" customHeight="1">
      <c r="A4" s="63"/>
      <c r="B4" s="67" t="s">
        <v>139</v>
      </c>
      <c r="C4" s="67"/>
      <c r="D4" s="67"/>
      <c r="E4" s="67"/>
      <c r="F4" s="67"/>
      <c r="G4" s="131"/>
      <c r="H4" s="131"/>
      <c r="I4" s="71"/>
      <c r="J4" s="68"/>
    </row>
    <row r="5" spans="1:10" s="35" customFormat="1" ht="16.5" customHeight="1">
      <c r="A5" s="63"/>
      <c r="B5" s="67"/>
      <c r="C5" s="69" t="s">
        <v>140</v>
      </c>
      <c r="D5" s="69"/>
      <c r="E5" s="69"/>
      <c r="F5" s="71">
        <f>'Te ardhura e shpenzime'!D26</f>
        <v>1423556.0900000005</v>
      </c>
      <c r="G5" s="71">
        <f>'Te ardhura e shpenzime'!E28</f>
        <v>-572980.59</v>
      </c>
      <c r="H5" s="71">
        <f>'Te ardhura e shpenzime'!F26</f>
        <v>-923281</v>
      </c>
      <c r="I5" s="71">
        <v>-2722089.93</v>
      </c>
      <c r="J5" s="68"/>
    </row>
    <row r="6" spans="1:10" s="35" customFormat="1" ht="19.5" customHeight="1">
      <c r="A6" s="63"/>
      <c r="B6" s="67"/>
      <c r="C6" s="69" t="s">
        <v>141</v>
      </c>
      <c r="D6" s="69"/>
      <c r="E6" s="69"/>
      <c r="F6" s="69"/>
      <c r="G6" s="87"/>
      <c r="H6" s="87"/>
      <c r="I6" s="71"/>
      <c r="J6" s="68"/>
    </row>
    <row r="7" spans="1:10" s="35" customFormat="1" ht="19.5" customHeight="1">
      <c r="A7" s="63"/>
      <c r="B7" s="67"/>
      <c r="C7" s="67"/>
      <c r="D7" s="70" t="s">
        <v>142</v>
      </c>
      <c r="E7" s="70"/>
      <c r="F7" s="132">
        <f>'Te ardhura e shpenzime'!D14</f>
        <v>3656382.5</v>
      </c>
      <c r="G7" s="132">
        <f>'Te ardhura e shpenzime'!E14</f>
        <v>4579674</v>
      </c>
      <c r="H7" s="132">
        <f>'Te ardhura e shpenzime'!F14</f>
        <v>995307</v>
      </c>
      <c r="I7" s="125">
        <v>326225.25</v>
      </c>
      <c r="J7" s="68"/>
    </row>
    <row r="8" spans="1:10" s="35" customFormat="1" ht="19.5" customHeight="1">
      <c r="A8" s="63"/>
      <c r="B8" s="67"/>
      <c r="C8" s="67"/>
      <c r="D8" s="70" t="s">
        <v>143</v>
      </c>
      <c r="E8" s="70"/>
      <c r="F8" s="70"/>
      <c r="G8" s="132"/>
      <c r="H8" s="132"/>
      <c r="I8" s="71">
        <v>0</v>
      </c>
      <c r="J8" s="71"/>
    </row>
    <row r="9" spans="1:10" s="35" customFormat="1" ht="19.5" customHeight="1">
      <c r="A9" s="63"/>
      <c r="B9" s="67"/>
      <c r="C9" s="67"/>
      <c r="D9" s="70" t="s">
        <v>144</v>
      </c>
      <c r="E9" s="70"/>
      <c r="F9" s="70"/>
      <c r="G9" s="132"/>
      <c r="H9" s="132"/>
      <c r="I9" s="71">
        <v>0</v>
      </c>
      <c r="J9" s="71"/>
    </row>
    <row r="10" spans="1:10" s="35" customFormat="1" ht="19.5" customHeight="1">
      <c r="A10" s="63"/>
      <c r="B10" s="67"/>
      <c r="C10" s="67"/>
      <c r="D10" s="70" t="s">
        <v>145</v>
      </c>
      <c r="E10" s="117"/>
      <c r="F10" s="117"/>
      <c r="G10" s="133"/>
      <c r="H10" s="133"/>
      <c r="I10" s="71"/>
      <c r="J10" s="71"/>
    </row>
    <row r="11" spans="1:10" s="39" customFormat="1" ht="19.5" customHeight="1">
      <c r="A11" s="330"/>
      <c r="B11" s="328"/>
      <c r="C11" s="69" t="s">
        <v>146</v>
      </c>
      <c r="D11" s="116"/>
      <c r="E11" s="330"/>
      <c r="F11" s="332">
        <f>'Aktivet e detajuara'!J13-'Aktivet e detajuara'!I13</f>
        <v>-18100.128000000026</v>
      </c>
      <c r="G11" s="332">
        <f>'Aktivet e detajuara'!K13-'Aktivet e detajuara'!J13</f>
        <v>-889179.79</v>
      </c>
      <c r="H11" s="334">
        <f>67950-135000</f>
        <v>-67050</v>
      </c>
      <c r="I11" s="332">
        <v>600464.6699999999</v>
      </c>
      <c r="J11" s="329"/>
    </row>
    <row r="12" spans="1:13" s="39" customFormat="1" ht="19.5" customHeight="1">
      <c r="A12" s="330"/>
      <c r="B12" s="328"/>
      <c r="C12" s="69" t="s">
        <v>147</v>
      </c>
      <c r="D12" s="116"/>
      <c r="E12" s="330"/>
      <c r="F12" s="332"/>
      <c r="G12" s="332"/>
      <c r="H12" s="335"/>
      <c r="I12" s="332"/>
      <c r="J12" s="329"/>
      <c r="L12" s="60"/>
      <c r="M12" s="59"/>
    </row>
    <row r="13" spans="1:10" s="35" customFormat="1" ht="19.5" customHeight="1">
      <c r="A13" s="63"/>
      <c r="B13" s="67"/>
      <c r="C13" s="69" t="s">
        <v>148</v>
      </c>
      <c r="D13" s="69"/>
      <c r="E13" s="118"/>
      <c r="F13" s="118"/>
      <c r="G13" s="134">
        <v>0</v>
      </c>
      <c r="H13" s="134">
        <v>0</v>
      </c>
      <c r="I13" s="71">
        <v>0</v>
      </c>
      <c r="J13" s="68"/>
    </row>
    <row r="14" spans="1:10" s="35" customFormat="1" ht="19.5" customHeight="1">
      <c r="A14" s="63"/>
      <c r="B14" s="67"/>
      <c r="C14" s="69" t="s">
        <v>164</v>
      </c>
      <c r="D14" s="69"/>
      <c r="E14" s="69"/>
      <c r="F14" s="69"/>
      <c r="G14" s="87">
        <f>+'Aktivet e detajuara'!K23-'Aktivet e detajuara'!J23</f>
        <v>0</v>
      </c>
      <c r="H14" s="87">
        <v>0</v>
      </c>
      <c r="I14" s="71">
        <v>0</v>
      </c>
      <c r="J14" s="71"/>
    </row>
    <row r="15" spans="1:10" s="35" customFormat="1" ht="19.5" customHeight="1">
      <c r="A15" s="330"/>
      <c r="B15" s="328"/>
      <c r="C15" s="69" t="s">
        <v>149</v>
      </c>
      <c r="D15" s="69"/>
      <c r="E15" s="326"/>
      <c r="F15" s="331">
        <f>'Aktivet e detajuara'!I70-'Aktivet e detajuara'!J70+'Aktivet e detajuara'!I73-'Aktivet e detajuara'!J73</f>
        <v>-5014961.357999999</v>
      </c>
      <c r="G15" s="331">
        <f>'Aktivet e detajuara'!J67-'Aktivet e detajuara'!K67+'Aktivet e detajuara'!J73-'Aktivet e detajuara'!K73</f>
        <v>-1925573.58</v>
      </c>
      <c r="H15" s="331">
        <f>3829373-9578089</f>
        <v>-5748716</v>
      </c>
      <c r="I15" s="331">
        <v>-1388207.5699999998</v>
      </c>
      <c r="J15" s="329"/>
    </row>
    <row r="16" spans="1:10" s="35" customFormat="1" ht="19.5" customHeight="1">
      <c r="A16" s="330"/>
      <c r="B16" s="328"/>
      <c r="C16" s="69" t="s">
        <v>150</v>
      </c>
      <c r="D16" s="69"/>
      <c r="E16" s="327"/>
      <c r="F16" s="331"/>
      <c r="G16" s="331"/>
      <c r="H16" s="331"/>
      <c r="I16" s="331"/>
      <c r="J16" s="329"/>
    </row>
    <row r="17" spans="1:13" s="35" customFormat="1" ht="19.5" customHeight="1">
      <c r="A17" s="63"/>
      <c r="B17" s="67"/>
      <c r="C17" s="67" t="s">
        <v>151</v>
      </c>
      <c r="D17" s="67"/>
      <c r="E17" s="67"/>
      <c r="F17" s="97">
        <f>SUM(F4:F16)</f>
        <v>46877.104000002146</v>
      </c>
      <c r="G17" s="97">
        <f>SUM(G4:G16)</f>
        <v>1191940.04</v>
      </c>
      <c r="H17" s="97">
        <f>SUM(H4:H16)</f>
        <v>-5743740</v>
      </c>
      <c r="I17" s="97">
        <v>-3183607.58</v>
      </c>
      <c r="J17" s="97"/>
      <c r="M17" s="100"/>
    </row>
    <row r="18" spans="1:10" s="35" customFormat="1" ht="19.5" customHeight="1">
      <c r="A18" s="63"/>
      <c r="B18" s="67"/>
      <c r="C18" s="69" t="s">
        <v>152</v>
      </c>
      <c r="D18" s="69"/>
      <c r="E18" s="69"/>
      <c r="F18" s="69"/>
      <c r="G18" s="87"/>
      <c r="H18" s="87"/>
      <c r="I18" s="71"/>
      <c r="J18" s="71"/>
    </row>
    <row r="19" spans="1:10" s="35" customFormat="1" ht="19.5" customHeight="1">
      <c r="A19" s="63"/>
      <c r="B19" s="67"/>
      <c r="C19" s="69" t="s">
        <v>153</v>
      </c>
      <c r="D19" s="69"/>
      <c r="E19" s="69"/>
      <c r="F19" s="87">
        <f>-'Shenime (2)'!C89</f>
        <v>-17843.032000000076</v>
      </c>
      <c r="G19" s="87"/>
      <c r="H19" s="87"/>
      <c r="I19" s="125"/>
      <c r="J19" s="73"/>
    </row>
    <row r="20" spans="1:10" s="35" customFormat="1" ht="19.5" customHeight="1">
      <c r="A20" s="63"/>
      <c r="B20" s="67"/>
      <c r="C20" s="74" t="s">
        <v>154</v>
      </c>
      <c r="D20" s="67"/>
      <c r="E20" s="67"/>
      <c r="F20" s="98">
        <f>F17+F19</f>
        <v>29034.07200000207</v>
      </c>
      <c r="G20" s="98">
        <f>G17+G19</f>
        <v>1191940.04</v>
      </c>
      <c r="H20" s="98">
        <f>H17+H19</f>
        <v>-5743740</v>
      </c>
      <c r="I20" s="98">
        <v>-3183607.58</v>
      </c>
      <c r="J20" s="98"/>
    </row>
    <row r="21" spans="1:10" s="35" customFormat="1" ht="24.75" customHeight="1">
      <c r="A21" s="63"/>
      <c r="B21" s="67" t="s">
        <v>114</v>
      </c>
      <c r="C21" s="67"/>
      <c r="D21" s="69"/>
      <c r="E21" s="69"/>
      <c r="F21" s="69"/>
      <c r="G21" s="87"/>
      <c r="H21" s="87"/>
      <c r="I21" s="71"/>
      <c r="J21" s="68"/>
    </row>
    <row r="22" spans="1:10" s="35" customFormat="1" ht="19.5" customHeight="1">
      <c r="A22" s="63"/>
      <c r="B22" s="67"/>
      <c r="C22" s="69" t="s">
        <v>155</v>
      </c>
      <c r="D22" s="69"/>
      <c r="E22" s="69"/>
      <c r="F22" s="69"/>
      <c r="G22" s="87"/>
      <c r="H22" s="87"/>
      <c r="I22" s="71">
        <v>0</v>
      </c>
      <c r="J22" s="68"/>
    </row>
    <row r="23" spans="1:10" s="35" customFormat="1" ht="19.5" customHeight="1">
      <c r="A23" s="63"/>
      <c r="B23" s="67"/>
      <c r="C23" s="69" t="s">
        <v>156</v>
      </c>
      <c r="D23" s="69"/>
      <c r="E23" s="69"/>
      <c r="F23" s="87">
        <v>0</v>
      </c>
      <c r="G23" s="87">
        <f>-'Shenime (2)'!D31</f>
        <v>0</v>
      </c>
      <c r="H23" s="87">
        <v>-22759428.37</v>
      </c>
      <c r="I23" s="125">
        <v>-452453.5</v>
      </c>
      <c r="J23" s="68"/>
    </row>
    <row r="24" spans="1:10" s="35" customFormat="1" ht="19.5" customHeight="1">
      <c r="A24" s="63"/>
      <c r="B24" s="75"/>
      <c r="C24" s="69" t="s">
        <v>157</v>
      </c>
      <c r="D24" s="69"/>
      <c r="E24" s="69"/>
      <c r="F24" s="69"/>
      <c r="G24" s="87"/>
      <c r="H24" s="87"/>
      <c r="I24" s="71">
        <v>0</v>
      </c>
      <c r="J24" s="68"/>
    </row>
    <row r="25" spans="1:10" s="35" customFormat="1" ht="19.5" customHeight="1">
      <c r="A25" s="63"/>
      <c r="B25" s="63"/>
      <c r="C25" s="69" t="s">
        <v>158</v>
      </c>
      <c r="D25" s="69"/>
      <c r="E25" s="69"/>
      <c r="F25" s="69"/>
      <c r="G25" s="87"/>
      <c r="H25" s="87"/>
      <c r="I25" s="71">
        <v>0</v>
      </c>
      <c r="J25" s="68"/>
    </row>
    <row r="26" spans="1:10" s="35" customFormat="1" ht="19.5" customHeight="1">
      <c r="A26" s="63"/>
      <c r="B26" s="63"/>
      <c r="C26" s="69" t="s">
        <v>115</v>
      </c>
      <c r="D26" s="69"/>
      <c r="E26" s="69"/>
      <c r="F26" s="69"/>
      <c r="G26" s="87"/>
      <c r="H26" s="87"/>
      <c r="I26" s="71">
        <v>0</v>
      </c>
      <c r="J26" s="68"/>
    </row>
    <row r="27" spans="1:10" s="35" customFormat="1" ht="19.5" customHeight="1">
      <c r="A27" s="63"/>
      <c r="B27" s="63"/>
      <c r="C27" s="76" t="s">
        <v>159</v>
      </c>
      <c r="D27" s="69"/>
      <c r="E27" s="69"/>
      <c r="F27" s="97">
        <f>SUM(F22:F26)</f>
        <v>0</v>
      </c>
      <c r="G27" s="97">
        <f>SUM(G22:G26)</f>
        <v>0</v>
      </c>
      <c r="H27" s="97">
        <f>SUM(H22:H26)</f>
        <v>-22759428.37</v>
      </c>
      <c r="I27" s="97">
        <v>-452453.5</v>
      </c>
      <c r="J27" s="72"/>
    </row>
    <row r="28" spans="1:10" s="35" customFormat="1" ht="24.75" customHeight="1">
      <c r="A28" s="63"/>
      <c r="B28" s="67" t="s">
        <v>116</v>
      </c>
      <c r="C28" s="63"/>
      <c r="D28" s="69"/>
      <c r="E28" s="69"/>
      <c r="F28" s="69"/>
      <c r="G28" s="87"/>
      <c r="H28" s="87"/>
      <c r="I28" s="71"/>
      <c r="J28" s="68"/>
    </row>
    <row r="29" spans="1:10" s="35" customFormat="1" ht="19.5" customHeight="1">
      <c r="A29" s="63"/>
      <c r="B29" s="63"/>
      <c r="C29" s="69" t="s">
        <v>160</v>
      </c>
      <c r="D29" s="69"/>
      <c r="E29" s="69"/>
      <c r="F29" s="69"/>
      <c r="G29" s="87"/>
      <c r="H29" s="87"/>
      <c r="I29" s="71">
        <v>0</v>
      </c>
      <c r="J29" s="68"/>
    </row>
    <row r="30" spans="1:10" s="35" customFormat="1" ht="19.5" customHeight="1">
      <c r="A30" s="63"/>
      <c r="B30" s="63"/>
      <c r="C30" s="69" t="s">
        <v>165</v>
      </c>
      <c r="D30" s="69"/>
      <c r="E30" s="69"/>
      <c r="F30" s="69"/>
      <c r="G30" s="87">
        <f>'Aktivet e detajuara'!J85-'Aktivet e detajuara'!K85</f>
        <v>0</v>
      </c>
      <c r="H30" s="87"/>
      <c r="I30" s="71">
        <v>0</v>
      </c>
      <c r="J30" s="68"/>
    </row>
    <row r="31" spans="1:12" s="35" customFormat="1" ht="19.5" customHeight="1">
      <c r="A31" s="63"/>
      <c r="B31" s="63"/>
      <c r="C31" s="69" t="s">
        <v>117</v>
      </c>
      <c r="D31" s="69"/>
      <c r="E31" s="69"/>
      <c r="F31" s="69"/>
      <c r="G31" s="87">
        <f>'Aktivet e detajuara'!J77-'Aktivet e detajuara'!K77</f>
        <v>0</v>
      </c>
      <c r="H31" s="87">
        <v>27656218</v>
      </c>
      <c r="I31" s="71">
        <v>0</v>
      </c>
      <c r="J31" s="68"/>
      <c r="L31" s="294"/>
    </row>
    <row r="32" spans="1:10" s="35" customFormat="1" ht="19.5" customHeight="1">
      <c r="A32" s="63"/>
      <c r="B32" s="63"/>
      <c r="C32" s="69" t="s">
        <v>161</v>
      </c>
      <c r="D32" s="69"/>
      <c r="E32" s="69"/>
      <c r="F32" s="69"/>
      <c r="G32" s="87"/>
      <c r="H32" s="87"/>
      <c r="I32" s="71"/>
      <c r="J32" s="71"/>
    </row>
    <row r="33" spans="1:10" s="35" customFormat="1" ht="19.5" customHeight="1">
      <c r="A33" s="63"/>
      <c r="B33" s="63"/>
      <c r="C33" s="69" t="s">
        <v>118</v>
      </c>
      <c r="D33" s="69"/>
      <c r="E33" s="69"/>
      <c r="F33" s="69"/>
      <c r="G33" s="87"/>
      <c r="H33" s="87"/>
      <c r="I33" s="71"/>
      <c r="J33" s="68"/>
    </row>
    <row r="34" spans="1:10" s="35" customFormat="1" ht="19.5" customHeight="1">
      <c r="A34" s="63"/>
      <c r="B34" s="63"/>
      <c r="C34" s="76" t="s">
        <v>162</v>
      </c>
      <c r="D34" s="69"/>
      <c r="E34" s="69"/>
      <c r="F34" s="131">
        <f>SUM(F29:F33)</f>
        <v>0</v>
      </c>
      <c r="G34" s="131">
        <f>SUM(G29:G33)</f>
        <v>0</v>
      </c>
      <c r="H34" s="131">
        <f>SUM(H29:H33)</f>
        <v>27656218</v>
      </c>
      <c r="I34" s="131">
        <v>0</v>
      </c>
      <c r="J34" s="131">
        <v>0</v>
      </c>
    </row>
    <row r="35" spans="1:10" ht="18" customHeight="1">
      <c r="A35" s="77"/>
      <c r="B35" s="67" t="s">
        <v>163</v>
      </c>
      <c r="C35" s="77"/>
      <c r="D35" s="78"/>
      <c r="E35" s="77"/>
      <c r="F35" s="99">
        <f>F20+F27+F34</f>
        <v>29034.07200000207</v>
      </c>
      <c r="G35" s="99">
        <f>G20+G27+G34</f>
        <v>1191940.04</v>
      </c>
      <c r="H35" s="99">
        <f>H20+H27+H34</f>
        <v>-846950.370000001</v>
      </c>
      <c r="I35" s="99">
        <v>-3636061.08</v>
      </c>
      <c r="J35" s="79"/>
    </row>
    <row r="36" spans="1:10" ht="18" customHeight="1">
      <c r="A36" s="77"/>
      <c r="B36" s="67" t="s">
        <v>119</v>
      </c>
      <c r="C36" s="77"/>
      <c r="D36" s="78"/>
      <c r="E36" s="78"/>
      <c r="F36" s="135">
        <f>G37</f>
        <v>1313508.19</v>
      </c>
      <c r="G36" s="135">
        <f>H37</f>
        <v>121569</v>
      </c>
      <c r="H36" s="135">
        <f>I37</f>
        <v>968519.61</v>
      </c>
      <c r="I36" s="99">
        <v>4604581.09</v>
      </c>
      <c r="J36" s="79"/>
    </row>
    <row r="37" spans="1:10" ht="18" customHeight="1">
      <c r="A37" s="77"/>
      <c r="B37" s="67" t="s">
        <v>120</v>
      </c>
      <c r="C37" s="77"/>
      <c r="D37" s="78"/>
      <c r="E37" s="78"/>
      <c r="F37" s="135">
        <f>'Aktivet e detajuara'!I3</f>
        <v>1342542.2672</v>
      </c>
      <c r="G37" s="135">
        <f>'Aktivet e detajuara'!J3</f>
        <v>1313508.19</v>
      </c>
      <c r="H37" s="135">
        <f>'Aktivet e detajuara'!K3</f>
        <v>121569</v>
      </c>
      <c r="I37" s="99">
        <v>968519.61</v>
      </c>
      <c r="J37" s="79"/>
    </row>
    <row r="40" spans="5:10" ht="12.75">
      <c r="E40" s="101"/>
      <c r="F40" s="101">
        <f>F35+F36-F37</f>
        <v>-0.00519999791868031</v>
      </c>
      <c r="G40" s="101">
        <f>G35+G36-G37</f>
        <v>0.8500000000931323</v>
      </c>
      <c r="H40" s="101">
        <f>H35+H36-H37</f>
        <v>0.23999999894294888</v>
      </c>
      <c r="I40" s="101">
        <v>0.3999999997904524</v>
      </c>
      <c r="J40" s="61">
        <v>0</v>
      </c>
    </row>
  </sheetData>
  <sheetProtection/>
  <mergeCells count="19">
    <mergeCell ref="A1:J1"/>
    <mergeCell ref="B2:D3"/>
    <mergeCell ref="A2:A3"/>
    <mergeCell ref="I11:I12"/>
    <mergeCell ref="J11:J12"/>
    <mergeCell ref="A11:A12"/>
    <mergeCell ref="E11:E12"/>
    <mergeCell ref="H11:H12"/>
    <mergeCell ref="G11:G12"/>
    <mergeCell ref="E15:E16"/>
    <mergeCell ref="B11:B12"/>
    <mergeCell ref="J15:J16"/>
    <mergeCell ref="B15:B16"/>
    <mergeCell ref="A15:A16"/>
    <mergeCell ref="I15:I16"/>
    <mergeCell ref="H15:H16"/>
    <mergeCell ref="G15:G16"/>
    <mergeCell ref="F11:F12"/>
    <mergeCell ref="F15:F16"/>
  </mergeCells>
  <printOptions horizontalCentered="1" verticalCentered="1"/>
  <pageMargins left="0.36" right="0" top="0.75" bottom="0.31" header="0.48" footer="0.22"/>
  <pageSetup horizontalDpi="300" verticalDpi="300" orientation="portrait" paperSize="9" r:id="rId1"/>
  <headerFooter alignWithMargins="0">
    <oddHeader>&amp;C&amp;"Arial,Bold"&amp;12DynamicSound shpk&amp;"Arial,Regular"
</oddHeader>
  </headerFooter>
  <ignoredErrors>
    <ignoredError sqref="G3:H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31" sqref="B31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3.140625" style="0" customWidth="1"/>
    <col min="4" max="4" width="13.00390625" style="0" customWidth="1"/>
    <col min="5" max="5" width="14.00390625" style="0" bestFit="1" customWidth="1"/>
    <col min="6" max="6" width="14.7109375" style="0" customWidth="1"/>
    <col min="7" max="7" width="13.140625" style="0" customWidth="1"/>
    <col min="8" max="8" width="13.7109375" style="0" customWidth="1"/>
    <col min="9" max="9" width="12.140625" style="32" customWidth="1"/>
    <col min="10" max="10" width="2.7109375" style="0" customWidth="1"/>
  </cols>
  <sheetData>
    <row r="1" spans="1:9" ht="25.5" customHeight="1">
      <c r="A1" s="336" t="s">
        <v>182</v>
      </c>
      <c r="B1" s="336"/>
      <c r="C1" s="336"/>
      <c r="D1" s="336"/>
      <c r="E1" s="336"/>
      <c r="F1" s="336"/>
      <c r="G1" s="336"/>
      <c r="H1" s="336"/>
      <c r="I1" s="336"/>
    </row>
    <row r="2" spans="2:8" ht="12.75" customHeight="1">
      <c r="B2" s="80" t="s">
        <v>183</v>
      </c>
      <c r="H2" s="81"/>
    </row>
    <row r="3" spans="1:9" s="84" customFormat="1" ht="30.75" customHeight="1">
      <c r="A3" s="62"/>
      <c r="B3" s="62"/>
      <c r="C3" s="82" t="s">
        <v>80</v>
      </c>
      <c r="D3" s="82" t="s">
        <v>184</v>
      </c>
      <c r="E3" s="82" t="s">
        <v>185</v>
      </c>
      <c r="F3" s="82" t="s">
        <v>186</v>
      </c>
      <c r="G3" s="82" t="s">
        <v>187</v>
      </c>
      <c r="H3" s="82" t="s">
        <v>188</v>
      </c>
      <c r="I3" s="83" t="s">
        <v>189</v>
      </c>
    </row>
    <row r="4" spans="1:9" s="85" customFormat="1" ht="30" customHeight="1" hidden="1">
      <c r="A4" s="64" t="s">
        <v>0</v>
      </c>
      <c r="B4" s="67" t="s">
        <v>125</v>
      </c>
      <c r="C4" s="88"/>
      <c r="D4" s="88"/>
      <c r="E4" s="88"/>
      <c r="F4" s="88"/>
      <c r="G4" s="88"/>
      <c r="H4" s="88"/>
      <c r="I4" s="89">
        <f>SUM(C4:H4)</f>
        <v>0</v>
      </c>
    </row>
    <row r="5" spans="1:9" s="85" customFormat="1" ht="19.5" customHeight="1" hidden="1">
      <c r="A5" s="63">
        <v>1</v>
      </c>
      <c r="B5" s="69" t="s">
        <v>122</v>
      </c>
      <c r="C5" s="88"/>
      <c r="D5" s="88"/>
      <c r="E5" s="88"/>
      <c r="F5" s="88"/>
      <c r="G5" s="88"/>
      <c r="H5" s="88"/>
      <c r="I5" s="89">
        <f aca="true" t="shared" si="0" ref="I5:I15">SUM(C5:H5)</f>
        <v>0</v>
      </c>
    </row>
    <row r="6" spans="1:9" s="85" customFormat="1" ht="19.5" customHeight="1" hidden="1">
      <c r="A6" s="63">
        <v>2</v>
      </c>
      <c r="B6" s="69" t="s">
        <v>121</v>
      </c>
      <c r="C6" s="88"/>
      <c r="D6" s="88"/>
      <c r="E6" s="88"/>
      <c r="F6" s="88"/>
      <c r="G6" s="88"/>
      <c r="H6" s="88"/>
      <c r="I6" s="89">
        <f t="shared" si="0"/>
        <v>0</v>
      </c>
    </row>
    <row r="7" spans="1:9" s="85" customFormat="1" ht="19.5" customHeight="1" hidden="1">
      <c r="A7" s="63">
        <v>3</v>
      </c>
      <c r="B7" s="69" t="s">
        <v>190</v>
      </c>
      <c r="C7" s="88"/>
      <c r="D7" s="88"/>
      <c r="E7" s="88"/>
      <c r="F7" s="88"/>
      <c r="G7" s="88"/>
      <c r="H7" s="88"/>
      <c r="I7" s="89">
        <f t="shared" si="0"/>
        <v>0</v>
      </c>
    </row>
    <row r="8" spans="1:9" s="85" customFormat="1" ht="19.5" customHeight="1" hidden="1">
      <c r="A8" s="63">
        <v>4</v>
      </c>
      <c r="B8" s="69" t="s">
        <v>191</v>
      </c>
      <c r="C8" s="88">
        <v>2000000</v>
      </c>
      <c r="D8" s="88"/>
      <c r="E8" s="88"/>
      <c r="F8" s="88"/>
      <c r="G8" s="88"/>
      <c r="H8" s="88"/>
      <c r="I8" s="89">
        <f t="shared" si="0"/>
        <v>2000000</v>
      </c>
    </row>
    <row r="9" spans="1:9" s="86" customFormat="1" ht="30" customHeight="1">
      <c r="A9" s="64" t="s">
        <v>0</v>
      </c>
      <c r="B9" s="67" t="s">
        <v>197</v>
      </c>
      <c r="C9" s="89">
        <f aca="true" t="shared" si="1" ref="C9:H9">SUM(C5:C8)</f>
        <v>2000000</v>
      </c>
      <c r="D9" s="89">
        <f t="shared" si="1"/>
        <v>0</v>
      </c>
      <c r="E9" s="89">
        <f t="shared" si="1"/>
        <v>0</v>
      </c>
      <c r="F9" s="89">
        <f t="shared" si="1"/>
        <v>0</v>
      </c>
      <c r="G9" s="89">
        <f t="shared" si="1"/>
        <v>0</v>
      </c>
      <c r="H9" s="89">
        <f t="shared" si="1"/>
        <v>0</v>
      </c>
      <c r="I9" s="89">
        <f t="shared" si="0"/>
        <v>2000000</v>
      </c>
    </row>
    <row r="10" spans="1:9" s="85" customFormat="1" ht="19.5" customHeight="1">
      <c r="A10" s="63">
        <v>1</v>
      </c>
      <c r="B10" s="69" t="s">
        <v>122</v>
      </c>
      <c r="C10" s="88"/>
      <c r="D10" s="88"/>
      <c r="E10" s="88"/>
      <c r="F10" s="88"/>
      <c r="G10" s="88"/>
      <c r="H10" s="88">
        <f>'Te ardhura e shpenzime'!F28</f>
        <v>-923281</v>
      </c>
      <c r="I10" s="89">
        <f t="shared" si="0"/>
        <v>-923281</v>
      </c>
    </row>
    <row r="11" spans="1:9" s="85" customFormat="1" ht="19.5" customHeight="1">
      <c r="A11" s="63">
        <v>2</v>
      </c>
      <c r="B11" s="69" t="s">
        <v>121</v>
      </c>
      <c r="C11" s="88"/>
      <c r="D11" s="88"/>
      <c r="E11" s="88"/>
      <c r="F11" s="88"/>
      <c r="G11" s="88"/>
      <c r="H11" s="136"/>
      <c r="I11" s="89">
        <f t="shared" si="0"/>
        <v>0</v>
      </c>
    </row>
    <row r="12" spans="1:9" s="85" customFormat="1" ht="19.5" customHeight="1">
      <c r="A12" s="63">
        <v>3</v>
      </c>
      <c r="B12" s="69" t="s">
        <v>190</v>
      </c>
      <c r="C12" s="88"/>
      <c r="D12" s="88"/>
      <c r="E12" s="88"/>
      <c r="F12" s="88"/>
      <c r="G12" s="88"/>
      <c r="H12" s="88"/>
      <c r="I12" s="89">
        <f t="shared" si="0"/>
        <v>0</v>
      </c>
    </row>
    <row r="13" spans="1:9" s="85" customFormat="1" ht="19.5" customHeight="1">
      <c r="A13" s="63">
        <v>3</v>
      </c>
      <c r="B13" s="69" t="s">
        <v>192</v>
      </c>
      <c r="C13" s="88">
        <v>0</v>
      </c>
      <c r="D13" s="88"/>
      <c r="E13" s="88"/>
      <c r="F13" s="88"/>
      <c r="G13" s="88"/>
      <c r="H13" s="88"/>
      <c r="I13" s="89">
        <f t="shared" si="0"/>
        <v>0</v>
      </c>
    </row>
    <row r="14" spans="1:9" s="85" customFormat="1" ht="19.5" customHeight="1">
      <c r="A14" s="63">
        <v>4</v>
      </c>
      <c r="B14" s="69" t="s">
        <v>193</v>
      </c>
      <c r="C14" s="88"/>
      <c r="D14" s="88"/>
      <c r="E14" s="88"/>
      <c r="F14" s="88"/>
      <c r="G14" s="88"/>
      <c r="H14" s="88"/>
      <c r="I14" s="89">
        <f t="shared" si="0"/>
        <v>0</v>
      </c>
    </row>
    <row r="15" spans="1:9" s="86" customFormat="1" ht="30" customHeight="1">
      <c r="A15" s="64" t="s">
        <v>1</v>
      </c>
      <c r="B15" s="67" t="s">
        <v>213</v>
      </c>
      <c r="C15" s="89">
        <f aca="true" t="shared" si="2" ref="C15:H15">SUM(C9:C14)</f>
        <v>2000000</v>
      </c>
      <c r="D15" s="89">
        <f t="shared" si="2"/>
        <v>0</v>
      </c>
      <c r="E15" s="89">
        <f t="shared" si="2"/>
        <v>0</v>
      </c>
      <c r="F15" s="89">
        <f t="shared" si="2"/>
        <v>0</v>
      </c>
      <c r="G15" s="89">
        <f t="shared" si="2"/>
        <v>0</v>
      </c>
      <c r="H15" s="89">
        <f t="shared" si="2"/>
        <v>-923281</v>
      </c>
      <c r="I15" s="89">
        <f t="shared" si="0"/>
        <v>1076719</v>
      </c>
    </row>
    <row r="16" spans="1:9" s="85" customFormat="1" ht="19.5" customHeight="1">
      <c r="A16" s="63">
        <v>1</v>
      </c>
      <c r="B16" s="69" t="s">
        <v>122</v>
      </c>
      <c r="C16" s="88"/>
      <c r="D16" s="88"/>
      <c r="E16" s="88"/>
      <c r="F16" s="88"/>
      <c r="G16" s="88"/>
      <c r="H16" s="88">
        <f>'Te ardhura e shpenzime'!E28</f>
        <v>-572980.59</v>
      </c>
      <c r="I16" s="89">
        <f aca="true" t="shared" si="3" ref="I16:I21">SUM(C16:H16)</f>
        <v>-572980.59</v>
      </c>
    </row>
    <row r="17" spans="1:9" s="85" customFormat="1" ht="19.5" customHeight="1">
      <c r="A17" s="63">
        <v>2</v>
      </c>
      <c r="B17" s="69" t="s">
        <v>121</v>
      </c>
      <c r="C17" s="88"/>
      <c r="D17" s="88"/>
      <c r="E17" s="88"/>
      <c r="F17" s="88"/>
      <c r="G17" s="88"/>
      <c r="H17" s="136"/>
      <c r="I17" s="89">
        <f t="shared" si="3"/>
        <v>0</v>
      </c>
    </row>
    <row r="18" spans="1:9" s="85" customFormat="1" ht="19.5" customHeight="1">
      <c r="A18" s="63">
        <v>3</v>
      </c>
      <c r="B18" s="69" t="s">
        <v>190</v>
      </c>
      <c r="C18" s="88"/>
      <c r="D18" s="88"/>
      <c r="E18" s="88"/>
      <c r="F18" s="88"/>
      <c r="G18" s="88"/>
      <c r="H18" s="88"/>
      <c r="I18" s="89">
        <f t="shared" si="3"/>
        <v>0</v>
      </c>
    </row>
    <row r="19" spans="1:9" s="85" customFormat="1" ht="19.5" customHeight="1">
      <c r="A19" s="63">
        <v>3</v>
      </c>
      <c r="B19" s="69" t="s">
        <v>192</v>
      </c>
      <c r="C19" s="88">
        <f>'Aktivet e detajuara'!J85</f>
        <v>0</v>
      </c>
      <c r="D19" s="88"/>
      <c r="E19" s="88"/>
      <c r="F19" s="88"/>
      <c r="G19" s="88"/>
      <c r="H19" s="88"/>
      <c r="I19" s="89">
        <f t="shared" si="3"/>
        <v>0</v>
      </c>
    </row>
    <row r="20" spans="1:9" s="85" customFormat="1" ht="19.5" customHeight="1">
      <c r="A20" s="63">
        <v>4</v>
      </c>
      <c r="B20" s="69" t="s">
        <v>193</v>
      </c>
      <c r="C20" s="88"/>
      <c r="D20" s="88"/>
      <c r="E20" s="88"/>
      <c r="F20" s="88"/>
      <c r="G20" s="88"/>
      <c r="H20" s="88"/>
      <c r="I20" s="89">
        <f t="shared" si="3"/>
        <v>0</v>
      </c>
    </row>
    <row r="21" spans="1:9" s="86" customFormat="1" ht="30" customHeight="1">
      <c r="A21" s="64" t="s">
        <v>2</v>
      </c>
      <c r="B21" s="67" t="s">
        <v>443</v>
      </c>
      <c r="C21" s="89">
        <f aca="true" t="shared" si="4" ref="C21:H21">SUM(C15:C20)</f>
        <v>2000000</v>
      </c>
      <c r="D21" s="89">
        <f t="shared" si="4"/>
        <v>0</v>
      </c>
      <c r="E21" s="89">
        <f t="shared" si="4"/>
        <v>0</v>
      </c>
      <c r="F21" s="89">
        <f t="shared" si="4"/>
        <v>0</v>
      </c>
      <c r="G21" s="89">
        <f t="shared" si="4"/>
        <v>0</v>
      </c>
      <c r="H21" s="89">
        <f t="shared" si="4"/>
        <v>-1496261.5899999999</v>
      </c>
      <c r="I21" s="89">
        <f t="shared" si="3"/>
        <v>503738.41000000015</v>
      </c>
    </row>
    <row r="22" spans="1:9" s="85" customFormat="1" ht="19.5" customHeight="1">
      <c r="A22" s="63">
        <v>1</v>
      </c>
      <c r="B22" s="69" t="s">
        <v>122</v>
      </c>
      <c r="C22" s="88"/>
      <c r="D22" s="88"/>
      <c r="E22" s="88"/>
      <c r="F22" s="88"/>
      <c r="G22" s="88"/>
      <c r="H22" s="88">
        <f>'Te ardhura e shpenzime'!D28</f>
        <v>1405713.0580000004</v>
      </c>
      <c r="I22" s="89">
        <f aca="true" t="shared" si="5" ref="I22:I27">SUM(C22:H22)</f>
        <v>1405713.0580000004</v>
      </c>
    </row>
    <row r="23" spans="1:9" s="85" customFormat="1" ht="19.5" customHeight="1">
      <c r="A23" s="63">
        <v>2</v>
      </c>
      <c r="B23" s="69" t="s">
        <v>121</v>
      </c>
      <c r="C23" s="88"/>
      <c r="D23" s="88"/>
      <c r="E23" s="88"/>
      <c r="F23" s="88"/>
      <c r="G23" s="88"/>
      <c r="H23" s="136"/>
      <c r="I23" s="89">
        <f t="shared" si="5"/>
        <v>0</v>
      </c>
    </row>
    <row r="24" spans="1:9" s="85" customFormat="1" ht="19.5" customHeight="1">
      <c r="A24" s="63">
        <v>3</v>
      </c>
      <c r="B24" s="69" t="s">
        <v>190</v>
      </c>
      <c r="C24" s="88"/>
      <c r="D24" s="88"/>
      <c r="E24" s="88"/>
      <c r="F24" s="88"/>
      <c r="G24" s="88"/>
      <c r="H24" s="88"/>
      <c r="I24" s="89">
        <f t="shared" si="5"/>
        <v>0</v>
      </c>
    </row>
    <row r="25" spans="1:9" s="85" customFormat="1" ht="19.5" customHeight="1">
      <c r="A25" s="63">
        <v>3</v>
      </c>
      <c r="B25" s="69" t="s">
        <v>192</v>
      </c>
      <c r="C25" s="88">
        <f>'Aktivet e detajuara'!J91</f>
        <v>0</v>
      </c>
      <c r="D25" s="88"/>
      <c r="E25" s="88"/>
      <c r="F25" s="88"/>
      <c r="G25" s="88"/>
      <c r="H25" s="88"/>
      <c r="I25" s="89">
        <f t="shared" si="5"/>
        <v>0</v>
      </c>
    </row>
    <row r="26" spans="1:9" s="85" customFormat="1" ht="19.5" customHeight="1">
      <c r="A26" s="63">
        <v>4</v>
      </c>
      <c r="B26" s="69" t="s">
        <v>193</v>
      </c>
      <c r="C26" s="88"/>
      <c r="D26" s="88"/>
      <c r="E26" s="88"/>
      <c r="F26" s="88"/>
      <c r="G26" s="88"/>
      <c r="H26" s="88"/>
      <c r="I26" s="89">
        <f t="shared" si="5"/>
        <v>0</v>
      </c>
    </row>
    <row r="27" spans="1:9" s="86" customFormat="1" ht="30" customHeight="1">
      <c r="A27" s="64" t="s">
        <v>350</v>
      </c>
      <c r="B27" s="67" t="s">
        <v>465</v>
      </c>
      <c r="C27" s="89">
        <f aca="true" t="shared" si="6" ref="C27:H27">SUM(C21:C26)</f>
        <v>2000000</v>
      </c>
      <c r="D27" s="89">
        <f t="shared" si="6"/>
        <v>0</v>
      </c>
      <c r="E27" s="89">
        <f t="shared" si="6"/>
        <v>0</v>
      </c>
      <c r="F27" s="89">
        <f t="shared" si="6"/>
        <v>0</v>
      </c>
      <c r="G27" s="89">
        <f t="shared" si="6"/>
        <v>0</v>
      </c>
      <c r="H27" s="89">
        <f t="shared" si="6"/>
        <v>-90548.53199999942</v>
      </c>
      <c r="I27" s="89">
        <f t="shared" si="5"/>
        <v>1909451.4680000006</v>
      </c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1:I1"/>
  </mergeCells>
  <printOptions horizontalCentered="1"/>
  <pageMargins left="0" right="0" top="0.45" bottom="0.31496062992126" header="0.14" footer="0.511811023622047"/>
  <pageSetup horizontalDpi="600" verticalDpi="600" orientation="landscape" paperSize="9" r:id="rId1"/>
  <headerFooter alignWithMargins="0">
    <oddHeader>&amp;C&amp;"Arial,Bold"&amp;12DynamicSound shpk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46">
      <selection activeCell="C89" sqref="C89"/>
    </sheetView>
  </sheetViews>
  <sheetFormatPr defaultColWidth="9.140625" defaultRowHeight="12.75"/>
  <cols>
    <col min="1" max="1" width="3.7109375" style="113" bestFit="1" customWidth="1"/>
    <col min="2" max="2" width="25.57421875" style="108" customWidth="1"/>
    <col min="3" max="3" width="16.00390625" style="107" customWidth="1"/>
    <col min="4" max="5" width="14.140625" style="108" customWidth="1"/>
    <col min="6" max="6" width="12.7109375" style="108" bestFit="1" customWidth="1"/>
    <col min="7" max="7" width="14.57421875" style="108" customWidth="1"/>
    <col min="8" max="8" width="14.00390625" style="108" customWidth="1"/>
    <col min="9" max="9" width="13.28125" style="311" bestFit="1" customWidth="1"/>
    <col min="10" max="10" width="13.28125" style="108" bestFit="1" customWidth="1"/>
    <col min="11" max="11" width="13.8515625" style="108" customWidth="1"/>
    <col min="12" max="12" width="12.7109375" style="108" customWidth="1"/>
    <col min="13" max="16384" width="9.140625" style="108" customWidth="1"/>
  </cols>
  <sheetData>
    <row r="1" ht="15">
      <c r="B1" s="106" t="s">
        <v>166</v>
      </c>
    </row>
    <row r="2" ht="15">
      <c r="B2" s="106"/>
    </row>
    <row r="3" spans="1:2" ht="15">
      <c r="A3" s="113">
        <v>1</v>
      </c>
      <c r="B3" s="106" t="s">
        <v>195</v>
      </c>
    </row>
    <row r="4" ht="15">
      <c r="B4" s="106"/>
    </row>
    <row r="5" ht="15">
      <c r="B5" s="126" t="s">
        <v>203</v>
      </c>
    </row>
    <row r="6" ht="21.75" customHeight="1">
      <c r="B6" s="127" t="s">
        <v>204</v>
      </c>
    </row>
    <row r="7" spans="2:7" ht="27" customHeight="1">
      <c r="B7" s="337" t="s">
        <v>205</v>
      </c>
      <c r="C7" s="337"/>
      <c r="D7" s="337"/>
      <c r="E7" s="337"/>
      <c r="F7" s="337"/>
      <c r="G7" s="337"/>
    </row>
    <row r="8" spans="2:7" ht="15">
      <c r="B8" s="338" t="s">
        <v>206</v>
      </c>
      <c r="C8" s="338"/>
      <c r="D8" s="338"/>
      <c r="E8" s="338"/>
      <c r="F8" s="338"/>
      <c r="G8" s="338"/>
    </row>
    <row r="9" spans="2:3" ht="15">
      <c r="B9" s="128" t="s">
        <v>207</v>
      </c>
      <c r="C9" s="108"/>
    </row>
    <row r="10" spans="2:3" ht="15">
      <c r="B10" s="128" t="s">
        <v>208</v>
      </c>
      <c r="C10" s="108"/>
    </row>
    <row r="11" ht="15">
      <c r="B11" s="106"/>
    </row>
    <row r="12" spans="1:2" ht="15">
      <c r="A12" s="114">
        <v>2</v>
      </c>
      <c r="B12" s="106" t="s">
        <v>167</v>
      </c>
    </row>
    <row r="13" spans="1:8" ht="15">
      <c r="A13" s="268"/>
      <c r="B13" s="273" t="s">
        <v>408</v>
      </c>
      <c r="C13" s="274" t="s">
        <v>402</v>
      </c>
      <c r="D13" s="275" t="s">
        <v>174</v>
      </c>
      <c r="E13" s="275" t="s">
        <v>405</v>
      </c>
      <c r="F13" s="275" t="s">
        <v>406</v>
      </c>
      <c r="G13" s="275" t="s">
        <v>407</v>
      </c>
      <c r="H13" s="275" t="s">
        <v>404</v>
      </c>
    </row>
    <row r="14" spans="1:11" ht="15">
      <c r="A14" s="269" t="s">
        <v>409</v>
      </c>
      <c r="B14" s="270" t="s">
        <v>403</v>
      </c>
      <c r="C14" s="271">
        <v>1.71</v>
      </c>
      <c r="D14" s="271">
        <v>0</v>
      </c>
      <c r="E14" s="271">
        <v>30.19</v>
      </c>
      <c r="F14" s="271">
        <v>139.59</v>
      </c>
      <c r="G14" s="271">
        <v>105.85</v>
      </c>
      <c r="H14" s="271">
        <f>C14*F14+D14+E14*G14</f>
        <v>3434.3104</v>
      </c>
      <c r="K14" s="111">
        <f>J14-I14</f>
        <v>0</v>
      </c>
    </row>
    <row r="15" spans="1:11" ht="15">
      <c r="A15" s="269" t="s">
        <v>410</v>
      </c>
      <c r="B15" s="270" t="s">
        <v>425</v>
      </c>
      <c r="C15" s="271">
        <v>119.52</v>
      </c>
      <c r="D15" s="271">
        <v>23904.43</v>
      </c>
      <c r="E15" s="271">
        <v>0</v>
      </c>
      <c r="F15" s="271">
        <v>139.59</v>
      </c>
      <c r="G15" s="271">
        <v>105.85</v>
      </c>
      <c r="H15" s="271">
        <f>C15*F15+D15+E15*G15</f>
        <v>40588.226800000004</v>
      </c>
      <c r="J15" s="111"/>
      <c r="K15" s="111"/>
    </row>
    <row r="16" spans="1:8" ht="15">
      <c r="A16" s="269" t="s">
        <v>411</v>
      </c>
      <c r="B16" s="270" t="s">
        <v>168</v>
      </c>
      <c r="C16" s="271">
        <v>6451</v>
      </c>
      <c r="D16" s="271">
        <v>398024.64</v>
      </c>
      <c r="E16" s="271"/>
      <c r="F16" s="271">
        <v>139.59</v>
      </c>
      <c r="G16" s="271">
        <v>105.85</v>
      </c>
      <c r="H16" s="271">
        <f>C16*F16+D16+E16*G16</f>
        <v>1298519.73</v>
      </c>
    </row>
    <row r="17" spans="1:10" ht="15">
      <c r="A17" s="272"/>
      <c r="B17" s="276" t="s">
        <v>373</v>
      </c>
      <c r="C17" s="277">
        <f>SUM(C14:C16)</f>
        <v>6572.23</v>
      </c>
      <c r="D17" s="277">
        <f>SUM(D14:D16)</f>
        <v>421929.07</v>
      </c>
      <c r="E17" s="277">
        <f>SUM(E14:E16)</f>
        <v>30.19</v>
      </c>
      <c r="F17" s="277"/>
      <c r="G17" s="277"/>
      <c r="H17" s="277">
        <f>SUM(H14:H16)</f>
        <v>1342542.2672</v>
      </c>
      <c r="J17" s="257"/>
    </row>
    <row r="18" spans="1:2" ht="15">
      <c r="A18" s="114"/>
      <c r="B18" s="109"/>
    </row>
    <row r="19" spans="1:8" ht="15">
      <c r="A19" s="114">
        <v>3</v>
      </c>
      <c r="B19" s="106" t="s">
        <v>426</v>
      </c>
      <c r="C19" s="107" t="s">
        <v>428</v>
      </c>
      <c r="D19" s="108" t="s">
        <v>402</v>
      </c>
      <c r="E19" s="108" t="s">
        <v>430</v>
      </c>
      <c r="F19" s="108" t="s">
        <v>404</v>
      </c>
      <c r="H19" s="257"/>
    </row>
    <row r="20" spans="1:6" ht="15">
      <c r="A20" s="114"/>
      <c r="B20" s="109" t="s">
        <v>427</v>
      </c>
      <c r="C20" s="107">
        <v>135000</v>
      </c>
      <c r="F20" s="257">
        <f>C20+D20*E20</f>
        <v>135000</v>
      </c>
    </row>
    <row r="21" spans="1:6" ht="15">
      <c r="A21" s="114"/>
      <c r="B21" s="109" t="s">
        <v>478</v>
      </c>
      <c r="C21" s="107">
        <v>13876</v>
      </c>
      <c r="F21" s="257">
        <f>C21+D21*E21</f>
        <v>13876</v>
      </c>
    </row>
    <row r="22" spans="1:8" ht="15">
      <c r="A22" s="114"/>
      <c r="B22" s="109" t="s">
        <v>479</v>
      </c>
      <c r="D22" s="108">
        <v>400.2</v>
      </c>
      <c r="E22" s="108">
        <v>139.59</v>
      </c>
      <c r="F22" s="257">
        <f>C22+D22*E22</f>
        <v>55863.918</v>
      </c>
      <c r="H22" s="257"/>
    </row>
    <row r="23" spans="1:6" ht="15">
      <c r="A23" s="114"/>
      <c r="B23" s="109" t="s">
        <v>429</v>
      </c>
      <c r="D23" s="108">
        <v>6000</v>
      </c>
      <c r="E23" s="108">
        <v>139.59</v>
      </c>
      <c r="F23" s="257">
        <f>C23+D23*E23</f>
        <v>837540</v>
      </c>
    </row>
    <row r="24" spans="1:8" ht="15">
      <c r="A24" s="114"/>
      <c r="B24" s="109"/>
      <c r="C24" s="110">
        <f>SUM(C20:C23)</f>
        <v>148876</v>
      </c>
      <c r="D24" s="110">
        <f>SUM(D20:D23)</f>
        <v>6400.2</v>
      </c>
      <c r="E24" s="257"/>
      <c r="F24" s="257">
        <f>SUM(F20:F23)</f>
        <v>1042279.9180000001</v>
      </c>
      <c r="H24" s="257"/>
    </row>
    <row r="25" spans="1:2" ht="15">
      <c r="A25" s="114"/>
      <c r="B25" s="109"/>
    </row>
    <row r="26" spans="1:2" ht="15">
      <c r="A26" s="114" t="s">
        <v>209</v>
      </c>
      <c r="B26" s="106" t="s">
        <v>210</v>
      </c>
    </row>
    <row r="27" spans="1:8" ht="30">
      <c r="A27" s="262" t="s">
        <v>396</v>
      </c>
      <c r="B27" s="263" t="s">
        <v>375</v>
      </c>
      <c r="C27" s="264" t="s">
        <v>397</v>
      </c>
      <c r="D27" s="265" t="s">
        <v>398</v>
      </c>
      <c r="E27" s="265" t="s">
        <v>399</v>
      </c>
      <c r="F27" s="265" t="s">
        <v>400</v>
      </c>
      <c r="G27" s="265" t="s">
        <v>485</v>
      </c>
      <c r="H27" s="265" t="s">
        <v>486</v>
      </c>
    </row>
    <row r="28" spans="1:8" ht="15">
      <c r="A28" s="258"/>
      <c r="B28" s="259" t="str">
        <f>'[3]Sheet1'!$E$30</f>
        <v>2131 · Instalime teknike specifike</v>
      </c>
      <c r="C28" s="260">
        <v>17600624.312</v>
      </c>
      <c r="D28" s="260"/>
      <c r="E28" s="260"/>
      <c r="F28" s="261">
        <v>0.2</v>
      </c>
      <c r="G28" s="260">
        <f>C28*F28</f>
        <v>3520124.8624</v>
      </c>
      <c r="H28" s="260">
        <f>C28-G28</f>
        <v>14080499.4496</v>
      </c>
    </row>
    <row r="29" spans="1:8" ht="15">
      <c r="A29" s="253"/>
      <c r="B29" s="254" t="str">
        <f>'[3]Sheet1'!$E$33</f>
        <v>2181 · Mobilje &amp; Orendi_FA</v>
      </c>
      <c r="C29" s="255">
        <v>129536</v>
      </c>
      <c r="D29" s="255"/>
      <c r="E29" s="255"/>
      <c r="F29" s="256">
        <v>0.2</v>
      </c>
      <c r="G29" s="260">
        <f>C29*F29</f>
        <v>25907.2</v>
      </c>
      <c r="H29" s="260">
        <f>C29-G29</f>
        <v>103628.8</v>
      </c>
    </row>
    <row r="30" spans="1:8" ht="23.25">
      <c r="A30" s="253"/>
      <c r="B30" s="254" t="str">
        <f>'[3]Sheet1'!$E$34</f>
        <v>2182 · Paisje Zyre &amp; Informatike_FA</v>
      </c>
      <c r="C30" s="255">
        <v>441402</v>
      </c>
      <c r="D30" s="255"/>
      <c r="E30" s="255"/>
      <c r="F30" s="256">
        <v>0.25</v>
      </c>
      <c r="G30" s="260">
        <f>C30*F30</f>
        <v>110350.5</v>
      </c>
      <c r="H30" s="260">
        <f>C30-G30</f>
        <v>331051.5</v>
      </c>
    </row>
    <row r="31" spans="1:10" ht="36.75" customHeight="1">
      <c r="A31" s="339" t="s">
        <v>401</v>
      </c>
      <c r="B31" s="339"/>
      <c r="C31" s="266">
        <f>SUM(C28:C30)</f>
        <v>18171562.312</v>
      </c>
      <c r="D31" s="266">
        <f>SUM(D28:D30)</f>
        <v>0</v>
      </c>
      <c r="E31" s="266"/>
      <c r="F31" s="266"/>
      <c r="G31" s="266">
        <f>SUM(G28:G30)</f>
        <v>3656382.5624</v>
      </c>
      <c r="H31" s="266">
        <f>SUM(H28:H30)</f>
        <v>14515179.7496</v>
      </c>
      <c r="J31" s="291"/>
    </row>
    <row r="32" spans="1:2" ht="15">
      <c r="A32" s="114"/>
      <c r="B32" s="109"/>
    </row>
    <row r="33" spans="1:3" ht="15">
      <c r="A33" s="114" t="s">
        <v>202</v>
      </c>
      <c r="B33" s="109" t="s">
        <v>431</v>
      </c>
      <c r="C33" s="107" t="s">
        <v>428</v>
      </c>
    </row>
    <row r="34" spans="1:3" ht="15">
      <c r="A34" s="114"/>
      <c r="B34" s="309" t="s">
        <v>470</v>
      </c>
      <c r="C34" s="307">
        <v>27500</v>
      </c>
    </row>
    <row r="35" spans="1:3" ht="15">
      <c r="A35" s="114"/>
      <c r="B35" s="309" t="s">
        <v>471</v>
      </c>
      <c r="C35" s="307">
        <v>17921.11</v>
      </c>
    </row>
    <row r="36" spans="1:3" ht="15">
      <c r="A36" s="114"/>
      <c r="B36" s="309" t="s">
        <v>472</v>
      </c>
      <c r="C36" s="307">
        <v>29931.6</v>
      </c>
    </row>
    <row r="37" spans="1:3" ht="15">
      <c r="A37" s="114"/>
      <c r="B37" s="309" t="s">
        <v>473</v>
      </c>
      <c r="C37" s="307">
        <v>3639.97</v>
      </c>
    </row>
    <row r="38" spans="1:3" ht="15">
      <c r="A38" s="114"/>
      <c r="B38" s="309" t="s">
        <v>474</v>
      </c>
      <c r="C38" s="307">
        <v>154082.77</v>
      </c>
    </row>
    <row r="39" spans="1:3" ht="15">
      <c r="A39" s="114"/>
      <c r="B39" s="309" t="s">
        <v>475</v>
      </c>
      <c r="C39" s="307">
        <v>44392.3</v>
      </c>
    </row>
    <row r="40" spans="1:3" ht="15">
      <c r="A40" s="114"/>
      <c r="B40" s="309" t="s">
        <v>476</v>
      </c>
      <c r="C40" s="307">
        <v>45251.44</v>
      </c>
    </row>
    <row r="41" spans="1:5" ht="15">
      <c r="A41" s="114"/>
      <c r="B41" s="309" t="s">
        <v>477</v>
      </c>
      <c r="C41" s="307">
        <v>1930</v>
      </c>
      <c r="E41" s="257"/>
    </row>
    <row r="42" spans="1:3" ht="15">
      <c r="A42" s="114"/>
      <c r="B42" s="309" t="s">
        <v>432</v>
      </c>
      <c r="C42" s="308">
        <v>54000</v>
      </c>
    </row>
    <row r="43" spans="1:3" ht="15">
      <c r="A43" s="114"/>
      <c r="B43" s="309"/>
      <c r="C43" s="310">
        <f>SUM(C34:C42)</f>
        <v>378649.19</v>
      </c>
    </row>
    <row r="44" spans="1:3" ht="15">
      <c r="A44" s="114"/>
      <c r="B44" s="309"/>
      <c r="C44" s="308"/>
    </row>
    <row r="45" spans="1:4" ht="15">
      <c r="A45" s="114" t="s">
        <v>411</v>
      </c>
      <c r="B45" s="106" t="s">
        <v>64</v>
      </c>
      <c r="D45" s="111"/>
    </row>
    <row r="46" spans="1:4" ht="15">
      <c r="A46" s="114"/>
      <c r="B46" s="109" t="s">
        <v>169</v>
      </c>
      <c r="C46" s="107">
        <v>39465</v>
      </c>
      <c r="D46" s="111"/>
    </row>
    <row r="47" spans="1:4" ht="15">
      <c r="A47" s="114"/>
      <c r="B47" s="109" t="s">
        <v>433</v>
      </c>
      <c r="C47" s="107">
        <v>110102</v>
      </c>
      <c r="D47" s="111"/>
    </row>
    <row r="48" spans="1:4" ht="15">
      <c r="A48" s="114"/>
      <c r="B48" s="109" t="s">
        <v>468</v>
      </c>
      <c r="C48" s="107">
        <f>C89</f>
        <v>17843.032000000076</v>
      </c>
      <c r="D48" s="111"/>
    </row>
    <row r="49" spans="1:4" ht="15">
      <c r="A49" s="114"/>
      <c r="B49" s="109" t="s">
        <v>434</v>
      </c>
      <c r="C49" s="107">
        <v>91216.59</v>
      </c>
      <c r="D49" s="111"/>
    </row>
    <row r="50" spans="1:4" ht="15">
      <c r="A50" s="114"/>
      <c r="B50" s="109"/>
      <c r="C50" s="110">
        <f>SUM(C46:C49)</f>
        <v>258626.62200000006</v>
      </c>
      <c r="D50" s="111"/>
    </row>
    <row r="51" spans="1:4" ht="15">
      <c r="A51" s="114" t="s">
        <v>435</v>
      </c>
      <c r="B51" s="109" t="s">
        <v>3</v>
      </c>
      <c r="C51" s="110"/>
      <c r="D51" s="111" t="s">
        <v>469</v>
      </c>
    </row>
    <row r="52" spans="1:4" ht="15">
      <c r="A52" s="114"/>
      <c r="B52" s="109" t="s">
        <v>436</v>
      </c>
      <c r="C52" s="307">
        <v>622198.2</v>
      </c>
      <c r="D52" s="111"/>
    </row>
    <row r="53" spans="1:4" ht="15">
      <c r="A53" s="114"/>
      <c r="B53" s="109" t="s">
        <v>437</v>
      </c>
      <c r="C53" s="307">
        <v>-1294221.56</v>
      </c>
      <c r="D53" s="111"/>
    </row>
    <row r="54" spans="1:4" ht="15">
      <c r="A54" s="114"/>
      <c r="B54" s="109" t="s">
        <v>438</v>
      </c>
      <c r="C54" s="308">
        <v>1475041.42</v>
      </c>
      <c r="D54" s="111"/>
    </row>
    <row r="55" spans="1:5" ht="15">
      <c r="A55" s="114"/>
      <c r="B55" s="109"/>
      <c r="C55" s="110">
        <f>SUM(C52:C54)</f>
        <v>803018.0599999998</v>
      </c>
      <c r="D55" s="111"/>
      <c r="E55" s="111"/>
    </row>
    <row r="56" spans="1:4" ht="15">
      <c r="A56" s="114"/>
      <c r="B56" s="109"/>
      <c r="C56" s="110"/>
      <c r="D56" s="111"/>
    </row>
    <row r="57" spans="1:4" ht="15">
      <c r="A57" s="114" t="s">
        <v>439</v>
      </c>
      <c r="B57" s="293" t="str">
        <f>'Aktivet e detajuara'!B66</f>
        <v>Parapagimet e arketuara</v>
      </c>
      <c r="C57" s="110"/>
      <c r="D57" s="111"/>
    </row>
    <row r="58" spans="1:4" ht="15">
      <c r="A58" s="114"/>
      <c r="B58" s="109" t="s">
        <v>440</v>
      </c>
      <c r="C58" s="110">
        <v>500000</v>
      </c>
      <c r="D58" s="111"/>
    </row>
    <row r="59" spans="1:4" ht="15">
      <c r="A59" s="114"/>
      <c r="B59" s="109"/>
      <c r="C59" s="110"/>
      <c r="D59" s="111"/>
    </row>
    <row r="60" spans="1:4" ht="15">
      <c r="A60" s="114" t="s">
        <v>441</v>
      </c>
      <c r="B60" s="109" t="s">
        <v>442</v>
      </c>
      <c r="C60" s="110">
        <f>SUM(C61:C62)</f>
        <v>10153916.190000001</v>
      </c>
      <c r="D60" s="111"/>
    </row>
    <row r="61" spans="1:4" ht="15">
      <c r="A61" s="114"/>
      <c r="B61" s="109" t="s">
        <v>466</v>
      </c>
      <c r="C61" s="110">
        <f>'Aktivet e detajuara'!I74</f>
        <v>5463148.36</v>
      </c>
      <c r="D61" s="111"/>
    </row>
    <row r="62" spans="1:4" ht="15">
      <c r="A62" s="114"/>
      <c r="B62" s="109" t="s">
        <v>467</v>
      </c>
      <c r="C62" s="110">
        <f>'Aktivet e detajuara'!I57</f>
        <v>4690767.83</v>
      </c>
      <c r="D62" s="111"/>
    </row>
    <row r="63" spans="1:4" ht="15">
      <c r="A63" s="114"/>
      <c r="B63" s="109"/>
      <c r="D63" s="111"/>
    </row>
    <row r="64" spans="1:3" ht="15">
      <c r="A64" s="115">
        <v>10</v>
      </c>
      <c r="B64" s="106" t="s">
        <v>199</v>
      </c>
      <c r="C64" s="110">
        <f>'Te ardhura e shpenzime'!D6</f>
        <v>10175725.9</v>
      </c>
    </row>
    <row r="65" spans="1:2" ht="15">
      <c r="A65" s="115"/>
      <c r="B65" s="106"/>
    </row>
    <row r="66" spans="1:2" ht="15">
      <c r="A66" s="113">
        <v>11</v>
      </c>
      <c r="B66" s="252" t="s">
        <v>4</v>
      </c>
    </row>
    <row r="67" spans="1:3" ht="15">
      <c r="A67" s="108"/>
      <c r="B67" s="109" t="s">
        <v>424</v>
      </c>
      <c r="C67" s="288">
        <v>31861.6</v>
      </c>
    </row>
    <row r="68" spans="2:5" ht="15">
      <c r="B68" s="109" t="s">
        <v>196</v>
      </c>
      <c r="C68" s="288">
        <v>676615.39</v>
      </c>
      <c r="E68" s="291"/>
    </row>
    <row r="69" spans="2:3" ht="15">
      <c r="B69" s="109" t="s">
        <v>460</v>
      </c>
      <c r="C69" s="288">
        <v>3639.97</v>
      </c>
    </row>
    <row r="70" spans="2:3" ht="15">
      <c r="B70" s="109" t="s">
        <v>392</v>
      </c>
      <c r="C70" s="288">
        <v>216068.57</v>
      </c>
    </row>
    <row r="71" spans="2:3" ht="15">
      <c r="B71" s="109" t="s">
        <v>389</v>
      </c>
      <c r="C71" s="288">
        <v>66905.19</v>
      </c>
    </row>
    <row r="72" spans="2:3" ht="15">
      <c r="B72" s="109" t="s">
        <v>420</v>
      </c>
      <c r="C72" s="288">
        <v>308899.92</v>
      </c>
    </row>
    <row r="73" spans="2:3" ht="15">
      <c r="B73" s="109" t="s">
        <v>421</v>
      </c>
      <c r="C73" s="288">
        <v>36240</v>
      </c>
    </row>
    <row r="74" spans="2:3" ht="15">
      <c r="B74" s="109" t="s">
        <v>422</v>
      </c>
      <c r="C74" s="288">
        <v>55000</v>
      </c>
    </row>
    <row r="75" spans="2:3" ht="15">
      <c r="B75" s="109" t="s">
        <v>423</v>
      </c>
      <c r="C75" s="288">
        <v>16800</v>
      </c>
    </row>
    <row r="76" spans="2:3" ht="15">
      <c r="B76" s="109" t="s">
        <v>390</v>
      </c>
      <c r="C76" s="288">
        <v>251135.82</v>
      </c>
    </row>
    <row r="77" spans="2:3" ht="15">
      <c r="B77" s="109" t="s">
        <v>461</v>
      </c>
      <c r="C77" s="288">
        <v>44392.3</v>
      </c>
    </row>
    <row r="78" spans="2:3" ht="15">
      <c r="B78" s="109" t="s">
        <v>391</v>
      </c>
      <c r="C78" s="288">
        <v>15120</v>
      </c>
    </row>
    <row r="79" ht="15">
      <c r="C79" s="110">
        <f>SUM(C67:C78)</f>
        <v>1722678.76</v>
      </c>
    </row>
    <row r="82" spans="2:3" ht="15">
      <c r="B82" s="108" t="s">
        <v>140</v>
      </c>
      <c r="C82" s="107">
        <f>'Te ardhura e shpenzime'!D26</f>
        <v>1423556.0900000005</v>
      </c>
    </row>
    <row r="83" spans="2:3" ht="15">
      <c r="B83" s="108" t="s">
        <v>390</v>
      </c>
      <c r="C83" s="107">
        <f>C76</f>
        <v>251135.82</v>
      </c>
    </row>
    <row r="84" spans="2:3" ht="15">
      <c r="B84" s="108" t="s">
        <v>463</v>
      </c>
      <c r="C84" s="107">
        <f>C82+C83</f>
        <v>1674691.9100000006</v>
      </c>
    </row>
    <row r="85" spans="2:3" ht="15">
      <c r="B85" s="108" t="s">
        <v>462</v>
      </c>
      <c r="C85" s="107">
        <f>'Te ardhura e shpenzime'!F28+'Te ardhura e shpenzime'!E28</f>
        <v>-1496261.5899999999</v>
      </c>
    </row>
    <row r="86" spans="2:3" ht="15">
      <c r="B86" s="108" t="s">
        <v>464</v>
      </c>
      <c r="C86" s="107">
        <f>C84+C85</f>
        <v>178430.32000000076</v>
      </c>
    </row>
    <row r="87" spans="2:3" ht="15">
      <c r="B87" s="108" t="s">
        <v>393</v>
      </c>
      <c r="C87" s="107">
        <f>C86*0.1</f>
        <v>17843.032000000076</v>
      </c>
    </row>
    <row r="88" spans="2:3" ht="15">
      <c r="B88" s="108" t="s">
        <v>394</v>
      </c>
      <c r="C88" s="107">
        <v>0</v>
      </c>
    </row>
    <row r="89" spans="2:3" ht="15">
      <c r="B89" s="108" t="s">
        <v>395</v>
      </c>
      <c r="C89" s="107">
        <f>C87-C88</f>
        <v>17843.032000000076</v>
      </c>
    </row>
    <row r="93" spans="2:5" ht="15">
      <c r="B93" s="252"/>
      <c r="D93" s="110"/>
      <c r="E93" s="112"/>
    </row>
    <row r="94" ht="15">
      <c r="D94" s="107"/>
    </row>
    <row r="95" ht="15">
      <c r="D95" s="107"/>
    </row>
  </sheetData>
  <sheetProtection/>
  <mergeCells count="3">
    <mergeCell ref="B7:G7"/>
    <mergeCell ref="B8:G8"/>
    <mergeCell ref="A31:B31"/>
  </mergeCells>
  <printOptions/>
  <pageMargins left="0.23" right="0.7" top="0.28" bottom="0.17" header="0.08" footer="0.1"/>
  <pageSetup horizontalDpi="600" verticalDpi="600" orientation="portrait" scale="85" r:id="rId1"/>
  <headerFooter alignWithMargins="0">
    <oddHeader>&amp;CDynamicSound shpk</oddHeader>
  </headerFooter>
  <ignoredErrors>
    <ignoredError sqref="A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189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10" width="10.00390625" style="0" customWidth="1"/>
    <col min="11" max="11" width="12.28125" style="0" hidden="1" customWidth="1"/>
    <col min="12" max="12" width="8.57421875" style="0" customWidth="1"/>
    <col min="16" max="16" width="53.421875" style="0" customWidth="1"/>
  </cols>
  <sheetData>
    <row r="1" spans="1:12" ht="12.75">
      <c r="A1" s="137"/>
      <c r="B1" s="138" t="s">
        <v>450</v>
      </c>
      <c r="C1" s="139"/>
      <c r="D1" s="139"/>
      <c r="E1" s="137"/>
      <c r="F1" s="137"/>
      <c r="G1" s="137"/>
      <c r="H1" s="137"/>
      <c r="I1" s="137"/>
      <c r="J1" s="137"/>
      <c r="K1" s="137"/>
      <c r="L1" s="137"/>
    </row>
    <row r="2" spans="1:12" ht="12.75">
      <c r="A2" s="137"/>
      <c r="B2" s="138" t="s">
        <v>451</v>
      </c>
      <c r="C2" s="139"/>
      <c r="D2" s="139"/>
      <c r="E2" s="137"/>
      <c r="F2" s="137"/>
      <c r="G2" s="137"/>
      <c r="H2" s="137"/>
      <c r="I2" s="137"/>
      <c r="J2" s="137"/>
      <c r="K2" s="137"/>
      <c r="L2" s="137"/>
    </row>
    <row r="3" spans="1:12" ht="12.75">
      <c r="A3" s="137"/>
      <c r="B3" s="32"/>
      <c r="C3" s="137"/>
      <c r="D3" s="137"/>
      <c r="E3" s="137"/>
      <c r="F3" s="137"/>
      <c r="G3" s="137"/>
      <c r="H3" s="137"/>
      <c r="I3" s="137"/>
      <c r="J3" s="32" t="s">
        <v>214</v>
      </c>
      <c r="L3" s="137"/>
    </row>
    <row r="4" spans="1:12" ht="12.75">
      <c r="A4" s="137"/>
      <c r="B4" s="32"/>
      <c r="C4" s="137"/>
      <c r="D4" s="137"/>
      <c r="E4" s="137"/>
      <c r="F4" s="137"/>
      <c r="G4" s="137"/>
      <c r="H4" s="137"/>
      <c r="I4" s="137"/>
      <c r="L4" s="137"/>
    </row>
    <row r="5" spans="1:16" ht="12.75">
      <c r="A5" s="128"/>
      <c r="B5" s="128"/>
      <c r="C5" s="128"/>
      <c r="D5" s="128"/>
      <c r="E5" s="128"/>
      <c r="F5" s="128"/>
      <c r="G5" s="128"/>
      <c r="H5" s="128"/>
      <c r="I5" s="128"/>
      <c r="J5" s="140" t="s">
        <v>215</v>
      </c>
      <c r="M5" s="141"/>
      <c r="N5" s="141"/>
      <c r="O5" s="141"/>
      <c r="P5" s="141"/>
    </row>
    <row r="6" spans="1:16" ht="15.75" customHeight="1">
      <c r="A6" s="350" t="s">
        <v>216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2"/>
      <c r="M6" s="142"/>
      <c r="N6" s="142"/>
      <c r="O6" s="142"/>
      <c r="P6" s="142"/>
    </row>
    <row r="7" spans="1:12" ht="26.25" customHeight="1" thickBot="1">
      <c r="A7" s="143"/>
      <c r="B7" s="353" t="s">
        <v>217</v>
      </c>
      <c r="C7" s="353"/>
      <c r="D7" s="353"/>
      <c r="E7" s="353"/>
      <c r="F7" s="354"/>
      <c r="G7" s="144" t="s">
        <v>218</v>
      </c>
      <c r="H7" s="144" t="s">
        <v>219</v>
      </c>
      <c r="I7" s="145" t="s">
        <v>459</v>
      </c>
      <c r="J7" s="145" t="s">
        <v>388</v>
      </c>
      <c r="K7" s="145" t="s">
        <v>211</v>
      </c>
      <c r="L7" s="145" t="s">
        <v>198</v>
      </c>
    </row>
    <row r="8" spans="1:12" ht="16.5" customHeight="1">
      <c r="A8" s="146">
        <v>1</v>
      </c>
      <c r="B8" s="355" t="s">
        <v>220</v>
      </c>
      <c r="C8" s="356"/>
      <c r="D8" s="356"/>
      <c r="E8" s="356"/>
      <c r="F8" s="356"/>
      <c r="G8" s="147">
        <v>70</v>
      </c>
      <c r="H8" s="147">
        <v>11100</v>
      </c>
      <c r="I8" s="295">
        <f>SUM(I9:I11)</f>
        <v>10175.725900000001</v>
      </c>
      <c r="J8" s="295">
        <f>SUM(J9:J11)</f>
        <v>11147.90244</v>
      </c>
      <c r="K8" s="295">
        <f>SUM(K9:K11)</f>
        <v>4574.613</v>
      </c>
      <c r="L8" s="198">
        <v>8172.45536</v>
      </c>
    </row>
    <row r="9" spans="1:12" ht="16.5" customHeight="1">
      <c r="A9" s="148" t="s">
        <v>221</v>
      </c>
      <c r="B9" s="348" t="s">
        <v>222</v>
      </c>
      <c r="C9" s="348"/>
      <c r="D9" s="348"/>
      <c r="E9" s="348"/>
      <c r="F9" s="349"/>
      <c r="G9" s="149" t="s">
        <v>223</v>
      </c>
      <c r="H9" s="149">
        <v>11101</v>
      </c>
      <c r="I9" s="149"/>
      <c r="J9" s="296"/>
      <c r="K9" s="199">
        <v>0</v>
      </c>
      <c r="L9" s="200">
        <v>0</v>
      </c>
    </row>
    <row r="10" spans="1:12" ht="16.5" customHeight="1">
      <c r="A10" s="150" t="s">
        <v>224</v>
      </c>
      <c r="B10" s="348" t="s">
        <v>225</v>
      </c>
      <c r="C10" s="348"/>
      <c r="D10" s="348"/>
      <c r="E10" s="348"/>
      <c r="F10" s="349"/>
      <c r="G10" s="149">
        <v>704</v>
      </c>
      <c r="H10" s="149">
        <v>11102</v>
      </c>
      <c r="I10" s="296">
        <f>'Te ardhura e shpenzime'!D6/1000</f>
        <v>10175.725900000001</v>
      </c>
      <c r="J10" s="296">
        <f>'Te ardhura e shpenzime'!E6/1000</f>
        <v>11147.90244</v>
      </c>
      <c r="K10" s="199">
        <f>'Te ardhura e shpenzime'!F6/1000</f>
        <v>4574.613</v>
      </c>
      <c r="L10" s="200">
        <v>8172.45536</v>
      </c>
    </row>
    <row r="11" spans="1:12" ht="16.5" customHeight="1">
      <c r="A11" s="150" t="s">
        <v>226</v>
      </c>
      <c r="B11" s="348" t="s">
        <v>227</v>
      </c>
      <c r="C11" s="348"/>
      <c r="D11" s="348"/>
      <c r="E11" s="348"/>
      <c r="F11" s="349"/>
      <c r="G11" s="151">
        <v>705</v>
      </c>
      <c r="H11" s="149">
        <v>11103</v>
      </c>
      <c r="I11" s="149"/>
      <c r="J11" s="296"/>
      <c r="K11" s="199">
        <v>0</v>
      </c>
      <c r="L11" s="200">
        <v>0</v>
      </c>
    </row>
    <row r="12" spans="1:12" ht="16.5" customHeight="1">
      <c r="A12" s="152">
        <v>2</v>
      </c>
      <c r="B12" s="343" t="s">
        <v>228</v>
      </c>
      <c r="C12" s="343"/>
      <c r="D12" s="343"/>
      <c r="E12" s="343"/>
      <c r="F12" s="344"/>
      <c r="G12" s="153">
        <v>708</v>
      </c>
      <c r="H12" s="154">
        <v>11104</v>
      </c>
      <c r="I12" s="154"/>
      <c r="J12" s="297"/>
      <c r="K12" s="199">
        <v>0</v>
      </c>
      <c r="L12" s="200">
        <v>0</v>
      </c>
    </row>
    <row r="13" spans="1:12" ht="16.5" customHeight="1">
      <c r="A13" s="155" t="s">
        <v>221</v>
      </c>
      <c r="B13" s="348" t="s">
        <v>229</v>
      </c>
      <c r="C13" s="348"/>
      <c r="D13" s="348"/>
      <c r="E13" s="348"/>
      <c r="F13" s="349"/>
      <c r="G13" s="149">
        <v>7081</v>
      </c>
      <c r="H13" s="156">
        <v>111041</v>
      </c>
      <c r="I13" s="156"/>
      <c r="J13" s="298"/>
      <c r="K13" s="199">
        <v>0</v>
      </c>
      <c r="L13" s="200">
        <v>0</v>
      </c>
    </row>
    <row r="14" spans="1:12" ht="16.5" customHeight="1">
      <c r="A14" s="155" t="s">
        <v>230</v>
      </c>
      <c r="B14" s="348" t="s">
        <v>231</v>
      </c>
      <c r="C14" s="348"/>
      <c r="D14" s="348"/>
      <c r="E14" s="348"/>
      <c r="F14" s="349"/>
      <c r="G14" s="149">
        <v>7082</v>
      </c>
      <c r="H14" s="156">
        <v>111042</v>
      </c>
      <c r="I14" s="156"/>
      <c r="J14" s="298"/>
      <c r="K14" s="199">
        <v>0</v>
      </c>
      <c r="L14" s="200">
        <v>0</v>
      </c>
    </row>
    <row r="15" spans="1:12" ht="16.5" customHeight="1">
      <c r="A15" s="155" t="s">
        <v>232</v>
      </c>
      <c r="B15" s="348" t="s">
        <v>233</v>
      </c>
      <c r="C15" s="348"/>
      <c r="D15" s="348"/>
      <c r="E15" s="348"/>
      <c r="F15" s="349"/>
      <c r="G15" s="149">
        <v>7083</v>
      </c>
      <c r="H15" s="156">
        <v>111043</v>
      </c>
      <c r="I15" s="156"/>
      <c r="J15" s="298"/>
      <c r="K15" s="199">
        <v>0</v>
      </c>
      <c r="L15" s="200">
        <v>0</v>
      </c>
    </row>
    <row r="16" spans="1:12" ht="29.25" customHeight="1">
      <c r="A16" s="157">
        <v>3</v>
      </c>
      <c r="B16" s="343" t="s">
        <v>234</v>
      </c>
      <c r="C16" s="343"/>
      <c r="D16" s="343"/>
      <c r="E16" s="343"/>
      <c r="F16" s="344"/>
      <c r="G16" s="153">
        <v>71</v>
      </c>
      <c r="H16" s="154">
        <v>11201</v>
      </c>
      <c r="I16" s="154"/>
      <c r="J16" s="297"/>
      <c r="K16" s="199">
        <v>0</v>
      </c>
      <c r="L16" s="200">
        <v>6.1</v>
      </c>
    </row>
    <row r="17" spans="1:12" ht="16.5" customHeight="1">
      <c r="A17" s="158"/>
      <c r="B17" s="341" t="s">
        <v>235</v>
      </c>
      <c r="C17" s="341"/>
      <c r="D17" s="341"/>
      <c r="E17" s="341"/>
      <c r="F17" s="342"/>
      <c r="G17" s="159"/>
      <c r="H17" s="149">
        <v>112011</v>
      </c>
      <c r="I17" s="149"/>
      <c r="J17" s="296"/>
      <c r="K17" s="199">
        <v>0</v>
      </c>
      <c r="L17" s="200">
        <v>6.1</v>
      </c>
    </row>
    <row r="18" spans="1:12" ht="16.5" customHeight="1">
      <c r="A18" s="158"/>
      <c r="B18" s="341" t="s">
        <v>236</v>
      </c>
      <c r="C18" s="341"/>
      <c r="D18" s="341"/>
      <c r="E18" s="341"/>
      <c r="F18" s="342"/>
      <c r="G18" s="159"/>
      <c r="H18" s="149">
        <v>112012</v>
      </c>
      <c r="I18" s="149"/>
      <c r="J18" s="296"/>
      <c r="K18" s="199">
        <v>0</v>
      </c>
      <c r="L18" s="200">
        <v>0</v>
      </c>
    </row>
    <row r="19" spans="1:12" ht="16.5" customHeight="1">
      <c r="A19" s="160">
        <v>4</v>
      </c>
      <c r="B19" s="343" t="s">
        <v>237</v>
      </c>
      <c r="C19" s="343"/>
      <c r="D19" s="343"/>
      <c r="E19" s="343"/>
      <c r="F19" s="344"/>
      <c r="G19" s="161">
        <v>72</v>
      </c>
      <c r="H19" s="162">
        <v>11300</v>
      </c>
      <c r="I19" s="162"/>
      <c r="J19" s="199"/>
      <c r="K19" s="199">
        <v>0</v>
      </c>
      <c r="L19" s="200">
        <v>0</v>
      </c>
    </row>
    <row r="20" spans="1:12" ht="16.5" customHeight="1">
      <c r="A20" s="150"/>
      <c r="B20" s="345" t="s">
        <v>238</v>
      </c>
      <c r="C20" s="346"/>
      <c r="D20" s="346"/>
      <c r="E20" s="346"/>
      <c r="F20" s="346"/>
      <c r="G20" s="163"/>
      <c r="H20" s="164">
        <v>11301</v>
      </c>
      <c r="I20" s="164"/>
      <c r="J20" s="299"/>
      <c r="K20" s="199">
        <v>0</v>
      </c>
      <c r="L20" s="200">
        <v>0</v>
      </c>
    </row>
    <row r="21" spans="1:12" ht="16.5" customHeight="1">
      <c r="A21" s="165">
        <v>5</v>
      </c>
      <c r="B21" s="344" t="s">
        <v>239</v>
      </c>
      <c r="C21" s="347"/>
      <c r="D21" s="347"/>
      <c r="E21" s="347"/>
      <c r="F21" s="347"/>
      <c r="G21" s="166">
        <v>73</v>
      </c>
      <c r="H21" s="166">
        <v>11400</v>
      </c>
      <c r="I21" s="166"/>
      <c r="J21" s="300"/>
      <c r="K21" s="199">
        <v>0</v>
      </c>
      <c r="L21" s="200">
        <v>0</v>
      </c>
    </row>
    <row r="22" spans="1:12" ht="16.5" customHeight="1">
      <c r="A22" s="167">
        <v>6</v>
      </c>
      <c r="B22" s="344" t="s">
        <v>240</v>
      </c>
      <c r="C22" s="347"/>
      <c r="D22" s="347"/>
      <c r="E22" s="347"/>
      <c r="F22" s="347"/>
      <c r="G22" s="166">
        <v>75</v>
      </c>
      <c r="H22" s="168">
        <v>11500</v>
      </c>
      <c r="I22" s="168"/>
      <c r="J22" s="301">
        <f>'Te ardhura e shpenzime'!E7/1000</f>
        <v>0</v>
      </c>
      <c r="K22" s="199">
        <v>0</v>
      </c>
      <c r="L22" s="200">
        <v>0</v>
      </c>
    </row>
    <row r="23" spans="1:12" ht="16.5" customHeight="1">
      <c r="A23" s="165">
        <v>7</v>
      </c>
      <c r="B23" s="343" t="s">
        <v>241</v>
      </c>
      <c r="C23" s="343"/>
      <c r="D23" s="343"/>
      <c r="E23" s="343"/>
      <c r="F23" s="344"/>
      <c r="G23" s="153">
        <v>77</v>
      </c>
      <c r="H23" s="153">
        <v>11600</v>
      </c>
      <c r="I23" s="153"/>
      <c r="J23" s="302"/>
      <c r="K23" s="199">
        <v>0</v>
      </c>
      <c r="L23" s="200">
        <v>0</v>
      </c>
    </row>
    <row r="24" spans="1:12" ht="16.5" customHeight="1" thickBot="1">
      <c r="A24" s="169" t="s">
        <v>242</v>
      </c>
      <c r="B24" s="340" t="s">
        <v>243</v>
      </c>
      <c r="C24" s="340"/>
      <c r="D24" s="340"/>
      <c r="E24" s="340"/>
      <c r="F24" s="340"/>
      <c r="G24" s="170"/>
      <c r="H24" s="170">
        <v>11800</v>
      </c>
      <c r="I24" s="170"/>
      <c r="J24" s="303">
        <f>J8+J22</f>
        <v>11147.90244</v>
      </c>
      <c r="K24" s="303">
        <f>K8+K22</f>
        <v>4574.613</v>
      </c>
      <c r="L24" s="201">
        <v>8178.55536</v>
      </c>
    </row>
    <row r="25" spans="1:12" ht="16.5" customHeight="1">
      <c r="A25" s="171"/>
      <c r="B25" s="172"/>
      <c r="C25" s="172"/>
      <c r="D25" s="172"/>
      <c r="E25" s="172"/>
      <c r="F25" s="172"/>
      <c r="G25" s="172"/>
      <c r="H25" s="172"/>
      <c r="I25" s="172"/>
      <c r="J25" s="172"/>
      <c r="K25" s="173"/>
      <c r="L25" s="173"/>
    </row>
    <row r="26" spans="1:12" ht="16.5" customHeight="1">
      <c r="A26" s="171"/>
      <c r="B26" s="172"/>
      <c r="C26" s="172"/>
      <c r="D26" s="172"/>
      <c r="E26" s="172"/>
      <c r="F26" s="172"/>
      <c r="G26" s="172"/>
      <c r="H26" s="172"/>
      <c r="I26" s="172"/>
      <c r="J26" s="172"/>
      <c r="K26" s="173"/>
      <c r="L26" s="173"/>
    </row>
    <row r="27" spans="1:12" ht="16.5" customHeight="1">
      <c r="A27" s="171"/>
      <c r="B27" s="172"/>
      <c r="C27" s="172"/>
      <c r="D27" s="172"/>
      <c r="E27" s="172"/>
      <c r="F27" s="172"/>
      <c r="G27" s="172"/>
      <c r="H27" s="172"/>
      <c r="I27" s="173" t="s">
        <v>244</v>
      </c>
      <c r="J27" s="172"/>
      <c r="K27" s="173"/>
      <c r="L27" s="173"/>
    </row>
    <row r="28" spans="1:12" ht="16.5" customHeight="1">
      <c r="A28" s="171"/>
      <c r="B28" s="172"/>
      <c r="C28" s="172"/>
      <c r="D28" s="172"/>
      <c r="E28" s="172"/>
      <c r="F28" s="172"/>
      <c r="G28" s="172"/>
      <c r="H28" s="172"/>
      <c r="I28" s="173" t="s">
        <v>452</v>
      </c>
      <c r="L28" s="173"/>
    </row>
    <row r="29" spans="1:12" ht="16.5" customHeight="1">
      <c r="A29" s="171"/>
      <c r="B29" s="172"/>
      <c r="C29" s="172"/>
      <c r="D29" s="172"/>
      <c r="E29" s="172"/>
      <c r="F29" s="172"/>
      <c r="G29" s="172"/>
      <c r="H29" s="172"/>
      <c r="I29" s="172"/>
      <c r="L29" s="173"/>
    </row>
    <row r="30" spans="1:12" ht="16.5" customHeight="1">
      <c r="A30" s="171"/>
      <c r="B30" s="172"/>
      <c r="C30" s="172"/>
      <c r="D30" s="172"/>
      <c r="E30" s="172"/>
      <c r="F30" s="172"/>
      <c r="G30" s="172"/>
      <c r="H30" s="172"/>
      <c r="I30" s="172"/>
      <c r="J30" s="172"/>
      <c r="K30" s="173"/>
      <c r="L30" s="173"/>
    </row>
    <row r="31" spans="1:12" ht="16.5" customHeight="1">
      <c r="A31" s="171"/>
      <c r="B31" s="172"/>
      <c r="C31" s="172"/>
      <c r="D31" s="172"/>
      <c r="E31" s="172"/>
      <c r="F31" s="172"/>
      <c r="G31" s="172"/>
      <c r="H31" s="172"/>
      <c r="I31" s="172"/>
      <c r="J31" s="172"/>
      <c r="K31" s="173"/>
      <c r="L31" s="173"/>
    </row>
    <row r="32" spans="1:12" ht="16.5" customHeight="1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3"/>
      <c r="L32" s="173"/>
    </row>
    <row r="33" spans="1:12" ht="16.5" customHeight="1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3"/>
      <c r="L33" s="173"/>
    </row>
    <row r="34" spans="1:12" ht="16.5" customHeight="1">
      <c r="A34" s="171"/>
      <c r="B34" s="172"/>
      <c r="C34" s="172"/>
      <c r="D34" s="172"/>
      <c r="E34" s="172"/>
      <c r="F34" s="172"/>
      <c r="G34" s="172"/>
      <c r="H34" s="172"/>
      <c r="I34" s="172"/>
      <c r="J34" s="172"/>
      <c r="K34" s="173"/>
      <c r="L34" s="173"/>
    </row>
    <row r="35" spans="1:12" ht="16.5" customHeight="1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3"/>
      <c r="L35" s="173"/>
    </row>
    <row r="36" spans="1:12" ht="16.5" customHeight="1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3"/>
      <c r="L36" s="173"/>
    </row>
    <row r="37" spans="1:12" ht="16.5" customHeight="1">
      <c r="A37" s="171"/>
      <c r="B37" s="172"/>
      <c r="C37" s="172"/>
      <c r="D37" s="172"/>
      <c r="E37" s="172"/>
      <c r="F37" s="172"/>
      <c r="G37" s="172"/>
      <c r="H37" s="172"/>
      <c r="I37" s="172"/>
      <c r="J37" s="172"/>
      <c r="K37" s="173"/>
      <c r="L37" s="173"/>
    </row>
    <row r="38" spans="1:12" ht="16.5" customHeight="1">
      <c r="A38" s="171"/>
      <c r="B38" s="172"/>
      <c r="C38" s="172"/>
      <c r="D38" s="172"/>
      <c r="E38" s="172"/>
      <c r="F38" s="172"/>
      <c r="G38" s="172"/>
      <c r="H38" s="172"/>
      <c r="I38" s="172"/>
      <c r="J38" s="172"/>
      <c r="K38" s="173"/>
      <c r="L38" s="173"/>
    </row>
    <row r="39" spans="1:12" ht="16.5" customHeight="1">
      <c r="A39" s="171"/>
      <c r="B39" s="172"/>
      <c r="C39" s="172"/>
      <c r="D39" s="172"/>
      <c r="E39" s="172"/>
      <c r="F39" s="172"/>
      <c r="G39" s="172"/>
      <c r="H39" s="172"/>
      <c r="I39" s="172"/>
      <c r="J39" s="172"/>
      <c r="K39" s="173"/>
      <c r="L39" s="173"/>
    </row>
    <row r="40" spans="1:12" ht="16.5" customHeight="1">
      <c r="A40" s="171"/>
      <c r="B40" s="172"/>
      <c r="C40" s="172"/>
      <c r="D40" s="172"/>
      <c r="E40" s="172"/>
      <c r="F40" s="172"/>
      <c r="G40" s="172"/>
      <c r="H40" s="172"/>
      <c r="I40" s="172"/>
      <c r="J40" s="172"/>
      <c r="K40" s="173"/>
      <c r="L40" s="173"/>
    </row>
    <row r="41" spans="1:12" ht="16.5" customHeight="1">
      <c r="A41" s="171"/>
      <c r="B41" s="172"/>
      <c r="C41" s="172"/>
      <c r="D41" s="172"/>
      <c r="E41" s="172"/>
      <c r="F41" s="172"/>
      <c r="G41" s="172"/>
      <c r="H41" s="172"/>
      <c r="I41" s="172"/>
      <c r="J41" s="172"/>
      <c r="K41" s="173"/>
      <c r="L41" s="173"/>
    </row>
    <row r="42" spans="1:12" ht="16.5" customHeight="1">
      <c r="A42" s="171"/>
      <c r="B42" s="172"/>
      <c r="C42" s="172"/>
      <c r="D42" s="172"/>
      <c r="E42" s="172"/>
      <c r="F42" s="172"/>
      <c r="G42" s="172"/>
      <c r="H42" s="172"/>
      <c r="I42" s="172"/>
      <c r="J42" s="172"/>
      <c r="K42" s="173"/>
      <c r="L42" s="173"/>
    </row>
    <row r="43" spans="1:12" ht="16.5" customHeight="1">
      <c r="A43" s="171"/>
      <c r="B43" s="172"/>
      <c r="C43" s="172"/>
      <c r="D43" s="172"/>
      <c r="E43" s="172"/>
      <c r="F43" s="172"/>
      <c r="G43" s="172"/>
      <c r="H43" s="172"/>
      <c r="I43" s="172"/>
      <c r="J43" s="172"/>
      <c r="K43" s="173"/>
      <c r="L43" s="173"/>
    </row>
    <row r="44" spans="1:12" ht="16.5" customHeight="1">
      <c r="A44" s="171"/>
      <c r="B44" s="172"/>
      <c r="C44" s="172"/>
      <c r="D44" s="172"/>
      <c r="E44" s="172"/>
      <c r="F44" s="172"/>
      <c r="G44" s="172"/>
      <c r="H44" s="172"/>
      <c r="I44" s="172"/>
      <c r="J44" s="172"/>
      <c r="K44" s="173"/>
      <c r="L44" s="173"/>
    </row>
    <row r="45" spans="1:12" ht="16.5" customHeight="1">
      <c r="A45" s="171"/>
      <c r="B45" s="172"/>
      <c r="C45" s="172"/>
      <c r="D45" s="172"/>
      <c r="E45" s="172"/>
      <c r="F45" s="172"/>
      <c r="G45" s="172"/>
      <c r="H45" s="172"/>
      <c r="I45" s="172"/>
      <c r="J45" s="172"/>
      <c r="K45" s="173"/>
      <c r="L45" s="173"/>
    </row>
    <row r="46" spans="1:12" ht="16.5" customHeight="1">
      <c r="A46" s="171"/>
      <c r="B46" s="172"/>
      <c r="C46" s="172"/>
      <c r="D46" s="172"/>
      <c r="E46" s="172"/>
      <c r="F46" s="172"/>
      <c r="G46" s="172"/>
      <c r="H46" s="172"/>
      <c r="I46" s="172"/>
      <c r="J46" s="172"/>
      <c r="K46" s="173"/>
      <c r="L46" s="173"/>
    </row>
    <row r="47" spans="1:12" ht="16.5" customHeight="1">
      <c r="A47" s="171"/>
      <c r="B47" s="172"/>
      <c r="C47" s="172"/>
      <c r="D47" s="172"/>
      <c r="E47" s="172"/>
      <c r="F47" s="172"/>
      <c r="G47" s="172"/>
      <c r="H47" s="172"/>
      <c r="I47" s="172"/>
      <c r="J47" s="172"/>
      <c r="K47" s="173"/>
      <c r="L47" s="173"/>
    </row>
    <row r="48" spans="1:12" ht="16.5" customHeight="1">
      <c r="A48" s="171"/>
      <c r="B48" s="172"/>
      <c r="C48" s="172"/>
      <c r="D48" s="172"/>
      <c r="E48" s="172"/>
      <c r="F48" s="172"/>
      <c r="G48" s="172"/>
      <c r="H48" s="172"/>
      <c r="I48" s="172"/>
      <c r="J48" s="172"/>
      <c r="K48" s="173"/>
      <c r="L48" s="173"/>
    </row>
    <row r="49" spans="1:12" ht="16.5" customHeight="1">
      <c r="A49" s="171"/>
      <c r="B49" s="172"/>
      <c r="C49" s="172"/>
      <c r="D49" s="172"/>
      <c r="E49" s="172"/>
      <c r="F49" s="172"/>
      <c r="G49" s="172"/>
      <c r="H49" s="172"/>
      <c r="I49" s="172"/>
      <c r="J49" s="172"/>
      <c r="K49" s="173"/>
      <c r="L49" s="173"/>
    </row>
    <row r="50" spans="1:12" ht="16.5" customHeight="1">
      <c r="A50" s="171"/>
      <c r="B50" s="172"/>
      <c r="C50" s="172"/>
      <c r="D50" s="172"/>
      <c r="E50" s="172"/>
      <c r="F50" s="172"/>
      <c r="G50" s="172"/>
      <c r="H50" s="172"/>
      <c r="I50" s="172"/>
      <c r="J50" s="172"/>
      <c r="K50" s="173"/>
      <c r="L50" s="173"/>
    </row>
    <row r="51" ht="16.5" customHeight="1"/>
    <row r="55" spans="13:16" ht="12.75" customHeight="1">
      <c r="M55" s="141"/>
      <c r="N55" s="141"/>
      <c r="O55" s="141"/>
      <c r="P55" s="141"/>
    </row>
    <row r="57" ht="24.75" customHeight="1"/>
    <row r="58" ht="16.5" customHeight="1"/>
    <row r="59" ht="16.5" customHeight="1"/>
    <row r="60" ht="12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2.7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103" spans="1:12" ht="12.75">
      <c r="A103" s="137"/>
      <c r="B103" s="19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</row>
    <row r="104" spans="1:12" ht="12.75">
      <c r="A104" s="137"/>
      <c r="B104" s="19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</row>
    <row r="105" spans="1:12" ht="12.75">
      <c r="A105" s="137"/>
      <c r="B105" s="19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</row>
    <row r="106" spans="1:12" ht="12.7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</row>
    <row r="107" spans="1:12" ht="12.75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</row>
    <row r="108" spans="1:12" ht="12.75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</row>
    <row r="109" spans="1:12" ht="12.75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</row>
    <row r="110" spans="1:12" ht="12.75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</row>
    <row r="111" spans="1:12" ht="12.75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</row>
    <row r="112" spans="1:12" ht="12.7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</row>
    <row r="113" spans="1:12" ht="12.75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</row>
    <row r="114" spans="1:12" ht="12.75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</row>
    <row r="115" spans="1:12" ht="12.75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</row>
    <row r="116" spans="1:12" ht="12.75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</row>
    <row r="117" spans="1:12" ht="12.75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</row>
    <row r="118" spans="1:12" ht="12.75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</row>
    <row r="119" spans="1:12" ht="12.75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</row>
    <row r="120" spans="1:12" ht="12.75">
      <c r="A120" s="137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</row>
    <row r="121" spans="1:12" ht="12.75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</row>
    <row r="122" spans="1:12" ht="12.75">
      <c r="A122" s="137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</row>
    <row r="123" spans="1:12" ht="12.75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</row>
    <row r="124" spans="1:12" ht="12.75">
      <c r="A124" s="137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</row>
    <row r="125" spans="1:12" ht="12.75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</row>
    <row r="126" spans="1:12" ht="12.75">
      <c r="A126" s="137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</row>
    <row r="127" spans="1:12" ht="12.75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</row>
    <row r="128" spans="1:12" ht="12.75">
      <c r="A128" s="137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</row>
    <row r="129" spans="1:12" ht="12.75">
      <c r="A129" s="137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</row>
    <row r="130" spans="1:12" ht="12.75">
      <c r="A130" s="137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</row>
    <row r="131" spans="1:12" ht="12.75">
      <c r="A131" s="137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</row>
    <row r="132" spans="1:12" ht="12.75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</row>
    <row r="133" spans="1:12" ht="12.75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</row>
    <row r="134" spans="1:12" ht="12.75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</row>
    <row r="135" spans="1:12" ht="12.75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1:12" ht="12.75">
      <c r="A136" s="137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1:12" ht="12.75">
      <c r="A137" s="137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</row>
    <row r="138" spans="1:12" ht="12.75">
      <c r="A138" s="137"/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</row>
    <row r="139" spans="1:12" ht="12.75">
      <c r="A139" s="137"/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</row>
    <row r="140" spans="1:12" ht="12.75">
      <c r="A140" s="137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</row>
    <row r="141" spans="1:12" ht="12.75">
      <c r="A141" s="137"/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</row>
    <row r="142" spans="1:12" ht="12.75">
      <c r="A142" s="137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</row>
    <row r="143" spans="1:12" ht="12.75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</row>
    <row r="144" spans="1:12" ht="12.75">
      <c r="A144" s="137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</row>
    <row r="145" spans="1:12" ht="12.75">
      <c r="A145" s="137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</row>
    <row r="146" spans="1:12" ht="12.75">
      <c r="A146" s="137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</row>
    <row r="147" spans="1:12" ht="12.75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</row>
    <row r="148" spans="1:12" ht="12.75">
      <c r="A148" s="137"/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</row>
    <row r="149" spans="1:12" ht="12.75">
      <c r="A149" s="137"/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</row>
    <row r="150" spans="1:12" ht="12.75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</row>
    <row r="151" spans="1:12" ht="12.75">
      <c r="A151" s="137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</row>
    <row r="152" spans="1:12" ht="12.75">
      <c r="A152" s="137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</row>
    <row r="153" spans="1:12" ht="12.75">
      <c r="A153" s="137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</row>
    <row r="154" spans="1:12" ht="12.75">
      <c r="A154" s="137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</row>
    <row r="155" spans="1:12" ht="12.75">
      <c r="A155" s="137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</row>
    <row r="156" spans="1:12" ht="12.75">
      <c r="A156" s="137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</row>
    <row r="157" spans="1:12" ht="12.75">
      <c r="A157" s="137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</row>
    <row r="158" spans="1:12" ht="12.75">
      <c r="A158" s="137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</row>
    <row r="159" spans="1:12" ht="12.75">
      <c r="A159" s="137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</row>
    <row r="160" spans="1:12" ht="12.75">
      <c r="A160" s="137"/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</row>
    <row r="161" spans="1:12" ht="12.75">
      <c r="A161" s="137"/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</row>
    <row r="162" spans="1:12" ht="12.75">
      <c r="A162" s="137"/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</row>
    <row r="163" spans="1:12" ht="12.75">
      <c r="A163" s="137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</row>
    <row r="164" spans="1:12" ht="12.75">
      <c r="A164" s="137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</row>
    <row r="165" spans="1:12" ht="12.75">
      <c r="A165" s="137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</row>
    <row r="166" spans="1:12" ht="12.75">
      <c r="A166" s="137"/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</row>
    <row r="167" spans="1:12" ht="12.75">
      <c r="A167" s="137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</row>
    <row r="168" spans="1:12" ht="12.75">
      <c r="A168" s="137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</row>
    <row r="169" spans="1:12" ht="12.75">
      <c r="A169" s="137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</row>
    <row r="170" spans="1:12" ht="12.75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</row>
    <row r="171" spans="1:12" ht="12.75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</row>
    <row r="172" spans="1:12" ht="12.75">
      <c r="A172" s="137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</row>
    <row r="173" spans="1:12" ht="12.75">
      <c r="A173" s="137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</row>
    <row r="174" spans="1:12" ht="12.75">
      <c r="A174" s="137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</row>
    <row r="175" spans="1:12" ht="12.75">
      <c r="A175" s="137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</row>
    <row r="176" spans="1:12" ht="12.75">
      <c r="A176" s="137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</row>
    <row r="177" spans="1:12" ht="12.75">
      <c r="A177" s="137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</row>
    <row r="178" spans="1:12" ht="12.75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</row>
    <row r="179" spans="1:12" ht="12.75">
      <c r="A179" s="137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</row>
    <row r="180" spans="1:12" ht="12.75">
      <c r="A180" s="137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</row>
    <row r="181" spans="1:12" ht="12.75">
      <c r="A181" s="137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</row>
    <row r="182" spans="1:12" ht="12.75">
      <c r="A182" s="137"/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</row>
    <row r="183" spans="1:12" ht="12.75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</row>
    <row r="184" spans="1:12" ht="12.75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</row>
    <row r="185" spans="1:12" ht="12.75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</row>
    <row r="186" spans="1:12" ht="12.75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</row>
    <row r="187" spans="1:12" ht="12.75">
      <c r="A187" s="137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</row>
    <row r="188" spans="1:12" ht="12.75">
      <c r="A188" s="137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</row>
    <row r="189" spans="1:12" ht="12.75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</row>
  </sheetData>
  <sheetProtection/>
  <mergeCells count="19">
    <mergeCell ref="A6:L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24:F24"/>
    <mergeCell ref="B18:F18"/>
    <mergeCell ref="B19:F19"/>
    <mergeCell ref="B20:F20"/>
    <mergeCell ref="B21:F21"/>
    <mergeCell ref="B22:F22"/>
    <mergeCell ref="B23:F23"/>
  </mergeCells>
  <printOptions/>
  <pageMargins left="0.27" right="0.09" top="0.5" bottom="0.35" header="0.24" footer="0.2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7.140625" style="0" customWidth="1"/>
    <col min="8" max="8" width="11.7109375" style="0" customWidth="1"/>
  </cols>
  <sheetData>
    <row r="2" spans="1:10" ht="12.75">
      <c r="A2" s="137"/>
      <c r="B2" s="138" t="s">
        <v>450</v>
      </c>
      <c r="C2" s="139"/>
      <c r="D2" s="139"/>
      <c r="E2" s="137"/>
      <c r="F2" s="137"/>
      <c r="G2" s="137"/>
      <c r="H2" s="137"/>
      <c r="I2" s="137"/>
      <c r="J2" s="137"/>
    </row>
    <row r="3" spans="1:10" ht="12.75">
      <c r="A3" s="137"/>
      <c r="B3" s="138" t="s">
        <v>451</v>
      </c>
      <c r="C3" s="139"/>
      <c r="D3" s="139"/>
      <c r="E3" s="137"/>
      <c r="F3" s="137"/>
      <c r="G3" s="137"/>
      <c r="H3" s="137"/>
      <c r="I3" s="137"/>
      <c r="J3" s="137"/>
    </row>
    <row r="4" spans="1:9" ht="12.75">
      <c r="A4" s="137"/>
      <c r="B4" s="32"/>
      <c r="C4" s="137"/>
      <c r="D4" s="137"/>
      <c r="E4" s="137"/>
      <c r="F4" s="137"/>
      <c r="G4" s="137"/>
      <c r="H4" s="137"/>
      <c r="I4" s="202" t="s">
        <v>245</v>
      </c>
    </row>
    <row r="5" spans="1:11" ht="12.7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41"/>
    </row>
    <row r="6" spans="1:10" ht="12.75">
      <c r="A6" s="350" t="s">
        <v>216</v>
      </c>
      <c r="B6" s="351"/>
      <c r="C6" s="351"/>
      <c r="D6" s="351"/>
      <c r="E6" s="351"/>
      <c r="F6" s="351"/>
      <c r="G6" s="351"/>
      <c r="H6" s="351"/>
      <c r="I6" s="351"/>
      <c r="J6" s="351"/>
    </row>
    <row r="7" spans="1:10" ht="22.5" thickBot="1">
      <c r="A7" s="174"/>
      <c r="B7" s="357" t="s">
        <v>246</v>
      </c>
      <c r="C7" s="358"/>
      <c r="D7" s="358"/>
      <c r="E7" s="358"/>
      <c r="F7" s="359"/>
      <c r="G7" s="175" t="s">
        <v>218</v>
      </c>
      <c r="H7" s="175" t="s">
        <v>219</v>
      </c>
      <c r="I7" s="203" t="s">
        <v>459</v>
      </c>
      <c r="J7" s="203" t="s">
        <v>388</v>
      </c>
    </row>
    <row r="8" spans="1:10" ht="12.75">
      <c r="A8" s="176">
        <v>1</v>
      </c>
      <c r="B8" s="360" t="s">
        <v>247</v>
      </c>
      <c r="C8" s="361"/>
      <c r="D8" s="361"/>
      <c r="E8" s="361"/>
      <c r="F8" s="361"/>
      <c r="G8" s="177">
        <v>60</v>
      </c>
      <c r="H8" s="177">
        <v>12100</v>
      </c>
      <c r="I8" s="177"/>
      <c r="J8" s="278"/>
    </row>
    <row r="9" spans="1:10" ht="12.75">
      <c r="A9" s="178" t="s">
        <v>248</v>
      </c>
      <c r="B9" s="362" t="s">
        <v>249</v>
      </c>
      <c r="C9" s="362" t="s">
        <v>250</v>
      </c>
      <c r="D9" s="362"/>
      <c r="E9" s="362"/>
      <c r="F9" s="362"/>
      <c r="G9" s="179" t="s">
        <v>251</v>
      </c>
      <c r="H9" s="179">
        <v>12101</v>
      </c>
      <c r="I9" s="179"/>
      <c r="J9" s="279"/>
    </row>
    <row r="10" spans="1:10" ht="12.75">
      <c r="A10" s="178" t="s">
        <v>224</v>
      </c>
      <c r="B10" s="362" t="s">
        <v>252</v>
      </c>
      <c r="C10" s="362" t="s">
        <v>250</v>
      </c>
      <c r="D10" s="362"/>
      <c r="E10" s="362"/>
      <c r="F10" s="362"/>
      <c r="G10" s="179"/>
      <c r="H10" s="181">
        <v>12102</v>
      </c>
      <c r="I10" s="181"/>
      <c r="J10" s="281"/>
    </row>
    <row r="11" spans="1:10" ht="12.75">
      <c r="A11" s="178" t="s">
        <v>226</v>
      </c>
      <c r="B11" s="362" t="s">
        <v>253</v>
      </c>
      <c r="C11" s="362" t="s">
        <v>250</v>
      </c>
      <c r="D11" s="362"/>
      <c r="E11" s="362"/>
      <c r="F11" s="362"/>
      <c r="G11" s="179" t="s">
        <v>254</v>
      </c>
      <c r="H11" s="179">
        <v>12103</v>
      </c>
      <c r="I11" s="179"/>
      <c r="J11" s="279"/>
    </row>
    <row r="12" spans="1:10" ht="12.75">
      <c r="A12" s="178" t="s">
        <v>255</v>
      </c>
      <c r="B12" s="363" t="s">
        <v>256</v>
      </c>
      <c r="C12" s="362" t="s">
        <v>250</v>
      </c>
      <c r="D12" s="362"/>
      <c r="E12" s="362"/>
      <c r="F12" s="362"/>
      <c r="G12" s="179"/>
      <c r="H12" s="181">
        <v>12104</v>
      </c>
      <c r="I12" s="181"/>
      <c r="J12" s="281"/>
    </row>
    <row r="13" spans="1:10" ht="12.75">
      <c r="A13" s="178" t="s">
        <v>257</v>
      </c>
      <c r="B13" s="362" t="s">
        <v>258</v>
      </c>
      <c r="C13" s="362" t="s">
        <v>250</v>
      </c>
      <c r="D13" s="362"/>
      <c r="E13" s="362"/>
      <c r="F13" s="362"/>
      <c r="G13" s="179" t="s">
        <v>259</v>
      </c>
      <c r="H13" s="181">
        <v>12105</v>
      </c>
      <c r="I13" s="181"/>
      <c r="J13" s="281"/>
    </row>
    <row r="14" spans="1:10" ht="12.75">
      <c r="A14" s="182">
        <v>2</v>
      </c>
      <c r="B14" s="364" t="s">
        <v>260</v>
      </c>
      <c r="C14" s="364"/>
      <c r="D14" s="364"/>
      <c r="E14" s="364"/>
      <c r="F14" s="364"/>
      <c r="G14" s="183">
        <v>64</v>
      </c>
      <c r="H14" s="183">
        <v>12200</v>
      </c>
      <c r="I14" s="282">
        <f>SUM(I15:I16)</f>
        <v>1842.222</v>
      </c>
      <c r="J14" s="282">
        <f>SUM(J15:J16)</f>
        <v>2211.421</v>
      </c>
    </row>
    <row r="15" spans="1:10" ht="12.75">
      <c r="A15" s="184" t="s">
        <v>261</v>
      </c>
      <c r="B15" s="364" t="s">
        <v>262</v>
      </c>
      <c r="C15" s="365"/>
      <c r="D15" s="365"/>
      <c r="E15" s="365"/>
      <c r="F15" s="365"/>
      <c r="G15" s="181">
        <v>641</v>
      </c>
      <c r="H15" s="181">
        <v>12201</v>
      </c>
      <c r="I15" s="281">
        <f>'Te ardhura e shpenzime'!D12/1000</f>
        <v>1578.588</v>
      </c>
      <c r="J15" s="281">
        <f>'Te ardhura e shpenzime'!E12/1000</f>
        <v>1894.952</v>
      </c>
    </row>
    <row r="16" spans="1:10" ht="12.75">
      <c r="A16" s="184" t="s">
        <v>263</v>
      </c>
      <c r="B16" s="365" t="s">
        <v>264</v>
      </c>
      <c r="C16" s="365"/>
      <c r="D16" s="365"/>
      <c r="E16" s="365"/>
      <c r="F16" s="365"/>
      <c r="G16" s="181">
        <v>644</v>
      </c>
      <c r="H16" s="181">
        <v>12202</v>
      </c>
      <c r="I16" s="281">
        <f>'Te ardhura e shpenzime'!D13/1000</f>
        <v>263.634</v>
      </c>
      <c r="J16" s="281">
        <f>'Te ardhura e shpenzime'!E13/1000</f>
        <v>316.469</v>
      </c>
    </row>
    <row r="17" spans="1:10" ht="12.75">
      <c r="A17" s="182">
        <v>3</v>
      </c>
      <c r="B17" s="364" t="s">
        <v>265</v>
      </c>
      <c r="C17" s="364"/>
      <c r="D17" s="364"/>
      <c r="E17" s="364"/>
      <c r="F17" s="364"/>
      <c r="G17" s="183">
        <v>68</v>
      </c>
      <c r="H17" s="183">
        <v>12300</v>
      </c>
      <c r="I17" s="282">
        <f>'Te ardhura e shpenzime'!D14/1000</f>
        <v>3656.3825</v>
      </c>
      <c r="J17" s="282">
        <f>'Te ardhura e shpenzime'!E14/1000</f>
        <v>4579.674</v>
      </c>
    </row>
    <row r="18" spans="1:10" ht="12.75">
      <c r="A18" s="182">
        <v>4</v>
      </c>
      <c r="B18" s="364" t="s">
        <v>266</v>
      </c>
      <c r="C18" s="364"/>
      <c r="D18" s="364"/>
      <c r="E18" s="364"/>
      <c r="F18" s="364"/>
      <c r="G18" s="183">
        <v>61</v>
      </c>
      <c r="H18" s="183">
        <v>12400</v>
      </c>
      <c r="I18" s="282">
        <f>SUM(I19:I33)</f>
        <v>1707.55876</v>
      </c>
      <c r="J18" s="282">
        <f>SUM(J19:J33)</f>
        <v>2977.6477</v>
      </c>
    </row>
    <row r="19" spans="1:10" ht="12.75">
      <c r="A19" s="184" t="s">
        <v>221</v>
      </c>
      <c r="B19" s="366" t="s">
        <v>267</v>
      </c>
      <c r="C19" s="366"/>
      <c r="D19" s="366"/>
      <c r="E19" s="366"/>
      <c r="F19" s="366"/>
      <c r="G19" s="179"/>
      <c r="H19" s="179">
        <v>12401</v>
      </c>
      <c r="I19" s="179"/>
      <c r="J19" s="279"/>
    </row>
    <row r="20" spans="1:10" ht="12.75">
      <c r="A20" s="184" t="s">
        <v>230</v>
      </c>
      <c r="B20" s="366" t="s">
        <v>268</v>
      </c>
      <c r="C20" s="366"/>
      <c r="D20" s="366"/>
      <c r="E20" s="366"/>
      <c r="F20" s="366"/>
      <c r="G20" s="185">
        <v>611</v>
      </c>
      <c r="H20" s="179">
        <v>12402</v>
      </c>
      <c r="I20" s="279">
        <f>('Shenime (2)'!C67+'Shenime (2)'!C72+'Shenime (2)'!C73+'Shenime (2)'!C74+'Shenime (2)'!C75+'Shenime (2)'!C76+'Shenime (2)'!C77)/1000</f>
        <v>744.32964</v>
      </c>
      <c r="J20" s="279">
        <v>1499.5909700000002</v>
      </c>
    </row>
    <row r="21" spans="1:10" ht="12.75">
      <c r="A21" s="184" t="s">
        <v>232</v>
      </c>
      <c r="B21" s="366" t="s">
        <v>196</v>
      </c>
      <c r="C21" s="366"/>
      <c r="D21" s="366"/>
      <c r="E21" s="366"/>
      <c r="F21" s="366"/>
      <c r="G21" s="179">
        <v>613</v>
      </c>
      <c r="H21" s="179">
        <v>12403</v>
      </c>
      <c r="I21" s="279">
        <f>'Shenime (2)'!C68/1000</f>
        <v>676.61539</v>
      </c>
      <c r="J21" s="279">
        <v>730.0704000000001</v>
      </c>
    </row>
    <row r="22" spans="1:10" ht="12.75">
      <c r="A22" s="184" t="s">
        <v>269</v>
      </c>
      <c r="B22" s="366" t="s">
        <v>270</v>
      </c>
      <c r="C22" s="366"/>
      <c r="D22" s="366"/>
      <c r="E22" s="366"/>
      <c r="F22" s="366"/>
      <c r="G22" s="185">
        <v>615</v>
      </c>
      <c r="H22" s="179">
        <v>12404</v>
      </c>
      <c r="I22" s="279"/>
      <c r="J22" s="279">
        <v>120</v>
      </c>
    </row>
    <row r="23" spans="1:10" ht="12.75">
      <c r="A23" s="184" t="s">
        <v>271</v>
      </c>
      <c r="B23" s="366" t="s">
        <v>272</v>
      </c>
      <c r="C23" s="366"/>
      <c r="D23" s="366"/>
      <c r="E23" s="366"/>
      <c r="F23" s="366"/>
      <c r="G23" s="185">
        <v>616</v>
      </c>
      <c r="H23" s="179">
        <v>12405</v>
      </c>
      <c r="I23" s="279"/>
      <c r="J23" s="279"/>
    </row>
    <row r="24" spans="1:10" ht="12.75">
      <c r="A24" s="184" t="s">
        <v>273</v>
      </c>
      <c r="B24" s="366" t="s">
        <v>274</v>
      </c>
      <c r="C24" s="366"/>
      <c r="D24" s="366"/>
      <c r="E24" s="366"/>
      <c r="F24" s="366"/>
      <c r="G24" s="185">
        <v>617</v>
      </c>
      <c r="H24" s="179">
        <v>12406</v>
      </c>
      <c r="I24" s="279"/>
      <c r="J24" s="279"/>
    </row>
    <row r="25" spans="1:10" ht="12.75">
      <c r="A25" s="184" t="s">
        <v>275</v>
      </c>
      <c r="B25" s="362" t="s">
        <v>276</v>
      </c>
      <c r="C25" s="362" t="s">
        <v>250</v>
      </c>
      <c r="D25" s="362"/>
      <c r="E25" s="362"/>
      <c r="F25" s="362"/>
      <c r="G25" s="185">
        <v>618</v>
      </c>
      <c r="H25" s="179">
        <v>12407</v>
      </c>
      <c r="I25" s="279"/>
      <c r="J25" s="279"/>
    </row>
    <row r="26" spans="1:10" ht="12.75">
      <c r="A26" s="184" t="s">
        <v>277</v>
      </c>
      <c r="B26" s="362" t="s">
        <v>278</v>
      </c>
      <c r="C26" s="362"/>
      <c r="D26" s="362"/>
      <c r="E26" s="362"/>
      <c r="F26" s="362"/>
      <c r="G26" s="185">
        <v>623</v>
      </c>
      <c r="H26" s="179">
        <v>12408</v>
      </c>
      <c r="I26" s="279"/>
      <c r="J26" s="279"/>
    </row>
    <row r="27" spans="1:10" ht="12.75">
      <c r="A27" s="184" t="s">
        <v>279</v>
      </c>
      <c r="B27" s="362" t="s">
        <v>280</v>
      </c>
      <c r="C27" s="362"/>
      <c r="D27" s="362"/>
      <c r="E27" s="362"/>
      <c r="F27" s="362"/>
      <c r="G27" s="185">
        <v>624</v>
      </c>
      <c r="H27" s="179">
        <v>12409</v>
      </c>
      <c r="I27" s="279">
        <f>'Shenime (2)'!C69/1000</f>
        <v>3.63997</v>
      </c>
      <c r="J27" s="279">
        <v>139.7</v>
      </c>
    </row>
    <row r="28" spans="1:10" ht="12.75">
      <c r="A28" s="184" t="s">
        <v>281</v>
      </c>
      <c r="B28" s="362" t="s">
        <v>282</v>
      </c>
      <c r="C28" s="362"/>
      <c r="D28" s="362"/>
      <c r="E28" s="362"/>
      <c r="F28" s="362"/>
      <c r="G28" s="185">
        <v>625</v>
      </c>
      <c r="H28" s="179">
        <v>12410</v>
      </c>
      <c r="I28" s="279"/>
      <c r="J28" s="279"/>
    </row>
    <row r="29" spans="1:10" ht="12.75">
      <c r="A29" s="184" t="s">
        <v>283</v>
      </c>
      <c r="B29" s="362" t="s">
        <v>284</v>
      </c>
      <c r="C29" s="362"/>
      <c r="D29" s="362"/>
      <c r="E29" s="362"/>
      <c r="F29" s="362"/>
      <c r="G29" s="185">
        <v>626</v>
      </c>
      <c r="H29" s="179">
        <v>12411</v>
      </c>
      <c r="I29" s="279">
        <f>'Shenime (2)'!C70/1000</f>
        <v>216.06857</v>
      </c>
      <c r="J29" s="279">
        <v>430.61262</v>
      </c>
    </row>
    <row r="30" spans="1:10" ht="12.75">
      <c r="A30" s="186" t="s">
        <v>285</v>
      </c>
      <c r="B30" s="362" t="s">
        <v>286</v>
      </c>
      <c r="C30" s="362"/>
      <c r="D30" s="362"/>
      <c r="E30" s="362"/>
      <c r="F30" s="362"/>
      <c r="G30" s="185">
        <v>627</v>
      </c>
      <c r="H30" s="179">
        <v>12412</v>
      </c>
      <c r="I30" s="279"/>
      <c r="J30" s="279"/>
    </row>
    <row r="31" spans="1:10" ht="12.75">
      <c r="A31" s="184"/>
      <c r="B31" s="368" t="s">
        <v>287</v>
      </c>
      <c r="C31" s="368"/>
      <c r="D31" s="368"/>
      <c r="E31" s="368"/>
      <c r="F31" s="368"/>
      <c r="G31" s="185">
        <v>6271</v>
      </c>
      <c r="H31" s="185">
        <v>124121</v>
      </c>
      <c r="I31" s="289"/>
      <c r="J31" s="289"/>
    </row>
    <row r="32" spans="1:10" ht="12.75">
      <c r="A32" s="184"/>
      <c r="B32" s="368" t="s">
        <v>288</v>
      </c>
      <c r="C32" s="368"/>
      <c r="D32" s="368"/>
      <c r="E32" s="368"/>
      <c r="F32" s="368"/>
      <c r="G32" s="185">
        <v>6272</v>
      </c>
      <c r="H32" s="185">
        <v>124122</v>
      </c>
      <c r="I32" s="289"/>
      <c r="J32" s="289"/>
    </row>
    <row r="33" spans="1:10" ht="12.75">
      <c r="A33" s="184" t="s">
        <v>289</v>
      </c>
      <c r="B33" s="362" t="s">
        <v>290</v>
      </c>
      <c r="C33" s="362"/>
      <c r="D33" s="362"/>
      <c r="E33" s="362"/>
      <c r="F33" s="362"/>
      <c r="G33" s="185">
        <v>628</v>
      </c>
      <c r="H33" s="185">
        <v>12413</v>
      </c>
      <c r="I33" s="289">
        <f>'Shenime (2)'!C71/1000</f>
        <v>66.90519</v>
      </c>
      <c r="J33" s="289">
        <v>57.67371</v>
      </c>
    </row>
    <row r="34" spans="1:10" ht="12.75">
      <c r="A34" s="182">
        <v>5</v>
      </c>
      <c r="B34" s="363" t="s">
        <v>291</v>
      </c>
      <c r="C34" s="362"/>
      <c r="D34" s="362"/>
      <c r="E34" s="362"/>
      <c r="F34" s="362"/>
      <c r="G34" s="180">
        <v>63</v>
      </c>
      <c r="H34" s="180">
        <v>12500</v>
      </c>
      <c r="I34" s="280"/>
      <c r="J34" s="280"/>
    </row>
    <row r="35" spans="1:10" ht="12.75">
      <c r="A35" s="184" t="s">
        <v>221</v>
      </c>
      <c r="B35" s="362" t="s">
        <v>292</v>
      </c>
      <c r="C35" s="362"/>
      <c r="D35" s="362"/>
      <c r="E35" s="362"/>
      <c r="F35" s="362"/>
      <c r="G35" s="185">
        <v>632</v>
      </c>
      <c r="H35" s="185">
        <v>12501</v>
      </c>
      <c r="I35" s="283"/>
      <c r="J35" s="283"/>
    </row>
    <row r="36" spans="1:10" ht="12.75">
      <c r="A36" s="184" t="s">
        <v>230</v>
      </c>
      <c r="B36" s="362" t="s">
        <v>293</v>
      </c>
      <c r="C36" s="362"/>
      <c r="D36" s="362"/>
      <c r="E36" s="362"/>
      <c r="F36" s="362"/>
      <c r="G36" s="185">
        <v>633</v>
      </c>
      <c r="H36" s="185">
        <v>12502</v>
      </c>
      <c r="I36" s="283"/>
      <c r="J36" s="283"/>
    </row>
    <row r="37" spans="1:10" ht="12.75">
      <c r="A37" s="184" t="s">
        <v>232</v>
      </c>
      <c r="B37" s="362" t="s">
        <v>294</v>
      </c>
      <c r="C37" s="362"/>
      <c r="D37" s="362"/>
      <c r="E37" s="362"/>
      <c r="F37" s="362"/>
      <c r="G37" s="185">
        <v>634</v>
      </c>
      <c r="H37" s="185">
        <v>12503</v>
      </c>
      <c r="I37" s="283">
        <f>'Shenime (2)'!C78/1000</f>
        <v>15.12</v>
      </c>
      <c r="J37" s="283">
        <v>55.24</v>
      </c>
    </row>
    <row r="38" spans="1:10" ht="12.75">
      <c r="A38" s="184" t="s">
        <v>269</v>
      </c>
      <c r="B38" s="362" t="s">
        <v>295</v>
      </c>
      <c r="C38" s="362"/>
      <c r="D38" s="362"/>
      <c r="E38" s="362"/>
      <c r="F38" s="362"/>
      <c r="G38" s="185" t="s">
        <v>296</v>
      </c>
      <c r="H38" s="185">
        <v>12504</v>
      </c>
      <c r="I38" s="283"/>
      <c r="J38" s="283"/>
    </row>
    <row r="39" spans="1:10" ht="12.75">
      <c r="A39" s="182" t="s">
        <v>297</v>
      </c>
      <c r="B39" s="364" t="s">
        <v>298</v>
      </c>
      <c r="C39" s="364"/>
      <c r="D39" s="364"/>
      <c r="E39" s="364"/>
      <c r="F39" s="364"/>
      <c r="G39" s="185"/>
      <c r="H39" s="185">
        <v>12600</v>
      </c>
      <c r="I39" s="283"/>
      <c r="J39" s="283"/>
    </row>
    <row r="40" spans="1:10" ht="12.75">
      <c r="A40" s="187"/>
      <c r="B40" s="188" t="s">
        <v>299</v>
      </c>
      <c r="C40" s="189"/>
      <c r="D40" s="189"/>
      <c r="E40" s="189"/>
      <c r="F40" s="189"/>
      <c r="G40" s="189"/>
      <c r="H40" s="189"/>
      <c r="I40" s="189"/>
      <c r="J40" s="284"/>
    </row>
    <row r="41" spans="1:10" ht="12.75">
      <c r="A41" s="190">
        <v>1</v>
      </c>
      <c r="B41" s="367" t="s">
        <v>300</v>
      </c>
      <c r="C41" s="367"/>
      <c r="D41" s="367"/>
      <c r="E41" s="367"/>
      <c r="F41" s="367"/>
      <c r="G41" s="180"/>
      <c r="H41" s="180">
        <v>14000</v>
      </c>
      <c r="I41" s="280">
        <v>3</v>
      </c>
      <c r="J41" s="280">
        <v>3</v>
      </c>
    </row>
    <row r="42" spans="1:10" ht="12.75">
      <c r="A42" s="190">
        <v>2</v>
      </c>
      <c r="B42" s="367" t="s">
        <v>301</v>
      </c>
      <c r="C42" s="367"/>
      <c r="D42" s="367"/>
      <c r="E42" s="367"/>
      <c r="F42" s="367"/>
      <c r="G42" s="180"/>
      <c r="H42" s="180">
        <v>15000</v>
      </c>
      <c r="I42" s="180"/>
      <c r="J42" s="280"/>
    </row>
    <row r="43" spans="1:10" ht="12.75">
      <c r="A43" s="191" t="s">
        <v>221</v>
      </c>
      <c r="B43" s="366" t="s">
        <v>302</v>
      </c>
      <c r="C43" s="366"/>
      <c r="D43" s="366"/>
      <c r="E43" s="366"/>
      <c r="F43" s="366"/>
      <c r="G43" s="180"/>
      <c r="H43" s="185">
        <v>15001</v>
      </c>
      <c r="I43" s="185"/>
      <c r="J43" s="283">
        <v>0</v>
      </c>
    </row>
    <row r="44" spans="1:10" ht="12.75">
      <c r="A44" s="191"/>
      <c r="B44" s="369" t="s">
        <v>303</v>
      </c>
      <c r="C44" s="369"/>
      <c r="D44" s="369"/>
      <c r="E44" s="369"/>
      <c r="F44" s="369"/>
      <c r="G44" s="180"/>
      <c r="H44" s="185">
        <v>150011</v>
      </c>
      <c r="I44" s="185"/>
      <c r="J44" s="283"/>
    </row>
    <row r="45" spans="1:10" ht="12.75">
      <c r="A45" s="192" t="s">
        <v>230</v>
      </c>
      <c r="B45" s="366" t="s">
        <v>304</v>
      </c>
      <c r="C45" s="366"/>
      <c r="D45" s="366"/>
      <c r="E45" s="366"/>
      <c r="F45" s="366"/>
      <c r="G45" s="180"/>
      <c r="H45" s="185">
        <v>15002</v>
      </c>
      <c r="I45" s="185"/>
      <c r="J45" s="283"/>
    </row>
    <row r="46" spans="1:10" ht="13.5" thickBot="1">
      <c r="A46" s="193"/>
      <c r="B46" s="370" t="s">
        <v>305</v>
      </c>
      <c r="C46" s="370"/>
      <c r="D46" s="370"/>
      <c r="E46" s="370"/>
      <c r="F46" s="370"/>
      <c r="G46" s="194"/>
      <c r="H46" s="195">
        <v>150021</v>
      </c>
      <c r="I46" s="195"/>
      <c r="J46" s="285"/>
    </row>
    <row r="47" spans="1:9" ht="12.75">
      <c r="A47" s="196"/>
      <c r="B47" s="196"/>
      <c r="C47" s="196"/>
      <c r="D47" s="196"/>
      <c r="E47" s="196"/>
      <c r="F47" s="196"/>
      <c r="G47" s="196"/>
      <c r="H47" s="196"/>
      <c r="I47" s="204" t="s">
        <v>244</v>
      </c>
    </row>
    <row r="48" spans="1:9" ht="15.75">
      <c r="A48" s="137"/>
      <c r="B48" s="137"/>
      <c r="C48" s="137"/>
      <c r="D48" s="137"/>
      <c r="E48" s="137"/>
      <c r="F48" s="137"/>
      <c r="G48" s="137"/>
      <c r="H48" s="137"/>
      <c r="I48" s="205" t="s">
        <v>452</v>
      </c>
    </row>
    <row r="49" spans="1:10" ht="12.75">
      <c r="A49" s="137"/>
      <c r="B49" s="137"/>
      <c r="C49" s="137"/>
      <c r="D49" s="137"/>
      <c r="E49" s="137"/>
      <c r="F49" s="137"/>
      <c r="G49" s="137"/>
      <c r="H49" s="137"/>
      <c r="I49" s="137"/>
      <c r="J49" s="137"/>
    </row>
    <row r="50" spans="1:10" ht="12.75">
      <c r="A50" s="137"/>
      <c r="B50" s="137"/>
      <c r="C50" s="137"/>
      <c r="D50" s="137"/>
      <c r="E50" s="137"/>
      <c r="F50" s="137"/>
      <c r="G50" s="137"/>
      <c r="H50" s="137"/>
      <c r="I50" s="137"/>
      <c r="J50" s="137"/>
    </row>
    <row r="51" spans="1:10" ht="12.75">
      <c r="A51" s="137"/>
      <c r="B51" s="137"/>
      <c r="C51" s="137"/>
      <c r="D51" s="137"/>
      <c r="E51" s="137"/>
      <c r="F51" s="137"/>
      <c r="G51" s="137"/>
      <c r="H51" s="137"/>
      <c r="I51" s="137"/>
      <c r="J51" s="137"/>
    </row>
    <row r="52" spans="1:10" ht="12.75">
      <c r="A52" s="137"/>
      <c r="B52" s="197"/>
      <c r="C52" s="137"/>
      <c r="D52" s="137"/>
      <c r="E52" s="137"/>
      <c r="F52" s="137"/>
      <c r="G52" s="137"/>
      <c r="H52" s="137"/>
      <c r="I52" s="137"/>
      <c r="J52" s="137"/>
    </row>
  </sheetData>
  <sheetProtection/>
  <mergeCells count="40">
    <mergeCell ref="B46:F46"/>
    <mergeCell ref="B35:F35"/>
    <mergeCell ref="B36:F36"/>
    <mergeCell ref="B37:F37"/>
    <mergeCell ref="B38:F38"/>
    <mergeCell ref="B39:F39"/>
    <mergeCell ref="B33:F33"/>
    <mergeCell ref="B34:F34"/>
    <mergeCell ref="B42:F42"/>
    <mergeCell ref="B43:F43"/>
    <mergeCell ref="B44:F44"/>
    <mergeCell ref="B45:F45"/>
    <mergeCell ref="B24:F24"/>
    <mergeCell ref="B25:F25"/>
    <mergeCell ref="B26:F26"/>
    <mergeCell ref="B27:F27"/>
    <mergeCell ref="B28:F28"/>
    <mergeCell ref="B41:F41"/>
    <mergeCell ref="B29:F29"/>
    <mergeCell ref="B30:F30"/>
    <mergeCell ref="B31:F31"/>
    <mergeCell ref="B32:F32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21" right="0.46" top="0.13" bottom="0.29" header="0.08" footer="0.1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1">
      <selection activeCell="K40" sqref="K40"/>
    </sheetView>
  </sheetViews>
  <sheetFormatPr defaultColWidth="9.140625" defaultRowHeight="12.75"/>
  <cols>
    <col min="1" max="1" width="0" style="207" hidden="1" customWidth="1"/>
    <col min="2" max="2" width="32.57421875" style="207" hidden="1" customWidth="1"/>
    <col min="3" max="3" width="17.00390625" style="207" hidden="1" customWidth="1"/>
    <col min="4" max="7" width="0" style="207" hidden="1" customWidth="1"/>
    <col min="8" max="8" width="3.7109375" style="207" customWidth="1"/>
    <col min="9" max="9" width="10.8515625" style="207" customWidth="1"/>
    <col min="10" max="10" width="33.8515625" style="207" customWidth="1"/>
    <col min="11" max="11" width="26.28125" style="223" customWidth="1"/>
    <col min="12" max="16384" width="9.140625" style="207" customWidth="1"/>
  </cols>
  <sheetData>
    <row r="1" spans="1:9" ht="12.75">
      <c r="A1" s="206" t="s">
        <v>306</v>
      </c>
      <c r="B1" s="206" t="s">
        <v>307</v>
      </c>
      <c r="C1" s="206" t="s">
        <v>308</v>
      </c>
      <c r="I1" s="138" t="s">
        <v>450</v>
      </c>
    </row>
    <row r="2" spans="2:9" ht="12.75">
      <c r="B2" s="206" t="s">
        <v>309</v>
      </c>
      <c r="C2" s="206" t="s">
        <v>309</v>
      </c>
      <c r="I2" s="138" t="s">
        <v>451</v>
      </c>
    </row>
    <row r="3" spans="2:11" ht="12.75">
      <c r="B3" s="206"/>
      <c r="C3" s="206"/>
      <c r="I3" s="208"/>
      <c r="K3" s="224" t="s">
        <v>310</v>
      </c>
    </row>
    <row r="4" spans="2:3" ht="12.75">
      <c r="B4" s="206"/>
      <c r="C4" s="206"/>
    </row>
    <row r="5" spans="2:11" ht="12.75">
      <c r="B5" s="209" t="s">
        <v>311</v>
      </c>
      <c r="C5" s="209" t="s">
        <v>311</v>
      </c>
      <c r="H5" s="210"/>
      <c r="I5" s="210"/>
      <c r="J5" s="211" t="s">
        <v>312</v>
      </c>
      <c r="K5" s="225" t="s">
        <v>313</v>
      </c>
    </row>
    <row r="6" spans="2:11" ht="12.75">
      <c r="B6" s="209" t="s">
        <v>314</v>
      </c>
      <c r="C6" s="209" t="s">
        <v>314</v>
      </c>
      <c r="H6" s="210">
        <v>1</v>
      </c>
      <c r="I6" s="211" t="s">
        <v>309</v>
      </c>
      <c r="J6" s="212" t="s">
        <v>311</v>
      </c>
      <c r="K6" s="226"/>
    </row>
    <row r="7" spans="2:11" ht="12.75">
      <c r="B7" s="209" t="s">
        <v>315</v>
      </c>
      <c r="C7" s="209" t="s">
        <v>315</v>
      </c>
      <c r="H7" s="210">
        <v>2</v>
      </c>
      <c r="I7" s="211" t="s">
        <v>309</v>
      </c>
      <c r="J7" s="212" t="s">
        <v>316</v>
      </c>
      <c r="K7" s="226"/>
    </row>
    <row r="8" spans="2:11" ht="12.75">
      <c r="B8" s="209" t="s">
        <v>317</v>
      </c>
      <c r="C8" s="209" t="s">
        <v>317</v>
      </c>
      <c r="H8" s="210">
        <v>3</v>
      </c>
      <c r="I8" s="211" t="s">
        <v>309</v>
      </c>
      <c r="J8" s="212" t="s">
        <v>318</v>
      </c>
      <c r="K8" s="226"/>
    </row>
    <row r="9" spans="2:11" ht="12.75">
      <c r="B9" s="209" t="s">
        <v>319</v>
      </c>
      <c r="C9" s="209" t="s">
        <v>319</v>
      </c>
      <c r="H9" s="210">
        <v>4</v>
      </c>
      <c r="I9" s="211" t="s">
        <v>309</v>
      </c>
      <c r="J9" s="212" t="s">
        <v>317</v>
      </c>
      <c r="K9" s="226"/>
    </row>
    <row r="10" spans="2:11" ht="12.75">
      <c r="B10" s="209" t="s">
        <v>320</v>
      </c>
      <c r="C10" s="209" t="s">
        <v>320</v>
      </c>
      <c r="H10" s="210">
        <v>5</v>
      </c>
      <c r="I10" s="211" t="s">
        <v>309</v>
      </c>
      <c r="J10" s="212" t="s">
        <v>319</v>
      </c>
      <c r="K10" s="226"/>
    </row>
    <row r="11" spans="2:11" ht="12.75">
      <c r="B11" s="209" t="s">
        <v>321</v>
      </c>
      <c r="C11" s="209" t="s">
        <v>321</v>
      </c>
      <c r="H11" s="210">
        <v>6</v>
      </c>
      <c r="I11" s="211" t="s">
        <v>309</v>
      </c>
      <c r="J11" s="212" t="s">
        <v>320</v>
      </c>
      <c r="K11" s="226"/>
    </row>
    <row r="12" spans="2:11" ht="12.75">
      <c r="B12" s="209" t="s">
        <v>322</v>
      </c>
      <c r="C12" s="209" t="s">
        <v>322</v>
      </c>
      <c r="H12" s="210">
        <v>7</v>
      </c>
      <c r="I12" s="211" t="s">
        <v>309</v>
      </c>
      <c r="J12" s="212" t="s">
        <v>323</v>
      </c>
      <c r="K12" s="226"/>
    </row>
    <row r="13" spans="2:11" ht="12.75">
      <c r="B13" s="206" t="s">
        <v>324</v>
      </c>
      <c r="C13" s="206" t="s">
        <v>324</v>
      </c>
      <c r="H13" s="210">
        <v>8</v>
      </c>
      <c r="I13" s="211" t="s">
        <v>309</v>
      </c>
      <c r="J13" s="212" t="s">
        <v>322</v>
      </c>
      <c r="K13" s="226"/>
    </row>
    <row r="14" spans="2:11" ht="12.75">
      <c r="B14" s="206"/>
      <c r="C14" s="206"/>
      <c r="H14" s="211" t="s">
        <v>0</v>
      </c>
      <c r="I14" s="211"/>
      <c r="J14" s="211" t="s">
        <v>325</v>
      </c>
      <c r="K14" s="225"/>
    </row>
    <row r="15" spans="2:11" ht="12.75">
      <c r="B15" s="209" t="s">
        <v>326</v>
      </c>
      <c r="C15" s="209" t="s">
        <v>326</v>
      </c>
      <c r="H15" s="210">
        <v>9</v>
      </c>
      <c r="I15" s="211" t="s">
        <v>324</v>
      </c>
      <c r="J15" s="212" t="s">
        <v>327</v>
      </c>
      <c r="K15" s="226"/>
    </row>
    <row r="16" spans="2:11" ht="12.75">
      <c r="B16" s="209" t="s">
        <v>328</v>
      </c>
      <c r="C16" s="209" t="s">
        <v>328</v>
      </c>
      <c r="H16" s="210">
        <v>10</v>
      </c>
      <c r="I16" s="211" t="s">
        <v>324</v>
      </c>
      <c r="J16" s="212" t="s">
        <v>328</v>
      </c>
      <c r="K16" s="226"/>
    </row>
    <row r="17" spans="2:11" ht="12.75">
      <c r="B17" s="209" t="s">
        <v>329</v>
      </c>
      <c r="C17" s="209" t="s">
        <v>329</v>
      </c>
      <c r="H17" s="210">
        <v>11</v>
      </c>
      <c r="I17" s="211" t="s">
        <v>324</v>
      </c>
      <c r="J17" s="212" t="s">
        <v>329</v>
      </c>
      <c r="K17" s="226"/>
    </row>
    <row r="18" spans="2:11" ht="12.75">
      <c r="B18" s="209"/>
      <c r="C18" s="209"/>
      <c r="H18" s="211" t="s">
        <v>1</v>
      </c>
      <c r="I18" s="211"/>
      <c r="J18" s="211" t="s">
        <v>330</v>
      </c>
      <c r="K18" s="225"/>
    </row>
    <row r="19" spans="2:11" ht="12.75">
      <c r="B19" s="206" t="s">
        <v>331</v>
      </c>
      <c r="C19" s="206" t="s">
        <v>331</v>
      </c>
      <c r="H19" s="210">
        <v>12</v>
      </c>
      <c r="I19" s="211" t="s">
        <v>331</v>
      </c>
      <c r="J19" s="212" t="s">
        <v>332</v>
      </c>
      <c r="K19" s="226"/>
    </row>
    <row r="20" spans="2:11" ht="12.75">
      <c r="B20" s="209" t="s">
        <v>321</v>
      </c>
      <c r="C20" s="209" t="s">
        <v>321</v>
      </c>
      <c r="H20" s="210">
        <v>13</v>
      </c>
      <c r="I20" s="211" t="s">
        <v>331</v>
      </c>
      <c r="J20" s="211" t="s">
        <v>333</v>
      </c>
      <c r="K20" s="226"/>
    </row>
    <row r="21" spans="2:11" ht="12.75">
      <c r="B21" s="209" t="s">
        <v>334</v>
      </c>
      <c r="C21" s="209" t="s">
        <v>334</v>
      </c>
      <c r="H21" s="210">
        <v>14</v>
      </c>
      <c r="I21" s="211" t="s">
        <v>331</v>
      </c>
      <c r="J21" s="212" t="s">
        <v>335</v>
      </c>
      <c r="K21" s="226"/>
    </row>
    <row r="22" spans="2:11" ht="12.75">
      <c r="B22" s="209" t="s">
        <v>335</v>
      </c>
      <c r="C22" s="209" t="s">
        <v>335</v>
      </c>
      <c r="H22" s="210">
        <v>15</v>
      </c>
      <c r="I22" s="211" t="s">
        <v>331</v>
      </c>
      <c r="J22" s="212" t="s">
        <v>336</v>
      </c>
      <c r="K22" s="226"/>
    </row>
    <row r="23" spans="2:11" ht="12.75">
      <c r="B23" s="209" t="s">
        <v>336</v>
      </c>
      <c r="C23" s="209" t="s">
        <v>336</v>
      </c>
      <c r="H23" s="210">
        <v>16</v>
      </c>
      <c r="I23" s="211" t="s">
        <v>331</v>
      </c>
      <c r="J23" s="212" t="s">
        <v>337</v>
      </c>
      <c r="K23" s="226"/>
    </row>
    <row r="24" spans="2:11" ht="12.75">
      <c r="B24" s="209" t="s">
        <v>338</v>
      </c>
      <c r="C24" s="209" t="s">
        <v>338</v>
      </c>
      <c r="H24" s="210">
        <v>17</v>
      </c>
      <c r="I24" s="211" t="s">
        <v>331</v>
      </c>
      <c r="J24" s="212" t="s">
        <v>339</v>
      </c>
      <c r="K24" s="226"/>
    </row>
    <row r="25" spans="2:11" ht="12.75">
      <c r="B25" s="209" t="s">
        <v>339</v>
      </c>
      <c r="C25" s="209" t="s">
        <v>339</v>
      </c>
      <c r="H25" s="210">
        <v>18</v>
      </c>
      <c r="I25" s="211" t="s">
        <v>331</v>
      </c>
      <c r="J25" s="212" t="s">
        <v>340</v>
      </c>
      <c r="K25" s="226"/>
    </row>
    <row r="26" spans="2:11" ht="12.75">
      <c r="B26" s="209" t="s">
        <v>341</v>
      </c>
      <c r="C26" s="209" t="s">
        <v>341</v>
      </c>
      <c r="H26" s="210">
        <v>19</v>
      </c>
      <c r="I26" s="211" t="s">
        <v>331</v>
      </c>
      <c r="J26" s="212" t="s">
        <v>342</v>
      </c>
      <c r="K26" s="226"/>
    </row>
    <row r="27" spans="2:11" ht="12.75">
      <c r="B27" s="209"/>
      <c r="C27" s="209"/>
      <c r="H27" s="211" t="s">
        <v>2</v>
      </c>
      <c r="I27" s="211"/>
      <c r="J27" s="211" t="s">
        <v>343</v>
      </c>
      <c r="K27" s="226"/>
    </row>
    <row r="28" spans="2:11" ht="12.75">
      <c r="B28" s="209" t="s">
        <v>342</v>
      </c>
      <c r="C28" s="209" t="s">
        <v>342</v>
      </c>
      <c r="H28" s="210">
        <v>20</v>
      </c>
      <c r="I28" s="211" t="s">
        <v>344</v>
      </c>
      <c r="J28" s="212" t="s">
        <v>345</v>
      </c>
      <c r="K28" s="226"/>
    </row>
    <row r="29" spans="2:11" ht="12.75">
      <c r="B29" s="206" t="s">
        <v>344</v>
      </c>
      <c r="C29" s="206" t="s">
        <v>344</v>
      </c>
      <c r="H29" s="210">
        <v>21</v>
      </c>
      <c r="I29" s="211" t="s">
        <v>344</v>
      </c>
      <c r="J29" s="212" t="s">
        <v>346</v>
      </c>
      <c r="K29" s="226"/>
    </row>
    <row r="30" spans="2:11" ht="12.75">
      <c r="B30" s="209" t="s">
        <v>347</v>
      </c>
      <c r="C30" s="209" t="s">
        <v>347</v>
      </c>
      <c r="H30" s="210">
        <v>22</v>
      </c>
      <c r="I30" s="211" t="s">
        <v>344</v>
      </c>
      <c r="J30" s="212" t="s">
        <v>348</v>
      </c>
      <c r="K30" s="226"/>
    </row>
    <row r="31" spans="2:11" ht="12.75">
      <c r="B31" s="209" t="s">
        <v>346</v>
      </c>
      <c r="C31" s="209" t="s">
        <v>346</v>
      </c>
      <c r="H31" s="210">
        <v>23</v>
      </c>
      <c r="I31" s="211" t="s">
        <v>344</v>
      </c>
      <c r="J31" s="212" t="s">
        <v>349</v>
      </c>
      <c r="K31" s="226"/>
    </row>
    <row r="32" spans="2:11" ht="12.75">
      <c r="B32" s="209"/>
      <c r="C32" s="209"/>
      <c r="H32" s="211" t="s">
        <v>350</v>
      </c>
      <c r="I32" s="211"/>
      <c r="J32" s="211" t="s">
        <v>351</v>
      </c>
      <c r="K32" s="226"/>
    </row>
    <row r="33" spans="2:11" ht="12.75">
      <c r="B33" s="209" t="s">
        <v>348</v>
      </c>
      <c r="C33" s="209" t="s">
        <v>348</v>
      </c>
      <c r="H33" s="210">
        <v>24</v>
      </c>
      <c r="I33" s="211" t="s">
        <v>352</v>
      </c>
      <c r="J33" s="212" t="s">
        <v>353</v>
      </c>
      <c r="K33" s="226"/>
    </row>
    <row r="34" spans="2:11" ht="12.75">
      <c r="B34" s="209" t="s">
        <v>349</v>
      </c>
      <c r="C34" s="209" t="s">
        <v>349</v>
      </c>
      <c r="H34" s="210">
        <v>25</v>
      </c>
      <c r="I34" s="211" t="s">
        <v>352</v>
      </c>
      <c r="J34" s="212" t="s">
        <v>354</v>
      </c>
      <c r="K34" s="226"/>
    </row>
    <row r="35" spans="8:11" ht="12.75">
      <c r="H35" s="210">
        <v>26</v>
      </c>
      <c r="I35" s="211" t="s">
        <v>352</v>
      </c>
      <c r="J35" s="212" t="s">
        <v>355</v>
      </c>
      <c r="K35" s="226"/>
    </row>
    <row r="36" spans="2:11" ht="12.75">
      <c r="B36" s="206" t="s">
        <v>352</v>
      </c>
      <c r="C36" s="206" t="s">
        <v>352</v>
      </c>
      <c r="H36" s="210">
        <v>27</v>
      </c>
      <c r="I36" s="211" t="s">
        <v>352</v>
      </c>
      <c r="J36" s="212" t="s">
        <v>356</v>
      </c>
      <c r="K36" s="226"/>
    </row>
    <row r="37" spans="2:11" ht="12.75">
      <c r="B37" s="209" t="s">
        <v>353</v>
      </c>
      <c r="C37" s="209" t="s">
        <v>353</v>
      </c>
      <c r="H37" s="210">
        <v>28</v>
      </c>
      <c r="I37" s="211" t="s">
        <v>352</v>
      </c>
      <c r="J37" s="212" t="s">
        <v>357</v>
      </c>
      <c r="K37" s="226"/>
    </row>
    <row r="38" spans="2:11" ht="12.75">
      <c r="B38" s="209" t="s">
        <v>354</v>
      </c>
      <c r="C38" s="209" t="s">
        <v>354</v>
      </c>
      <c r="H38" s="210">
        <v>29</v>
      </c>
      <c r="I38" s="211" t="s">
        <v>352</v>
      </c>
      <c r="J38" s="213" t="s">
        <v>358</v>
      </c>
      <c r="K38" s="226"/>
    </row>
    <row r="39" spans="2:11" ht="12.75">
      <c r="B39" s="209" t="s">
        <v>355</v>
      </c>
      <c r="C39" s="209" t="s">
        <v>355</v>
      </c>
      <c r="H39" s="210">
        <v>30</v>
      </c>
      <c r="I39" s="211" t="s">
        <v>352</v>
      </c>
      <c r="J39" s="212" t="s">
        <v>359</v>
      </c>
      <c r="K39" s="226">
        <f>'Te ardhura e shpenzime'!D6</f>
        <v>10175725.9</v>
      </c>
    </row>
    <row r="40" spans="2:11" ht="12.75">
      <c r="B40" s="209" t="s">
        <v>356</v>
      </c>
      <c r="C40" s="209" t="s">
        <v>356</v>
      </c>
      <c r="H40" s="210">
        <v>31</v>
      </c>
      <c r="I40" s="211" t="s">
        <v>352</v>
      </c>
      <c r="J40" s="212" t="s">
        <v>360</v>
      </c>
      <c r="K40" s="226"/>
    </row>
    <row r="41" spans="2:11" ht="12.75">
      <c r="B41" s="209"/>
      <c r="C41" s="209"/>
      <c r="H41" s="210">
        <v>32</v>
      </c>
      <c r="I41" s="211" t="s">
        <v>352</v>
      </c>
      <c r="J41" s="212" t="s">
        <v>361</v>
      </c>
      <c r="K41" s="226"/>
    </row>
    <row r="42" spans="2:11" ht="12.75">
      <c r="B42" s="209" t="s">
        <v>357</v>
      </c>
      <c r="C42" s="209" t="s">
        <v>357</v>
      </c>
      <c r="H42" s="210">
        <v>33</v>
      </c>
      <c r="I42" s="211" t="s">
        <v>352</v>
      </c>
      <c r="J42" s="212" t="s">
        <v>362</v>
      </c>
      <c r="K42" s="226"/>
    </row>
    <row r="43" spans="2:11" ht="12.75">
      <c r="B43" s="209" t="s">
        <v>358</v>
      </c>
      <c r="C43" s="209" t="s">
        <v>358</v>
      </c>
      <c r="H43" s="214">
        <v>34</v>
      </c>
      <c r="I43" s="211" t="s">
        <v>352</v>
      </c>
      <c r="J43" s="212" t="s">
        <v>363</v>
      </c>
      <c r="K43" s="226"/>
    </row>
    <row r="44" spans="2:11" ht="12.75">
      <c r="B44" s="209" t="s">
        <v>359</v>
      </c>
      <c r="C44" s="209" t="s">
        <v>359</v>
      </c>
      <c r="H44" s="211" t="s">
        <v>364</v>
      </c>
      <c r="I44" s="210"/>
      <c r="J44" s="211" t="s">
        <v>365</v>
      </c>
      <c r="K44" s="225"/>
    </row>
    <row r="45" spans="2:11" ht="12.75">
      <c r="B45" s="209" t="s">
        <v>360</v>
      </c>
      <c r="C45" s="209" t="s">
        <v>360</v>
      </c>
      <c r="H45" s="210"/>
      <c r="I45" s="210"/>
      <c r="J45" s="211" t="s">
        <v>366</v>
      </c>
      <c r="K45" s="225"/>
    </row>
    <row r="46" spans="2:3" ht="12.75">
      <c r="B46" s="209" t="s">
        <v>363</v>
      </c>
      <c r="C46" s="209" t="s">
        <v>363</v>
      </c>
    </row>
    <row r="48" spans="9:11" ht="12.75">
      <c r="I48" s="215" t="s">
        <v>417</v>
      </c>
      <c r="J48" s="216"/>
      <c r="K48" s="225" t="s">
        <v>367</v>
      </c>
    </row>
    <row r="49" spans="9:11" ht="12.75">
      <c r="I49" s="217"/>
      <c r="J49" s="218"/>
      <c r="K49" s="227"/>
    </row>
    <row r="50" spans="9:11" ht="12.75">
      <c r="I50" s="219" t="s">
        <v>368</v>
      </c>
      <c r="J50" s="219"/>
      <c r="K50" s="226"/>
    </row>
    <row r="51" spans="9:11" ht="12.75">
      <c r="I51" s="210" t="s">
        <v>369</v>
      </c>
      <c r="J51" s="210"/>
      <c r="K51" s="226"/>
    </row>
    <row r="52" spans="9:11" ht="12.75">
      <c r="I52" s="210" t="s">
        <v>370</v>
      </c>
      <c r="J52" s="210"/>
      <c r="K52" s="226">
        <v>2</v>
      </c>
    </row>
    <row r="53" spans="9:11" ht="12.75">
      <c r="I53" s="210" t="s">
        <v>371</v>
      </c>
      <c r="J53" s="210"/>
      <c r="K53" s="226">
        <v>1</v>
      </c>
    </row>
    <row r="54" spans="9:11" ht="12.75">
      <c r="I54" s="220" t="s">
        <v>372</v>
      </c>
      <c r="J54" s="216"/>
      <c r="K54" s="226"/>
    </row>
    <row r="55" spans="9:11" ht="12.75">
      <c r="I55" s="221"/>
      <c r="J55" s="222" t="s">
        <v>373</v>
      </c>
      <c r="K55" s="228">
        <f>SUM(K52:K54)</f>
        <v>3</v>
      </c>
    </row>
    <row r="57" ht="12.75">
      <c r="K57" s="224" t="s">
        <v>244</v>
      </c>
    </row>
    <row r="58" ht="12.75">
      <c r="K58" s="223" t="s">
        <v>452</v>
      </c>
    </row>
    <row r="59" ht="12.75">
      <c r="I59" s="206" t="s">
        <v>374</v>
      </c>
    </row>
    <row r="61" ht="12.75">
      <c r="I61" s="206"/>
    </row>
    <row r="62" spans="8:15" ht="12.75">
      <c r="H62" s="206"/>
      <c r="I62" s="206"/>
      <c r="J62" s="206"/>
      <c r="K62" s="224"/>
      <c r="L62" s="206"/>
      <c r="M62" s="206"/>
      <c r="N62" s="206"/>
      <c r="O62" s="206"/>
    </row>
    <row r="63" spans="8:15" ht="12.75">
      <c r="H63" s="206"/>
      <c r="I63" s="206"/>
      <c r="J63" s="206"/>
      <c r="K63" s="224"/>
      <c r="L63" s="206"/>
      <c r="M63" s="206"/>
      <c r="N63" s="206"/>
      <c r="O63" s="206"/>
    </row>
    <row r="64" spans="9:15" ht="12.75">
      <c r="I64" s="206"/>
      <c r="J64" s="206"/>
      <c r="K64" s="224"/>
      <c r="L64" s="206"/>
      <c r="M64" s="206"/>
      <c r="N64" s="206"/>
      <c r="O64" s="206"/>
    </row>
    <row r="65" spans="9:15" ht="12.75">
      <c r="I65" s="206"/>
      <c r="J65" s="206"/>
      <c r="K65" s="224"/>
      <c r="L65" s="206"/>
      <c r="M65" s="206"/>
      <c r="N65" s="206"/>
      <c r="O65" s="206"/>
    </row>
    <row r="66" spans="8:9" ht="12.75">
      <c r="H66" s="206"/>
      <c r="I66" s="206"/>
    </row>
  </sheetData>
  <sheetProtection/>
  <printOptions/>
  <pageMargins left="0.75" right="0.75" top="0.25" bottom="0.53" header="0.17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MRT Pack 20 DVDs</cp:lastModifiedBy>
  <cp:lastPrinted>2013-03-19T15:49:47Z</cp:lastPrinted>
  <dcterms:created xsi:type="dcterms:W3CDTF">2001-01-12T15:48:55Z</dcterms:created>
  <dcterms:modified xsi:type="dcterms:W3CDTF">2013-03-19T15:50:46Z</dcterms:modified>
  <cp:category/>
  <cp:version/>
  <cp:contentType/>
  <cp:contentStatus/>
</cp:coreProperties>
</file>