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0488" firstSheet="1" activeTab="2"/>
  </bookViews>
  <sheets>
    <sheet name="KAPAK " sheetId="1" state="hidden" r:id="rId1"/>
    <sheet name="BSH" sheetId="2" r:id="rId2"/>
    <sheet name="PL" sheetId="3" r:id="rId3"/>
    <sheet name="Aneks Statistikor - 1" sheetId="4" state="hidden" r:id="rId4"/>
    <sheet name="Aneks Statistikor - 2" sheetId="5" state="hidden" r:id="rId5"/>
    <sheet name="Aneks Statistikor - 3" sheetId="6" state="hidden" r:id="rId6"/>
    <sheet name="CF" sheetId="7" state="hidden" r:id="rId7"/>
    <sheet name="Shenime" sheetId="8" state="hidden" r:id="rId8"/>
    <sheet name="Levizja e kapitalit" sheetId="9" state="hidden" r:id="rId9"/>
    <sheet name="Aktivi" sheetId="10" state="hidden" r:id="rId10"/>
    <sheet name="2010" sheetId="11" state="hidden" r:id="rId11"/>
    <sheet name="Pasivi" sheetId="12" state="hidden" r:id="rId12"/>
    <sheet name="Bilanc Fin 5" sheetId="13" state="hidden" r:id="rId13"/>
    <sheet name="PL Fin 5" sheetId="14" state="hidden" r:id="rId14"/>
    <sheet name="Sheet1" sheetId="15" state="hidden" r:id="rId15"/>
    <sheet name="Sheet2" sheetId="16" state="hidden" r:id="rId16"/>
    <sheet name="AAM" sheetId="17" state="hidden" r:id="rId17"/>
    <sheet name="Sheet3" sheetId="18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1" hidden="1">'BSH'!$A$110:$Q$147</definedName>
    <definedName name="_xlnm._FilterDatabase" localSheetId="15" hidden="1">'Sheet2'!$A$1:$I$36</definedName>
    <definedName name="_Key1" hidden="1">'[3]PRODUKTE'!#REF!</definedName>
    <definedName name="_Key2" hidden="1">'[3]PRODUKTE'!#REF!</definedName>
    <definedName name="_Order1" hidden="1">255</definedName>
    <definedName name="_Order2" hidden="1">255</definedName>
    <definedName name="AS2DocOpenMode" hidden="1">"AS2DocumentEdit"</definedName>
    <definedName name="k">'[2]Parameters'!$F$28</definedName>
    <definedName name="_xlnm.Print_Area" localSheetId="4">'Aneks Statistikor - 2'!$A$1:$I$53</definedName>
    <definedName name="_xlnm.Print_Area" localSheetId="5">'Aneks Statistikor - 3'!$A$1:$N$54</definedName>
    <definedName name="_xlnm.Print_Area" localSheetId="0">'KAPAK '!$B$1:$M$50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fullCalcOnLoad="1"/>
</workbook>
</file>

<file path=xl/comments2.xml><?xml version="1.0" encoding="utf-8"?>
<comments xmlns="http://schemas.openxmlformats.org/spreadsheetml/2006/main">
  <authors>
    <author>b.bebri</author>
  </authors>
  <commentList>
    <comment ref="G142" authorId="0">
      <text>
        <r>
          <rPr>
            <b/>
            <sz val="9"/>
            <rFont val="Tahoma"/>
            <family val="2"/>
          </rPr>
          <t>vlera e OVD me 31.12.12</t>
        </r>
      </text>
    </comment>
    <comment ref="H142" authorId="0">
      <text>
        <r>
          <rPr>
            <b/>
            <sz val="9"/>
            <rFont val="Tahoma"/>
            <family val="2"/>
          </rPr>
          <t>gjendja e bankes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<sst xmlns="http://schemas.openxmlformats.org/spreadsheetml/2006/main" count="1609" uniqueCount="800">
  <si>
    <t>ne leke</t>
  </si>
  <si>
    <t>N.r.</t>
  </si>
  <si>
    <t>P Ë R SH K R I M I</t>
  </si>
  <si>
    <t>Shenime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</si>
  <si>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</si>
  <si>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</si>
  <si>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</si>
  <si>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</si>
  <si>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</si>
  <si>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</si>
  <si>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</si>
  <si>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</si>
  <si>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</si>
  <si>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</si>
  <si>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</si>
  <si>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</si>
  <si>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</si>
  <si>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</si>
  <si>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</si>
  <si>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</si>
  <si>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</si>
  <si>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</si>
  <si>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</si>
  <si>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</si>
  <si>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</si>
  <si>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</si>
  <si>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</si>
  <si>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</si>
  <si>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</si>
  <si>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</si>
  <si>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</si>
  <si>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</si>
  <si>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</si>
  <si>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</si>
  <si>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</si>
  <si>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</si>
  <si>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</si>
  <si>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</si>
  <si>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</si>
  <si>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</si>
  <si>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</si>
  <si>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</si>
  <si>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</si>
  <si>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</si>
  <si>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</si>
  <si>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</si>
  <si>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</si>
  <si>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</si>
  <si>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</si>
  <si>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</si>
  <si>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</si>
  <si>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</si>
  <si>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</si>
  <si>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</si>
  <si>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</si>
  <si>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</si>
  <si>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</si>
  <si>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</si>
  <si>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</si>
  <si>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 xml:space="preserve">Parapagesa 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</si>
  <si>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</si>
  <si>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</si>
  <si>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</si>
  <si>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</si>
  <si>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</si>
  <si>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</si>
  <si>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</si>
  <si>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</si>
  <si>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</si>
  <si>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</si>
  <si>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</si>
  <si>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</si>
  <si>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</si>
  <si>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</si>
  <si>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</si>
  <si>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</si>
  <si>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</si>
  <si>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</si>
  <si>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</si>
  <si>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</si>
  <si>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</si>
  <si>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</si>
  <si>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</si>
  <si>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</si>
  <si>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</si>
  <si>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</si>
  <si>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</si>
  <si>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</si>
  <si>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</si>
  <si>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</si>
  <si>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</si>
  <si>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</si>
  <si>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</si>
  <si>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</si>
  <si>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</si>
  <si>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</si>
  <si>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</si>
  <si>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</si>
  <si>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</si>
  <si>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</si>
  <si>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</si>
  <si>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</si>
  <si>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</si>
  <si>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</si>
  <si>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</si>
  <si>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</si>
  <si>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</si>
  <si>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</si>
  <si>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</si>
  <si>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</si>
  <si>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</si>
  <si>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</si>
  <si>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</si>
  <si>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</si>
  <si>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</si>
  <si>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</si>
  <si>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</si>
  <si>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</si>
  <si>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</si>
  <si>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</si>
  <si>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</si>
  <si>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</si>
  <si>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</si>
  <si>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</si>
  <si>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</si>
  <si>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Sipas metodës indirekte</t>
  </si>
  <si>
    <t>Të ardhura nga investimet</t>
  </si>
  <si>
    <t>Paratë e perftuara nga aktivitetet</t>
  </si>
  <si>
    <t>Blerja e shoqërisë së kontrolluar X minus paratë e arkëtuara</t>
  </si>
  <si>
    <t>C</t>
  </si>
  <si>
    <t>b) ne një pasqyrë të  pakonsoliduar</t>
  </si>
  <si>
    <t xml:space="preserve"> Ne leke</t>
  </si>
  <si>
    <t xml:space="preserve">Kapitali aksionar </t>
  </si>
  <si>
    <t xml:space="preserve"> Primi i aksionit  </t>
  </si>
  <si>
    <t xml:space="preserve">Aksione të thesarit </t>
  </si>
  <si>
    <t xml:space="preserve">  Rezerva  statusore dhe ligjore   </t>
  </si>
  <si>
    <t xml:space="preserve">Fitim i pashpërndarë </t>
  </si>
  <si>
    <t xml:space="preserve"> Totali i Kapitaleve të veta</t>
  </si>
  <si>
    <t>Efekti i ndryshimeve në  politikat kontabël</t>
  </si>
  <si>
    <t>Pozicioni i rregulluar</t>
  </si>
  <si>
    <t xml:space="preserve">Fitimi  neto i vitit financiar </t>
  </si>
  <si>
    <t xml:space="preserve">Rritje e rezervës kapitalit </t>
  </si>
  <si>
    <t>Emetimi i aksioneve</t>
  </si>
  <si>
    <t xml:space="preserve">Dividendët e paguar </t>
  </si>
  <si>
    <t xml:space="preserve">Pozicioni më 31 dhjetor 2011 </t>
  </si>
  <si>
    <t>Aktiv</t>
  </si>
  <si>
    <t>Furnitore per mallra</t>
  </si>
  <si>
    <t>TAP</t>
  </si>
  <si>
    <t>Mjete Transporti</t>
  </si>
  <si>
    <t>Pajisje informative</t>
  </si>
  <si>
    <t>Pajisje informatike</t>
  </si>
  <si>
    <t>Paga dhe shperblime</t>
  </si>
  <si>
    <t>Shteti TVSH e zbritshme</t>
  </si>
  <si>
    <t>Te drejta dhe detyrime ndaj ortakeve dhe aksionereve</t>
  </si>
  <si>
    <t>Vlera monetare ne lek</t>
  </si>
  <si>
    <t>Vlera monetare ne Euro</t>
  </si>
  <si>
    <t>Fitim nga kembimet valutore</t>
  </si>
  <si>
    <t>Te ardhura nga interesat</t>
  </si>
  <si>
    <t>Shpenzime te tjera</t>
  </si>
  <si>
    <t>Mjete Monetare</t>
  </si>
  <si>
    <t>31.12.2011</t>
  </si>
  <si>
    <t>31.12.2010</t>
  </si>
  <si>
    <t>I. Para ne dore</t>
  </si>
  <si>
    <t>Ne monedhe vendase</t>
  </si>
  <si>
    <t>II. Llogari ne banke</t>
  </si>
  <si>
    <t>Ne monedhe te huaj</t>
  </si>
  <si>
    <t>Depozite afatshkurter</t>
  </si>
  <si>
    <t>Total mjete monetare (I+II)</t>
  </si>
  <si>
    <t>PERSHKRIMLLOG1</t>
  </si>
  <si>
    <t>KODPK</t>
  </si>
  <si>
    <t>PERSHKRIM</t>
  </si>
  <si>
    <t>AKTIVPASIV</t>
  </si>
  <si>
    <t>MBARTURMV</t>
  </si>
  <si>
    <t>DATEDOK</t>
  </si>
  <si>
    <t>KMON</t>
  </si>
  <si>
    <t>KODDT</t>
  </si>
  <si>
    <t>DB</t>
  </si>
  <si>
    <t>KR</t>
  </si>
  <si>
    <t>TREGDK</t>
  </si>
  <si>
    <t>DBKRMB</t>
  </si>
  <si>
    <t>DBKRMV2</t>
  </si>
  <si>
    <t>Kapital i paguar</t>
  </si>
  <si>
    <t>P</t>
  </si>
  <si>
    <t>01/01/2010</t>
  </si>
  <si>
    <t>101....</t>
  </si>
  <si>
    <t>K</t>
  </si>
  <si>
    <t>Fitim/Humbja e pashperndare</t>
  </si>
  <si>
    <t>108....</t>
  </si>
  <si>
    <t>D</t>
  </si>
  <si>
    <t>121Z</t>
  </si>
  <si>
    <t xml:space="preserve">HUMBJE/FITIM </t>
  </si>
  <si>
    <t>12/03/2012</t>
  </si>
  <si>
    <t>31/12/2010</t>
  </si>
  <si>
    <t>421....</t>
  </si>
  <si>
    <t>Sigurime shoqerore dhe shendetsore</t>
  </si>
  <si>
    <t>431....</t>
  </si>
  <si>
    <t>Kreditore te tjere</t>
  </si>
  <si>
    <t>466..KR001..</t>
  </si>
  <si>
    <t>01/10/2010</t>
  </si>
  <si>
    <t>2182...M01.</t>
  </si>
  <si>
    <t>Aktive afatgjate jomateriale ne proces</t>
  </si>
  <si>
    <t>30/12/2010</t>
  </si>
  <si>
    <t>232....</t>
  </si>
  <si>
    <t>EUR</t>
  </si>
  <si>
    <t>401....EUR</t>
  </si>
  <si>
    <t xml:space="preserve">Parapagimet </t>
  </si>
  <si>
    <t>06/09/2010</t>
  </si>
  <si>
    <t>419....</t>
  </si>
  <si>
    <t>Tatim mbi te ardhurat personale</t>
  </si>
  <si>
    <t>442....</t>
  </si>
  <si>
    <t>Tatim mbi fitimin</t>
  </si>
  <si>
    <t>444....</t>
  </si>
  <si>
    <t>4456....</t>
  </si>
  <si>
    <t>24/12/2010</t>
  </si>
  <si>
    <t>455..ICT3..EUR</t>
  </si>
  <si>
    <t>5121.001...</t>
  </si>
  <si>
    <t>30/11/2010</t>
  </si>
  <si>
    <t>5122..ICT3..EUR</t>
  </si>
  <si>
    <t>Vlera monetare ne EURO</t>
  </si>
  <si>
    <t>22/01/2010</t>
  </si>
  <si>
    <t>5312.001...EUR</t>
  </si>
  <si>
    <t>Xhirime te brendshme banka</t>
  </si>
  <si>
    <t>581....</t>
  </si>
  <si>
    <t>Tatim Fitimi</t>
  </si>
  <si>
    <t>TVSH ne blerje</t>
  </si>
  <si>
    <t>Total Llogari / Kërkesa të tjera të arkëtueshme</t>
  </si>
  <si>
    <t>Total</t>
  </si>
  <si>
    <t>Pajisje Informatike</t>
  </si>
  <si>
    <t>Balance ne 01 Janar 2011</t>
  </si>
  <si>
    <t>Shtesa</t>
  </si>
  <si>
    <t>Pakesime</t>
  </si>
  <si>
    <t>Amortizimi</t>
  </si>
  <si>
    <t>Ndryshimi i vitit</t>
  </si>
  <si>
    <t>Balanca ne 01 Janar 2011</t>
  </si>
  <si>
    <t>Vlera e mbetur ne 31 Dhjetor 2011</t>
  </si>
  <si>
    <t>Aktive Afatgjata Materiale</t>
  </si>
  <si>
    <t>Balanca ne 31 Dhjetor 2011</t>
  </si>
  <si>
    <t>Studio Grafike tartari</t>
  </si>
  <si>
    <t>Edlira Hyseni</t>
  </si>
  <si>
    <t>ADC Studio</t>
  </si>
  <si>
    <t>Canon</t>
  </si>
  <si>
    <t>Ruko Sako</t>
  </si>
  <si>
    <t>Neptun</t>
  </si>
  <si>
    <t>Mane TCI</t>
  </si>
  <si>
    <t>Balfin</t>
  </si>
  <si>
    <t>Mimoza Sadushaj</t>
  </si>
  <si>
    <t>Atlantik Sh.a</t>
  </si>
  <si>
    <t>Plus Communication</t>
  </si>
  <si>
    <t>Kuid shpk</t>
  </si>
  <si>
    <t>Tirana Auditing 1</t>
  </si>
  <si>
    <t>Sonila Bejtja</t>
  </si>
  <si>
    <t>Total Te pagueshme ndaj furnitorëve</t>
  </si>
  <si>
    <t>Qera Financiare</t>
  </si>
  <si>
    <t>Total Huamarrje të tjera afatgjata</t>
  </si>
  <si>
    <t>Detyrime ndaj aksionereve</t>
  </si>
  <si>
    <t>Shpenzime ligjore</t>
  </si>
  <si>
    <t>Shpenzime sherbimi</t>
  </si>
  <si>
    <t>Taksa Vendore</t>
  </si>
  <si>
    <t>Pagat e personelit</t>
  </si>
  <si>
    <t>Sigurimet Shoqerore</t>
  </si>
  <si>
    <t>Shpenzime pritje ,dhurata</t>
  </si>
  <si>
    <t>Penalitete</t>
  </si>
  <si>
    <t>Humbje nga konvertimi</t>
  </si>
  <si>
    <t>Te Ardhurat</t>
  </si>
  <si>
    <t>Total te Ardhurat</t>
  </si>
  <si>
    <t>Shpenzimet</t>
  </si>
  <si>
    <t>Totali Shpenzimeve</t>
  </si>
  <si>
    <t>Shpenzime Qeraje</t>
  </si>
  <si>
    <t>Shpenzime postare dhe telekomunikacioni</t>
  </si>
  <si>
    <t>Shpenzime per karburant</t>
  </si>
  <si>
    <t>Shpenzime per sigurime</t>
  </si>
  <si>
    <t>Shpenzime per interesa dhe sherbime bankare</t>
  </si>
  <si>
    <t>Rezultati I ushtrimit</t>
  </si>
  <si>
    <t>Per instalime teknike,makinerite,pajisjet instrument</t>
  </si>
  <si>
    <t>Te tjera</t>
  </si>
  <si>
    <t>Furnitor fatura te pamberritura</t>
  </si>
  <si>
    <t>Sigurimet shoqerore dhe shendetesore</t>
  </si>
  <si>
    <t>Shteti TVSH e pagueshme</t>
  </si>
  <si>
    <t>Huamarrjet afatgjate</t>
  </si>
  <si>
    <t>Instalime</t>
  </si>
  <si>
    <t>Makineri e pajisje</t>
  </si>
  <si>
    <t>Mobilje dhe pajisje zyre</t>
  </si>
  <si>
    <t>Mallra</t>
  </si>
  <si>
    <t>Xhirime POS</t>
  </si>
  <si>
    <t>BOOKSTORE SHPK</t>
  </si>
  <si>
    <t>Bookstore shpk</t>
  </si>
  <si>
    <t>HARTOI BILANCIN</t>
  </si>
  <si>
    <t>ADMINISTRATOR</t>
  </si>
  <si>
    <t>Të ardh. dhe shpenz.financiare nga investime të tjera financiare afgjata</t>
  </si>
  <si>
    <t>Rritja / renia  neto e mjeteve monetare</t>
  </si>
  <si>
    <t>Mjete monetare ne fillim te periudhes kontabel</t>
  </si>
  <si>
    <t>Mjete monetare ne fund te periudhes kontabel</t>
  </si>
  <si>
    <t>Para neto e perdorur ne aktivitetet financiare</t>
  </si>
  <si>
    <t>Dividendë të paguar</t>
  </si>
  <si>
    <t>Pagesat e detyrimeve të qirasë financiare</t>
  </si>
  <si>
    <t>Te ardhura nga huamarrje afatgjata</t>
  </si>
  <si>
    <t>Te ardhura nga emetimi i kapitalit aksionar</t>
  </si>
  <si>
    <t>Fluksi i parave nga veprimtarite e financiare</t>
  </si>
  <si>
    <t>Paraja  neto,  e perdorur ne aktivitetet e investuese</t>
  </si>
  <si>
    <t>Dividendët e arkëtuar</t>
  </si>
  <si>
    <t xml:space="preserve">Interesi i arkëtuar </t>
  </si>
  <si>
    <t xml:space="preserve">Të ardhura nga shitja e paisjeve </t>
  </si>
  <si>
    <t>Blerja e  aktiveve afatgjata materiale</t>
  </si>
  <si>
    <t xml:space="preserve">Fluksi i parave  nga veprimtarite e investuese </t>
  </si>
  <si>
    <t xml:space="preserve">Paraja neto nga aktivitetet e shfrytezimit </t>
  </si>
  <si>
    <t>Tatim fitimi i paguar</t>
  </si>
  <si>
    <t xml:space="preserve">Interesi i paguar </t>
  </si>
  <si>
    <t xml:space="preserve"> Paraja nga aktivitetet e shfrytezimit</t>
  </si>
  <si>
    <t xml:space="preserve">Rritje / rënie në tepricën detyrimeve, për t`u paguar nga aktiviteti  </t>
  </si>
  <si>
    <t>Rritje / rënie ne tepricën inventarit</t>
  </si>
  <si>
    <t xml:space="preserve">Shpenzime për interesa </t>
  </si>
  <si>
    <t xml:space="preserve">Të ardhura nga interesat </t>
  </si>
  <si>
    <t xml:space="preserve"> Humbjet (fitimet) nga këmbimet valutore </t>
  </si>
  <si>
    <t xml:space="preserve"> Amortizimin </t>
  </si>
  <si>
    <t xml:space="preserve">Fitimi para tatimit </t>
  </si>
  <si>
    <t>Fluksi parave nga veprimtaritë e shfrytëzimit</t>
  </si>
  <si>
    <t xml:space="preserve">Rregullimet për : </t>
  </si>
  <si>
    <t xml:space="preserve">Rritje/rënie në tepricën e kerk te arket. nga aktiviteti, si dhe kerkesave te arketueshme te tjera </t>
  </si>
  <si>
    <t>Debitore te tjere</t>
  </si>
  <si>
    <t>Kliente per mallra</t>
  </si>
  <si>
    <t>Bilanci Kontabël  31 Dhjetor  2012</t>
  </si>
  <si>
    <t>Pozicioni më 31 dhjetor 2012</t>
  </si>
  <si>
    <t>12/06/2012</t>
  </si>
  <si>
    <t>Rezultati i ushtrimit</t>
  </si>
  <si>
    <t>31/12/2011</t>
  </si>
  <si>
    <t>109....</t>
  </si>
  <si>
    <t>27/03/2013</t>
  </si>
  <si>
    <t>Per instalimet teknike, makinerite, pajisjet instrumenta dhe</t>
  </si>
  <si>
    <t>31/12/2012</t>
  </si>
  <si>
    <t>2813....</t>
  </si>
  <si>
    <t>Mobilie dhe pajisje zyrash</t>
  </si>
  <si>
    <t>28181....</t>
  </si>
  <si>
    <t>28182....</t>
  </si>
  <si>
    <t>28183....</t>
  </si>
  <si>
    <t>408.85...</t>
  </si>
  <si>
    <t>Parapagime te dhena</t>
  </si>
  <si>
    <t>31/01/2012</t>
  </si>
  <si>
    <t>409....</t>
  </si>
  <si>
    <t>Paradhenie per punonjesit</t>
  </si>
  <si>
    <t>30/09/2012</t>
  </si>
  <si>
    <t>423....</t>
  </si>
  <si>
    <t>4457...D01.</t>
  </si>
  <si>
    <t>24/12/2012</t>
  </si>
  <si>
    <t>467....</t>
  </si>
  <si>
    <t>468....EUR</t>
  </si>
  <si>
    <t>05/10/2012</t>
  </si>
  <si>
    <t>2131...D03.</t>
  </si>
  <si>
    <t>Makineri e paisje</t>
  </si>
  <si>
    <t>01/12/2011</t>
  </si>
  <si>
    <t>2132...D02.</t>
  </si>
  <si>
    <t>14/02/2012</t>
  </si>
  <si>
    <t>2181...D03.</t>
  </si>
  <si>
    <t>24/01/2012</t>
  </si>
  <si>
    <t>2182...D04.</t>
  </si>
  <si>
    <t>27/09/2012</t>
  </si>
  <si>
    <t>2183...D04.</t>
  </si>
  <si>
    <t>Mallra elktronik</t>
  </si>
  <si>
    <t>351...D01.</t>
  </si>
  <si>
    <t>411...D01.</t>
  </si>
  <si>
    <t>20/12/2012</t>
  </si>
  <si>
    <t>30/12/2012</t>
  </si>
  <si>
    <t>Shpenzime te periudhave te ardhshme</t>
  </si>
  <si>
    <t>486...D01.</t>
  </si>
  <si>
    <t>5121....</t>
  </si>
  <si>
    <t>5122....EUR</t>
  </si>
  <si>
    <t>Vlera monetare ne leke</t>
  </si>
  <si>
    <t>5311....</t>
  </si>
  <si>
    <t>5312....EUR</t>
  </si>
  <si>
    <t>583....</t>
  </si>
  <si>
    <t>KOD</t>
  </si>
  <si>
    <t>KLASA</t>
  </si>
  <si>
    <t>COLUMN1</t>
  </si>
  <si>
    <t>COLUMN2</t>
  </si>
  <si>
    <t>COLUMN3</t>
  </si>
  <si>
    <t>COLUMN4</t>
  </si>
  <si>
    <t>DBKRMV</t>
  </si>
  <si>
    <t>COLUMN5</t>
  </si>
  <si>
    <t>COLUMN6</t>
  </si>
  <si>
    <t>DKMV</t>
  </si>
  <si>
    <t>DBKRMVSH</t>
  </si>
  <si>
    <t>DBKRMVAR</t>
  </si>
  <si>
    <t>PROMPTASH</t>
  </si>
  <si>
    <t>DBKRMVFH</t>
  </si>
  <si>
    <t>Shitje mallrash</t>
  </si>
  <si>
    <t>705...D01.</t>
  </si>
  <si>
    <t>ARDHURA</t>
  </si>
  <si>
    <t>Te ardhura nga fotokopjet</t>
  </si>
  <si>
    <t>7071....</t>
  </si>
  <si>
    <t>13/12/2012</t>
  </si>
  <si>
    <t>Te ardhura nga paketimi</t>
  </si>
  <si>
    <t>7072....</t>
  </si>
  <si>
    <t>01/12/2012</t>
  </si>
  <si>
    <t>Te ardhura nga paketimi letra Tauland</t>
  </si>
  <si>
    <t>7073....</t>
  </si>
  <si>
    <t>Te ardhura nga qerate</t>
  </si>
  <si>
    <t>708...D01.</t>
  </si>
  <si>
    <t>19/12/2012</t>
  </si>
  <si>
    <t>Te ardhura te tjera</t>
  </si>
  <si>
    <t>715....</t>
  </si>
  <si>
    <t>26/10/2012</t>
  </si>
  <si>
    <t>758....</t>
  </si>
  <si>
    <t>02/08/2012</t>
  </si>
  <si>
    <t>Te ardhura nga kasa teper</t>
  </si>
  <si>
    <t>7581....</t>
  </si>
  <si>
    <t>766....</t>
  </si>
  <si>
    <t>22/11/2012</t>
  </si>
  <si>
    <t>767....</t>
  </si>
  <si>
    <t>01/07/2012</t>
  </si>
  <si>
    <t>Shpenzime plotesuese per mallra dhe pajisje</t>
  </si>
  <si>
    <t>381...D04.</t>
  </si>
  <si>
    <t>SHPENZIME</t>
  </si>
  <si>
    <t>Ndryshim gjendje mallra</t>
  </si>
  <si>
    <t>6035...D01.</t>
  </si>
  <si>
    <t>Blerje/Shpenzime mallrash elektronike</t>
  </si>
  <si>
    <t>605.85...</t>
  </si>
  <si>
    <t>Blerje energji/uje/avull</t>
  </si>
  <si>
    <t>608....</t>
  </si>
  <si>
    <t>Pastrimi</t>
  </si>
  <si>
    <t>610....</t>
  </si>
  <si>
    <t>23/01/2012</t>
  </si>
  <si>
    <t>Shpenzime noteriale dhe ligjore</t>
  </si>
  <si>
    <t>611....</t>
  </si>
  <si>
    <t>15/06/2012</t>
  </si>
  <si>
    <t>Qera</t>
  </si>
  <si>
    <t>613....</t>
  </si>
  <si>
    <t>30/04/2012</t>
  </si>
  <si>
    <t>Mirembajtje dhe riparime</t>
  </si>
  <si>
    <t>615....</t>
  </si>
  <si>
    <t>Shpenzime te tjera per sherbime</t>
  </si>
  <si>
    <t>618....</t>
  </si>
  <si>
    <t>12/12/2012</t>
  </si>
  <si>
    <t>Shpenzime publiciteti dhe reklame</t>
  </si>
  <si>
    <t>624....</t>
  </si>
  <si>
    <t>Transferime udhetim dhe dieta</t>
  </si>
  <si>
    <t>625....</t>
  </si>
  <si>
    <t>29/02/2012</t>
  </si>
  <si>
    <t>Shpenzime postare dhe tekomunikacion</t>
  </si>
  <si>
    <t>626....</t>
  </si>
  <si>
    <t>Per karburant</t>
  </si>
  <si>
    <t>6276....</t>
  </si>
  <si>
    <t>Shpenzime per sherbime bankare</t>
  </si>
  <si>
    <t>628....</t>
  </si>
  <si>
    <t>Shpenzime per POS</t>
  </si>
  <si>
    <t>629....</t>
  </si>
  <si>
    <t>Taksa dhe tarifa vendore</t>
  </si>
  <si>
    <t>634....</t>
  </si>
  <si>
    <t>29/03/2012</t>
  </si>
  <si>
    <t>Pagat dhe shperblimet e personelit</t>
  </si>
  <si>
    <t>641....</t>
  </si>
  <si>
    <t>644....</t>
  </si>
  <si>
    <t>Shpenzime te tjera per personelin</t>
  </si>
  <si>
    <t>648....</t>
  </si>
  <si>
    <t>22/05/2012</t>
  </si>
  <si>
    <t>Shpenzime per pritje, dhurata dhe sponsorizime</t>
  </si>
  <si>
    <t>654....</t>
  </si>
  <si>
    <t>Blerje/Shpenzime te tjera per kancelari</t>
  </si>
  <si>
    <t>655...D04.</t>
  </si>
  <si>
    <t>21/09/2012</t>
  </si>
  <si>
    <t>Blerje/Shpenzime te tjera per zyre</t>
  </si>
  <si>
    <t>656....</t>
  </si>
  <si>
    <t>28/12/2012</t>
  </si>
  <si>
    <t>658....</t>
  </si>
  <si>
    <t>SHPENZIME LETRA PAKETIMI</t>
  </si>
  <si>
    <t>6581....</t>
  </si>
  <si>
    <t>28/05/2012</t>
  </si>
  <si>
    <t>SHPENZIME LETRA PAKETIMI TAULAND</t>
  </si>
  <si>
    <t>6582...D01.</t>
  </si>
  <si>
    <t>31/10/2012</t>
  </si>
  <si>
    <t>Shpenzime komisione BG, LC</t>
  </si>
  <si>
    <t>666....</t>
  </si>
  <si>
    <t>Shpenzime per interesa</t>
  </si>
  <si>
    <t>667....EUR</t>
  </si>
  <si>
    <t>Humbje nga kembimet dhe perkthimet valutore</t>
  </si>
  <si>
    <t>669....</t>
  </si>
  <si>
    <t>Zbritje nga shitja</t>
  </si>
  <si>
    <t>671...D01.</t>
  </si>
  <si>
    <t>Amortizim Instalime dhe makineri</t>
  </si>
  <si>
    <t>6813....</t>
  </si>
  <si>
    <t>Amortizim pajisje zyre dhe informatike</t>
  </si>
  <si>
    <t>6818....</t>
  </si>
  <si>
    <t>Amortizime te tjera</t>
  </si>
  <si>
    <t>6819....</t>
  </si>
  <si>
    <t>Te ardhura nga shitja e AQT</t>
  </si>
  <si>
    <t>Vlera kontabel e AQT te shitura</t>
  </si>
  <si>
    <t>2.  Pasqyra e të ardhurave dhe shpenzimeve. Periudha 1 Janar - 31 Dhjetor 2013</t>
  </si>
  <si>
    <t>Bilanci Kontabël  31 Dhjetor  2013</t>
  </si>
  <si>
    <t>paradhenie punonjsve</t>
  </si>
  <si>
    <t>Kliente per sherbime</t>
  </si>
  <si>
    <t>Te drejta dhe detyrime ndaj pjesetareve te tjere te grupit</t>
  </si>
  <si>
    <t>Shpenzime te llogaritura</t>
  </si>
  <si>
    <t>Depozita afatshkurter</t>
  </si>
  <si>
    <t>Furnitor per sherbime</t>
  </si>
  <si>
    <t>Kliente fatura te paderguara</t>
  </si>
  <si>
    <t>Debitore te tjere / ERGYS ZAJMI</t>
  </si>
  <si>
    <t>Xhirime te brendshme arka</t>
  </si>
  <si>
    <t>Emertimi dhe Forma ligjore</t>
  </si>
  <si>
    <t>NIPT -i</t>
  </si>
  <si>
    <t>Adresa e Selise</t>
  </si>
  <si>
    <t>Data e krijimit</t>
  </si>
  <si>
    <t>Veprimtaria  Kryesore</t>
  </si>
  <si>
    <t>P A S Q Y R A T     F I N A N C I A R E</t>
  </si>
  <si>
    <t xml:space="preserve">(  Ne zbarim te Standarteve Nderkombetare te Raportimit Financiar  dhe </t>
  </si>
  <si>
    <t>Ligjit Nr. 9228 Date 29.04.2004     Per Kontabilitetin dhe Pasqyrat Financiare  )</t>
  </si>
  <si>
    <t>Pasqyra Financiare jane individuale</t>
  </si>
  <si>
    <t>Individuale</t>
  </si>
  <si>
    <t>Pasqyra Financiare jane te konsoliduara</t>
  </si>
  <si>
    <t>JO</t>
  </si>
  <si>
    <t>Pasqyra Financiare jane te shprehura ne</t>
  </si>
  <si>
    <t>Lek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</si>
  <si>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</si>
  <si>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</si>
  <si>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</si>
  <si>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</si>
  <si>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</si>
  <si>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Bookstore sh.p.k</t>
  </si>
  <si>
    <t>L12323007M</t>
  </si>
  <si>
    <t>Qendra Tregtare TEG Lunder Farke</t>
  </si>
  <si>
    <t>Viti   2013</t>
  </si>
  <si>
    <t>Tregetimi I Librave</t>
  </si>
  <si>
    <t>Pozicioni më 31 dhjetor 2013</t>
  </si>
  <si>
    <t>4.PASQYRA E NDRYSHIMEVE NË KAPITAL PËR VITIN QË MBYLLET MË  31 DHJETOR 2013</t>
  </si>
  <si>
    <t xml:space="preserve">   3.b.  Pasqyra e  fluksit te parasë për vitin ushtrimor te mbyllur me 31 Dhjetor 2013</t>
  </si>
  <si>
    <t>ALL</t>
  </si>
  <si>
    <t>11.              Mjete monetare dhe të ngjashme</t>
  </si>
  <si>
    <t>31 dhjetor 2012</t>
  </si>
  <si>
    <t>Arka  në Lekë</t>
  </si>
  <si>
    <t>Llogari rrjedhëse në Lekë</t>
  </si>
  <si>
    <t>31 dhjetor 2013</t>
  </si>
  <si>
    <t>Aktive te tjera financiare afatshkurtra</t>
  </si>
  <si>
    <t>Llogari/Kerkesa te arketueshme (kliente)</t>
  </si>
  <si>
    <t>Llogari/Kerkesa te tjera te arketueshme (POS)</t>
  </si>
  <si>
    <t>TVSH kreditore</t>
  </si>
  <si>
    <t>Parapagime Tatim Fitimi</t>
  </si>
  <si>
    <t>Inventar Libra Revista etj</t>
  </si>
  <si>
    <t>Ndertesa</t>
  </si>
  <si>
    <t>Makineri Dhe Pajisje</t>
  </si>
  <si>
    <t>Vlera Bruto</t>
  </si>
  <si>
    <t>Transferime</t>
  </si>
  <si>
    <t>Amortizimi Akumuluar</t>
  </si>
  <si>
    <t xml:space="preserve">Shtesa </t>
  </si>
  <si>
    <t xml:space="preserve">Vlera Neto </t>
  </si>
  <si>
    <t>Gjendjet dhe levizjet</t>
  </si>
  <si>
    <t>31.12.2012</t>
  </si>
  <si>
    <t>31.12.2013</t>
  </si>
  <si>
    <t>Te tjeta aktive afatgjata materiale</t>
  </si>
  <si>
    <t>Huamerrjet Afatshkurtra</t>
  </si>
  <si>
    <t>Detyrimet afatshkurtra -Huate dhe parapagimet</t>
  </si>
  <si>
    <t>Te pagueshme ndaj furnitoreve</t>
  </si>
  <si>
    <t>Detyrime Tatimore (TAP)</t>
  </si>
  <si>
    <t>Detyrime Tatimore (Sig. shoq)</t>
  </si>
  <si>
    <t>Te pagueshme ndaj punonjsve</t>
  </si>
  <si>
    <t>Detyrimet afatsgjata -Huate afatgjata</t>
  </si>
  <si>
    <t>Hua Afatgjata Bankare</t>
  </si>
  <si>
    <t>Te ardhura</t>
  </si>
  <si>
    <t xml:space="preserve">Te ardhura nga shitja e mallrave </t>
  </si>
  <si>
    <t>Te ardhura dhe shpenzime financiare</t>
  </si>
  <si>
    <t>Shpenzime Interesa</t>
  </si>
  <si>
    <t>Humbje nga kursi I kembimit</t>
  </si>
  <si>
    <t>Fitimi I Ushtrimit dhe Tatimi mbi Fitimin</t>
  </si>
  <si>
    <t>Fitimi Neto para tatimit</t>
  </si>
  <si>
    <t>Shpenzime te pazbritshme</t>
  </si>
  <si>
    <t xml:space="preserve">Fitim humbja tatimore </t>
  </si>
  <si>
    <t>Tatim Fitimi 10%</t>
  </si>
  <si>
    <t>Fitimi Neto I Vitit ushtrimor</t>
  </si>
  <si>
    <t xml:space="preserve">SHOQERIA:  TIRANA EAST GATE SHPK </t>
  </si>
  <si>
    <t>Pasqyre Nr.1</t>
  </si>
  <si>
    <t>Në 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</si>
  <si>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</si>
  <si>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</si>
  <si>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</si>
  <si>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</si>
  <si>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</si>
  <si>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</si>
  <si>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</si>
  <si>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</si>
  <si>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</si>
  <si>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</si>
  <si>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</si>
  <si>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</si>
  <si>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</si>
  <si>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</si>
  <si>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</si>
  <si>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</si>
  <si>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</si>
  <si>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</si>
  <si>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</si>
  <si>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</si>
  <si>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</si>
  <si>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</si>
  <si>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</si>
  <si>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</si>
  <si>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</si>
  <si>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</si>
  <si>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Administrator i shoqerise </t>
  </si>
  <si>
    <t>Viti 2013</t>
  </si>
  <si>
    <t>Viti 2012</t>
  </si>
  <si>
    <t xml:space="preserve">Bookstore SHPK </t>
  </si>
  <si>
    <t>NIPT :  L12323007M</t>
  </si>
  <si>
    <t>NIPT :            K82231001H</t>
  </si>
  <si>
    <t>Pasqyre Nr.2</t>
  </si>
  <si>
    <t>Në ooo/Lekë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</si>
  <si>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</si>
  <si>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</si>
  <si>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</si>
  <si>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</si>
  <si>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</si>
  <si>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</si>
  <si>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</si>
  <si>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</si>
  <si>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</si>
  <si>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Times New Roman"/>
        <family val="1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</si>
  <si>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</si>
  <si>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</si>
  <si>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</si>
  <si>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</si>
  <si>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</si>
  <si>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Times New Roman"/>
        <family val="1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</si>
  <si>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</si>
  <si>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</si>
  <si>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</si>
  <si>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</si>
  <si>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</si>
  <si>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</si>
  <si>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</si>
  <si>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</si>
  <si>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</si>
  <si>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</si>
  <si>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</si>
  <si>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</si>
  <si>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</si>
  <si>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</si>
  <si>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</si>
  <si>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</si>
  <si>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</si>
  <si>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</si>
  <si>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</si>
  <si>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</si>
  <si>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</si>
  <si>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</si>
  <si>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</si>
  <si>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</si>
  <si>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</si>
  <si>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</si>
  <si>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</si>
  <si>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</si>
  <si>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</si>
  <si>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</si>
  <si>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</si>
  <si>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</si>
  <si>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</si>
  <si>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</si>
  <si>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</si>
  <si>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</si>
  <si>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</si>
  <si>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>-</t>
  </si>
  <si>
    <t xml:space="preserve">       nga te cilat shitja e aseteve ekzistuese</t>
  </si>
  <si>
    <t>Shenim: Ne asete te reja eshte perfshire edhe ndertimi ne proces</t>
  </si>
  <si>
    <t>Ripasqyruar</t>
  </si>
  <si>
    <t>DTDOK</t>
  </si>
  <si>
    <t>REFERDK</t>
  </si>
  <si>
    <t>DEBI</t>
  </si>
  <si>
    <t>DEBIMV</t>
  </si>
  <si>
    <t>GJENDJE</t>
  </si>
  <si>
    <t>GJENDJEMV</t>
  </si>
  <si>
    <t>TIPDOK</t>
  </si>
  <si>
    <t>NUMDOK</t>
  </si>
  <si>
    <t>KOMENT</t>
  </si>
  <si>
    <t>04/04/2013</t>
  </si>
  <si>
    <t>A01</t>
  </si>
  <si>
    <t>MP</t>
  </si>
  <si>
    <t>AGS /PASTRIM/MP nr 110 dt 04/04/2013 A01</t>
  </si>
  <si>
    <t>22/01/2013</t>
  </si>
  <si>
    <t>Ama caffe//MP nr 17 dt 22/01/2013 A01</t>
  </si>
  <si>
    <t>02/02/2013</t>
  </si>
  <si>
    <t>Elena Kereku/paga per 8 dite pune/MP nr 28 dt 02/02/2013 A01</t>
  </si>
  <si>
    <t>02/03/2013</t>
  </si>
  <si>
    <t>Elena Kereku/Paga per 8 dite pune/MP nr 54 dt 02/03/2013 A01</t>
  </si>
  <si>
    <t>29/03/2013</t>
  </si>
  <si>
    <t>POSTA SHQIPTARE/DOREZIM BILANCI/MP nr 95 dt 29/03/2013 A01</t>
  </si>
  <si>
    <t>02/04/2013</t>
  </si>
  <si>
    <t>Elena Kereku/paga mars per 21 dite pune/MP nr 103 dt 02/04/2013 A01</t>
  </si>
  <si>
    <t>03/04/2013</t>
  </si>
  <si>
    <t>ERJONA LIRA/Paga ( 2 dite me arke + 3 dite me banke)/MP nr 107 dt 03/04/2013 A01</t>
  </si>
  <si>
    <t>08/04/2013</t>
  </si>
  <si>
    <t>ORNELA PALI/PAGA 5 DITE MUAJI MARS 2013/MP nr 120 dt 08/04/2013 A01</t>
  </si>
  <si>
    <t>12/04/2013</t>
  </si>
  <si>
    <t>sherbim taksi//MP nr 131 dt 12/04/2013 A01</t>
  </si>
  <si>
    <t>15/04/2013</t>
  </si>
  <si>
    <t>AMA KAFE/pag.kafet e konferences/MP nr 138 dt 15/04/2013 A01</t>
  </si>
  <si>
    <t>16/04/2013</t>
  </si>
  <si>
    <t>AMA KAFE/pag.kafet e konferences/MP nr 140 dt 16/04/2013 A01</t>
  </si>
  <si>
    <t>04/05/2013</t>
  </si>
  <si>
    <t>Ornela Pali/paga per 10 dite pune muaji prill  2013/MP nr 170 dt 04/05/2013 A01</t>
  </si>
  <si>
    <t>28/05/2013</t>
  </si>
  <si>
    <t>Sherbim taksi//MP nr 227 dt 28/05/2013 A01</t>
  </si>
  <si>
    <t>06/06/2013</t>
  </si>
  <si>
    <t>Ornela Pali/paga per 18 dite pune/MP nr 262 dt 06/06/2013 A01</t>
  </si>
  <si>
    <t>11/07/2013</t>
  </si>
  <si>
    <t>Paga Qershor+Korrik Ornela Pali/23 dt qershor+13 dt korrik (part time)/MP nr 299 dt 11/07/2013 A01</t>
  </si>
  <si>
    <t>02/11/2013</t>
  </si>
  <si>
    <t>Paga Sirjana Muco/Tetor 2013/MP nr 376 dt 02/11/2013 A01</t>
  </si>
  <si>
    <t>25/11/2013</t>
  </si>
  <si>
    <t>Sherbim TAXI//MP nr 384 dt 25/11/2013 A01</t>
  </si>
  <si>
    <t>26/12/2013</t>
  </si>
  <si>
    <t>Sherbim TAXI//MP nr 414 dt 26/12/2013 A01</t>
  </si>
  <si>
    <t>04/01/2013</t>
  </si>
  <si>
    <t>MIGENA VAKO/BL BLLOQE TVSH - je/MP nr 3 dt 04/01/2013 A01</t>
  </si>
  <si>
    <t>07/03/2013</t>
  </si>
  <si>
    <t>Neptun/Blere 4 bateri per kasaforten/MP nr 59 dt 07/03/2013 A01</t>
  </si>
  <si>
    <t>18/05/2013</t>
  </si>
  <si>
    <t>GJERGJ H SHPK/qepje/MP nr 201 dt 18/05/2013 A01</t>
  </si>
  <si>
    <t>28/08/2013</t>
  </si>
  <si>
    <t>Sherbim taksi//MP nr 337 dt 28/08/2013 A01</t>
  </si>
  <si>
    <t>10/09/2013</t>
  </si>
  <si>
    <t>Sherbim TAXI//MP nr 344 dt 10/09/2013 A01</t>
  </si>
  <si>
    <t>25/09/2013</t>
  </si>
  <si>
    <t>Sherbim TAXI//MP nr 355 dt 25/09/2013 A01</t>
  </si>
  <si>
    <t>30/09/2013</t>
  </si>
  <si>
    <t>Shperblim per dite pune shtese//MP nr 357 dt 30/09/2013 A01</t>
  </si>
  <si>
    <t>Shperblim per dite pune shtese//MP nr 358 dt 30/09/2013 A01</t>
  </si>
  <si>
    <t>01/10/2013</t>
  </si>
  <si>
    <t>Pagese per blloqe me tvsh/4*360/MP nr 360 dt 01/10/2013 A01</t>
  </si>
  <si>
    <t>24/10/2013</t>
  </si>
  <si>
    <t>Taxi//MP nr 373 dt 24/10/2013 A01</t>
  </si>
  <si>
    <t>08/11/2013</t>
  </si>
  <si>
    <t>Pagese per blloqe me tvsh//MP nr 379 dt 08/11/2013 A01</t>
  </si>
  <si>
    <t>29/11/2013</t>
  </si>
  <si>
    <t>Kopje celsi//MP nr 388 dt 29/11/2013 A01</t>
  </si>
  <si>
    <t>NIPT</t>
  </si>
  <si>
    <t>Aktiviteti  kryesor</t>
  </si>
  <si>
    <t>Aktiviteti dytesor</t>
  </si>
  <si>
    <t xml:space="preserve">TIRANA EAST GATE SHPK </t>
  </si>
  <si>
    <t>Tregti</t>
  </si>
  <si>
    <t xml:space="preserve">      K82231001H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</si>
  <si>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</si>
  <si>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</si>
  <si>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</si>
  <si>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</si>
  <si>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</si>
  <si>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</si>
  <si>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</si>
  <si>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</si>
  <si>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</si>
  <si>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</si>
  <si>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</si>
  <si>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</si>
  <si>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</si>
  <si>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</si>
  <si>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</si>
  <si>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</si>
  <si>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</si>
  <si>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</si>
  <si>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</si>
  <si>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</si>
  <si>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</si>
  <si>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</si>
  <si>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</si>
  <si>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</si>
  <si>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</si>
  <si>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</si>
  <si>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</si>
  <si>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</si>
  <si>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</si>
  <si>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</si>
  <si>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</si>
  <si>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</si>
  <si>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</si>
  <si>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</si>
  <si>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</si>
  <si>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</si>
  <si>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</si>
  <si>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</si>
  <si>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</si>
  <si>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</si>
  <si>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</si>
  <si>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</si>
  <si>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</si>
  <si>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</si>
  <si>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</si>
  <si>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</si>
  <si>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</si>
  <si>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</si>
  <si>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</si>
  <si>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</si>
  <si>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</si>
  <si>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</si>
  <si>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</si>
  <si>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</si>
  <si>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</si>
  <si>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</si>
  <si>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</si>
  <si>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2012: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</si>
  <si>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</si>
  <si>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</si>
  <si>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</si>
  <si>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</si>
  <si>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</si>
  <si>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</si>
  <si>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Mariola Kuci</t>
  </si>
  <si>
    <t>Marjola Hurdha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</si>
</sst>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_-* #,##0.0_-;\-* #,##0.0_-;_-* &quot;-&quot;??_-;_-@_-"/>
    <numFmt numFmtId="176" formatCode="_-* #,##0_-;\-* #,##0_-;_-* &quot;-&quot;??_-;_-@_-"/>
    <numFmt numFmtId="177" formatCode="#,##0.000"/>
    <numFmt numFmtId="178" formatCode="[$-409]mmm\-yy;@"/>
    <numFmt numFmtId="179" formatCode="0.0%"/>
    <numFmt numFmtId="180" formatCode="_-* #,##0.00\ &quot;€&quot;_-;\-* #,##0.00\ &quot;€&quot;_-;_-* &quot;-&quot;??\ &quot;€&quot;_-;_-@_-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"/>
    <numFmt numFmtId="187" formatCode="#,##0.00000000000"/>
    <numFmt numFmtId="188" formatCode="0.00_);\(0.00\)"/>
    <numFmt numFmtId="189" formatCode="0.0_);\(0.0\)"/>
    <numFmt numFmtId="190" formatCode="0_);\(0\)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26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Tms Rmn"/>
      <family val="0"/>
    </font>
    <font>
      <sz val="10"/>
      <color indexed="62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Arial CE"/>
      <family val="0"/>
    </font>
    <font>
      <sz val="12"/>
      <color indexed="8"/>
      <name val="Garamond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1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color indexed="9"/>
      <name val="Garamond"/>
      <family val="2"/>
    </font>
    <font>
      <sz val="11"/>
      <color indexed="20"/>
      <name val="Calibri"/>
      <family val="2"/>
    </font>
    <font>
      <sz val="12"/>
      <color indexed="20"/>
      <name val="Garamond"/>
      <family val="2"/>
    </font>
    <font>
      <b/>
      <sz val="11"/>
      <color indexed="52"/>
      <name val="Calibri"/>
      <family val="2"/>
    </font>
    <font>
      <b/>
      <sz val="12"/>
      <color indexed="52"/>
      <name val="Garamond"/>
      <family val="2"/>
    </font>
    <font>
      <b/>
      <sz val="11"/>
      <color indexed="9"/>
      <name val="Calibri"/>
      <family val="2"/>
    </font>
    <font>
      <b/>
      <sz val="12"/>
      <color indexed="9"/>
      <name val="Garamond"/>
      <family val="2"/>
    </font>
    <font>
      <i/>
      <sz val="11"/>
      <color indexed="23"/>
      <name val="Calibri"/>
      <family val="2"/>
    </font>
    <font>
      <i/>
      <sz val="12"/>
      <color indexed="23"/>
      <name val="Garamond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Garamond"/>
      <family val="2"/>
    </font>
    <font>
      <b/>
      <sz val="15"/>
      <color indexed="56"/>
      <name val="Calibri"/>
      <family val="2"/>
    </font>
    <font>
      <b/>
      <sz val="15"/>
      <color indexed="56"/>
      <name val="Garamond"/>
      <family val="2"/>
    </font>
    <font>
      <b/>
      <sz val="13"/>
      <color indexed="56"/>
      <name val="Calibri"/>
      <family val="2"/>
    </font>
    <font>
      <b/>
      <sz val="13"/>
      <color indexed="56"/>
      <name val="Garamond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Garamond"/>
      <family val="2"/>
    </font>
    <font>
      <sz val="11"/>
      <color indexed="52"/>
      <name val="Calibri"/>
      <family val="2"/>
    </font>
    <font>
      <sz val="12"/>
      <color indexed="52"/>
      <name val="Garamond"/>
      <family val="2"/>
    </font>
    <font>
      <sz val="11"/>
      <color indexed="60"/>
      <name val="Calibri"/>
      <family val="2"/>
    </font>
    <font>
      <sz val="12"/>
      <color indexed="60"/>
      <name val="Garamond"/>
      <family val="2"/>
    </font>
    <font>
      <b/>
      <sz val="11"/>
      <color indexed="63"/>
      <name val="Calibri"/>
      <family val="2"/>
    </font>
    <font>
      <b/>
      <sz val="12"/>
      <color indexed="63"/>
      <name val="Garamond"/>
      <family val="2"/>
    </font>
    <font>
      <b/>
      <sz val="11"/>
      <color indexed="8"/>
      <name val="Calibri"/>
      <family val="2"/>
    </font>
    <font>
      <b/>
      <sz val="12"/>
      <color indexed="8"/>
      <name val="Garamond"/>
      <family val="2"/>
    </font>
    <font>
      <sz val="11"/>
      <color indexed="10"/>
      <name val="Calibri"/>
      <family val="2"/>
    </font>
    <font>
      <sz val="12"/>
      <color indexed="10"/>
      <name val="Garamond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2"/>
      <color theme="1"/>
      <name val="Garamond"/>
      <family val="2"/>
    </font>
    <font>
      <sz val="11"/>
      <color theme="0"/>
      <name val="Calibri"/>
      <family val="2"/>
    </font>
    <font>
      <sz val="12"/>
      <color theme="0"/>
      <name val="Garamond"/>
      <family val="2"/>
    </font>
    <font>
      <sz val="11"/>
      <color rgb="FF9C0006"/>
      <name val="Calibri"/>
      <family val="2"/>
    </font>
    <font>
      <sz val="12"/>
      <color rgb="FF9C0006"/>
      <name val="Garamond"/>
      <family val="2"/>
    </font>
    <font>
      <b/>
      <sz val="11"/>
      <color rgb="FFFA7D00"/>
      <name val="Calibri"/>
      <family val="2"/>
    </font>
    <font>
      <b/>
      <sz val="12"/>
      <color rgb="FFFA7D00"/>
      <name val="Garamond"/>
      <family val="2"/>
    </font>
    <font>
      <b/>
      <sz val="11"/>
      <color theme="0"/>
      <name val="Calibri"/>
      <family val="2"/>
    </font>
    <font>
      <b/>
      <sz val="12"/>
      <color theme="0"/>
      <name val="Garamond"/>
      <family val="2"/>
    </font>
    <font>
      <i/>
      <sz val="11"/>
      <color rgb="FF7F7F7F"/>
      <name val="Calibri"/>
      <family val="2"/>
    </font>
    <font>
      <i/>
      <sz val="12"/>
      <color rgb="FF7F7F7F"/>
      <name val="Garamond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Garamond"/>
      <family val="2"/>
    </font>
    <font>
      <b/>
      <sz val="15"/>
      <color theme="3"/>
      <name val="Calibri"/>
      <family val="2"/>
    </font>
    <font>
      <b/>
      <sz val="15"/>
      <color theme="3"/>
      <name val="Garamond"/>
      <family val="2"/>
    </font>
    <font>
      <b/>
      <sz val="13"/>
      <color theme="3"/>
      <name val="Calibri"/>
      <family val="2"/>
    </font>
    <font>
      <b/>
      <sz val="13"/>
      <color theme="3"/>
      <name val="Garamond"/>
      <family val="2"/>
    </font>
    <font>
      <b/>
      <sz val="11"/>
      <color theme="3"/>
      <name val="Calibri"/>
      <family val="2"/>
    </font>
    <font>
      <b/>
      <sz val="11"/>
      <color theme="3"/>
      <name val="Garamond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Garamond"/>
      <family val="2"/>
    </font>
    <font>
      <sz val="11"/>
      <color rgb="FFFA7D00"/>
      <name val="Calibri"/>
      <family val="2"/>
    </font>
    <font>
      <sz val="12"/>
      <color rgb="FFFA7D00"/>
      <name val="Garamond"/>
      <family val="2"/>
    </font>
    <font>
      <sz val="11"/>
      <color rgb="FF9C6500"/>
      <name val="Calibri"/>
      <family val="2"/>
    </font>
    <font>
      <sz val="12"/>
      <color rgb="FF9C6500"/>
      <name val="Garamond"/>
      <family val="2"/>
    </font>
    <font>
      <b/>
      <sz val="11"/>
      <color rgb="FF3F3F3F"/>
      <name val="Calibri"/>
      <family val="2"/>
    </font>
    <font>
      <b/>
      <sz val="12"/>
      <color rgb="FF3F3F3F"/>
      <name val="Garamond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Garamond"/>
      <family val="2"/>
    </font>
    <font>
      <sz val="11"/>
      <color rgb="FFFF0000"/>
      <name val="Calibri"/>
      <family val="2"/>
    </font>
    <font>
      <sz val="12"/>
      <color rgb="FFFF0000"/>
      <name val="Garamond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5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0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05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5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5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05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05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05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06" fillId="28" borderId="0" applyNumberFormat="0" applyBorder="0" applyAlignment="0" applyProtection="0"/>
    <xf numFmtId="0" fontId="107" fillId="28" borderId="0" applyNumberFormat="0" applyBorder="0" applyAlignment="0" applyProtection="0"/>
    <xf numFmtId="0" fontId="106" fillId="29" borderId="0" applyNumberFormat="0" applyBorder="0" applyAlignment="0" applyProtection="0"/>
    <xf numFmtId="0" fontId="107" fillId="29" borderId="0" applyNumberFormat="0" applyBorder="0" applyAlignment="0" applyProtection="0"/>
    <xf numFmtId="0" fontId="106" fillId="30" borderId="0" applyNumberFormat="0" applyBorder="0" applyAlignment="0" applyProtection="0"/>
    <xf numFmtId="0" fontId="107" fillId="30" borderId="0" applyNumberFormat="0" applyBorder="0" applyAlignment="0" applyProtection="0"/>
    <xf numFmtId="0" fontId="106" fillId="31" borderId="0" applyNumberFormat="0" applyBorder="0" applyAlignment="0" applyProtection="0"/>
    <xf numFmtId="178" fontId="106" fillId="31" borderId="0" applyNumberFormat="0" applyBorder="0" applyAlignment="0" applyProtection="0"/>
    <xf numFmtId="0" fontId="107" fillId="31" borderId="0" applyNumberFormat="0" applyBorder="0" applyAlignment="0" applyProtection="0"/>
    <xf numFmtId="179" fontId="19" fillId="25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2" borderId="0" applyNumberFormat="0" applyBorder="0" applyAlignment="0" applyProtection="0"/>
    <xf numFmtId="0" fontId="106" fillId="33" borderId="0" applyNumberFormat="0" applyBorder="0" applyAlignment="0" applyProtection="0"/>
    <xf numFmtId="0" fontId="107" fillId="33" borderId="0" applyNumberFormat="0" applyBorder="0" applyAlignment="0" applyProtection="0"/>
    <xf numFmtId="0" fontId="106" fillId="34" borderId="0" applyNumberFormat="0" applyBorder="0" applyAlignment="0" applyProtection="0"/>
    <xf numFmtId="0" fontId="107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178" fontId="106" fillId="35" borderId="0" applyNumberFormat="0" applyBorder="0" applyAlignment="0" applyProtection="0"/>
    <xf numFmtId="0" fontId="107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7" fillId="36" borderId="0" applyNumberFormat="0" applyBorder="0" applyAlignment="0" applyProtection="0"/>
    <xf numFmtId="0" fontId="106" fillId="37" borderId="0" applyNumberFormat="0" applyBorder="0" applyAlignment="0" applyProtection="0"/>
    <xf numFmtId="178" fontId="106" fillId="37" borderId="0" applyNumberFormat="0" applyBorder="0" applyAlignment="0" applyProtection="0"/>
    <xf numFmtId="0" fontId="107" fillId="37" borderId="0" applyNumberFormat="0" applyBorder="0" applyAlignment="0" applyProtection="0"/>
    <xf numFmtId="0" fontId="106" fillId="38" borderId="0" applyNumberFormat="0" applyBorder="0" applyAlignment="0" applyProtection="0"/>
    <xf numFmtId="0" fontId="107" fillId="38" borderId="0" applyNumberFormat="0" applyBorder="0" applyAlignment="0" applyProtection="0"/>
    <xf numFmtId="0" fontId="106" fillId="39" borderId="0" applyNumberFormat="0" applyBorder="0" applyAlignment="0" applyProtection="0"/>
    <xf numFmtId="0" fontId="107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108" fillId="40" borderId="0" applyNumberFormat="0" applyBorder="0" applyAlignment="0" applyProtection="0"/>
    <xf numFmtId="0" fontId="109" fillId="40" borderId="0" applyNumberFormat="0" applyBorder="0" applyAlignment="0" applyProtection="0"/>
    <xf numFmtId="0" fontId="30" fillId="41" borderId="1" applyNumberFormat="0" applyAlignment="0" applyProtection="0"/>
    <xf numFmtId="0" fontId="110" fillId="42" borderId="2" applyNumberFormat="0" applyAlignment="0" applyProtection="0"/>
    <xf numFmtId="178" fontId="110" fillId="42" borderId="2" applyNumberFormat="0" applyAlignment="0" applyProtection="0"/>
    <xf numFmtId="0" fontId="111" fillId="42" borderId="2" applyNumberFormat="0" applyAlignment="0" applyProtection="0"/>
    <xf numFmtId="0" fontId="31" fillId="0" borderId="3" applyNumberFormat="0" applyFill="0" applyAlignment="0" applyProtection="0"/>
    <xf numFmtId="0" fontId="112" fillId="43" borderId="4" applyNumberFormat="0" applyAlignment="0" applyProtection="0"/>
    <xf numFmtId="178" fontId="112" fillId="43" borderId="4" applyNumberFormat="0" applyAlignment="0" applyProtection="0"/>
    <xf numFmtId="0" fontId="112" fillId="43" borderId="4" applyNumberFormat="0" applyAlignment="0" applyProtection="0"/>
    <xf numFmtId="0" fontId="113" fillId="43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17" fillId="0" borderId="0" applyBorder="0" applyProtection="0">
      <alignment horizontal="lef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44" borderId="5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178" fontId="32" fillId="0" borderId="0" applyNumberFormat="0" applyFill="0" applyBorder="0" applyAlignment="0" applyProtection="0"/>
    <xf numFmtId="0" fontId="33" fillId="7" borderId="1" applyNumberFormat="0" applyAlignment="0" applyProtection="0"/>
    <xf numFmtId="180" fontId="3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45" borderId="0" applyNumberFormat="0" applyBorder="0" applyAlignment="0" applyProtection="0"/>
    <xf numFmtId="0" fontId="118" fillId="45" borderId="0" applyNumberFormat="0" applyBorder="0" applyAlignment="0" applyProtection="0"/>
    <xf numFmtId="0" fontId="119" fillId="0" borderId="6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4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8" fontId="35" fillId="7" borderId="9" applyNumberFormat="0" applyFont="0" applyBorder="0" applyAlignment="0">
      <protection/>
    </xf>
    <xf numFmtId="178" fontId="35" fillId="46" borderId="10" applyNumberFormat="0" applyFont="0" applyBorder="0" applyAlignment="0">
      <protection/>
    </xf>
    <xf numFmtId="0" fontId="125" fillId="0" borderId="0" applyNumberFormat="0" applyFill="0" applyBorder="0" applyAlignment="0" applyProtection="0"/>
    <xf numFmtId="0" fontId="126" fillId="47" borderId="2" applyNumberFormat="0" applyAlignment="0" applyProtection="0"/>
    <xf numFmtId="178" fontId="126" fillId="47" borderId="2" applyNumberFormat="0" applyAlignment="0" applyProtection="0"/>
    <xf numFmtId="0" fontId="127" fillId="47" borderId="2" applyNumberFormat="0" applyAlignment="0" applyProtection="0"/>
    <xf numFmtId="0" fontId="36" fillId="3" borderId="0" applyNumberFormat="0" applyBorder="0" applyAlignment="0" applyProtection="0"/>
    <xf numFmtId="0" fontId="128" fillId="0" borderId="11" applyNumberFormat="0" applyFill="0" applyAlignment="0" applyProtection="0"/>
    <xf numFmtId="0" fontId="129" fillId="0" borderId="11" applyNumberFormat="0" applyFill="0" applyAlignment="0" applyProtection="0"/>
    <xf numFmtId="43" fontId="2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0" fillId="48" borderId="0" applyNumberFormat="0" applyBorder="0" applyAlignment="0" applyProtection="0"/>
    <xf numFmtId="0" fontId="131" fillId="48" borderId="0" applyNumberFormat="0" applyBorder="0" applyAlignment="0" applyProtection="0"/>
    <xf numFmtId="0" fontId="3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9" fontId="17" fillId="0" borderId="0" applyBorder="0" applyProtection="0">
      <alignment horizontal="left" vertical="top" wrapText="1"/>
    </xf>
    <xf numFmtId="179" fontId="17" fillId="0" borderId="0" applyBorder="0" applyProtection="0">
      <alignment horizontal="left" vertical="top" wrapText="1"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23" fillId="0" borderId="0">
      <alignment/>
      <protection/>
    </xf>
    <xf numFmtId="0" fontId="23" fillId="0" borderId="0">
      <alignment/>
      <protection/>
    </xf>
    <xf numFmtId="179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8" fontId="0" fillId="0" borderId="0">
      <alignment/>
      <protection/>
    </xf>
    <xf numFmtId="0" fontId="39" fillId="0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178" fontId="41" fillId="0" borderId="0">
      <alignment/>
      <protection/>
    </xf>
    <xf numFmtId="0" fontId="0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42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" fillId="49" borderId="12" applyNumberFormat="0" applyFont="0" applyAlignment="0" applyProtection="0"/>
    <xf numFmtId="0" fontId="132" fillId="42" borderId="13" applyNumberFormat="0" applyAlignment="0" applyProtection="0"/>
    <xf numFmtId="0" fontId="133" fillId="42" borderId="13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41" borderId="14" applyNumberFormat="0" applyAlignment="0" applyProtection="0"/>
    <xf numFmtId="0" fontId="4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9" fillId="50" borderId="19" applyNumberFormat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2" fillId="0" borderId="20" xfId="0" applyFont="1" applyBorder="1" applyAlignment="1">
      <alignment wrapText="1"/>
    </xf>
    <xf numFmtId="3" fontId="3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6" fillId="41" borderId="20" xfId="0" applyNumberFormat="1" applyFont="1" applyFill="1" applyBorder="1" applyAlignment="1">
      <alignment wrapText="1"/>
    </xf>
    <xf numFmtId="3" fontId="4" fillId="41" borderId="2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2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21" fillId="4" borderId="21" xfId="0" applyFont="1" applyFill="1" applyBorder="1" applyAlignment="1">
      <alignment horizontal="right"/>
    </xf>
    <xf numFmtId="0" fontId="21" fillId="4" borderId="21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257" applyNumberFormat="1" applyFont="1" applyAlignment="1">
      <alignment/>
    </xf>
    <xf numFmtId="0" fontId="139" fillId="0" borderId="0" xfId="0" applyFont="1" applyAlignment="1">
      <alignment/>
    </xf>
    <xf numFmtId="0" fontId="140" fillId="0" borderId="0" xfId="0" applyFont="1" applyAlignment="1">
      <alignment/>
    </xf>
    <xf numFmtId="172" fontId="0" fillId="51" borderId="0" xfId="257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257" applyNumberFormat="1" applyFont="1" applyAlignment="1">
      <alignment/>
    </xf>
    <xf numFmtId="0" fontId="139" fillId="0" borderId="22" xfId="0" applyFont="1" applyBorder="1" applyAlignment="1">
      <alignment/>
    </xf>
    <xf numFmtId="0" fontId="135" fillId="0" borderId="0" xfId="0" applyFont="1" applyAlignment="1">
      <alignment/>
    </xf>
    <xf numFmtId="0" fontId="141" fillId="0" borderId="23" xfId="0" applyFont="1" applyBorder="1" applyAlignment="1">
      <alignment/>
    </xf>
    <xf numFmtId="172" fontId="141" fillId="0" borderId="0" xfId="257" applyNumberFormat="1" applyFont="1" applyAlignment="1">
      <alignment/>
    </xf>
    <xf numFmtId="172" fontId="142" fillId="0" borderId="0" xfId="257" applyNumberFormat="1" applyFont="1" applyAlignment="1">
      <alignment/>
    </xf>
    <xf numFmtId="172" fontId="142" fillId="0" borderId="22" xfId="257" applyNumberFormat="1" applyFont="1" applyBorder="1" applyAlignment="1">
      <alignment/>
    </xf>
    <xf numFmtId="0" fontId="141" fillId="0" borderId="0" xfId="0" applyFont="1" applyAlignment="1">
      <alignment/>
    </xf>
    <xf numFmtId="172" fontId="142" fillId="0" borderId="0" xfId="0" applyNumberFormat="1" applyFont="1" applyAlignment="1">
      <alignment/>
    </xf>
    <xf numFmtId="0" fontId="140" fillId="0" borderId="22" xfId="0" applyFont="1" applyBorder="1" applyAlignment="1">
      <alignment/>
    </xf>
    <xf numFmtId="172" fontId="141" fillId="0" borderId="22" xfId="257" applyNumberFormat="1" applyFont="1" applyBorder="1" applyAlignment="1">
      <alignment/>
    </xf>
    <xf numFmtId="0" fontId="141" fillId="0" borderId="23" xfId="0" applyFont="1" applyBorder="1" applyAlignment="1">
      <alignment horizontal="center" vertical="center" wrapText="1"/>
    </xf>
    <xf numFmtId="0" fontId="139" fillId="0" borderId="0" xfId="0" applyFont="1" applyAlignment="1">
      <alignment wrapText="1"/>
    </xf>
    <xf numFmtId="172" fontId="141" fillId="0" borderId="0" xfId="0" applyNumberFormat="1" applyFont="1" applyAlignment="1">
      <alignment/>
    </xf>
    <xf numFmtId="0" fontId="141" fillId="0" borderId="23" xfId="0" applyFont="1" applyBorder="1" applyAlignment="1">
      <alignment vertical="center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/>
    </xf>
    <xf numFmtId="172" fontId="95" fillId="0" borderId="10" xfId="257" applyNumberFormat="1" applyFont="1" applyFill="1" applyBorder="1" applyAlignment="1">
      <alignment/>
    </xf>
    <xf numFmtId="172" fontId="95" fillId="0" borderId="25" xfId="257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72" fontId="21" fillId="0" borderId="10" xfId="257" applyNumberFormat="1" applyFont="1" applyFill="1" applyBorder="1" applyAlignment="1">
      <alignment/>
    </xf>
    <xf numFmtId="172" fontId="21" fillId="0" borderId="25" xfId="257" applyNumberFormat="1" applyFont="1" applyFill="1" applyBorder="1" applyAlignment="1">
      <alignment/>
    </xf>
    <xf numFmtId="172" fontId="95" fillId="0" borderId="26" xfId="257" applyNumberFormat="1" applyFont="1" applyFill="1" applyBorder="1" applyAlignment="1">
      <alignment/>
    </xf>
    <xf numFmtId="172" fontId="95" fillId="0" borderId="27" xfId="257" applyNumberFormat="1" applyFont="1" applyFill="1" applyBorder="1" applyAlignment="1">
      <alignment/>
    </xf>
    <xf numFmtId="0" fontId="95" fillId="0" borderId="26" xfId="0" applyFont="1" applyFill="1" applyBorder="1" applyAlignment="1">
      <alignment/>
    </xf>
    <xf numFmtId="0" fontId="96" fillId="0" borderId="20" xfId="0" applyFont="1" applyFill="1" applyBorder="1" applyAlignment="1">
      <alignment horizontal="left" vertical="center" wrapText="1"/>
    </xf>
    <xf numFmtId="0" fontId="141" fillId="0" borderId="22" xfId="0" applyFont="1" applyBorder="1" applyAlignment="1">
      <alignment horizontal="center" vertical="center" wrapText="1"/>
    </xf>
    <xf numFmtId="0" fontId="141" fillId="0" borderId="22" xfId="0" applyFont="1" applyBorder="1" applyAlignment="1">
      <alignment vertical="center"/>
    </xf>
    <xf numFmtId="0" fontId="140" fillId="0" borderId="0" xfId="0" applyFont="1" applyAlignment="1">
      <alignment wrapText="1"/>
    </xf>
    <xf numFmtId="0" fontId="96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172" fontId="21" fillId="0" borderId="20" xfId="257" applyNumberFormat="1" applyFont="1" applyFill="1" applyBorder="1" applyAlignment="1">
      <alignment/>
    </xf>
    <xf numFmtId="172" fontId="95" fillId="0" borderId="20" xfId="257" applyNumberFormat="1" applyFont="1" applyFill="1" applyBorder="1" applyAlignment="1">
      <alignment/>
    </xf>
    <xf numFmtId="172" fontId="21" fillId="0" borderId="28" xfId="257" applyNumberFormat="1" applyFont="1" applyFill="1" applyBorder="1" applyAlignment="1">
      <alignment/>
    </xf>
    <xf numFmtId="172" fontId="95" fillId="0" borderId="20" xfId="257" applyNumberFormat="1" applyFont="1" applyFill="1" applyBorder="1" applyAlignment="1">
      <alignment horizontal="left"/>
    </xf>
    <xf numFmtId="0" fontId="14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2" fillId="0" borderId="22" xfId="0" applyFont="1" applyBorder="1" applyAlignment="1">
      <alignment horizontal="center" vertical="center"/>
    </xf>
    <xf numFmtId="172" fontId="21" fillId="0" borderId="29" xfId="257" applyNumberFormat="1" applyFont="1" applyFill="1" applyBorder="1" applyAlignment="1">
      <alignment/>
    </xf>
    <xf numFmtId="0" fontId="96" fillId="0" borderId="22" xfId="0" applyFont="1" applyFill="1" applyBorder="1" applyAlignment="1">
      <alignment horizontal="center" vertical="center"/>
    </xf>
    <xf numFmtId="172" fontId="21" fillId="0" borderId="29" xfId="257" applyNumberFormat="1" applyFont="1" applyFill="1" applyBorder="1" applyAlignment="1">
      <alignment horizontal="left"/>
    </xf>
    <xf numFmtId="0" fontId="142" fillId="0" borderId="23" xfId="0" applyFont="1" applyBorder="1" applyAlignment="1">
      <alignment horizontal="left" vertical="center" wrapText="1"/>
    </xf>
    <xf numFmtId="0" fontId="142" fillId="0" borderId="23" xfId="0" applyFont="1" applyBorder="1" applyAlignment="1">
      <alignment vertical="center"/>
    </xf>
    <xf numFmtId="3" fontId="141" fillId="0" borderId="0" xfId="0" applyNumberFormat="1" applyFont="1" applyAlignment="1">
      <alignment/>
    </xf>
    <xf numFmtId="0" fontId="142" fillId="0" borderId="0" xfId="0" applyFont="1" applyBorder="1" applyAlignment="1">
      <alignment horizontal="left" vertical="center" wrapText="1"/>
    </xf>
    <xf numFmtId="0" fontId="142" fillId="0" borderId="0" xfId="0" applyFont="1" applyBorder="1" applyAlignment="1">
      <alignment vertical="center"/>
    </xf>
    <xf numFmtId="43" fontId="141" fillId="0" borderId="0" xfId="257" applyFont="1" applyBorder="1" applyAlignment="1">
      <alignment vertical="center"/>
    </xf>
    <xf numFmtId="172" fontId="142" fillId="0" borderId="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172" fontId="135" fillId="0" borderId="0" xfId="0" applyNumberFormat="1" applyFont="1" applyAlignment="1">
      <alignment/>
    </xf>
    <xf numFmtId="0" fontId="21" fillId="52" borderId="21" xfId="0" applyFont="1" applyFill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7" fillId="0" borderId="0" xfId="0" applyFont="1" applyAlignment="1">
      <alignment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3" fontId="4" fillId="0" borderId="33" xfId="0" applyNumberFormat="1" applyFont="1" applyBorder="1" applyAlignment="1">
      <alignment wrapText="1"/>
    </xf>
    <xf numFmtId="172" fontId="97" fillId="0" borderId="0" xfId="257" applyNumberFormat="1" applyFont="1" applyAlignment="1">
      <alignment/>
    </xf>
    <xf numFmtId="173" fontId="4" fillId="0" borderId="20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41" borderId="32" xfId="0" applyFont="1" applyFill="1" applyBorder="1" applyAlignment="1">
      <alignment horizontal="center" wrapText="1"/>
    </xf>
    <xf numFmtId="173" fontId="4" fillId="41" borderId="20" xfId="0" applyNumberFormat="1" applyFont="1" applyFill="1" applyBorder="1" applyAlignment="1">
      <alignment horizontal="center" wrapText="1"/>
    </xf>
    <xf numFmtId="0" fontId="6" fillId="41" borderId="32" xfId="0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right" wrapText="1"/>
    </xf>
    <xf numFmtId="0" fontId="4" fillId="41" borderId="3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3" fontId="14" fillId="41" borderId="20" xfId="0" applyNumberFormat="1" applyFont="1" applyFill="1" applyBorder="1" applyAlignment="1">
      <alignment wrapText="1"/>
    </xf>
    <xf numFmtId="3" fontId="4" fillId="41" borderId="2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97" fillId="0" borderId="0" xfId="0" applyNumberFormat="1" applyFont="1" applyBorder="1" applyAlignment="1">
      <alignment/>
    </xf>
    <xf numFmtId="0" fontId="5" fillId="0" borderId="34" xfId="0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5" fillId="41" borderId="20" xfId="0" applyNumberFormat="1" applyFont="1" applyFill="1" applyBorder="1" applyAlignment="1">
      <alignment wrapText="1"/>
    </xf>
    <xf numFmtId="173" fontId="4" fillId="0" borderId="20" xfId="257" applyNumberFormat="1" applyFont="1" applyBorder="1" applyAlignment="1">
      <alignment horizontal="center" wrapText="1"/>
    </xf>
    <xf numFmtId="43" fontId="97" fillId="0" borderId="0" xfId="257" applyFont="1" applyAlignment="1">
      <alignment/>
    </xf>
    <xf numFmtId="0" fontId="4" fillId="41" borderId="35" xfId="0" applyFont="1" applyFill="1" applyBorder="1" applyAlignment="1">
      <alignment horizontal="center" wrapText="1"/>
    </xf>
    <xf numFmtId="3" fontId="4" fillId="41" borderId="36" xfId="0" applyNumberFormat="1" applyFont="1" applyFill="1" applyBorder="1" applyAlignment="1">
      <alignment wrapText="1"/>
    </xf>
    <xf numFmtId="3" fontId="4" fillId="41" borderId="36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172" fontId="97" fillId="0" borderId="0" xfId="0" applyNumberFormat="1" applyFont="1" applyAlignment="1">
      <alignment/>
    </xf>
    <xf numFmtId="172" fontId="97" fillId="0" borderId="0" xfId="257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172" fontId="96" fillId="52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71" fontId="97" fillId="0" borderId="0" xfId="0" applyNumberFormat="1" applyFont="1" applyAlignment="1">
      <alignment/>
    </xf>
    <xf numFmtId="3" fontId="97" fillId="0" borderId="0" xfId="0" applyNumberFormat="1" applyFont="1" applyAlignment="1">
      <alignment/>
    </xf>
    <xf numFmtId="0" fontId="135" fillId="0" borderId="0" xfId="0" applyFont="1" applyFill="1" applyAlignment="1">
      <alignment horizontal="center"/>
    </xf>
    <xf numFmtId="172" fontId="135" fillId="0" borderId="0" xfId="0" applyNumberFormat="1" applyFont="1" applyFill="1" applyAlignment="1">
      <alignment horizontal="center"/>
    </xf>
    <xf numFmtId="0" fontId="96" fillId="0" borderId="0" xfId="0" applyFont="1" applyAlignment="1">
      <alignment horizontal="center"/>
    </xf>
    <xf numFmtId="0" fontId="4" fillId="0" borderId="37" xfId="0" applyFont="1" applyFill="1" applyBorder="1" applyAlignment="1">
      <alignment horizontal="center" wrapText="1"/>
    </xf>
    <xf numFmtId="3" fontId="4" fillId="0" borderId="3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horizontal="center" wrapText="1"/>
    </xf>
    <xf numFmtId="0" fontId="97" fillId="0" borderId="0" xfId="0" applyFont="1" applyFill="1" applyAlignment="1">
      <alignment/>
    </xf>
    <xf numFmtId="172" fontId="97" fillId="0" borderId="0" xfId="257" applyNumberFormat="1" applyFont="1" applyFill="1" applyAlignment="1">
      <alignment/>
    </xf>
    <xf numFmtId="0" fontId="0" fillId="0" borderId="0" xfId="0" applyFont="1" applyAlignment="1">
      <alignment/>
    </xf>
    <xf numFmtId="43" fontId="0" fillId="0" borderId="0" xfId="257" applyFont="1" applyAlignment="1">
      <alignment/>
    </xf>
    <xf numFmtId="172" fontId="0" fillId="0" borderId="0" xfId="257" applyNumberFormat="1" applyFont="1" applyAlignment="1">
      <alignment/>
    </xf>
    <xf numFmtId="0" fontId="1" fillId="0" borderId="0" xfId="0" applyFont="1" applyAlignment="1">
      <alignment/>
    </xf>
    <xf numFmtId="0" fontId="90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90" fillId="0" borderId="2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3" fontId="90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9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98" fillId="0" borderId="20" xfId="0" applyFont="1" applyBorder="1" applyAlignment="1">
      <alignment wrapText="1"/>
    </xf>
    <xf numFmtId="0" fontId="97" fillId="0" borderId="20" xfId="0" applyFont="1" applyBorder="1" applyAlignment="1">
      <alignment/>
    </xf>
    <xf numFmtId="0" fontId="90" fillId="41" borderId="20" xfId="0" applyFont="1" applyFill="1" applyBorder="1" applyAlignment="1">
      <alignment horizontal="center"/>
    </xf>
    <xf numFmtId="0" fontId="90" fillId="41" borderId="20" xfId="0" applyFont="1" applyFill="1" applyBorder="1" applyAlignment="1">
      <alignment wrapText="1"/>
    </xf>
    <xf numFmtId="3" fontId="96" fillId="41" borderId="20" xfId="0" applyNumberFormat="1" applyFont="1" applyFill="1" applyBorder="1" applyAlignment="1">
      <alignment/>
    </xf>
    <xf numFmtId="3" fontId="90" fillId="41" borderId="20" xfId="0" applyNumberFormat="1" applyFont="1" applyFill="1" applyBorder="1" applyAlignment="1">
      <alignment/>
    </xf>
    <xf numFmtId="3" fontId="96" fillId="0" borderId="20" xfId="0" applyNumberFormat="1" applyFont="1" applyBorder="1" applyAlignment="1">
      <alignment/>
    </xf>
    <xf numFmtId="172" fontId="97" fillId="0" borderId="20" xfId="257" applyNumberFormat="1" applyFont="1" applyBorder="1" applyAlignment="1">
      <alignment/>
    </xf>
    <xf numFmtId="172" fontId="1" fillId="0" borderId="20" xfId="257" applyNumberFormat="1" applyFont="1" applyBorder="1" applyAlignment="1">
      <alignment/>
    </xf>
    <xf numFmtId="172" fontId="96" fillId="0" borderId="20" xfId="0" applyNumberFormat="1" applyFont="1" applyBorder="1" applyAlignment="1">
      <alignment/>
    </xf>
    <xf numFmtId="0" fontId="96" fillId="4" borderId="21" xfId="0" applyFont="1" applyFill="1" applyBorder="1" applyAlignment="1">
      <alignment horizontal="right"/>
    </xf>
    <xf numFmtId="0" fontId="96" fillId="4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96" fillId="0" borderId="20" xfId="0" applyFont="1" applyBorder="1" applyAlignment="1">
      <alignment horizontal="center"/>
    </xf>
    <xf numFmtId="3" fontId="96" fillId="0" borderId="20" xfId="0" applyNumberFormat="1" applyFont="1" applyBorder="1" applyAlignment="1">
      <alignment wrapText="1"/>
    </xf>
    <xf numFmtId="3" fontId="97" fillId="0" borderId="20" xfId="0" applyNumberFormat="1" applyFont="1" applyBorder="1" applyAlignment="1">
      <alignment wrapText="1"/>
    </xf>
    <xf numFmtId="0" fontId="97" fillId="0" borderId="20" xfId="0" applyFont="1" applyBorder="1" applyAlignment="1">
      <alignment horizontal="center"/>
    </xf>
    <xf numFmtId="172" fontId="97" fillId="0" borderId="20" xfId="257" applyNumberFormat="1" applyFont="1" applyBorder="1" applyAlignment="1">
      <alignment wrapText="1"/>
    </xf>
    <xf numFmtId="0" fontId="97" fillId="53" borderId="20" xfId="0" applyFont="1" applyFill="1" applyBorder="1" applyAlignment="1">
      <alignment horizontal="center"/>
    </xf>
    <xf numFmtId="3" fontId="97" fillId="53" borderId="20" xfId="0" applyNumberFormat="1" applyFont="1" applyFill="1" applyBorder="1" applyAlignment="1">
      <alignment wrapText="1"/>
    </xf>
    <xf numFmtId="172" fontId="97" fillId="53" borderId="20" xfId="257" applyNumberFormat="1" applyFont="1" applyFill="1" applyBorder="1" applyAlignment="1">
      <alignment/>
    </xf>
    <xf numFmtId="172" fontId="96" fillId="53" borderId="20" xfId="257" applyNumberFormat="1" applyFont="1" applyFill="1" applyBorder="1" applyAlignment="1">
      <alignment/>
    </xf>
    <xf numFmtId="0" fontId="97" fillId="0" borderId="20" xfId="0" applyFont="1" applyBorder="1" applyAlignment="1">
      <alignment wrapText="1"/>
    </xf>
    <xf numFmtId="0" fontId="96" fillId="0" borderId="20" xfId="0" applyFont="1" applyBorder="1" applyAlignment="1">
      <alignment wrapText="1"/>
    </xf>
    <xf numFmtId="0" fontId="97" fillId="53" borderId="20" xfId="0" applyFont="1" applyFill="1" applyBorder="1" applyAlignment="1">
      <alignment wrapText="1"/>
    </xf>
    <xf numFmtId="172" fontId="96" fillId="0" borderId="20" xfId="257" applyNumberFormat="1" applyFont="1" applyBorder="1" applyAlignment="1">
      <alignment/>
    </xf>
    <xf numFmtId="43" fontId="137" fillId="53" borderId="0" xfId="257" applyFont="1" applyFill="1" applyAlignment="1">
      <alignment/>
    </xf>
    <xf numFmtId="3" fontId="4" fillId="0" borderId="20" xfId="0" applyNumberFormat="1" applyFont="1" applyFill="1" applyBorder="1" applyAlignment="1">
      <alignment wrapText="1"/>
    </xf>
    <xf numFmtId="176" fontId="9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96" fillId="0" borderId="0" xfId="257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 quotePrefix="1">
      <alignment/>
    </xf>
    <xf numFmtId="176" fontId="0" fillId="0" borderId="0" xfId="26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176" fontId="0" fillId="0" borderId="0" xfId="260" applyNumberFormat="1" applyFont="1" applyAlignment="1">
      <alignment/>
    </xf>
    <xf numFmtId="0" fontId="90" fillId="0" borderId="0" xfId="0" applyFont="1" applyBorder="1" applyAlignment="1">
      <alignment/>
    </xf>
    <xf numFmtId="0" fontId="96" fillId="0" borderId="0" xfId="0" applyFont="1" applyAlignment="1">
      <alignment horizontal="center"/>
    </xf>
    <xf numFmtId="0" fontId="0" fillId="0" borderId="0" xfId="0" applyAlignment="1">
      <alignment/>
    </xf>
    <xf numFmtId="174" fontId="0" fillId="0" borderId="0" xfId="257" applyNumberFormat="1" applyFont="1" applyAlignment="1">
      <alignment/>
    </xf>
    <xf numFmtId="172" fontId="0" fillId="0" borderId="0" xfId="257" applyNumberFormat="1" applyFont="1" applyAlignment="1">
      <alignment/>
    </xf>
    <xf numFmtId="0" fontId="97" fillId="51" borderId="0" xfId="0" applyFont="1" applyFill="1" applyAlignment="1">
      <alignment/>
    </xf>
    <xf numFmtId="0" fontId="21" fillId="51" borderId="21" xfId="0" applyFont="1" applyFill="1" applyBorder="1" applyAlignment="1">
      <alignment horizontal="right"/>
    </xf>
    <xf numFmtId="172" fontId="97" fillId="51" borderId="0" xfId="257" applyNumberFormat="1" applyFont="1" applyFill="1" applyAlignment="1">
      <alignment/>
    </xf>
    <xf numFmtId="37" fontId="95" fillId="51" borderId="21" xfId="257" applyNumberFormat="1" applyFont="1" applyFill="1" applyBorder="1" applyAlignment="1">
      <alignment/>
    </xf>
    <xf numFmtId="0" fontId="0" fillId="0" borderId="0" xfId="0" applyAlignment="1">
      <alignment/>
    </xf>
    <xf numFmtId="3" fontId="97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257" applyNumberFormat="1" applyFont="1" applyAlignment="1">
      <alignment/>
    </xf>
    <xf numFmtId="0" fontId="0" fillId="0" borderId="0" xfId="0" applyAlignment="1">
      <alignment/>
    </xf>
    <xf numFmtId="0" fontId="21" fillId="54" borderId="0" xfId="309" applyFont="1" applyFill="1">
      <alignment/>
      <protection/>
    </xf>
    <xf numFmtId="0" fontId="24" fillId="54" borderId="0" xfId="309" applyFont="1" applyFill="1" applyBorder="1">
      <alignment/>
      <protection/>
    </xf>
    <xf numFmtId="0" fontId="24" fillId="54" borderId="0" xfId="309" applyFont="1" applyFill="1">
      <alignment/>
      <protection/>
    </xf>
    <xf numFmtId="0" fontId="24" fillId="54" borderId="0" xfId="309" applyNumberFormat="1" applyFont="1" applyFill="1" applyBorder="1" applyAlignment="1">
      <alignment horizontal="center"/>
      <protection/>
    </xf>
    <xf numFmtId="0" fontId="24" fillId="54" borderId="0" xfId="309" applyFont="1" applyFill="1" applyBorder="1" applyAlignment="1">
      <alignment horizontal="center"/>
      <protection/>
    </xf>
    <xf numFmtId="0" fontId="21" fillId="54" borderId="0" xfId="309" applyFont="1" applyFill="1" applyBorder="1">
      <alignment/>
      <protection/>
    </xf>
    <xf numFmtId="0" fontId="26" fillId="54" borderId="0" xfId="309" applyFont="1" applyFill="1" applyBorder="1" applyAlignment="1">
      <alignment horizontal="center"/>
      <protection/>
    </xf>
    <xf numFmtId="0" fontId="27" fillId="54" borderId="0" xfId="309" applyFont="1" applyFill="1" applyBorder="1">
      <alignment/>
      <protection/>
    </xf>
    <xf numFmtId="0" fontId="27" fillId="54" borderId="0" xfId="309" applyFont="1" applyFill="1">
      <alignment/>
      <protection/>
    </xf>
    <xf numFmtId="14" fontId="24" fillId="54" borderId="0" xfId="309" applyNumberFormat="1" applyFont="1" applyFill="1" applyBorder="1" applyAlignment="1">
      <alignment horizontal="center"/>
      <protection/>
    </xf>
    <xf numFmtId="0" fontId="25" fillId="54" borderId="0" xfId="309" applyFont="1" applyFill="1" applyBorder="1">
      <alignment/>
      <protection/>
    </xf>
    <xf numFmtId="0" fontId="24" fillId="54" borderId="0" xfId="309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43" fillId="0" borderId="0" xfId="0" applyFont="1" applyAlignment="1">
      <alignment/>
    </xf>
    <xf numFmtId="172" fontId="144" fillId="0" borderId="0" xfId="257" applyNumberFormat="1" applyFont="1" applyAlignment="1">
      <alignment/>
    </xf>
    <xf numFmtId="172" fontId="144" fillId="0" borderId="0" xfId="257" applyNumberFormat="1" applyFont="1" applyBorder="1" applyAlignment="1">
      <alignment/>
    </xf>
    <xf numFmtId="0" fontId="145" fillId="0" borderId="0" xfId="0" applyFont="1" applyAlignment="1">
      <alignment horizontal="center" vertical="top" wrapText="1"/>
    </xf>
    <xf numFmtId="172" fontId="143" fillId="0" borderId="0" xfId="257" applyNumberFormat="1" applyFont="1" applyAlignment="1">
      <alignment horizontal="right" wrapText="1"/>
    </xf>
    <xf numFmtId="0" fontId="143" fillId="0" borderId="0" xfId="0" applyFont="1" applyAlignment="1">
      <alignment horizontal="center" vertical="top" wrapText="1"/>
    </xf>
    <xf numFmtId="172" fontId="145" fillId="0" borderId="0" xfId="257" applyNumberFormat="1" applyFont="1" applyAlignment="1">
      <alignment horizontal="right" vertical="top" wrapText="1"/>
    </xf>
    <xf numFmtId="0" fontId="144" fillId="0" borderId="0" xfId="0" applyFont="1" applyAlignment="1">
      <alignment horizontal="left" wrapText="1"/>
    </xf>
    <xf numFmtId="172" fontId="144" fillId="0" borderId="0" xfId="257" applyNumberFormat="1" applyFont="1" applyAlignment="1">
      <alignment horizontal="right" wrapText="1"/>
    </xf>
    <xf numFmtId="172" fontId="143" fillId="0" borderId="39" xfId="257" applyNumberFormat="1" applyFont="1" applyBorder="1" applyAlignment="1">
      <alignment horizontal="right" wrapText="1"/>
    </xf>
    <xf numFmtId="172" fontId="144" fillId="0" borderId="0" xfId="257" applyNumberFormat="1" applyFont="1" applyAlignment="1">
      <alignment wrapText="1"/>
    </xf>
    <xf numFmtId="0" fontId="143" fillId="0" borderId="0" xfId="0" applyFont="1" applyAlignment="1">
      <alignment horizontal="left" wrapText="1"/>
    </xf>
    <xf numFmtId="172" fontId="0" fillId="0" borderId="0" xfId="257" applyNumberFormat="1" applyFont="1" applyAlignment="1">
      <alignment/>
    </xf>
    <xf numFmtId="0" fontId="146" fillId="0" borderId="0" xfId="0" applyFont="1" applyAlignment="1">
      <alignment/>
    </xf>
    <xf numFmtId="172" fontId="146" fillId="0" borderId="0" xfId="257" applyNumberFormat="1" applyFont="1" applyAlignment="1">
      <alignment/>
    </xf>
    <xf numFmtId="0" fontId="147" fillId="0" borderId="0" xfId="0" applyFont="1" applyAlignment="1">
      <alignment/>
    </xf>
    <xf numFmtId="178" fontId="50" fillId="54" borderId="40" xfId="346" applyFont="1" applyFill="1" applyBorder="1">
      <alignment/>
      <protection/>
    </xf>
    <xf numFmtId="178" fontId="50" fillId="54" borderId="29" xfId="346" applyFont="1" applyFill="1" applyBorder="1" applyAlignment="1">
      <alignment horizontal="center" wrapText="1"/>
      <protection/>
    </xf>
    <xf numFmtId="178" fontId="51" fillId="54" borderId="41" xfId="346" applyFont="1" applyFill="1" applyBorder="1">
      <alignment/>
      <protection/>
    </xf>
    <xf numFmtId="178" fontId="50" fillId="54" borderId="42" xfId="346" applyFont="1" applyFill="1" applyBorder="1">
      <alignment/>
      <protection/>
    </xf>
    <xf numFmtId="41" fontId="50" fillId="54" borderId="0" xfId="346" applyNumberFormat="1" applyFont="1" applyFill="1" applyBorder="1">
      <alignment/>
      <protection/>
    </xf>
    <xf numFmtId="41" fontId="23" fillId="54" borderId="0" xfId="346" applyNumberFormat="1" applyFont="1" applyFill="1" applyBorder="1">
      <alignment/>
      <protection/>
    </xf>
    <xf numFmtId="178" fontId="51" fillId="54" borderId="43" xfId="346" applyFont="1" applyFill="1" applyBorder="1">
      <alignment/>
      <protection/>
    </xf>
    <xf numFmtId="37" fontId="23" fillId="54" borderId="44" xfId="346" applyNumberFormat="1" applyFont="1" applyFill="1" applyBorder="1" applyAlignment="1">
      <alignment horizontal="right"/>
      <protection/>
    </xf>
    <xf numFmtId="37" fontId="50" fillId="54" borderId="44" xfId="346" applyNumberFormat="1" applyFont="1" applyFill="1" applyBorder="1">
      <alignment/>
      <protection/>
    </xf>
    <xf numFmtId="178" fontId="23" fillId="54" borderId="42" xfId="346" applyFont="1" applyFill="1" applyBorder="1">
      <alignment/>
      <protection/>
    </xf>
    <xf numFmtId="37" fontId="23" fillId="54" borderId="0" xfId="346" applyNumberFormat="1" applyFont="1" applyFill="1" applyBorder="1" applyAlignment="1">
      <alignment horizontal="right"/>
      <protection/>
    </xf>
    <xf numFmtId="37" fontId="50" fillId="54" borderId="0" xfId="346" applyNumberFormat="1" applyFont="1" applyFill="1" applyBorder="1">
      <alignment/>
      <protection/>
    </xf>
    <xf numFmtId="3" fontId="50" fillId="54" borderId="42" xfId="346" applyNumberFormat="1" applyFont="1" applyFill="1" applyBorder="1">
      <alignment/>
      <protection/>
    </xf>
    <xf numFmtId="37" fontId="50" fillId="54" borderId="44" xfId="346" applyNumberFormat="1" applyFont="1" applyFill="1" applyBorder="1" applyAlignment="1">
      <alignment horizontal="right"/>
      <protection/>
    </xf>
    <xf numFmtId="37" fontId="23" fillId="54" borderId="0" xfId="346" applyNumberFormat="1" applyFont="1" applyFill="1" applyBorder="1">
      <alignment/>
      <protection/>
    </xf>
    <xf numFmtId="37" fontId="50" fillId="54" borderId="22" xfId="346" applyNumberFormat="1" applyFont="1" applyFill="1" applyBorder="1">
      <alignment/>
      <protection/>
    </xf>
    <xf numFmtId="41" fontId="51" fillId="54" borderId="43" xfId="346" applyNumberFormat="1" applyFont="1" applyFill="1" applyBorder="1">
      <alignment/>
      <protection/>
    </xf>
    <xf numFmtId="178" fontId="50" fillId="54" borderId="45" xfId="346" applyFont="1" applyFill="1" applyBorder="1">
      <alignment/>
      <protection/>
    </xf>
    <xf numFmtId="41" fontId="50" fillId="54" borderId="22" xfId="346" applyNumberFormat="1" applyFont="1" applyFill="1" applyBorder="1">
      <alignment/>
      <protection/>
    </xf>
    <xf numFmtId="178" fontId="51" fillId="54" borderId="46" xfId="346" applyFont="1" applyFill="1" applyBorder="1">
      <alignment/>
      <protection/>
    </xf>
    <xf numFmtId="172" fontId="90" fillId="0" borderId="20" xfId="257" applyNumberFormat="1" applyFont="1" applyBorder="1" applyAlignment="1">
      <alignment/>
    </xf>
    <xf numFmtId="172" fontId="1" fillId="0" borderId="20" xfId="257" applyNumberFormat="1" applyFont="1" applyBorder="1" applyAlignment="1">
      <alignment wrapText="1"/>
    </xf>
    <xf numFmtId="172" fontId="90" fillId="41" borderId="20" xfId="257" applyNumberFormat="1" applyFont="1" applyFill="1" applyBorder="1" applyAlignment="1">
      <alignment wrapText="1"/>
    </xf>
    <xf numFmtId="172" fontId="96" fillId="41" borderId="20" xfId="257" applyNumberFormat="1" applyFont="1" applyFill="1" applyBorder="1" applyAlignment="1">
      <alignment/>
    </xf>
    <xf numFmtId="172" fontId="98" fillId="0" borderId="20" xfId="257" applyNumberFormat="1" applyFont="1" applyBorder="1" applyAlignment="1">
      <alignment wrapText="1"/>
    </xf>
    <xf numFmtId="0" fontId="52" fillId="0" borderId="0" xfId="309" applyFont="1">
      <alignment/>
      <protection/>
    </xf>
    <xf numFmtId="0" fontId="53" fillId="0" borderId="0" xfId="309" applyFont="1" applyBorder="1">
      <alignment/>
      <protection/>
    </xf>
    <xf numFmtId="172" fontId="52" fillId="0" borderId="0" xfId="270" applyNumberFormat="1" applyFont="1" applyAlignment="1">
      <alignment/>
    </xf>
    <xf numFmtId="0" fontId="53" fillId="0" borderId="0" xfId="309" applyFont="1">
      <alignment/>
      <protection/>
    </xf>
    <xf numFmtId="0" fontId="54" fillId="0" borderId="0" xfId="309" applyFont="1">
      <alignment/>
      <protection/>
    </xf>
    <xf numFmtId="172" fontId="54" fillId="0" borderId="0" xfId="270" applyNumberFormat="1" applyFont="1" applyAlignment="1">
      <alignment/>
    </xf>
    <xf numFmtId="0" fontId="52" fillId="0" borderId="0" xfId="309" applyFont="1" applyBorder="1">
      <alignment/>
      <protection/>
    </xf>
    <xf numFmtId="172" fontId="53" fillId="0" borderId="0" xfId="270" applyNumberFormat="1" applyFont="1" applyBorder="1" applyAlignment="1">
      <alignment/>
    </xf>
    <xf numFmtId="172" fontId="53" fillId="0" borderId="0" xfId="270" applyNumberFormat="1" applyFont="1" applyBorder="1" applyAlignment="1">
      <alignment horizontal="right"/>
    </xf>
    <xf numFmtId="2" fontId="56" fillId="0" borderId="0" xfId="347" applyNumberFormat="1" applyFont="1" applyBorder="1" applyAlignment="1">
      <alignment wrapText="1"/>
      <protection/>
    </xf>
    <xf numFmtId="0" fontId="54" fillId="0" borderId="38" xfId="347" applyFont="1" applyBorder="1" applyAlignment="1">
      <alignment horizontal="center"/>
      <protection/>
    </xf>
    <xf numFmtId="2" fontId="57" fillId="0" borderId="0" xfId="347" applyNumberFormat="1" applyFont="1" applyBorder="1" applyAlignment="1">
      <alignment horizontal="center" wrapText="1"/>
      <protection/>
    </xf>
    <xf numFmtId="2" fontId="57" fillId="0" borderId="25" xfId="347" applyNumberFormat="1" applyFont="1" applyBorder="1" applyAlignment="1">
      <alignment horizontal="center" wrapText="1"/>
      <protection/>
    </xf>
    <xf numFmtId="172" fontId="58" fillId="0" borderId="10" xfId="270" applyNumberFormat="1" applyFont="1" applyBorder="1" applyAlignment="1">
      <alignment horizontal="center" vertical="center" wrapText="1"/>
    </xf>
    <xf numFmtId="0" fontId="54" fillId="0" borderId="47" xfId="347" applyFont="1" applyBorder="1" applyAlignment="1">
      <alignment horizontal="center"/>
      <protection/>
    </xf>
    <xf numFmtId="0" fontId="54" fillId="0" borderId="48" xfId="347" applyFont="1" applyBorder="1" applyAlignment="1">
      <alignment horizontal="left" wrapText="1"/>
      <protection/>
    </xf>
    <xf numFmtId="0" fontId="54" fillId="0" borderId="31" xfId="347" applyFont="1" applyBorder="1" applyAlignment="1">
      <alignment horizontal="left" wrapText="1"/>
      <protection/>
    </xf>
    <xf numFmtId="172" fontId="54" fillId="0" borderId="31" xfId="270" applyNumberFormat="1" applyFont="1" applyBorder="1" applyAlignment="1">
      <alignment horizontal="left"/>
    </xf>
    <xf numFmtId="0" fontId="52" fillId="0" borderId="37" xfId="347" applyFont="1" applyBorder="1" applyAlignment="1">
      <alignment horizontal="center"/>
      <protection/>
    </xf>
    <xf numFmtId="0" fontId="52" fillId="0" borderId="44" xfId="347" applyFont="1" applyBorder="1" applyAlignment="1">
      <alignment horizontal="left" wrapText="1"/>
      <protection/>
    </xf>
    <xf numFmtId="0" fontId="52" fillId="0" borderId="20" xfId="347" applyFont="1" applyBorder="1" applyAlignment="1">
      <alignment horizontal="left" wrapText="1"/>
      <protection/>
    </xf>
    <xf numFmtId="0" fontId="52" fillId="0" borderId="24" xfId="347" applyFont="1" applyBorder="1" applyAlignment="1">
      <alignment horizontal="left" wrapText="1"/>
      <protection/>
    </xf>
    <xf numFmtId="172" fontId="54" fillId="0" borderId="20" xfId="270" applyNumberFormat="1" applyFont="1" applyBorder="1" applyAlignment="1">
      <alignment horizontal="left"/>
    </xf>
    <xf numFmtId="0" fontId="52" fillId="0" borderId="49" xfId="347" applyFont="1" applyBorder="1" applyAlignment="1">
      <alignment horizontal="center"/>
      <protection/>
    </xf>
    <xf numFmtId="172" fontId="52" fillId="0" borderId="20" xfId="270" applyNumberFormat="1" applyFont="1" applyBorder="1" applyAlignment="1">
      <alignment horizontal="left"/>
    </xf>
    <xf numFmtId="0" fontId="59" fillId="0" borderId="20" xfId="347" applyFont="1" applyBorder="1" applyAlignment="1">
      <alignment horizontal="left" wrapText="1"/>
      <protection/>
    </xf>
    <xf numFmtId="0" fontId="54" fillId="0" borderId="32" xfId="347" applyFont="1" applyBorder="1" applyAlignment="1">
      <alignment horizontal="center"/>
      <protection/>
    </xf>
    <xf numFmtId="0" fontId="54" fillId="0" borderId="44" xfId="347" applyFont="1" applyBorder="1" applyAlignment="1">
      <alignment horizontal="left" wrapText="1"/>
      <protection/>
    </xf>
    <xf numFmtId="0" fontId="54" fillId="0" borderId="20" xfId="347" applyFont="1" applyBorder="1" applyAlignment="1">
      <alignment horizontal="left" wrapText="1"/>
      <protection/>
    </xf>
    <xf numFmtId="0" fontId="52" fillId="0" borderId="28" xfId="347" applyFont="1" applyBorder="1" applyAlignment="1">
      <alignment horizontal="left" wrapText="1"/>
      <protection/>
    </xf>
    <xf numFmtId="0" fontId="52" fillId="0" borderId="50" xfId="347" applyFont="1" applyBorder="1" applyAlignment="1">
      <alignment horizontal="center"/>
      <protection/>
    </xf>
    <xf numFmtId="0" fontId="52" fillId="0" borderId="51" xfId="347" applyFont="1" applyBorder="1" applyAlignment="1">
      <alignment horizontal="left" wrapText="1"/>
      <protection/>
    </xf>
    <xf numFmtId="0" fontId="54" fillId="0" borderId="32" xfId="347" applyFont="1" applyBorder="1" applyAlignment="1">
      <alignment horizontal="center" vertical="center"/>
      <protection/>
    </xf>
    <xf numFmtId="0" fontId="54" fillId="0" borderId="49" xfId="347" applyFont="1" applyBorder="1" applyAlignment="1">
      <alignment horizontal="center" vertical="center"/>
      <protection/>
    </xf>
    <xf numFmtId="0" fontId="52" fillId="0" borderId="44" xfId="347" applyFont="1" applyBorder="1" applyAlignment="1">
      <alignment horizontal="center" wrapText="1"/>
      <protection/>
    </xf>
    <xf numFmtId="0" fontId="52" fillId="0" borderId="20" xfId="347" applyFont="1" applyBorder="1" applyAlignment="1">
      <alignment horizontal="center" wrapText="1"/>
      <protection/>
    </xf>
    <xf numFmtId="0" fontId="54" fillId="0" borderId="37" xfId="347" applyFont="1" applyBorder="1" applyAlignment="1">
      <alignment horizontal="center"/>
      <protection/>
    </xf>
    <xf numFmtId="0" fontId="53" fillId="0" borderId="20" xfId="347" applyFont="1" applyBorder="1" applyAlignment="1">
      <alignment horizontal="left" wrapText="1"/>
      <protection/>
    </xf>
    <xf numFmtId="0" fontId="54" fillId="0" borderId="20" xfId="309" applyFont="1" applyBorder="1" applyAlignment="1">
      <alignment horizontal="left"/>
      <protection/>
    </xf>
    <xf numFmtId="0" fontId="59" fillId="0" borderId="44" xfId="347" applyFont="1" applyBorder="1" applyAlignment="1">
      <alignment horizontal="left" wrapText="1"/>
      <protection/>
    </xf>
    <xf numFmtId="0" fontId="54" fillId="0" borderId="20" xfId="309" applyFont="1" applyBorder="1">
      <alignment/>
      <protection/>
    </xf>
    <xf numFmtId="0" fontId="52" fillId="0" borderId="20" xfId="309" applyFont="1" applyBorder="1" applyAlignment="1">
      <alignment horizontal="left"/>
      <protection/>
    </xf>
    <xf numFmtId="0" fontId="54" fillId="0" borderId="49" xfId="347" applyFont="1" applyBorder="1" applyAlignment="1">
      <alignment horizontal="center"/>
      <protection/>
    </xf>
    <xf numFmtId="0" fontId="54" fillId="0" borderId="50" xfId="347" applyFont="1" applyBorder="1" applyAlignment="1">
      <alignment horizontal="center"/>
      <protection/>
    </xf>
    <xf numFmtId="0" fontId="54" fillId="0" borderId="28" xfId="347" applyFont="1" applyBorder="1" applyAlignment="1">
      <alignment horizontal="left" wrapText="1"/>
      <protection/>
    </xf>
    <xf numFmtId="0" fontId="54" fillId="0" borderId="24" xfId="347" applyFont="1" applyBorder="1" applyAlignment="1">
      <alignment horizontal="left" wrapText="1"/>
      <protection/>
    </xf>
    <xf numFmtId="0" fontId="54" fillId="0" borderId="35" xfId="347" applyFont="1" applyBorder="1" applyAlignment="1">
      <alignment horizontal="center"/>
      <protection/>
    </xf>
    <xf numFmtId="0" fontId="54" fillId="0" borderId="52" xfId="347" applyFont="1" applyBorder="1" applyAlignment="1">
      <alignment horizontal="left" wrapText="1"/>
      <protection/>
    </xf>
    <xf numFmtId="0" fontId="54" fillId="0" borderId="36" xfId="347" applyFont="1" applyBorder="1" applyAlignment="1">
      <alignment horizontal="left" wrapText="1"/>
      <protection/>
    </xf>
    <xf numFmtId="172" fontId="54" fillId="0" borderId="36" xfId="270" applyNumberFormat="1" applyFont="1" applyBorder="1" applyAlignment="1">
      <alignment horizontal="left"/>
    </xf>
    <xf numFmtId="0" fontId="54" fillId="0" borderId="0" xfId="347" applyFont="1" applyBorder="1" applyAlignment="1">
      <alignment horizontal="center"/>
      <protection/>
    </xf>
    <xf numFmtId="0" fontId="54" fillId="0" borderId="0" xfId="347" applyFont="1" applyBorder="1" applyAlignment="1">
      <alignment horizontal="left" wrapText="1"/>
      <protection/>
    </xf>
    <xf numFmtId="172" fontId="54" fillId="0" borderId="0" xfId="270" applyNumberFormat="1" applyFont="1" applyBorder="1" applyAlignment="1">
      <alignment horizontal="left"/>
    </xf>
    <xf numFmtId="0" fontId="54" fillId="0" borderId="0" xfId="347" applyFont="1" applyBorder="1" applyAlignment="1">
      <alignment horizontal="left"/>
      <protection/>
    </xf>
    <xf numFmtId="0" fontId="53" fillId="0" borderId="0" xfId="309" applyFont="1" applyBorder="1" applyAlignment="1">
      <alignment horizontal="right"/>
      <protection/>
    </xf>
    <xf numFmtId="0" fontId="61" fillId="0" borderId="35" xfId="347" applyFont="1" applyBorder="1">
      <alignment/>
      <protection/>
    </xf>
    <xf numFmtId="0" fontId="57" fillId="0" borderId="52" xfId="347" applyFont="1" applyBorder="1" applyAlignment="1">
      <alignment horizontal="center" wrapText="1"/>
      <protection/>
    </xf>
    <xf numFmtId="2" fontId="57" fillId="0" borderId="36" xfId="347" applyNumberFormat="1" applyFont="1" applyBorder="1" applyAlignment="1">
      <alignment horizontal="center" wrapText="1"/>
      <protection/>
    </xf>
    <xf numFmtId="0" fontId="58" fillId="0" borderId="36" xfId="347" applyFont="1" applyBorder="1" applyAlignment="1">
      <alignment horizontal="center" vertical="center" wrapText="1"/>
      <protection/>
    </xf>
    <xf numFmtId="0" fontId="58" fillId="0" borderId="53" xfId="347" applyFont="1" applyBorder="1" applyAlignment="1">
      <alignment horizontal="center" vertical="center" wrapText="1"/>
      <protection/>
    </xf>
    <xf numFmtId="0" fontId="58" fillId="0" borderId="30" xfId="347" applyFont="1" applyBorder="1" applyAlignment="1">
      <alignment horizontal="center"/>
      <protection/>
    </xf>
    <xf numFmtId="0" fontId="58" fillId="0" borderId="54" xfId="347" applyFont="1" applyBorder="1" applyAlignment="1">
      <alignment horizontal="left" wrapText="1"/>
      <protection/>
    </xf>
    <xf numFmtId="0" fontId="58" fillId="0" borderId="31" xfId="347" applyFont="1" applyBorder="1" applyAlignment="1">
      <alignment horizontal="left" wrapText="1"/>
      <protection/>
    </xf>
    <xf numFmtId="172" fontId="58" fillId="0" borderId="31" xfId="270" applyNumberFormat="1" applyFont="1" applyBorder="1" applyAlignment="1">
      <alignment horizontal="left"/>
    </xf>
    <xf numFmtId="0" fontId="61" fillId="0" borderId="32" xfId="347" applyFont="1" applyBorder="1" applyAlignment="1">
      <alignment horizontal="left"/>
      <protection/>
    </xf>
    <xf numFmtId="0" fontId="61" fillId="0" borderId="20" xfId="348" applyFont="1" applyFill="1" applyBorder="1" applyAlignment="1">
      <alignment horizontal="left" wrapText="1"/>
      <protection/>
    </xf>
    <xf numFmtId="172" fontId="61" fillId="0" borderId="20" xfId="270" applyNumberFormat="1" applyFont="1" applyBorder="1" applyAlignment="1">
      <alignment horizontal="left"/>
    </xf>
    <xf numFmtId="0" fontId="61" fillId="0" borderId="20" xfId="347" applyFont="1" applyBorder="1" applyAlignment="1">
      <alignment horizontal="left" wrapText="1"/>
      <protection/>
    </xf>
    <xf numFmtId="0" fontId="58" fillId="0" borderId="20" xfId="348" applyFont="1" applyFill="1" applyBorder="1" applyAlignment="1">
      <alignment horizontal="left" wrapText="1"/>
      <protection/>
    </xf>
    <xf numFmtId="172" fontId="58" fillId="0" borderId="20" xfId="270" applyNumberFormat="1" applyFont="1" applyBorder="1" applyAlignment="1">
      <alignment horizontal="left"/>
    </xf>
    <xf numFmtId="0" fontId="58" fillId="0" borderId="32" xfId="347" applyFont="1" applyBorder="1" applyAlignment="1">
      <alignment horizontal="center"/>
      <protection/>
    </xf>
    <xf numFmtId="0" fontId="58" fillId="0" borderId="20" xfId="347" applyFont="1" applyBorder="1" applyAlignment="1">
      <alignment horizontal="left" wrapText="1"/>
      <protection/>
    </xf>
    <xf numFmtId="0" fontId="61" fillId="0" borderId="32" xfId="347" applyFont="1" applyBorder="1" applyAlignment="1">
      <alignment horizontal="center"/>
      <protection/>
    </xf>
    <xf numFmtId="0" fontId="61" fillId="0" borderId="20" xfId="347" applyFont="1" applyBorder="1" applyAlignment="1">
      <alignment horizontal="left"/>
      <protection/>
    </xf>
    <xf numFmtId="172" fontId="61" fillId="0" borderId="33" xfId="270" applyNumberFormat="1" applyFont="1" applyBorder="1" applyAlignment="1">
      <alignment horizontal="left"/>
    </xf>
    <xf numFmtId="172" fontId="58" fillId="0" borderId="33" xfId="270" applyNumberFormat="1" applyFont="1" applyBorder="1" applyAlignment="1">
      <alignment horizontal="left"/>
    </xf>
    <xf numFmtId="172" fontId="61" fillId="0" borderId="20" xfId="270" applyNumberFormat="1" applyFont="1" applyBorder="1" applyAlignment="1">
      <alignment horizontal="left" wrapText="1"/>
    </xf>
    <xf numFmtId="0" fontId="61" fillId="0" borderId="32" xfId="347" applyFont="1" applyFill="1" applyBorder="1" applyAlignment="1">
      <alignment horizontal="center"/>
      <protection/>
    </xf>
    <xf numFmtId="0" fontId="62" fillId="0" borderId="20" xfId="348" applyFont="1" applyFill="1" applyBorder="1" applyAlignment="1">
      <alignment horizontal="left" wrapText="1"/>
      <protection/>
    </xf>
    <xf numFmtId="0" fontId="58" fillId="0" borderId="20" xfId="347" applyFont="1" applyBorder="1" applyAlignment="1">
      <alignment horizontal="left"/>
      <protection/>
    </xf>
    <xf numFmtId="0" fontId="61" fillId="0" borderId="55" xfId="309" applyFont="1" applyBorder="1">
      <alignment/>
      <protection/>
    </xf>
    <xf numFmtId="0" fontId="58" fillId="0" borderId="0" xfId="309" applyFont="1" applyBorder="1">
      <alignment/>
      <protection/>
    </xf>
    <xf numFmtId="0" fontId="61" fillId="0" borderId="0" xfId="309" applyFont="1" applyBorder="1">
      <alignment/>
      <protection/>
    </xf>
    <xf numFmtId="0" fontId="58" fillId="0" borderId="28" xfId="347" applyFont="1" applyBorder="1" applyAlignment="1">
      <alignment horizontal="center" vertical="center" wrapText="1"/>
      <protection/>
    </xf>
    <xf numFmtId="0" fontId="58" fillId="0" borderId="32" xfId="347" applyFont="1" applyBorder="1">
      <alignment/>
      <protection/>
    </xf>
    <xf numFmtId="0" fontId="61" fillId="0" borderId="32" xfId="309" applyFont="1" applyBorder="1">
      <alignment/>
      <protection/>
    </xf>
    <xf numFmtId="0" fontId="62" fillId="0" borderId="20" xfId="347" applyFont="1" applyBorder="1" applyAlignment="1">
      <alignment horizontal="left"/>
      <protection/>
    </xf>
    <xf numFmtId="172" fontId="52" fillId="0" borderId="0" xfId="309" applyNumberFormat="1" applyFont="1">
      <alignment/>
      <protection/>
    </xf>
    <xf numFmtId="0" fontId="61" fillId="0" borderId="32" xfId="347" applyFont="1" applyBorder="1">
      <alignment/>
      <protection/>
    </xf>
    <xf numFmtId="0" fontId="62" fillId="0" borderId="36" xfId="347" applyFont="1" applyBorder="1" applyAlignment="1">
      <alignment horizontal="left"/>
      <protection/>
    </xf>
    <xf numFmtId="0" fontId="58" fillId="0" borderId="36" xfId="347" applyFont="1" applyBorder="1" applyAlignment="1">
      <alignment horizontal="left"/>
      <protection/>
    </xf>
    <xf numFmtId="0" fontId="61" fillId="0" borderId="36" xfId="347" applyFont="1" applyBorder="1" applyAlignment="1">
      <alignment horizontal="left"/>
      <protection/>
    </xf>
    <xf numFmtId="172" fontId="58" fillId="0" borderId="36" xfId="270" applyNumberFormat="1" applyFont="1" applyBorder="1" applyAlignment="1">
      <alignment horizontal="left"/>
    </xf>
    <xf numFmtId="0" fontId="61" fillId="0" borderId="0" xfId="309" applyFont="1">
      <alignment/>
      <protection/>
    </xf>
    <xf numFmtId="0" fontId="58" fillId="0" borderId="0" xfId="347" applyFont="1" applyBorder="1" applyAlignment="1">
      <alignment horizontal="left"/>
      <protection/>
    </xf>
    <xf numFmtId="0" fontId="56" fillId="0" borderId="0" xfId="347" applyFont="1" applyBorder="1" applyAlignment="1">
      <alignment horizontal="left"/>
      <protection/>
    </xf>
    <xf numFmtId="0" fontId="4" fillId="0" borderId="56" xfId="0" applyFont="1" applyBorder="1" applyAlignment="1">
      <alignment wrapText="1"/>
    </xf>
    <xf numFmtId="14" fontId="4" fillId="0" borderId="56" xfId="0" applyNumberFormat="1" applyFont="1" applyBorder="1" applyAlignment="1">
      <alignment wrapText="1"/>
    </xf>
    <xf numFmtId="43" fontId="0" fillId="0" borderId="0" xfId="257" applyFont="1" applyAlignment="1">
      <alignment/>
    </xf>
    <xf numFmtId="43" fontId="0" fillId="51" borderId="0" xfId="257" applyFont="1" applyFill="1" applyAlignment="1">
      <alignment/>
    </xf>
    <xf numFmtId="0" fontId="54" fillId="0" borderId="0" xfId="337" applyFont="1">
      <alignment/>
      <protection/>
    </xf>
    <xf numFmtId="0" fontId="52" fillId="0" borderId="0" xfId="337" applyFont="1">
      <alignment/>
      <protection/>
    </xf>
    <xf numFmtId="0" fontId="53" fillId="0" borderId="0" xfId="337" applyFont="1" applyBorder="1">
      <alignment/>
      <protection/>
    </xf>
    <xf numFmtId="0" fontId="53" fillId="0" borderId="0" xfId="337" applyFont="1">
      <alignment/>
      <protection/>
    </xf>
    <xf numFmtId="0" fontId="52" fillId="0" borderId="20" xfId="337" applyFont="1" applyBorder="1">
      <alignment/>
      <protection/>
    </xf>
    <xf numFmtId="0" fontId="54" fillId="0" borderId="20" xfId="337" applyFont="1" applyBorder="1">
      <alignment/>
      <protection/>
    </xf>
    <xf numFmtId="172" fontId="52" fillId="0" borderId="20" xfId="270" applyNumberFormat="1" applyFont="1" applyBorder="1" applyAlignment="1">
      <alignment/>
    </xf>
    <xf numFmtId="172" fontId="54" fillId="0" borderId="20" xfId="270" applyNumberFormat="1" applyFont="1" applyBorder="1" applyAlignment="1">
      <alignment/>
    </xf>
    <xf numFmtId="0" fontId="52" fillId="0" borderId="10" xfId="337" applyFont="1" applyFill="1" applyBorder="1">
      <alignment/>
      <protection/>
    </xf>
    <xf numFmtId="0" fontId="52" fillId="0" borderId="20" xfId="337" applyFont="1" applyFill="1" applyBorder="1">
      <alignment/>
      <protection/>
    </xf>
    <xf numFmtId="0" fontId="54" fillId="0" borderId="38" xfId="337" applyFont="1" applyBorder="1">
      <alignment/>
      <protection/>
    </xf>
    <xf numFmtId="0" fontId="52" fillId="0" borderId="38" xfId="337" applyFont="1" applyBorder="1">
      <alignment/>
      <protection/>
    </xf>
    <xf numFmtId="0" fontId="52" fillId="0" borderId="57" xfId="337" applyFont="1" applyBorder="1">
      <alignment/>
      <protection/>
    </xf>
    <xf numFmtId="0" fontId="52" fillId="0" borderId="24" xfId="337" applyFont="1" applyBorder="1">
      <alignment/>
      <protection/>
    </xf>
    <xf numFmtId="0" fontId="52" fillId="0" borderId="28" xfId="337" applyFont="1" applyBorder="1">
      <alignment/>
      <protection/>
    </xf>
    <xf numFmtId="0" fontId="54" fillId="0" borderId="57" xfId="337" applyFont="1" applyBorder="1">
      <alignment/>
      <protection/>
    </xf>
    <xf numFmtId="0" fontId="54" fillId="0" borderId="24" xfId="337" applyFont="1" applyBorder="1">
      <alignment/>
      <protection/>
    </xf>
    <xf numFmtId="172" fontId="54" fillId="0" borderId="24" xfId="270" applyNumberFormat="1" applyFont="1" applyBorder="1" applyAlignment="1">
      <alignment/>
    </xf>
    <xf numFmtId="0" fontId="60" fillId="0" borderId="0" xfId="337" applyFont="1" applyAlignment="1">
      <alignment/>
      <protection/>
    </xf>
    <xf numFmtId="0" fontId="24" fillId="54" borderId="0" xfId="309" applyFont="1" applyFill="1" applyBorder="1" applyAlignment="1">
      <alignment horizontal="center"/>
      <protection/>
    </xf>
    <xf numFmtId="14" fontId="24" fillId="54" borderId="0" xfId="309" applyNumberFormat="1" applyFont="1" applyFill="1" applyBorder="1" applyAlignment="1">
      <alignment horizontal="center"/>
      <protection/>
    </xf>
    <xf numFmtId="0" fontId="26" fillId="54" borderId="0" xfId="309" applyFont="1" applyFill="1" applyBorder="1" applyAlignment="1">
      <alignment horizontal="center"/>
      <protection/>
    </xf>
    <xf numFmtId="14" fontId="4" fillId="0" borderId="58" xfId="0" applyNumberFormat="1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3" fontId="4" fillId="0" borderId="60" xfId="0" applyNumberFormat="1" applyFont="1" applyBorder="1" applyAlignment="1">
      <alignment horizontal="center" wrapText="1"/>
    </xf>
    <xf numFmtId="3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13" fillId="0" borderId="31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0" fontId="90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6" fillId="0" borderId="0" xfId="0" applyFont="1" applyBorder="1" applyAlignment="1">
      <alignment wrapText="1"/>
    </xf>
    <xf numFmtId="2" fontId="54" fillId="0" borderId="57" xfId="347" applyNumberFormat="1" applyFont="1" applyBorder="1" applyAlignment="1">
      <alignment horizontal="center" wrapText="1"/>
      <protection/>
    </xf>
    <xf numFmtId="2" fontId="54" fillId="0" borderId="44" xfId="347" applyNumberFormat="1" applyFont="1" applyBorder="1" applyAlignment="1">
      <alignment horizontal="center" wrapText="1"/>
      <protection/>
    </xf>
    <xf numFmtId="2" fontId="54" fillId="0" borderId="24" xfId="347" applyNumberFormat="1" applyFont="1" applyBorder="1" applyAlignment="1">
      <alignment horizontal="center" wrapText="1"/>
      <protection/>
    </xf>
    <xf numFmtId="0" fontId="60" fillId="0" borderId="0" xfId="309" applyFont="1" applyAlignment="1">
      <alignment horizontal="center"/>
      <protection/>
    </xf>
    <xf numFmtId="2" fontId="54" fillId="0" borderId="61" xfId="347" applyNumberFormat="1" applyFont="1" applyBorder="1" applyAlignment="1">
      <alignment horizontal="center" wrapText="1"/>
      <protection/>
    </xf>
    <xf numFmtId="2" fontId="54" fillId="0" borderId="48" xfId="347" applyNumberFormat="1" applyFont="1" applyBorder="1" applyAlignment="1">
      <alignment horizontal="center" wrapText="1"/>
      <protection/>
    </xf>
    <xf numFmtId="2" fontId="54" fillId="0" borderId="62" xfId="347" applyNumberFormat="1" applyFont="1" applyBorder="1" applyAlignment="1">
      <alignment horizontal="center" wrapText="1"/>
      <protection/>
    </xf>
    <xf numFmtId="3" fontId="4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96" fillId="0" borderId="20" xfId="0" applyNumberFormat="1" applyFont="1" applyBorder="1" applyAlignment="1">
      <alignment horizontal="center"/>
    </xf>
    <xf numFmtId="3" fontId="96" fillId="0" borderId="20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43" fontId="9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3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1 10" xfId="22"/>
    <cellStyle name="20% - Accent1 11" xfId="23"/>
    <cellStyle name="20% - Accent1 12" xfId="24"/>
    <cellStyle name="20% - Accent1 13" xfId="25"/>
    <cellStyle name="20% - Accent1 14" xfId="26"/>
    <cellStyle name="20% - Accent1 15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11" xfId="38"/>
    <cellStyle name="20% - Accent2 12" xfId="39"/>
    <cellStyle name="20% - Accent2 13" xfId="40"/>
    <cellStyle name="20% - Accent2 14" xfId="41"/>
    <cellStyle name="20% - Accent2 15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0" xfId="52"/>
    <cellStyle name="20% - Accent3 11" xfId="53"/>
    <cellStyle name="20% - Accent3 12" xfId="54"/>
    <cellStyle name="20% - Accent3 13" xfId="55"/>
    <cellStyle name="20% - Accent3 14" xfId="56"/>
    <cellStyle name="20% - Accent3 15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12" xfId="69"/>
    <cellStyle name="20% - Accent4 13" xfId="70"/>
    <cellStyle name="20% - Accent4 14" xfId="71"/>
    <cellStyle name="20% - Accent4 15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0" xfId="82"/>
    <cellStyle name="20% - Accent5 11" xfId="83"/>
    <cellStyle name="20% - Accent5 12" xfId="84"/>
    <cellStyle name="20% - Accent5 13" xfId="85"/>
    <cellStyle name="20% - Accent5 14" xfId="86"/>
    <cellStyle name="20% - Accent5 15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0" xfId="97"/>
    <cellStyle name="20% - Accent6 11" xfId="98"/>
    <cellStyle name="20% - Accent6 12" xfId="99"/>
    <cellStyle name="20% - Accent6 13" xfId="100"/>
    <cellStyle name="20% - Accent6 14" xfId="101"/>
    <cellStyle name="20% - Accent6 15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 % - Accent1" xfId="111"/>
    <cellStyle name="40 % - Accent2" xfId="112"/>
    <cellStyle name="40 % - Accent3" xfId="113"/>
    <cellStyle name="40 % - Accent4" xfId="114"/>
    <cellStyle name="40 % - Accent5" xfId="115"/>
    <cellStyle name="40 % - Accent6" xfId="116"/>
    <cellStyle name="40% - Accent1" xfId="117"/>
    <cellStyle name="40% - Accent1 10" xfId="118"/>
    <cellStyle name="40% - Accent1 11" xfId="119"/>
    <cellStyle name="40% - Accent1 12" xfId="120"/>
    <cellStyle name="40% - Accent1 13" xfId="121"/>
    <cellStyle name="40% - Accent1 14" xfId="122"/>
    <cellStyle name="40% - Accent1 15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0" xfId="133"/>
    <cellStyle name="40% - Accent2 11" xfId="134"/>
    <cellStyle name="40% - Accent2 12" xfId="135"/>
    <cellStyle name="40% - Accent2 13" xfId="136"/>
    <cellStyle name="40% - Accent2 14" xfId="137"/>
    <cellStyle name="40% - Accent2 15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0" xfId="148"/>
    <cellStyle name="40% - Accent3 11" xfId="149"/>
    <cellStyle name="40% - Accent3 12" xfId="150"/>
    <cellStyle name="40% - Accent3 13" xfId="151"/>
    <cellStyle name="40% - Accent3 14" xfId="152"/>
    <cellStyle name="40% - Accent3 15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0" xfId="163"/>
    <cellStyle name="40% - Accent4 11" xfId="164"/>
    <cellStyle name="40% - Accent4 12" xfId="165"/>
    <cellStyle name="40% - Accent4 13" xfId="166"/>
    <cellStyle name="40% - Accent4 14" xfId="167"/>
    <cellStyle name="40% - Accent4 15" xfId="168"/>
    <cellStyle name="40% - Accent4 16" xfId="169"/>
    <cellStyle name="40% - Accent4 2" xfId="170"/>
    <cellStyle name="40% - Accent4 3" xfId="171"/>
    <cellStyle name="40% - Accent4 4" xfId="172"/>
    <cellStyle name="40% - Accent4 5" xfId="173"/>
    <cellStyle name="40% - Accent4 6" xfId="174"/>
    <cellStyle name="40% - Accent4 7" xfId="175"/>
    <cellStyle name="40% - Accent4 8" xfId="176"/>
    <cellStyle name="40% - Accent4 9" xfId="177"/>
    <cellStyle name="40% - Accent5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15" xfId="184"/>
    <cellStyle name="40% - Accent5 2" xfId="185"/>
    <cellStyle name="40% - Accent5 3" xfId="186"/>
    <cellStyle name="40% - Accent5 4" xfId="187"/>
    <cellStyle name="40% - Accent5 5" xfId="188"/>
    <cellStyle name="40% - Accent5 6" xfId="189"/>
    <cellStyle name="40% - Accent5 7" xfId="190"/>
    <cellStyle name="40% - Accent5 8" xfId="191"/>
    <cellStyle name="40% - Accent5 9" xfId="192"/>
    <cellStyle name="40% - Accent6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15" xfId="199"/>
    <cellStyle name="40% - Accent6 2" xfId="200"/>
    <cellStyle name="40% - Accent6 3" xfId="201"/>
    <cellStyle name="40% - Accent6 4" xfId="202"/>
    <cellStyle name="40% - Accent6 5" xfId="203"/>
    <cellStyle name="40% - Accent6 6" xfId="204"/>
    <cellStyle name="40% - Accent6 7" xfId="205"/>
    <cellStyle name="40% - Accent6 8" xfId="206"/>
    <cellStyle name="40% - Accent6 9" xfId="207"/>
    <cellStyle name="60 % - Accent1" xfId="208"/>
    <cellStyle name="60 % - Accent2" xfId="209"/>
    <cellStyle name="60 % - Accent3" xfId="210"/>
    <cellStyle name="60 % - Accent4" xfId="211"/>
    <cellStyle name="60 % - Accent5" xfId="212"/>
    <cellStyle name="60 % - Accent6" xfId="213"/>
    <cellStyle name="60% - Accent1" xfId="214"/>
    <cellStyle name="60% - Accent1 2" xfId="215"/>
    <cellStyle name="60% - Accent2" xfId="216"/>
    <cellStyle name="60% - Accent2 2" xfId="217"/>
    <cellStyle name="60% - Accent3" xfId="218"/>
    <cellStyle name="60% - Accent3 2" xfId="219"/>
    <cellStyle name="60% - Accent4" xfId="220"/>
    <cellStyle name="60% - Accent4 2" xfId="221"/>
    <cellStyle name="60% - Accent4 3" xfId="222"/>
    <cellStyle name="60% - Accent4 4" xfId="223"/>
    <cellStyle name="60% - Accent4 5" xfId="224"/>
    <cellStyle name="60% - Accent5" xfId="225"/>
    <cellStyle name="60% - Accent5 2" xfId="226"/>
    <cellStyle name="60% - Accent6" xfId="227"/>
    <cellStyle name="60% - Accent6 2" xfId="228"/>
    <cellStyle name="Accent1" xfId="229"/>
    <cellStyle name="Accent1 2" xfId="230"/>
    <cellStyle name="Accent1 3" xfId="231"/>
    <cellStyle name="Accent2" xfId="232"/>
    <cellStyle name="Accent2 2" xfId="233"/>
    <cellStyle name="Accent2 3" xfId="234"/>
    <cellStyle name="Accent2 4" xfId="235"/>
    <cellStyle name="Accent3" xfId="236"/>
    <cellStyle name="Accent3 2" xfId="237"/>
    <cellStyle name="Accent4" xfId="238"/>
    <cellStyle name="Accent4 2" xfId="239"/>
    <cellStyle name="Accent4 3" xfId="240"/>
    <cellStyle name="Accent5" xfId="241"/>
    <cellStyle name="Accent5 2" xfId="242"/>
    <cellStyle name="Accent6" xfId="243"/>
    <cellStyle name="Accent6 2" xfId="244"/>
    <cellStyle name="Avertissement" xfId="245"/>
    <cellStyle name="Bad" xfId="246"/>
    <cellStyle name="Bad 2" xfId="247"/>
    <cellStyle name="Calcul" xfId="248"/>
    <cellStyle name="Calculation" xfId="249"/>
    <cellStyle name="Calculation 2" xfId="250"/>
    <cellStyle name="Calculation 3" xfId="251"/>
    <cellStyle name="Cellule liée" xfId="252"/>
    <cellStyle name="Check Cell" xfId="253"/>
    <cellStyle name="Check Cell 2" xfId="254"/>
    <cellStyle name="Check Cell 2 2" xfId="255"/>
    <cellStyle name="Check Cell 3" xfId="256"/>
    <cellStyle name="Comma" xfId="257"/>
    <cellStyle name="Comma [0]" xfId="258"/>
    <cellStyle name="Comma 2" xfId="259"/>
    <cellStyle name="Comma 3" xfId="260"/>
    <cellStyle name="Comma 3 2" xfId="261"/>
    <cellStyle name="Comma 4" xfId="262"/>
    <cellStyle name="Comma 4 2" xfId="263"/>
    <cellStyle name="Comma 5" xfId="264"/>
    <cellStyle name="Comma 6" xfId="265"/>
    <cellStyle name="Comma 7" xfId="266"/>
    <cellStyle name="Comma 7 2" xfId="267"/>
    <cellStyle name="Comma 8" xfId="268"/>
    <cellStyle name="Comma 8 2" xfId="269"/>
    <cellStyle name="Comma 9" xfId="270"/>
    <cellStyle name="Commentaire" xfId="271"/>
    <cellStyle name="Currency" xfId="272"/>
    <cellStyle name="Currency [0]" xfId="273"/>
    <cellStyle name="Currency 2" xfId="274"/>
    <cellStyle name="E&amp;Y House" xfId="275"/>
    <cellStyle name="Entrée" xfId="276"/>
    <cellStyle name="Euro" xfId="277"/>
    <cellStyle name="Explanatory Text" xfId="278"/>
    <cellStyle name="Explanatory Text 2" xfId="279"/>
    <cellStyle name="Followed Hyperlink" xfId="280"/>
    <cellStyle name="Good" xfId="281"/>
    <cellStyle name="Good 2" xfId="282"/>
    <cellStyle name="Heading 1" xfId="283"/>
    <cellStyle name="Heading 1 2" xfId="284"/>
    <cellStyle name="Heading 2" xfId="285"/>
    <cellStyle name="Heading 2 2" xfId="286"/>
    <cellStyle name="Heading 3" xfId="287"/>
    <cellStyle name="Heading 3 2" xfId="288"/>
    <cellStyle name="Heading 4" xfId="289"/>
    <cellStyle name="Heading 4 2" xfId="290"/>
    <cellStyle name="HMRCalculated" xfId="291"/>
    <cellStyle name="HMRInput" xfId="292"/>
    <cellStyle name="Hyperlink" xfId="293"/>
    <cellStyle name="Input" xfId="294"/>
    <cellStyle name="Input 2" xfId="295"/>
    <cellStyle name="Input 3" xfId="296"/>
    <cellStyle name="Insatisfaisant" xfId="297"/>
    <cellStyle name="Linked Cell" xfId="298"/>
    <cellStyle name="Linked Cell 2" xfId="299"/>
    <cellStyle name="Migliaia 2" xfId="300"/>
    <cellStyle name="Migliaia 3" xfId="301"/>
    <cellStyle name="Neutral" xfId="302"/>
    <cellStyle name="Neutral 2" xfId="303"/>
    <cellStyle name="Neutre" xfId="304"/>
    <cellStyle name="Normal 10" xfId="305"/>
    <cellStyle name="Normal 11" xfId="306"/>
    <cellStyle name="Normal 12" xfId="307"/>
    <cellStyle name="Normal 13" xfId="308"/>
    <cellStyle name="Normal 14" xfId="309"/>
    <cellStyle name="Normal 15" xfId="310"/>
    <cellStyle name="Normal 16" xfId="311"/>
    <cellStyle name="Normal 17" xfId="312"/>
    <cellStyle name="Normal 18" xfId="313"/>
    <cellStyle name="Normal 19" xfId="314"/>
    <cellStyle name="Normal 2" xfId="315"/>
    <cellStyle name="Normal 2 2" xfId="316"/>
    <cellStyle name="Normal 2 3" xfId="317"/>
    <cellStyle name="Normal 2_ECF Store Final Summary" xfId="318"/>
    <cellStyle name="Normal 20" xfId="319"/>
    <cellStyle name="Normal 21" xfId="320"/>
    <cellStyle name="Normal 22" xfId="321"/>
    <cellStyle name="Normal 23" xfId="322"/>
    <cellStyle name="Normal 24" xfId="323"/>
    <cellStyle name="Normal 25" xfId="324"/>
    <cellStyle name="Normal 26" xfId="325"/>
    <cellStyle name="Normal 27" xfId="326"/>
    <cellStyle name="Normal 28" xfId="327"/>
    <cellStyle name="Normal 29" xfId="328"/>
    <cellStyle name="Normal 3" xfId="329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6" xfId="336"/>
    <cellStyle name="Normal 37" xfId="337"/>
    <cellStyle name="Normal 4" xfId="338"/>
    <cellStyle name="Normal 4 2" xfId="339"/>
    <cellStyle name="Normal 5" xfId="340"/>
    <cellStyle name="Normal 5 2" xfId="341"/>
    <cellStyle name="Normal 6" xfId="342"/>
    <cellStyle name="Normal 7" xfId="343"/>
    <cellStyle name="Normal 8" xfId="344"/>
    <cellStyle name="Normal 9" xfId="345"/>
    <cellStyle name="Normal_ALPHA TIRANA 2004 - Notes to fs - 27.01.2005 KSS FINAL" xfId="346"/>
    <cellStyle name="Normal_asn_2009 Propozimet" xfId="347"/>
    <cellStyle name="Normal_Sheet2" xfId="348"/>
    <cellStyle name="Normale 2" xfId="349"/>
    <cellStyle name="Normale 3" xfId="350"/>
    <cellStyle name="Normalny_AKTYWA" xfId="351"/>
    <cellStyle name="Note" xfId="352"/>
    <cellStyle name="Note 10" xfId="353"/>
    <cellStyle name="Note 11" xfId="354"/>
    <cellStyle name="Note 12" xfId="355"/>
    <cellStyle name="Note 13" xfId="356"/>
    <cellStyle name="Note 14" xfId="357"/>
    <cellStyle name="Note 15" xfId="358"/>
    <cellStyle name="Note 16" xfId="359"/>
    <cellStyle name="Note 17" xfId="360"/>
    <cellStyle name="Note 18" xfId="361"/>
    <cellStyle name="Note 19" xfId="362"/>
    <cellStyle name="Note 2" xfId="363"/>
    <cellStyle name="Note 20" xfId="364"/>
    <cellStyle name="Note 21" xfId="365"/>
    <cellStyle name="Note 22" xfId="366"/>
    <cellStyle name="Note 23" xfId="367"/>
    <cellStyle name="Note 24" xfId="368"/>
    <cellStyle name="Note 25" xfId="369"/>
    <cellStyle name="Note 26" xfId="370"/>
    <cellStyle name="Note 27" xfId="371"/>
    <cellStyle name="Note 28" xfId="372"/>
    <cellStyle name="Note 29" xfId="373"/>
    <cellStyle name="Note 3" xfId="374"/>
    <cellStyle name="Note 30" xfId="375"/>
    <cellStyle name="Note 31" xfId="376"/>
    <cellStyle name="Note 32" xfId="377"/>
    <cellStyle name="Note 33" xfId="378"/>
    <cellStyle name="Note 34" xfId="379"/>
    <cellStyle name="Note 35" xfId="380"/>
    <cellStyle name="Note 36" xfId="381"/>
    <cellStyle name="Note 4" xfId="382"/>
    <cellStyle name="Note 5" xfId="383"/>
    <cellStyle name="Note 6" xfId="384"/>
    <cellStyle name="Note 7" xfId="385"/>
    <cellStyle name="Note 8" xfId="386"/>
    <cellStyle name="Note 9" xfId="387"/>
    <cellStyle name="Output" xfId="388"/>
    <cellStyle name="Output 2" xfId="389"/>
    <cellStyle name="Percent" xfId="390"/>
    <cellStyle name="Percent 2" xfId="391"/>
    <cellStyle name="Percent 2 2" xfId="392"/>
    <cellStyle name="Percent 3" xfId="393"/>
    <cellStyle name="Percent 3 2" xfId="394"/>
    <cellStyle name="Percent 4" xfId="395"/>
    <cellStyle name="Percentuale 2" xfId="396"/>
    <cellStyle name="Satisfaisant" xfId="397"/>
    <cellStyle name="Sortie" xfId="398"/>
    <cellStyle name="Texte explicatif" xfId="399"/>
    <cellStyle name="Title" xfId="400"/>
    <cellStyle name="Title 2" xfId="401"/>
    <cellStyle name="Titre" xfId="402"/>
    <cellStyle name="Titre 1" xfId="403"/>
    <cellStyle name="Titre 2" xfId="404"/>
    <cellStyle name="Titre 3" xfId="405"/>
    <cellStyle name="Titre 4" xfId="406"/>
    <cellStyle name="Total" xfId="407"/>
    <cellStyle name="Total 2" xfId="408"/>
    <cellStyle name="Vérification" xfId="409"/>
    <cellStyle name="Warning Text" xfId="410"/>
    <cellStyle name="Warning Text 2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ago\AppData\Local\Microsoft\Windows\Temporary%20Internet%20Files\Content.Outlook\PRXF2JHS\Pasqyrat%20Financiare%202009%20Italis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or\Desktop\CEM%202008\INCOMING%20REP\Mgmt%200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ago\Desktop\Tirana%20East%20Gate%20shpk%20-%20Raportet%20Financiare%202012%20F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sione"/>
      <sheetName val="KAPAK "/>
      <sheetName val="BV Y2009"/>
      <sheetName val="Bilanc"/>
      <sheetName val="PASH"/>
      <sheetName val="CFS"/>
      <sheetName val="TAX"/>
      <sheetName val="Shenim 17 Kapitali"/>
      <sheetName val="Shenime te Aktivit"/>
      <sheetName val="Aktive Afatgjata"/>
      <sheetName val="Shenime te Pasivit"/>
      <sheetName val="Shenime PL"/>
      <sheetName val="Shenim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>
        <row r="28">
          <cell r="F28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e "/>
      <sheetName val="PASH"/>
      <sheetName val="Cash Flow"/>
      <sheetName val="Kapital Pronarit "/>
      <sheetName val="Tatim Fitimi"/>
      <sheetName val="panjohura"/>
      <sheetName val="Notat Shpjeguese"/>
      <sheetName val="HUA"/>
      <sheetName val="Palet e Lidhura "/>
      <sheetName val="Instrumentat Financiare"/>
      <sheetName val="Sh. te panjohura "/>
      <sheetName val="NET of Electricity"/>
      <sheetName val="Sheet1"/>
    </sheetNames>
    <sheetDataSet>
      <sheetData sheetId="1">
        <row r="27">
          <cell r="D27">
            <v>186898177.48</v>
          </cell>
        </row>
        <row r="28">
          <cell r="D28">
            <v>619418297.38</v>
          </cell>
        </row>
        <row r="29">
          <cell r="D29">
            <v>2873383.98</v>
          </cell>
        </row>
        <row r="30">
          <cell r="D30">
            <v>564457.73</v>
          </cell>
        </row>
        <row r="31">
          <cell r="D31">
            <v>72458071.36</v>
          </cell>
        </row>
        <row r="33">
          <cell r="D33">
            <v>537653.69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C2:L47"/>
  <sheetViews>
    <sheetView view="pageBreakPreview" zoomScale="130" zoomScaleSheetLayoutView="130" zoomScalePageLayoutView="0" workbookViewId="0" topLeftCell="A4">
      <selection activeCell="C23" sqref="C23"/>
    </sheetView>
  </sheetViews>
  <sheetFormatPr defaultColWidth="9.140625" defaultRowHeight="15"/>
  <cols>
    <col min="1" max="1" width="9.28125" style="204" customWidth="1"/>
    <col min="2" max="2" width="6.00390625" style="204" customWidth="1"/>
    <col min="3" max="4" width="9.140625" style="204" customWidth="1"/>
    <col min="5" max="5" width="9.28125" style="204" customWidth="1"/>
    <col min="6" max="6" width="11.421875" style="204" customWidth="1"/>
    <col min="7" max="7" width="12.8515625" style="204" customWidth="1"/>
    <col min="8" max="8" width="5.421875" style="204" customWidth="1"/>
    <col min="9" max="10" width="9.140625" style="204" customWidth="1"/>
    <col min="11" max="11" width="3.140625" style="204" customWidth="1"/>
    <col min="12" max="12" width="9.421875" style="204" customWidth="1"/>
    <col min="13" max="13" width="6.8515625" style="204" customWidth="1"/>
    <col min="14" max="16384" width="9.140625" style="204" customWidth="1"/>
  </cols>
  <sheetData>
    <row r="1" ht="6.75" customHeight="1"/>
    <row r="2" spans="3:12" ht="13.5"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3:12" s="206" customFormat="1" ht="13.5" customHeight="1">
      <c r="C3" s="205"/>
      <c r="D3" s="205" t="s">
        <v>495</v>
      </c>
      <c r="E3" s="205"/>
      <c r="F3" s="205"/>
      <c r="G3" s="214" t="s">
        <v>514</v>
      </c>
      <c r="H3" s="215"/>
      <c r="I3" s="208"/>
      <c r="J3" s="205"/>
      <c r="K3" s="205"/>
      <c r="L3" s="205"/>
    </row>
    <row r="4" spans="3:12" s="206" customFormat="1" ht="13.5" customHeight="1">
      <c r="C4" s="205"/>
      <c r="D4" s="205" t="s">
        <v>496</v>
      </c>
      <c r="E4" s="205"/>
      <c r="F4" s="205"/>
      <c r="G4" s="214" t="s">
        <v>515</v>
      </c>
      <c r="H4" s="215"/>
      <c r="I4" s="208"/>
      <c r="J4" s="205"/>
      <c r="K4" s="205"/>
      <c r="L4" s="205"/>
    </row>
    <row r="5" spans="3:12" s="206" customFormat="1" ht="13.5" customHeight="1">
      <c r="C5" s="205"/>
      <c r="D5" s="205" t="s">
        <v>497</v>
      </c>
      <c r="E5" s="205"/>
      <c r="F5" s="205"/>
      <c r="G5" s="214" t="s">
        <v>516</v>
      </c>
      <c r="H5" s="205"/>
      <c r="I5" s="205"/>
      <c r="J5" s="205"/>
      <c r="K5" s="205"/>
      <c r="L5" s="205"/>
    </row>
    <row r="6" spans="3:12" s="206" customFormat="1" ht="13.5" customHeight="1"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3:12" s="206" customFormat="1" ht="13.5" customHeight="1">
      <c r="C7" s="205"/>
      <c r="D7" s="205" t="s">
        <v>498</v>
      </c>
      <c r="E7" s="205"/>
      <c r="F7" s="205"/>
      <c r="G7" s="213">
        <v>40870</v>
      </c>
      <c r="H7" s="207"/>
      <c r="I7" s="205"/>
      <c r="J7" s="205"/>
      <c r="K7" s="205"/>
      <c r="L7" s="205"/>
    </row>
    <row r="8" spans="3:12" s="206" customFormat="1" ht="13.5" customHeight="1">
      <c r="C8" s="205"/>
      <c r="D8" s="205"/>
      <c r="E8" s="205"/>
      <c r="F8" s="205"/>
      <c r="G8" s="208"/>
      <c r="H8" s="208"/>
      <c r="I8" s="205"/>
      <c r="J8" s="205"/>
      <c r="K8" s="205"/>
      <c r="L8" s="205"/>
    </row>
    <row r="9" spans="3:12" s="206" customFormat="1" ht="13.5" customHeight="1"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3:12" s="206" customFormat="1" ht="13.5" customHeight="1">
      <c r="C10" s="205"/>
      <c r="D10" s="205" t="s">
        <v>499</v>
      </c>
      <c r="E10" s="205"/>
      <c r="F10" s="205"/>
      <c r="G10" s="205" t="s">
        <v>518</v>
      </c>
      <c r="H10" s="205"/>
      <c r="I10" s="205"/>
      <c r="J10" s="205"/>
      <c r="K10" s="205"/>
      <c r="L10" s="205"/>
    </row>
    <row r="11" spans="3:12" s="206" customFormat="1" ht="13.5" customHeight="1"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3:12" s="206" customFormat="1" ht="13.5" customHeight="1"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3:12" ht="13.5"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3:12" ht="13.5"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3:12" ht="13.5"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3:12" ht="13.5">
      <c r="C16" s="209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3:12" ht="13.5"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3:12" ht="13.5"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3:12" ht="13.5">
      <c r="C19" s="209"/>
      <c r="D19" s="209"/>
      <c r="E19" s="209"/>
      <c r="F19" s="209"/>
      <c r="G19" s="209"/>
      <c r="H19" s="209"/>
      <c r="I19" s="209"/>
      <c r="J19" s="209"/>
      <c r="K19" s="209"/>
      <c r="L19" s="209"/>
    </row>
    <row r="20" spans="3:12" ht="13.5">
      <c r="C20" s="209"/>
      <c r="D20" s="209"/>
      <c r="E20" s="209"/>
      <c r="F20" s="209"/>
      <c r="G20" s="209"/>
      <c r="H20" s="209"/>
      <c r="I20" s="209"/>
      <c r="J20" s="209"/>
      <c r="K20" s="209"/>
      <c r="L20" s="209"/>
    </row>
    <row r="21" spans="3:12" ht="13.5">
      <c r="C21" s="209"/>
      <c r="D21" s="209"/>
      <c r="E21" s="209"/>
      <c r="F21" s="209"/>
      <c r="G21" s="209"/>
      <c r="H21" s="209"/>
      <c r="I21" s="209"/>
      <c r="J21" s="209"/>
      <c r="K21" s="209"/>
      <c r="L21" s="209"/>
    </row>
    <row r="22" spans="3:12" ht="13.5">
      <c r="C22" s="209"/>
      <c r="D22" s="209"/>
      <c r="E22" s="209"/>
      <c r="F22" s="209"/>
      <c r="G22" s="209"/>
      <c r="H22" s="209"/>
      <c r="I22" s="209"/>
      <c r="J22" s="209"/>
      <c r="K22" s="209"/>
      <c r="L22" s="209"/>
    </row>
    <row r="23" spans="3:12" ht="13.5">
      <c r="C23" s="209"/>
      <c r="D23" s="209"/>
      <c r="E23" s="209"/>
      <c r="F23" s="209"/>
      <c r="G23" s="209"/>
      <c r="H23" s="209"/>
      <c r="I23" s="209"/>
      <c r="J23" s="209"/>
      <c r="K23" s="209"/>
      <c r="L23" s="209"/>
    </row>
    <row r="24" spans="3:12" ht="13.5"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3:12" ht="33">
      <c r="C25" s="379" t="s">
        <v>500</v>
      </c>
      <c r="D25" s="379"/>
      <c r="E25" s="379"/>
      <c r="F25" s="379"/>
      <c r="G25" s="379"/>
      <c r="H25" s="379"/>
      <c r="I25" s="379"/>
      <c r="J25" s="379"/>
      <c r="K25" s="379"/>
      <c r="L25" s="379"/>
    </row>
    <row r="26" spans="3:12" ht="13.5">
      <c r="C26" s="209"/>
      <c r="D26" s="377" t="s">
        <v>501</v>
      </c>
      <c r="E26" s="377"/>
      <c r="F26" s="377"/>
      <c r="G26" s="377"/>
      <c r="H26" s="377"/>
      <c r="I26" s="377"/>
      <c r="J26" s="377"/>
      <c r="K26" s="377"/>
      <c r="L26" s="209"/>
    </row>
    <row r="27" spans="3:12" ht="13.5">
      <c r="C27" s="209"/>
      <c r="D27" s="377" t="s">
        <v>502</v>
      </c>
      <c r="E27" s="377"/>
      <c r="F27" s="377"/>
      <c r="G27" s="377"/>
      <c r="H27" s="377"/>
      <c r="I27" s="377"/>
      <c r="J27" s="377"/>
      <c r="K27" s="377"/>
      <c r="L27" s="209"/>
    </row>
    <row r="28" spans="3:12" ht="13.5"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3:12" ht="13.5"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3:12" ht="33">
      <c r="C30" s="209"/>
      <c r="D30" s="209"/>
      <c r="E30" s="209"/>
      <c r="F30" s="209"/>
      <c r="G30" s="210" t="s">
        <v>517</v>
      </c>
      <c r="H30" s="209"/>
      <c r="I30" s="209"/>
      <c r="J30" s="209"/>
      <c r="K30" s="209"/>
      <c r="L30" s="209"/>
    </row>
    <row r="31" spans="3:12" ht="13.5">
      <c r="C31" s="209"/>
      <c r="D31" s="209"/>
      <c r="E31" s="209"/>
      <c r="F31" s="209"/>
      <c r="G31" s="209"/>
      <c r="H31" s="209"/>
      <c r="I31" s="209"/>
      <c r="J31" s="209"/>
      <c r="K31" s="209"/>
      <c r="L31" s="209"/>
    </row>
    <row r="32" spans="3:12" ht="13.5">
      <c r="C32" s="209"/>
      <c r="D32" s="209"/>
      <c r="E32" s="209"/>
      <c r="F32" s="209"/>
      <c r="G32" s="209"/>
      <c r="H32" s="209"/>
      <c r="I32" s="209"/>
      <c r="J32" s="209"/>
      <c r="K32" s="209"/>
      <c r="L32" s="209"/>
    </row>
    <row r="33" spans="3:12" ht="13.5">
      <c r="C33" s="209"/>
      <c r="D33" s="209"/>
      <c r="E33" s="209"/>
      <c r="F33" s="209"/>
      <c r="G33" s="209"/>
      <c r="H33" s="209"/>
      <c r="I33" s="209"/>
      <c r="J33" s="209"/>
      <c r="K33" s="209"/>
      <c r="L33" s="209"/>
    </row>
    <row r="34" spans="3:12" ht="13.5">
      <c r="C34" s="209"/>
      <c r="D34" s="209"/>
      <c r="E34" s="209"/>
      <c r="F34" s="209"/>
      <c r="G34" s="209"/>
      <c r="H34" s="209"/>
      <c r="I34" s="209"/>
      <c r="J34" s="209"/>
      <c r="K34" s="209"/>
      <c r="L34" s="209"/>
    </row>
    <row r="35" spans="3:12" ht="9" customHeight="1">
      <c r="C35" s="209"/>
      <c r="D35" s="209"/>
      <c r="E35" s="209"/>
      <c r="F35" s="209"/>
      <c r="G35" s="209"/>
      <c r="H35" s="209"/>
      <c r="I35" s="209"/>
      <c r="J35" s="209"/>
      <c r="K35" s="209"/>
      <c r="L35" s="209"/>
    </row>
    <row r="36" spans="3:12" ht="13.5">
      <c r="C36" s="209"/>
      <c r="D36" s="209"/>
      <c r="E36" s="209"/>
      <c r="F36" s="209"/>
      <c r="G36" s="209"/>
      <c r="H36" s="209"/>
      <c r="I36" s="209"/>
      <c r="J36" s="209"/>
      <c r="K36" s="209"/>
      <c r="L36" s="209"/>
    </row>
    <row r="37" spans="3:12" ht="13.5">
      <c r="C37" s="209"/>
      <c r="D37" s="209"/>
      <c r="E37" s="209"/>
      <c r="F37" s="209"/>
      <c r="G37" s="209"/>
      <c r="H37" s="209"/>
      <c r="I37" s="209"/>
      <c r="J37" s="209"/>
      <c r="K37" s="209"/>
      <c r="L37" s="209"/>
    </row>
    <row r="38" spans="3:12" s="206" customFormat="1" ht="12.75" customHeight="1">
      <c r="C38" s="205"/>
      <c r="D38" s="205" t="s">
        <v>503</v>
      </c>
      <c r="E38" s="205"/>
      <c r="F38" s="205"/>
      <c r="G38" s="205"/>
      <c r="H38" s="205"/>
      <c r="I38" s="377" t="s">
        <v>504</v>
      </c>
      <c r="J38" s="377"/>
      <c r="K38" s="205"/>
      <c r="L38" s="205"/>
    </row>
    <row r="39" spans="3:12" s="206" customFormat="1" ht="12.75" customHeight="1">
      <c r="C39" s="205"/>
      <c r="D39" s="205" t="s">
        <v>505</v>
      </c>
      <c r="E39" s="205"/>
      <c r="F39" s="205"/>
      <c r="G39" s="205"/>
      <c r="H39" s="205"/>
      <c r="I39" s="377" t="s">
        <v>506</v>
      </c>
      <c r="J39" s="377"/>
      <c r="K39" s="205"/>
      <c r="L39" s="205"/>
    </row>
    <row r="40" spans="3:12" s="206" customFormat="1" ht="12.75" customHeight="1">
      <c r="C40" s="205"/>
      <c r="D40" s="205" t="s">
        <v>507</v>
      </c>
      <c r="E40" s="205"/>
      <c r="F40" s="205"/>
      <c r="G40" s="205"/>
      <c r="H40" s="205"/>
      <c r="I40" s="377" t="s">
        <v>508</v>
      </c>
      <c r="J40" s="377"/>
      <c r="K40" s="205"/>
      <c r="L40" s="205"/>
    </row>
    <row r="41" spans="3:12" s="206" customFormat="1" ht="12.75" customHeight="1">
      <c r="C41" s="205"/>
      <c r="D41" s="205" t="s">
        <v>509</v>
      </c>
      <c r="E41" s="205"/>
      <c r="F41" s="205"/>
      <c r="G41" s="205"/>
      <c r="H41" s="205"/>
      <c r="I41" s="377" t="s">
        <v>508</v>
      </c>
      <c r="J41" s="377"/>
      <c r="K41" s="205"/>
      <c r="L41" s="205"/>
    </row>
    <row r="42" spans="3:12" ht="13.5">
      <c r="C42" s="209"/>
      <c r="D42" s="209"/>
      <c r="E42" s="209"/>
      <c r="F42" s="209"/>
      <c r="G42" s="209"/>
      <c r="H42" s="209"/>
      <c r="I42" s="209"/>
      <c r="J42" s="209"/>
      <c r="K42" s="209"/>
      <c r="L42" s="209"/>
    </row>
    <row r="43" spans="3:12" s="212" customFormat="1" ht="12.75" customHeight="1">
      <c r="C43" s="211"/>
      <c r="D43" s="205" t="s">
        <v>510</v>
      </c>
      <c r="E43" s="205"/>
      <c r="F43" s="205"/>
      <c r="G43" s="205"/>
      <c r="H43" s="208" t="s">
        <v>511</v>
      </c>
      <c r="I43" s="378">
        <v>41275</v>
      </c>
      <c r="J43" s="377"/>
      <c r="K43" s="211"/>
      <c r="L43" s="211"/>
    </row>
    <row r="44" spans="3:12" s="212" customFormat="1" ht="12.75" customHeight="1">
      <c r="C44" s="211"/>
      <c r="D44" s="205"/>
      <c r="E44" s="205"/>
      <c r="F44" s="205"/>
      <c r="G44" s="205"/>
      <c r="H44" s="208" t="s">
        <v>512</v>
      </c>
      <c r="I44" s="378">
        <v>41639</v>
      </c>
      <c r="J44" s="377"/>
      <c r="K44" s="211"/>
      <c r="L44" s="211"/>
    </row>
    <row r="45" spans="3:12" s="212" customFormat="1" ht="7.5" customHeight="1">
      <c r="C45" s="211"/>
      <c r="D45" s="205"/>
      <c r="E45" s="205"/>
      <c r="F45" s="205"/>
      <c r="G45" s="205"/>
      <c r="H45" s="208"/>
      <c r="I45" s="208"/>
      <c r="J45" s="208"/>
      <c r="K45" s="211"/>
      <c r="L45" s="211"/>
    </row>
    <row r="46" spans="3:12" s="212" customFormat="1" ht="12.75" customHeight="1">
      <c r="C46" s="211"/>
      <c r="D46" s="205" t="s">
        <v>513</v>
      </c>
      <c r="E46" s="205"/>
      <c r="F46" s="205"/>
      <c r="G46" s="208"/>
      <c r="H46" s="205"/>
      <c r="I46" s="378">
        <v>41723</v>
      </c>
      <c r="J46" s="377"/>
      <c r="K46" s="211"/>
      <c r="L46" s="211"/>
    </row>
    <row r="47" spans="3:12" ht="22.5" customHeight="1">
      <c r="C47" s="209"/>
      <c r="D47" s="209"/>
      <c r="E47" s="209"/>
      <c r="F47" s="209"/>
      <c r="G47" s="209"/>
      <c r="H47" s="209"/>
      <c r="I47" s="209"/>
      <c r="J47" s="209"/>
      <c r="K47" s="209"/>
      <c r="L47" s="209"/>
    </row>
    <row r="48" ht="6.75" customHeight="1"/>
  </sheetData>
  <sheetProtection/>
  <mergeCells count="10">
    <mergeCell ref="I41:J41"/>
    <mergeCell ref="I43:J43"/>
    <mergeCell ref="I44:J44"/>
    <mergeCell ref="I46:J46"/>
    <mergeCell ref="C25:L25"/>
    <mergeCell ref="D26:K26"/>
    <mergeCell ref="D27:K27"/>
    <mergeCell ref="I38:J38"/>
    <mergeCell ref="I39:J39"/>
    <mergeCell ref="I40:J40"/>
  </mergeCells>
  <printOptions/>
  <pageMargins left="0.75" right="0.75" top="1" bottom="1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E37"/>
  <sheetViews>
    <sheetView zoomScalePageLayoutView="0" workbookViewId="0" topLeftCell="A22">
      <selection activeCell="A15" sqref="A15:C18"/>
    </sheetView>
  </sheetViews>
  <sheetFormatPr defaultColWidth="9.140625" defaultRowHeight="15"/>
  <cols>
    <col min="1" max="1" width="34.421875" style="0" customWidth="1"/>
    <col min="2" max="2" width="11.28125" style="0" bestFit="1" customWidth="1"/>
    <col min="3" max="3" width="11.57421875" style="0" bestFit="1" customWidth="1"/>
    <col min="4" max="5" width="12.00390625" style="0" bestFit="1" customWidth="1"/>
  </cols>
  <sheetData>
    <row r="4" spans="1:3" ht="14.25">
      <c r="A4" s="37" t="s">
        <v>159</v>
      </c>
      <c r="B4" s="37" t="s">
        <v>160</v>
      </c>
      <c r="C4" s="37" t="s">
        <v>161</v>
      </c>
    </row>
    <row r="5" spans="1:3" ht="14.25">
      <c r="A5" s="29" t="s">
        <v>162</v>
      </c>
      <c r="B5" s="42">
        <f>B6</f>
        <v>483308.95</v>
      </c>
      <c r="C5" s="42">
        <f>C6</f>
        <v>0</v>
      </c>
    </row>
    <row r="6" spans="1:3" ht="14.25">
      <c r="A6" s="30" t="s">
        <v>163</v>
      </c>
      <c r="B6" s="38">
        <f>BSH!F143</f>
        <v>483308.95</v>
      </c>
      <c r="C6" s="38">
        <v>0</v>
      </c>
    </row>
    <row r="7" spans="1:4" ht="14.25">
      <c r="A7" s="29" t="s">
        <v>164</v>
      </c>
      <c r="B7" s="39">
        <f>SUM(B8:B9)</f>
        <v>-2726186.3255</v>
      </c>
      <c r="C7" s="39">
        <f>SUM(C8:C9)</f>
        <v>2755688</v>
      </c>
      <c r="D7" s="36"/>
    </row>
    <row r="8" spans="1:3" ht="14.25">
      <c r="A8" s="30" t="s">
        <v>163</v>
      </c>
      <c r="B8" s="38">
        <f>BSH!F141</f>
        <v>21256.1500000004</v>
      </c>
      <c r="C8" s="38">
        <f>BSH!G141</f>
        <v>0</v>
      </c>
    </row>
    <row r="9" spans="1:3" ht="14.25">
      <c r="A9" s="30" t="s">
        <v>165</v>
      </c>
      <c r="B9" s="38">
        <f>BSH!F142</f>
        <v>-2747442.4755</v>
      </c>
      <c r="C9" s="38">
        <f>BSH!G142</f>
        <v>2755688</v>
      </c>
    </row>
    <row r="10" spans="1:3" ht="15" thickBot="1">
      <c r="A10" s="35" t="s">
        <v>166</v>
      </c>
      <c r="B10" s="40">
        <v>0</v>
      </c>
      <c r="C10" s="40"/>
    </row>
    <row r="11" spans="1:3" ht="15" thickTop="1">
      <c r="A11" s="29" t="s">
        <v>167</v>
      </c>
      <c r="B11" s="39">
        <f>B10+B8+B6+B9</f>
        <v>-2242877.3754999996</v>
      </c>
      <c r="C11" s="39">
        <f>C10+C8+C6+C9</f>
        <v>2755688</v>
      </c>
    </row>
    <row r="12" spans="1:3" ht="14.25">
      <c r="A12" s="41"/>
      <c r="B12" s="41"/>
      <c r="C12" s="41"/>
    </row>
    <row r="15" spans="1:3" ht="14.25">
      <c r="A15" s="45" t="s">
        <v>49</v>
      </c>
      <c r="B15" s="48" t="s">
        <v>160</v>
      </c>
      <c r="C15" s="48" t="s">
        <v>161</v>
      </c>
    </row>
    <row r="16" spans="1:3" ht="14.25">
      <c r="A16" s="30" t="s">
        <v>223</v>
      </c>
      <c r="B16" s="47">
        <f>BSH!F123</f>
        <v>271288.131</v>
      </c>
      <c r="C16" s="47">
        <f>BSH!G123</f>
        <v>0</v>
      </c>
    </row>
    <row r="17" spans="1:3" ht="15" thickBot="1">
      <c r="A17" s="43" t="s">
        <v>224</v>
      </c>
      <c r="B17" s="44">
        <f>BSH!F139</f>
        <v>959693.73328</v>
      </c>
      <c r="C17" s="44">
        <f>BSH!G139</f>
        <v>0</v>
      </c>
    </row>
    <row r="18" spans="1:3" ht="27" thickTop="1">
      <c r="A18" s="46" t="s">
        <v>225</v>
      </c>
      <c r="B18" s="39">
        <f>SUM(B16:B17)</f>
        <v>1230981.86428</v>
      </c>
      <c r="C18" s="39">
        <f>SUM(C16:C17)</f>
        <v>0</v>
      </c>
    </row>
    <row r="22" spans="1:5" ht="27">
      <c r="A22" s="60" t="s">
        <v>235</v>
      </c>
      <c r="B22" s="49" t="s">
        <v>227</v>
      </c>
      <c r="C22" s="49" t="s">
        <v>148</v>
      </c>
      <c r="D22" s="49" t="s">
        <v>72</v>
      </c>
      <c r="E22" s="50" t="s">
        <v>226</v>
      </c>
    </row>
    <row r="23" spans="1:5" ht="14.25">
      <c r="A23" s="51" t="s">
        <v>233</v>
      </c>
      <c r="B23" s="52" t="e">
        <f>BSH!#REF!</f>
        <v>#REF!</v>
      </c>
      <c r="C23" s="52">
        <v>0</v>
      </c>
      <c r="D23" s="52">
        <v>0</v>
      </c>
      <c r="E23" s="53" t="e">
        <f>SUM(B23:D23)</f>
        <v>#REF!</v>
      </c>
    </row>
    <row r="24" spans="1:5" ht="14.25">
      <c r="A24" s="54" t="s">
        <v>229</v>
      </c>
      <c r="B24" s="55">
        <v>0</v>
      </c>
      <c r="C24" s="55">
        <f>BSH!F133</f>
        <v>2121658.4</v>
      </c>
      <c r="D24" s="55">
        <f>BSH!F132</f>
        <v>3850005.6</v>
      </c>
      <c r="E24" s="56">
        <f aca="true" t="shared" si="0" ref="E24:E30">SUM(B24:D24)</f>
        <v>5971664</v>
      </c>
    </row>
    <row r="25" spans="1:5" ht="15" thickBot="1">
      <c r="A25" s="54" t="s">
        <v>230</v>
      </c>
      <c r="B25" s="55">
        <v>0</v>
      </c>
      <c r="C25" s="55">
        <v>0</v>
      </c>
      <c r="D25" s="55">
        <v>0</v>
      </c>
      <c r="E25" s="56">
        <f t="shared" si="0"/>
        <v>0</v>
      </c>
    </row>
    <row r="26" spans="1:5" ht="15" thickTop="1">
      <c r="A26" s="59" t="s">
        <v>236</v>
      </c>
      <c r="B26" s="57" t="e">
        <f>SUM(B23:B25)</f>
        <v>#REF!</v>
      </c>
      <c r="C26" s="57">
        <f>SUM(C23:C25)</f>
        <v>2121658.4</v>
      </c>
      <c r="D26" s="57">
        <f>SUM(D23:D25)</f>
        <v>3850005.6</v>
      </c>
      <c r="E26" s="58" t="e">
        <f t="shared" si="0"/>
        <v>#REF!</v>
      </c>
    </row>
    <row r="27" spans="1:5" ht="14.25">
      <c r="A27" s="51" t="s">
        <v>231</v>
      </c>
      <c r="B27" s="55"/>
      <c r="C27" s="55"/>
      <c r="D27" s="55"/>
      <c r="E27" s="56"/>
    </row>
    <row r="28" spans="1:5" ht="14.25">
      <c r="A28" s="51" t="s">
        <v>228</v>
      </c>
      <c r="B28" s="55">
        <v>0</v>
      </c>
      <c r="C28" s="55">
        <v>0</v>
      </c>
      <c r="D28" s="55">
        <v>0</v>
      </c>
      <c r="E28" s="56">
        <f t="shared" si="0"/>
        <v>0</v>
      </c>
    </row>
    <row r="29" spans="1:5" ht="15" thickBot="1">
      <c r="A29" s="54" t="s">
        <v>232</v>
      </c>
      <c r="B29" s="55" t="e">
        <f>BSH!#REF!</f>
        <v>#REF!</v>
      </c>
      <c r="C29" s="55">
        <f>BSH!F134</f>
        <v>979381.29</v>
      </c>
      <c r="D29" s="55">
        <v>0</v>
      </c>
      <c r="E29" s="56" t="e">
        <f t="shared" si="0"/>
        <v>#REF!</v>
      </c>
    </row>
    <row r="30" spans="1:5" ht="15" thickTop="1">
      <c r="A30" s="59" t="s">
        <v>234</v>
      </c>
      <c r="B30" s="57" t="e">
        <f>B26+SUM(B28:B29)</f>
        <v>#REF!</v>
      </c>
      <c r="C30" s="57">
        <f>C26+SUM(C28:C29)</f>
        <v>3101039.69</v>
      </c>
      <c r="D30" s="57">
        <f>D26+SUM(D28:D29)</f>
        <v>3850005.6</v>
      </c>
      <c r="E30" s="58" t="e">
        <f t="shared" si="0"/>
        <v>#REF!</v>
      </c>
    </row>
    <row r="36" spans="1:3" ht="15" thickBot="1">
      <c r="A36" s="61"/>
      <c r="B36" s="62" t="s">
        <v>160</v>
      </c>
      <c r="C36" s="62" t="s">
        <v>161</v>
      </c>
    </row>
    <row r="37" spans="1:3" ht="27" thickTop="1">
      <c r="A37" s="63" t="s">
        <v>225</v>
      </c>
      <c r="B37" s="38">
        <f>BSH!F47</f>
        <v>0</v>
      </c>
      <c r="C37" s="38">
        <f>BSH!G47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2" sqref="N2:N17"/>
    </sheetView>
  </sheetViews>
  <sheetFormatPr defaultColWidth="9.140625" defaultRowHeight="15"/>
  <cols>
    <col min="12" max="13" width="11.28125" style="0" bestFit="1" customWidth="1"/>
    <col min="14" max="14" width="10.57421875" style="0" bestFit="1" customWidth="1"/>
  </cols>
  <sheetData>
    <row r="1" spans="1:13" ht="14.25">
      <c r="A1" s="32" t="s">
        <v>168</v>
      </c>
      <c r="B1" s="32" t="s">
        <v>169</v>
      </c>
      <c r="C1" s="32" t="s">
        <v>170</v>
      </c>
      <c r="D1" s="32" t="s">
        <v>171</v>
      </c>
      <c r="E1" s="32" t="s">
        <v>172</v>
      </c>
      <c r="F1" s="32" t="s">
        <v>173</v>
      </c>
      <c r="G1" s="32" t="s">
        <v>174</v>
      </c>
      <c r="H1" s="32" t="s">
        <v>175</v>
      </c>
      <c r="I1" s="32" t="s">
        <v>176</v>
      </c>
      <c r="J1" s="32" t="s">
        <v>177</v>
      </c>
      <c r="K1" s="32" t="s">
        <v>178</v>
      </c>
      <c r="L1" s="32" t="s">
        <v>179</v>
      </c>
      <c r="M1" s="32" t="s">
        <v>180</v>
      </c>
    </row>
    <row r="2" spans="1:14" ht="14.25">
      <c r="A2" s="32"/>
      <c r="B2" s="32">
        <v>101</v>
      </c>
      <c r="C2" s="32" t="s">
        <v>181</v>
      </c>
      <c r="D2" s="32" t="s">
        <v>182</v>
      </c>
      <c r="E2" s="32">
        <v>0</v>
      </c>
      <c r="F2" s="33" t="s">
        <v>183</v>
      </c>
      <c r="G2" s="32"/>
      <c r="H2" s="32" t="s">
        <v>184</v>
      </c>
      <c r="I2" s="34">
        <v>0</v>
      </c>
      <c r="J2" s="34">
        <v>100000</v>
      </c>
      <c r="K2" s="32" t="s">
        <v>185</v>
      </c>
      <c r="L2" s="34">
        <v>100000</v>
      </c>
      <c r="M2" s="31">
        <v>-100000</v>
      </c>
      <c r="N2" s="27">
        <f>L2</f>
        <v>100000</v>
      </c>
    </row>
    <row r="3" spans="1:14" ht="14.25">
      <c r="A3" s="32"/>
      <c r="B3" s="32">
        <v>108</v>
      </c>
      <c r="C3" s="32" t="s">
        <v>186</v>
      </c>
      <c r="D3" s="32" t="s">
        <v>182</v>
      </c>
      <c r="E3" s="32">
        <v>0</v>
      </c>
      <c r="F3" s="33" t="s">
        <v>183</v>
      </c>
      <c r="G3" s="32"/>
      <c r="H3" s="32" t="s">
        <v>187</v>
      </c>
      <c r="I3" s="34">
        <v>866629.39</v>
      </c>
      <c r="J3" s="34">
        <v>0</v>
      </c>
      <c r="K3" s="32" t="s">
        <v>188</v>
      </c>
      <c r="L3" s="34">
        <v>-866629.39</v>
      </c>
      <c r="M3" s="31">
        <v>866629.39</v>
      </c>
      <c r="N3" s="27">
        <f aca="true" t="shared" si="0" ref="N3:N9">L3</f>
        <v>-866629.39</v>
      </c>
    </row>
    <row r="4" spans="1:14" ht="14.25">
      <c r="A4" s="32"/>
      <c r="B4" s="32" t="s">
        <v>189</v>
      </c>
      <c r="C4" s="32" t="s">
        <v>190</v>
      </c>
      <c r="D4" s="32" t="s">
        <v>182</v>
      </c>
      <c r="E4" s="32">
        <v>0</v>
      </c>
      <c r="F4" s="33" t="s">
        <v>191</v>
      </c>
      <c r="G4" s="32"/>
      <c r="H4" s="32"/>
      <c r="I4" s="34">
        <v>0</v>
      </c>
      <c r="J4" s="34">
        <v>0</v>
      </c>
      <c r="K4" s="32"/>
      <c r="L4" s="34">
        <v>-2195320.14</v>
      </c>
      <c r="M4" s="31">
        <v>2195320.14</v>
      </c>
      <c r="N4" s="27">
        <f t="shared" si="0"/>
        <v>-2195320.14</v>
      </c>
    </row>
    <row r="5" spans="1:14" ht="14.25">
      <c r="A5" s="32"/>
      <c r="B5" s="32">
        <v>421</v>
      </c>
      <c r="C5" s="32" t="s">
        <v>151</v>
      </c>
      <c r="D5" s="32" t="s">
        <v>182</v>
      </c>
      <c r="E5" s="32">
        <v>0</v>
      </c>
      <c r="F5" s="33" t="s">
        <v>192</v>
      </c>
      <c r="G5" s="32"/>
      <c r="H5" s="32" t="s">
        <v>193</v>
      </c>
      <c r="I5" s="34">
        <v>1088459</v>
      </c>
      <c r="J5" s="34">
        <v>1448459</v>
      </c>
      <c r="K5" s="32" t="s">
        <v>185</v>
      </c>
      <c r="L5" s="34">
        <v>360000</v>
      </c>
      <c r="M5" s="31">
        <v>-360000</v>
      </c>
      <c r="N5" s="27">
        <f t="shared" si="0"/>
        <v>360000</v>
      </c>
    </row>
    <row r="6" spans="1:14" ht="14.25">
      <c r="A6" s="32"/>
      <c r="B6" s="32">
        <v>431</v>
      </c>
      <c r="C6" s="32" t="s">
        <v>194</v>
      </c>
      <c r="D6" s="32" t="s">
        <v>182</v>
      </c>
      <c r="E6" s="32">
        <v>0</v>
      </c>
      <c r="F6" s="33" t="s">
        <v>192</v>
      </c>
      <c r="G6" s="32"/>
      <c r="H6" s="32" t="s">
        <v>195</v>
      </c>
      <c r="I6" s="34">
        <v>137855</v>
      </c>
      <c r="J6" s="34">
        <v>161319</v>
      </c>
      <c r="K6" s="32" t="s">
        <v>185</v>
      </c>
      <c r="L6" s="34">
        <v>23464</v>
      </c>
      <c r="M6" s="31">
        <v>-23464</v>
      </c>
      <c r="N6" s="27">
        <f t="shared" si="0"/>
        <v>23464</v>
      </c>
    </row>
    <row r="7" spans="1:14" ht="14.25">
      <c r="A7" s="32"/>
      <c r="B7" s="32">
        <v>466</v>
      </c>
      <c r="C7" s="32" t="s">
        <v>196</v>
      </c>
      <c r="D7" s="32" t="s">
        <v>182</v>
      </c>
      <c r="E7" s="32">
        <v>0</v>
      </c>
      <c r="F7" s="33" t="s">
        <v>183</v>
      </c>
      <c r="G7" s="32"/>
      <c r="H7" s="32" t="s">
        <v>197</v>
      </c>
      <c r="I7" s="34">
        <v>0</v>
      </c>
      <c r="J7" s="34">
        <v>871287</v>
      </c>
      <c r="K7" s="32" t="s">
        <v>185</v>
      </c>
      <c r="L7" s="34">
        <v>871287</v>
      </c>
      <c r="M7" s="31">
        <v>-871287</v>
      </c>
      <c r="N7" s="27">
        <f t="shared" si="0"/>
        <v>871287</v>
      </c>
    </row>
    <row r="8" spans="1:14" ht="14.25">
      <c r="A8" s="32"/>
      <c r="B8" s="32">
        <v>2182</v>
      </c>
      <c r="C8" s="32" t="s">
        <v>149</v>
      </c>
      <c r="D8" s="32" t="s">
        <v>38</v>
      </c>
      <c r="E8" s="32">
        <v>0</v>
      </c>
      <c r="F8" s="33" t="s">
        <v>198</v>
      </c>
      <c r="G8" s="32"/>
      <c r="H8" s="32" t="s">
        <v>199</v>
      </c>
      <c r="I8" s="34">
        <v>52758</v>
      </c>
      <c r="J8" s="34">
        <v>0</v>
      </c>
      <c r="K8" s="32" t="s">
        <v>188</v>
      </c>
      <c r="L8" s="34">
        <v>52758</v>
      </c>
      <c r="M8" s="31">
        <v>52758</v>
      </c>
      <c r="N8" s="27">
        <f t="shared" si="0"/>
        <v>52758</v>
      </c>
    </row>
    <row r="9" spans="1:14" ht="14.25">
      <c r="A9" s="32"/>
      <c r="B9" s="32">
        <v>232</v>
      </c>
      <c r="C9" s="32" t="s">
        <v>200</v>
      </c>
      <c r="D9" s="32" t="s">
        <v>38</v>
      </c>
      <c r="E9" s="32">
        <v>0</v>
      </c>
      <c r="F9" s="33" t="s">
        <v>201</v>
      </c>
      <c r="G9" s="32"/>
      <c r="H9" s="32" t="s">
        <v>202</v>
      </c>
      <c r="I9" s="34">
        <v>5184632</v>
      </c>
      <c r="J9" s="34">
        <v>0</v>
      </c>
      <c r="K9" s="32" t="s">
        <v>188</v>
      </c>
      <c r="L9" s="34">
        <v>5184632</v>
      </c>
      <c r="M9" s="31">
        <v>5184632</v>
      </c>
      <c r="N9" s="27">
        <f t="shared" si="0"/>
        <v>5184632</v>
      </c>
    </row>
    <row r="10" spans="1:14" ht="14.25">
      <c r="A10" s="32"/>
      <c r="B10" s="32">
        <v>401</v>
      </c>
      <c r="C10" s="32" t="s">
        <v>146</v>
      </c>
      <c r="D10" s="32" t="s">
        <v>38</v>
      </c>
      <c r="E10" s="32">
        <v>0</v>
      </c>
      <c r="F10" s="33" t="s">
        <v>192</v>
      </c>
      <c r="G10" s="32" t="s">
        <v>203</v>
      </c>
      <c r="H10" s="32" t="s">
        <v>204</v>
      </c>
      <c r="I10" s="34">
        <v>177600</v>
      </c>
      <c r="J10" s="34">
        <v>1860164</v>
      </c>
      <c r="K10" s="32" t="s">
        <v>185</v>
      </c>
      <c r="L10" s="34">
        <v>-2371614</v>
      </c>
      <c r="M10" s="31">
        <v>-2371614</v>
      </c>
      <c r="N10" s="27">
        <f>-L10</f>
        <v>2371614</v>
      </c>
    </row>
    <row r="11" spans="1:13" ht="14.25">
      <c r="A11" s="32"/>
      <c r="B11" s="32">
        <v>419</v>
      </c>
      <c r="C11" s="32" t="s">
        <v>205</v>
      </c>
      <c r="D11" s="32" t="s">
        <v>38</v>
      </c>
      <c r="E11" s="32">
        <v>0</v>
      </c>
      <c r="F11" s="33" t="s">
        <v>206</v>
      </c>
      <c r="G11" s="32"/>
      <c r="H11" s="32" t="s">
        <v>207</v>
      </c>
      <c r="I11" s="34">
        <v>15580000</v>
      </c>
      <c r="J11" s="34">
        <v>15580000</v>
      </c>
      <c r="K11" s="32" t="s">
        <v>185</v>
      </c>
      <c r="L11" s="34">
        <v>0</v>
      </c>
      <c r="M11" s="34">
        <v>0</v>
      </c>
    </row>
    <row r="12" spans="1:14" ht="14.25">
      <c r="A12" s="32"/>
      <c r="B12" s="32">
        <v>442</v>
      </c>
      <c r="C12" s="32" t="s">
        <v>208</v>
      </c>
      <c r="D12" s="32" t="s">
        <v>38</v>
      </c>
      <c r="E12" s="32">
        <v>0</v>
      </c>
      <c r="F12" s="33" t="s">
        <v>192</v>
      </c>
      <c r="G12" s="32"/>
      <c r="H12" s="32" t="s">
        <v>209</v>
      </c>
      <c r="I12" s="34">
        <v>140182</v>
      </c>
      <c r="J12" s="34">
        <v>152845</v>
      </c>
      <c r="K12" s="32" t="s">
        <v>185</v>
      </c>
      <c r="L12" s="34">
        <v>-12663</v>
      </c>
      <c r="M12" s="31">
        <v>-12663</v>
      </c>
      <c r="N12" s="27">
        <f>-L12</f>
        <v>12663</v>
      </c>
    </row>
    <row r="13" spans="1:14" ht="14.25">
      <c r="A13" s="32"/>
      <c r="B13" s="32">
        <v>444</v>
      </c>
      <c r="C13" s="32" t="s">
        <v>210</v>
      </c>
      <c r="D13" s="32" t="s">
        <v>38</v>
      </c>
      <c r="E13" s="32">
        <v>0</v>
      </c>
      <c r="F13" s="33" t="s">
        <v>183</v>
      </c>
      <c r="G13" s="32"/>
      <c r="H13" s="32" t="s">
        <v>211</v>
      </c>
      <c r="I13" s="34">
        <v>180000</v>
      </c>
      <c r="J13" s="34">
        <v>0</v>
      </c>
      <c r="K13" s="32" t="s">
        <v>188</v>
      </c>
      <c r="L13" s="34">
        <v>180000</v>
      </c>
      <c r="M13" s="31">
        <v>180000</v>
      </c>
      <c r="N13" s="27">
        <f>L13</f>
        <v>180000</v>
      </c>
    </row>
    <row r="14" spans="1:14" ht="14.25">
      <c r="A14" s="32"/>
      <c r="B14" s="32">
        <v>4456</v>
      </c>
      <c r="C14" s="32" t="s">
        <v>152</v>
      </c>
      <c r="D14" s="32" t="s">
        <v>38</v>
      </c>
      <c r="E14" s="32">
        <v>0</v>
      </c>
      <c r="F14" s="33" t="s">
        <v>201</v>
      </c>
      <c r="G14" s="32"/>
      <c r="H14" s="32" t="s">
        <v>212</v>
      </c>
      <c r="I14" s="34">
        <v>921035</v>
      </c>
      <c r="J14" s="34">
        <v>0</v>
      </c>
      <c r="K14" s="32" t="s">
        <v>188</v>
      </c>
      <c r="L14" s="34">
        <v>921035</v>
      </c>
      <c r="M14" s="31">
        <v>921035</v>
      </c>
      <c r="N14" s="27">
        <f>L14</f>
        <v>921035</v>
      </c>
    </row>
    <row r="15" spans="1:14" ht="14.25">
      <c r="A15" s="32"/>
      <c r="B15" s="32">
        <v>455</v>
      </c>
      <c r="C15" s="32" t="s">
        <v>153</v>
      </c>
      <c r="D15" s="32" t="s">
        <v>38</v>
      </c>
      <c r="E15" s="32">
        <v>0</v>
      </c>
      <c r="F15" s="33" t="s">
        <v>213</v>
      </c>
      <c r="G15" s="32" t="s">
        <v>203</v>
      </c>
      <c r="H15" s="32" t="s">
        <v>214</v>
      </c>
      <c r="I15" s="34">
        <v>10040000</v>
      </c>
      <c r="J15" s="34">
        <v>17066780</v>
      </c>
      <c r="K15" s="32" t="s">
        <v>185</v>
      </c>
      <c r="L15" s="34">
        <v>-5698180</v>
      </c>
      <c r="M15" s="34">
        <v>-5698180</v>
      </c>
      <c r="N15" s="27">
        <f>-L15</f>
        <v>5698180</v>
      </c>
    </row>
    <row r="16" spans="1:14" ht="14.25">
      <c r="A16" s="32"/>
      <c r="B16" s="32">
        <v>5121</v>
      </c>
      <c r="C16" s="32" t="s">
        <v>154</v>
      </c>
      <c r="D16" s="32" t="s">
        <v>38</v>
      </c>
      <c r="E16" s="32">
        <v>0</v>
      </c>
      <c r="F16" s="33" t="s">
        <v>192</v>
      </c>
      <c r="G16" s="32"/>
      <c r="H16" s="32" t="s">
        <v>215</v>
      </c>
      <c r="I16" s="34">
        <v>22987089.81</v>
      </c>
      <c r="J16" s="34">
        <v>22982734.07</v>
      </c>
      <c r="K16" s="32" t="s">
        <v>185</v>
      </c>
      <c r="L16" s="34">
        <v>4355.73999999907</v>
      </c>
      <c r="M16" s="34">
        <v>4355.73999999907</v>
      </c>
      <c r="N16" s="27">
        <f>L16</f>
        <v>4355.73999999907</v>
      </c>
    </row>
    <row r="17" spans="2:14" ht="14.25">
      <c r="B17" s="32">
        <v>5122</v>
      </c>
      <c r="C17" s="32" t="s">
        <v>155</v>
      </c>
      <c r="D17" s="32" t="s">
        <v>38</v>
      </c>
      <c r="E17" s="32">
        <v>0</v>
      </c>
      <c r="F17" s="33" t="s">
        <v>216</v>
      </c>
      <c r="G17" s="32" t="s">
        <v>203</v>
      </c>
      <c r="H17" s="32" t="s">
        <v>217</v>
      </c>
      <c r="I17" s="34">
        <v>5507676.53</v>
      </c>
      <c r="J17" s="34">
        <v>67600</v>
      </c>
      <c r="K17" s="32" t="s">
        <v>185</v>
      </c>
      <c r="L17" s="34">
        <v>32477.7300000002</v>
      </c>
      <c r="M17" s="34">
        <v>32477.7300000002</v>
      </c>
      <c r="N17" s="27">
        <f>L17</f>
        <v>32477.7300000002</v>
      </c>
    </row>
    <row r="18" spans="2:13" ht="14.25">
      <c r="B18" s="32">
        <v>5312</v>
      </c>
      <c r="C18" s="32" t="s">
        <v>218</v>
      </c>
      <c r="D18" s="32" t="s">
        <v>38</v>
      </c>
      <c r="E18" s="32">
        <v>0</v>
      </c>
      <c r="F18" s="33" t="s">
        <v>219</v>
      </c>
      <c r="G18" s="32" t="s">
        <v>203</v>
      </c>
      <c r="H18" s="32" t="s">
        <v>220</v>
      </c>
      <c r="I18" s="34">
        <v>2200</v>
      </c>
      <c r="J18" s="34">
        <v>2200</v>
      </c>
      <c r="K18" s="32" t="s">
        <v>185</v>
      </c>
      <c r="L18" s="34">
        <v>0</v>
      </c>
      <c r="M18" s="34">
        <v>0</v>
      </c>
    </row>
    <row r="19" spans="2:13" ht="14.25">
      <c r="B19" s="32">
        <v>581</v>
      </c>
      <c r="C19" s="32" t="s">
        <v>221</v>
      </c>
      <c r="D19" s="32" t="s">
        <v>38</v>
      </c>
      <c r="E19" s="32">
        <v>0</v>
      </c>
      <c r="F19" s="33" t="s">
        <v>206</v>
      </c>
      <c r="G19" s="32"/>
      <c r="H19" s="32" t="s">
        <v>222</v>
      </c>
      <c r="I19" s="34">
        <v>5480000</v>
      </c>
      <c r="J19" s="34">
        <v>5480000</v>
      </c>
      <c r="K19" s="32" t="s">
        <v>185</v>
      </c>
      <c r="L19" s="34">
        <v>0</v>
      </c>
      <c r="M19" s="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J62"/>
  <sheetViews>
    <sheetView zoomScalePageLayoutView="0" workbookViewId="0" topLeftCell="A39">
      <selection activeCell="F61" sqref="F61"/>
    </sheetView>
  </sheetViews>
  <sheetFormatPr defaultColWidth="9.140625" defaultRowHeight="15"/>
  <cols>
    <col min="1" max="1" width="40.421875" style="0" bestFit="1" customWidth="1"/>
    <col min="2" max="3" width="11.28125" style="0" bestFit="1" customWidth="1"/>
    <col min="9" max="9" width="43.8515625" style="0" customWidth="1"/>
    <col min="10" max="10" width="11.28125" style="0" bestFit="1" customWidth="1"/>
  </cols>
  <sheetData>
    <row r="4" spans="1:3" ht="14.25">
      <c r="A4" s="64" t="s">
        <v>94</v>
      </c>
      <c r="B4" s="70" t="s">
        <v>160</v>
      </c>
      <c r="C4" s="70" t="s">
        <v>161</v>
      </c>
    </row>
    <row r="5" spans="1:3" ht="14.25">
      <c r="A5" s="65" t="s">
        <v>237</v>
      </c>
      <c r="B5" s="68">
        <v>29000</v>
      </c>
      <c r="C5" s="68">
        <v>5000</v>
      </c>
    </row>
    <row r="6" spans="1:3" ht="14.25">
      <c r="A6" s="65" t="s">
        <v>238</v>
      </c>
      <c r="B6" s="66">
        <v>2500</v>
      </c>
      <c r="C6" s="66">
        <v>2500</v>
      </c>
    </row>
    <row r="7" spans="1:3" ht="14.25">
      <c r="A7" s="65" t="s">
        <v>239</v>
      </c>
      <c r="B7" s="66">
        <v>0</v>
      </c>
      <c r="C7" s="66">
        <v>694050</v>
      </c>
    </row>
    <row r="8" spans="1:3" ht="14.25">
      <c r="A8" s="65" t="s">
        <v>240</v>
      </c>
      <c r="B8" s="66">
        <v>650</v>
      </c>
      <c r="C8" s="66">
        <v>650</v>
      </c>
    </row>
    <row r="9" spans="1:3" ht="14.25">
      <c r="A9" s="65" t="s">
        <v>241</v>
      </c>
      <c r="B9" s="66">
        <v>4400</v>
      </c>
      <c r="C9" s="66">
        <v>2000</v>
      </c>
    </row>
    <row r="10" spans="1:3" ht="14.25">
      <c r="A10" s="65" t="s">
        <v>242</v>
      </c>
      <c r="B10" s="66">
        <v>202400</v>
      </c>
      <c r="C10" s="66">
        <v>168310</v>
      </c>
    </row>
    <row r="11" spans="1:3" ht="14.25">
      <c r="A11" s="65" t="s">
        <v>243</v>
      </c>
      <c r="B11" s="66">
        <v>52822992.2</v>
      </c>
      <c r="C11" s="66">
        <v>1491498</v>
      </c>
    </row>
    <row r="12" spans="1:3" ht="14.25">
      <c r="A12" s="65" t="s">
        <v>244</v>
      </c>
      <c r="B12" s="66">
        <v>5016690</v>
      </c>
      <c r="C12" s="66">
        <v>7606</v>
      </c>
    </row>
    <row r="13" spans="1:3" ht="14.25">
      <c r="A13" s="65" t="s">
        <v>245</v>
      </c>
      <c r="B13" s="66">
        <v>2000</v>
      </c>
      <c r="C13" s="66"/>
    </row>
    <row r="14" spans="1:3" ht="14.25">
      <c r="A14" s="65" t="s">
        <v>246</v>
      </c>
      <c r="B14" s="66">
        <v>71784.63</v>
      </c>
      <c r="C14" s="66"/>
    </row>
    <row r="15" spans="1:3" ht="14.25">
      <c r="A15" s="65" t="s">
        <v>247</v>
      </c>
      <c r="B15" s="66">
        <v>6835.58</v>
      </c>
      <c r="C15" s="66"/>
    </row>
    <row r="16" spans="1:3" ht="14.25">
      <c r="A16" s="65" t="s">
        <v>248</v>
      </c>
      <c r="B16" s="66">
        <v>60312</v>
      </c>
      <c r="C16" s="66"/>
    </row>
    <row r="17" spans="1:3" ht="14.25">
      <c r="A17" s="65" t="s">
        <v>249</v>
      </c>
      <c r="B17" s="66">
        <v>24000</v>
      </c>
      <c r="C17" s="66"/>
    </row>
    <row r="18" spans="1:3" ht="14.25">
      <c r="A18" s="65" t="s">
        <v>250</v>
      </c>
      <c r="B18" s="66">
        <v>3800</v>
      </c>
      <c r="C18" s="66"/>
    </row>
    <row r="19" spans="1:3" ht="14.25">
      <c r="A19" s="69" t="s">
        <v>251</v>
      </c>
      <c r="B19" s="67">
        <f>SUM(B5:B18)</f>
        <v>58247364.410000004</v>
      </c>
      <c r="C19" s="67">
        <f>SUM(C5:C18)</f>
        <v>2371614</v>
      </c>
    </row>
    <row r="20" spans="2:3" ht="14.25">
      <c r="B20" s="34">
        <f>B19-BSH!F68</f>
        <v>30471253.366720006</v>
      </c>
      <c r="C20" s="27">
        <f>C19-BSH!G68</f>
        <v>-17631168</v>
      </c>
    </row>
    <row r="22" spans="1:3" ht="14.25">
      <c r="A22" s="71"/>
      <c r="B22" s="71"/>
      <c r="C22" s="71"/>
    </row>
    <row r="23" spans="1:3" ht="15" thickBot="1">
      <c r="A23" s="74"/>
      <c r="B23" s="72" t="s">
        <v>160</v>
      </c>
      <c r="C23" s="72" t="s">
        <v>161</v>
      </c>
    </row>
    <row r="24" spans="1:3" ht="15" thickTop="1">
      <c r="A24" s="75" t="s">
        <v>95</v>
      </c>
      <c r="B24" s="73">
        <f>BSH!F69</f>
        <v>0</v>
      </c>
      <c r="C24" s="73">
        <f>BSH!G69</f>
        <v>0</v>
      </c>
    </row>
    <row r="29" spans="1:3" ht="14.25">
      <c r="A29" s="76" t="s">
        <v>106</v>
      </c>
      <c r="B29" s="77" t="s">
        <v>160</v>
      </c>
      <c r="C29" s="77" t="s">
        <v>161</v>
      </c>
    </row>
    <row r="30" spans="1:3" ht="14.25">
      <c r="A30" s="30" t="s">
        <v>252</v>
      </c>
      <c r="B30" s="47" t="e">
        <f>BSH!#REF!</f>
        <v>#REF!</v>
      </c>
      <c r="C30" s="47" t="e">
        <f>BSH!#REF!</f>
        <v>#REF!</v>
      </c>
    </row>
    <row r="31" spans="1:3" ht="15" thickBot="1">
      <c r="A31" s="43" t="s">
        <v>254</v>
      </c>
      <c r="B31" s="44" t="e">
        <f>BSH!#REF!+BSH!#REF!</f>
        <v>#REF!</v>
      </c>
      <c r="C31" s="44" t="e">
        <f>BSH!#REF!+BSH!#REF!</f>
        <v>#REF!</v>
      </c>
    </row>
    <row r="32" spans="1:3" ht="18.75" customHeight="1" thickTop="1">
      <c r="A32" s="46" t="s">
        <v>253</v>
      </c>
      <c r="B32" s="39" t="e">
        <f>SUM(B30:B31)</f>
        <v>#REF!</v>
      </c>
      <c r="C32" s="39" t="e">
        <f>SUM(C30:C31)</f>
        <v>#REF!</v>
      </c>
    </row>
    <row r="38" spans="1:3" ht="14.25">
      <c r="A38" s="76" t="s">
        <v>263</v>
      </c>
      <c r="B38" s="77" t="s">
        <v>160</v>
      </c>
      <c r="C38" s="77" t="s">
        <v>161</v>
      </c>
    </row>
    <row r="39" spans="1:3" s="32" customFormat="1" ht="14.25">
      <c r="A39" s="32" t="s">
        <v>157</v>
      </c>
      <c r="B39" s="81">
        <f>PL!E47</f>
        <v>4363</v>
      </c>
      <c r="C39" s="81">
        <v>0</v>
      </c>
    </row>
    <row r="40" spans="1:3" s="32" customFormat="1" ht="15" thickBot="1">
      <c r="A40" s="43" t="s">
        <v>156</v>
      </c>
      <c r="B40" s="44" t="e">
        <f>PL!E49+PL!#REF!</f>
        <v>#REF!</v>
      </c>
      <c r="C40" s="44">
        <v>0</v>
      </c>
    </row>
    <row r="41" spans="1:3" s="32" customFormat="1" ht="15" thickTop="1">
      <c r="A41" s="79" t="s">
        <v>264</v>
      </c>
      <c r="B41" s="82" t="e">
        <f>SUM(B39:B40)</f>
        <v>#REF!</v>
      </c>
      <c r="C41" s="82">
        <f>SUM(C39:C40)</f>
        <v>0</v>
      </c>
    </row>
    <row r="42" spans="1:3" s="32" customFormat="1" ht="14.25">
      <c r="A42" s="79"/>
      <c r="B42" s="80"/>
      <c r="C42" s="80"/>
    </row>
    <row r="43" spans="1:3" s="32" customFormat="1" ht="14.25">
      <c r="A43" s="76" t="s">
        <v>265</v>
      </c>
      <c r="B43" s="77"/>
      <c r="C43" s="77"/>
    </row>
    <row r="44" spans="1:10" ht="14.25">
      <c r="A44" s="41" t="s">
        <v>255</v>
      </c>
      <c r="B44" s="78">
        <f>-PL!E57</f>
        <v>12966.67</v>
      </c>
      <c r="C44" s="78">
        <v>2000</v>
      </c>
      <c r="I44" s="32"/>
      <c r="J44" s="34"/>
    </row>
    <row r="45" spans="1:10" ht="14.25">
      <c r="A45" s="41" t="s">
        <v>256</v>
      </c>
      <c r="B45" s="78" t="e">
        <f>-PL!#REF!</f>
        <v>#REF!</v>
      </c>
      <c r="C45" s="78">
        <v>309859</v>
      </c>
      <c r="I45" s="32"/>
      <c r="J45" s="34"/>
    </row>
    <row r="46" spans="1:10" s="32" customFormat="1" ht="14.25">
      <c r="A46" s="41" t="s">
        <v>267</v>
      </c>
      <c r="B46" s="78">
        <f>-PL!E58</f>
        <v>1309622.94</v>
      </c>
      <c r="C46" s="78"/>
      <c r="J46" s="34"/>
    </row>
    <row r="47" spans="1:10" ht="14.25">
      <c r="A47" s="41" t="s">
        <v>257</v>
      </c>
      <c r="B47" s="78" t="e">
        <f>-PL!#REF!</f>
        <v>#REF!</v>
      </c>
      <c r="C47" s="78">
        <v>73940</v>
      </c>
      <c r="I47" s="32"/>
      <c r="J47" s="34"/>
    </row>
    <row r="48" spans="1:10" ht="14.25">
      <c r="A48" s="41" t="s">
        <v>258</v>
      </c>
      <c r="B48" s="78">
        <f>-PL!E68</f>
        <v>4806913</v>
      </c>
      <c r="C48" s="78">
        <v>1448459</v>
      </c>
      <c r="I48" s="32"/>
      <c r="J48" s="34"/>
    </row>
    <row r="49" spans="1:10" ht="14.25">
      <c r="A49" s="41" t="s">
        <v>259</v>
      </c>
      <c r="B49" s="78">
        <f>-PL!E69</f>
        <v>747725</v>
      </c>
      <c r="C49" s="78">
        <v>96562</v>
      </c>
      <c r="I49" s="32"/>
      <c r="J49" s="34"/>
    </row>
    <row r="50" spans="1:10" ht="14.25">
      <c r="A50" s="41" t="s">
        <v>260</v>
      </c>
      <c r="B50" s="78"/>
      <c r="C50" s="78">
        <v>87500</v>
      </c>
      <c r="I50" s="32"/>
      <c r="J50" s="34"/>
    </row>
    <row r="51" spans="1:10" ht="14.25">
      <c r="A51" s="41" t="s">
        <v>261</v>
      </c>
      <c r="B51" s="78"/>
      <c r="C51" s="78">
        <v>60693</v>
      </c>
      <c r="I51" s="32"/>
      <c r="J51" s="34"/>
    </row>
    <row r="52" spans="1:10" s="32" customFormat="1" ht="14.25">
      <c r="A52" s="41" t="s">
        <v>271</v>
      </c>
      <c r="B52" s="78">
        <f>-PL!E75-PL!E65</f>
        <v>71374.86</v>
      </c>
      <c r="C52" s="78"/>
      <c r="J52" s="34"/>
    </row>
    <row r="53" spans="1:10" s="32" customFormat="1" ht="14.25">
      <c r="A53" s="41" t="s">
        <v>231</v>
      </c>
      <c r="B53" s="78">
        <f>-PL!E81-PL!E82</f>
        <v>1632676</v>
      </c>
      <c r="C53" s="78"/>
      <c r="J53" s="34"/>
    </row>
    <row r="54" spans="1:10" s="32" customFormat="1" ht="14.25">
      <c r="A54" s="41" t="s">
        <v>268</v>
      </c>
      <c r="B54" s="78">
        <f>-PL!E63</f>
        <v>127550.33</v>
      </c>
      <c r="C54" s="78"/>
      <c r="J54" s="34"/>
    </row>
    <row r="55" spans="1:10" s="32" customFormat="1" ht="14.25">
      <c r="A55" s="41" t="s">
        <v>269</v>
      </c>
      <c r="B55" s="78">
        <f>-PL!E64</f>
        <v>179462</v>
      </c>
      <c r="C55" s="78"/>
      <c r="J55" s="34"/>
    </row>
    <row r="56" spans="1:10" s="32" customFormat="1" ht="14.25">
      <c r="A56" s="41" t="s">
        <v>270</v>
      </c>
      <c r="B56" s="78" t="e">
        <f>-PL!#REF!</f>
        <v>#REF!</v>
      </c>
      <c r="C56" s="78"/>
      <c r="J56" s="34"/>
    </row>
    <row r="57" spans="1:10" s="32" customFormat="1" ht="14.25">
      <c r="A57" s="41" t="s">
        <v>158</v>
      </c>
      <c r="B57" s="78">
        <f>-PL!E74</f>
        <v>904382.46</v>
      </c>
      <c r="C57" s="78"/>
      <c r="J57" s="34"/>
    </row>
    <row r="58" spans="1:10" ht="15" thickBot="1">
      <c r="A58" s="43" t="s">
        <v>262</v>
      </c>
      <c r="B58" s="44"/>
      <c r="C58" s="44">
        <v>116307</v>
      </c>
      <c r="I58" s="32"/>
      <c r="J58" s="34"/>
    </row>
    <row r="59" spans="1:10" ht="15" thickTop="1">
      <c r="A59" s="46" t="s">
        <v>266</v>
      </c>
      <c r="B59" s="39" t="e">
        <f>SUM(B44:B58)</f>
        <v>#REF!</v>
      </c>
      <c r="C59" s="39">
        <f>SUM(C44:C58)</f>
        <v>2195320</v>
      </c>
      <c r="I59" s="32"/>
      <c r="J59" s="34"/>
    </row>
    <row r="60" spans="1:3" ht="15" thickBot="1">
      <c r="A60" s="83"/>
      <c r="B60" s="83"/>
      <c r="C60" s="83"/>
    </row>
    <row r="61" spans="1:3" ht="15" thickTop="1">
      <c r="A61" s="36" t="s">
        <v>122</v>
      </c>
      <c r="B61" s="84" t="e">
        <f>B41-B59</f>
        <v>#REF!</v>
      </c>
      <c r="C61" s="84">
        <f>C41-C59</f>
        <v>-2195320</v>
      </c>
    </row>
    <row r="62" spans="2:3" ht="14.25">
      <c r="B62" s="27" t="e">
        <f>B61-BSH!F98</f>
        <v>#REF!</v>
      </c>
      <c r="C62" s="27">
        <f>C61-BSH!G98</f>
        <v>-1635610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6">
      <selection activeCell="I38" sqref="I38"/>
    </sheetView>
  </sheetViews>
  <sheetFormatPr defaultColWidth="9.140625" defaultRowHeight="15"/>
  <cols>
    <col min="12" max="13" width="11.28125" style="0" bestFit="1" customWidth="1"/>
  </cols>
  <sheetData>
    <row r="1" spans="1:13" ht="14.25">
      <c r="A1" s="183" t="s">
        <v>168</v>
      </c>
      <c r="B1" s="183" t="s">
        <v>169</v>
      </c>
      <c r="C1" s="183" t="s">
        <v>170</v>
      </c>
      <c r="D1" s="183" t="s">
        <v>171</v>
      </c>
      <c r="E1" s="183" t="s">
        <v>172</v>
      </c>
      <c r="F1" s="183" t="s">
        <v>173</v>
      </c>
      <c r="G1" s="183" t="s">
        <v>174</v>
      </c>
      <c r="H1" s="183" t="s">
        <v>175</v>
      </c>
      <c r="I1" s="183" t="s">
        <v>176</v>
      </c>
      <c r="J1" s="183" t="s">
        <v>177</v>
      </c>
      <c r="K1" s="183" t="s">
        <v>178</v>
      </c>
      <c r="L1" s="185" t="s">
        <v>179</v>
      </c>
      <c r="M1" s="185" t="s">
        <v>180</v>
      </c>
    </row>
    <row r="2" spans="1:13" ht="14.25">
      <c r="A2" s="183"/>
      <c r="B2" s="183">
        <v>101</v>
      </c>
      <c r="C2" s="183" t="s">
        <v>181</v>
      </c>
      <c r="D2" s="183" t="s">
        <v>182</v>
      </c>
      <c r="E2" s="183">
        <v>0</v>
      </c>
      <c r="F2" s="184" t="s">
        <v>322</v>
      </c>
      <c r="G2" s="183"/>
      <c r="H2" s="183" t="s">
        <v>184</v>
      </c>
      <c r="I2" s="183">
        <v>0</v>
      </c>
      <c r="J2" s="183">
        <v>4534686</v>
      </c>
      <c r="K2" s="183" t="s">
        <v>185</v>
      </c>
      <c r="L2" s="185">
        <v>4534686</v>
      </c>
      <c r="M2" s="185">
        <v>-4534686</v>
      </c>
    </row>
    <row r="3" spans="1:14" ht="14.25">
      <c r="A3" s="183"/>
      <c r="B3" s="183">
        <v>109</v>
      </c>
      <c r="C3" s="183" t="s">
        <v>323</v>
      </c>
      <c r="D3" s="183" t="s">
        <v>182</v>
      </c>
      <c r="E3" s="183">
        <v>0</v>
      </c>
      <c r="F3" s="184" t="s">
        <v>324</v>
      </c>
      <c r="G3" s="183"/>
      <c r="H3" s="183" t="s">
        <v>325</v>
      </c>
      <c r="I3" s="183">
        <v>559709.62</v>
      </c>
      <c r="J3" s="183">
        <v>0</v>
      </c>
      <c r="K3" s="183" t="s">
        <v>188</v>
      </c>
      <c r="L3" s="185">
        <v>-559709.62</v>
      </c>
      <c r="M3" s="185">
        <v>559709.62</v>
      </c>
      <c r="N3" s="187"/>
    </row>
    <row r="4" spans="1:14" ht="14.25">
      <c r="A4" s="183"/>
      <c r="B4" s="183" t="s">
        <v>189</v>
      </c>
      <c r="C4" s="183" t="s">
        <v>190</v>
      </c>
      <c r="D4" s="183" t="s">
        <v>182</v>
      </c>
      <c r="E4" s="183">
        <v>0</v>
      </c>
      <c r="F4" s="184" t="s">
        <v>326</v>
      </c>
      <c r="G4" s="183"/>
      <c r="H4" s="183"/>
      <c r="I4" s="183">
        <v>0</v>
      </c>
      <c r="J4" s="183">
        <v>0</v>
      </c>
      <c r="K4" s="183"/>
      <c r="L4" s="185">
        <v>-6717164.05500002</v>
      </c>
      <c r="M4" s="185">
        <v>6717164.05500002</v>
      </c>
      <c r="N4" s="187"/>
    </row>
    <row r="5" spans="1:14" ht="14.25">
      <c r="A5" s="183"/>
      <c r="B5" s="183">
        <v>2813</v>
      </c>
      <c r="C5" s="183" t="s">
        <v>327</v>
      </c>
      <c r="D5" s="183" t="s">
        <v>182</v>
      </c>
      <c r="E5" s="183">
        <v>0</v>
      </c>
      <c r="F5" s="184" t="s">
        <v>328</v>
      </c>
      <c r="G5" s="183"/>
      <c r="H5" s="183" t="s">
        <v>329</v>
      </c>
      <c r="I5" s="183">
        <v>0</v>
      </c>
      <c r="J5" s="183">
        <v>3336610</v>
      </c>
      <c r="K5" s="183" t="s">
        <v>185</v>
      </c>
      <c r="L5" s="185">
        <v>3336610</v>
      </c>
      <c r="M5" s="185">
        <v>-3336610</v>
      </c>
      <c r="N5" s="187"/>
    </row>
    <row r="6" spans="1:14" ht="14.25">
      <c r="A6" s="183"/>
      <c r="B6" s="183">
        <v>28181</v>
      </c>
      <c r="C6" s="183" t="s">
        <v>330</v>
      </c>
      <c r="D6" s="183" t="s">
        <v>182</v>
      </c>
      <c r="E6" s="183">
        <v>0</v>
      </c>
      <c r="F6" s="184" t="s">
        <v>328</v>
      </c>
      <c r="G6" s="183"/>
      <c r="H6" s="183" t="s">
        <v>331</v>
      </c>
      <c r="I6" s="183">
        <v>0</v>
      </c>
      <c r="J6" s="183">
        <v>385784</v>
      </c>
      <c r="K6" s="183" t="s">
        <v>185</v>
      </c>
      <c r="L6" s="185">
        <v>385784</v>
      </c>
      <c r="M6" s="185">
        <v>-385784</v>
      </c>
      <c r="N6" s="187"/>
    </row>
    <row r="7" spans="1:14" ht="14.25">
      <c r="A7" s="183"/>
      <c r="B7" s="183">
        <v>28182</v>
      </c>
      <c r="C7" s="183" t="s">
        <v>150</v>
      </c>
      <c r="D7" s="183" t="s">
        <v>182</v>
      </c>
      <c r="E7" s="183">
        <v>0</v>
      </c>
      <c r="F7" s="184" t="s">
        <v>328</v>
      </c>
      <c r="G7" s="183"/>
      <c r="H7" s="183" t="s">
        <v>332</v>
      </c>
      <c r="I7" s="183">
        <v>0</v>
      </c>
      <c r="J7" s="183">
        <v>220167</v>
      </c>
      <c r="K7" s="183" t="s">
        <v>185</v>
      </c>
      <c r="L7" s="185">
        <v>220167</v>
      </c>
      <c r="M7" s="185">
        <v>-220167</v>
      </c>
      <c r="N7" s="187"/>
    </row>
    <row r="8" spans="1:14" ht="14.25">
      <c r="A8" s="183"/>
      <c r="B8" s="183">
        <v>28183</v>
      </c>
      <c r="C8" s="183" t="s">
        <v>274</v>
      </c>
      <c r="D8" s="183" t="s">
        <v>182</v>
      </c>
      <c r="E8" s="183">
        <v>0</v>
      </c>
      <c r="F8" s="184" t="s">
        <v>328</v>
      </c>
      <c r="G8" s="183"/>
      <c r="H8" s="183" t="s">
        <v>333</v>
      </c>
      <c r="I8" s="183">
        <v>0</v>
      </c>
      <c r="J8" s="183">
        <v>1265562</v>
      </c>
      <c r="K8" s="183" t="s">
        <v>185</v>
      </c>
      <c r="L8" s="185">
        <v>1265562</v>
      </c>
      <c r="M8" s="185">
        <v>-1265562</v>
      </c>
      <c r="N8" s="187"/>
    </row>
    <row r="9" spans="1:14" ht="14.25">
      <c r="A9" s="183"/>
      <c r="B9" s="183">
        <v>401</v>
      </c>
      <c r="C9" s="183" t="s">
        <v>146</v>
      </c>
      <c r="D9" s="183" t="s">
        <v>182</v>
      </c>
      <c r="E9" s="183">
        <v>0</v>
      </c>
      <c r="F9" s="184" t="s">
        <v>328</v>
      </c>
      <c r="G9" s="183" t="s">
        <v>203</v>
      </c>
      <c r="H9" s="183" t="s">
        <v>204</v>
      </c>
      <c r="I9" s="183">
        <v>36125864.03</v>
      </c>
      <c r="J9" s="183">
        <v>49468988.73328</v>
      </c>
      <c r="K9" s="183" t="s">
        <v>185</v>
      </c>
      <c r="L9" s="185">
        <v>14945280.54328</v>
      </c>
      <c r="M9" s="185">
        <v>-14945280.54328</v>
      </c>
      <c r="N9" s="187"/>
    </row>
    <row r="10" spans="1:14" ht="14.25">
      <c r="A10" s="183"/>
      <c r="B10" s="183">
        <v>408</v>
      </c>
      <c r="C10" s="183" t="s">
        <v>275</v>
      </c>
      <c r="D10" s="183" t="s">
        <v>182</v>
      </c>
      <c r="E10" s="183">
        <v>0</v>
      </c>
      <c r="F10" s="184" t="s">
        <v>328</v>
      </c>
      <c r="G10" s="183"/>
      <c r="H10" s="183" t="s">
        <v>334</v>
      </c>
      <c r="I10" s="183">
        <v>15754470.35</v>
      </c>
      <c r="J10" s="183">
        <v>28585297.85</v>
      </c>
      <c r="K10" s="183" t="s">
        <v>185</v>
      </c>
      <c r="L10" s="185">
        <v>12830827.5</v>
      </c>
      <c r="M10" s="185">
        <v>-12830827.5</v>
      </c>
      <c r="N10" s="187"/>
    </row>
    <row r="11" spans="1:14" ht="14.25">
      <c r="A11" s="183"/>
      <c r="B11" s="183">
        <v>409</v>
      </c>
      <c r="C11" s="183" t="s">
        <v>335</v>
      </c>
      <c r="D11" s="183" t="s">
        <v>182</v>
      </c>
      <c r="E11" s="183">
        <v>0</v>
      </c>
      <c r="F11" s="184" t="s">
        <v>336</v>
      </c>
      <c r="G11" s="183"/>
      <c r="H11" s="183" t="s">
        <v>337</v>
      </c>
      <c r="I11" s="183">
        <v>15000</v>
      </c>
      <c r="J11" s="183">
        <v>15000</v>
      </c>
      <c r="K11" s="183" t="s">
        <v>185</v>
      </c>
      <c r="L11" s="185">
        <v>0</v>
      </c>
      <c r="M11" s="185">
        <v>0</v>
      </c>
      <c r="N11" s="187"/>
    </row>
    <row r="12" spans="1:14" ht="14.25">
      <c r="A12" s="183"/>
      <c r="B12" s="183">
        <v>423</v>
      </c>
      <c r="C12" s="183" t="s">
        <v>338</v>
      </c>
      <c r="D12" s="183" t="s">
        <v>182</v>
      </c>
      <c r="E12" s="183">
        <v>0</v>
      </c>
      <c r="F12" s="184" t="s">
        <v>339</v>
      </c>
      <c r="G12" s="183"/>
      <c r="H12" s="183" t="s">
        <v>340</v>
      </c>
      <c r="I12" s="183">
        <v>30000</v>
      </c>
      <c r="J12" s="183">
        <v>30000</v>
      </c>
      <c r="K12" s="183" t="s">
        <v>185</v>
      </c>
      <c r="L12" s="185">
        <v>0</v>
      </c>
      <c r="M12" s="185">
        <v>0</v>
      </c>
      <c r="N12" s="187"/>
    </row>
    <row r="13" spans="1:14" ht="14.25">
      <c r="A13" s="183"/>
      <c r="B13" s="183">
        <v>431</v>
      </c>
      <c r="C13" s="183" t="s">
        <v>194</v>
      </c>
      <c r="D13" s="183" t="s">
        <v>182</v>
      </c>
      <c r="E13" s="183">
        <v>0</v>
      </c>
      <c r="F13" s="184" t="s">
        <v>328</v>
      </c>
      <c r="G13" s="183"/>
      <c r="H13" s="183" t="s">
        <v>195</v>
      </c>
      <c r="I13" s="183">
        <v>1222053</v>
      </c>
      <c r="J13" s="183">
        <v>1320339</v>
      </c>
      <c r="K13" s="183" t="s">
        <v>185</v>
      </c>
      <c r="L13" s="185">
        <v>98286</v>
      </c>
      <c r="M13" s="185">
        <v>-98286</v>
      </c>
      <c r="N13" s="187"/>
    </row>
    <row r="14" spans="1:14" ht="14.25">
      <c r="A14" s="183"/>
      <c r="B14" s="183">
        <v>442</v>
      </c>
      <c r="C14" s="183" t="s">
        <v>208</v>
      </c>
      <c r="D14" s="183" t="s">
        <v>182</v>
      </c>
      <c r="E14" s="183">
        <v>0</v>
      </c>
      <c r="F14" s="184" t="s">
        <v>328</v>
      </c>
      <c r="G14" s="183"/>
      <c r="H14" s="183" t="s">
        <v>209</v>
      </c>
      <c r="I14" s="183">
        <v>383299</v>
      </c>
      <c r="J14" s="183">
        <v>414589</v>
      </c>
      <c r="K14" s="183" t="s">
        <v>185</v>
      </c>
      <c r="L14" s="185">
        <v>31290</v>
      </c>
      <c r="M14" s="185">
        <v>-31290</v>
      </c>
      <c r="N14" s="187"/>
    </row>
    <row r="15" spans="1:14" ht="14.25">
      <c r="A15" s="183"/>
      <c r="B15" s="183">
        <v>4457</v>
      </c>
      <c r="C15" s="183" t="s">
        <v>277</v>
      </c>
      <c r="D15" s="183" t="s">
        <v>182</v>
      </c>
      <c r="E15" s="183">
        <v>0</v>
      </c>
      <c r="F15" s="184" t="s">
        <v>328</v>
      </c>
      <c r="G15" s="183"/>
      <c r="H15" s="183" t="s">
        <v>341</v>
      </c>
      <c r="I15" s="183">
        <v>0</v>
      </c>
      <c r="J15" s="183">
        <v>271288.131</v>
      </c>
      <c r="K15" s="183" t="s">
        <v>185</v>
      </c>
      <c r="L15" s="185">
        <v>271288.131</v>
      </c>
      <c r="M15" s="185">
        <v>-271288.131</v>
      </c>
      <c r="N15" s="187"/>
    </row>
    <row r="16" spans="1:14" ht="14.25">
      <c r="A16" s="183"/>
      <c r="B16" s="183">
        <v>455</v>
      </c>
      <c r="C16" s="183" t="s">
        <v>153</v>
      </c>
      <c r="D16" s="183" t="s">
        <v>182</v>
      </c>
      <c r="E16" s="183">
        <v>0</v>
      </c>
      <c r="F16" s="184" t="s">
        <v>322</v>
      </c>
      <c r="G16" s="183" t="s">
        <v>203</v>
      </c>
      <c r="H16" s="183" t="s">
        <v>214</v>
      </c>
      <c r="I16" s="183">
        <v>42196.8</v>
      </c>
      <c r="J16" s="183">
        <v>42096.8</v>
      </c>
      <c r="K16" s="183" t="s">
        <v>185</v>
      </c>
      <c r="L16" s="185">
        <v>-0.104000000283122</v>
      </c>
      <c r="M16" s="185">
        <v>0.104000000283122</v>
      </c>
      <c r="N16" s="187"/>
    </row>
    <row r="17" spans="2:17" ht="14.25">
      <c r="B17" s="183">
        <v>467</v>
      </c>
      <c r="C17" s="183" t="s">
        <v>318</v>
      </c>
      <c r="D17" s="183" t="s">
        <v>182</v>
      </c>
      <c r="E17" s="183">
        <v>0</v>
      </c>
      <c r="F17" s="184" t="s">
        <v>342</v>
      </c>
      <c r="G17" s="183"/>
      <c r="H17" s="183" t="s">
        <v>343</v>
      </c>
      <c r="I17" s="183">
        <v>29700</v>
      </c>
      <c r="J17" s="183">
        <v>20700</v>
      </c>
      <c r="K17" s="183" t="s">
        <v>185</v>
      </c>
      <c r="L17" s="185">
        <v>-9000</v>
      </c>
      <c r="M17" s="185">
        <v>9000</v>
      </c>
      <c r="N17" s="187"/>
      <c r="O17" s="183"/>
      <c r="P17" s="183"/>
      <c r="Q17" s="183"/>
    </row>
    <row r="18" spans="2:17" ht="14.25">
      <c r="B18" s="183">
        <v>468</v>
      </c>
      <c r="C18" s="183" t="s">
        <v>278</v>
      </c>
      <c r="D18" s="183" t="s">
        <v>182</v>
      </c>
      <c r="E18" s="183">
        <v>0</v>
      </c>
      <c r="F18" s="184" t="s">
        <v>328</v>
      </c>
      <c r="G18" s="183" t="s">
        <v>203</v>
      </c>
      <c r="H18" s="183" t="s">
        <v>344</v>
      </c>
      <c r="I18" s="183">
        <v>28559.77</v>
      </c>
      <c r="J18" s="183">
        <v>130000</v>
      </c>
      <c r="K18" s="183" t="s">
        <v>185</v>
      </c>
      <c r="L18" s="185">
        <v>14160041.7</v>
      </c>
      <c r="M18" s="185">
        <v>-14160041.7</v>
      </c>
      <c r="N18" s="187"/>
      <c r="O18" s="183"/>
      <c r="P18" s="183"/>
      <c r="Q18" s="183"/>
    </row>
    <row r="19" spans="2:17" ht="14.25">
      <c r="B19" s="183">
        <v>2131</v>
      </c>
      <c r="C19" s="183" t="s">
        <v>279</v>
      </c>
      <c r="D19" s="183" t="s">
        <v>38</v>
      </c>
      <c r="E19" s="183">
        <v>0</v>
      </c>
      <c r="F19" s="184" t="s">
        <v>345</v>
      </c>
      <c r="G19" s="183"/>
      <c r="H19" s="183" t="s">
        <v>346</v>
      </c>
      <c r="I19" s="183">
        <v>14335952.08</v>
      </c>
      <c r="J19" s="183">
        <v>0</v>
      </c>
      <c r="K19" s="183" t="s">
        <v>188</v>
      </c>
      <c r="L19" s="185">
        <v>14335952.08</v>
      </c>
      <c r="M19" s="185">
        <v>14335952.08</v>
      </c>
      <c r="N19" s="187"/>
      <c r="O19" s="183"/>
      <c r="P19" s="183"/>
      <c r="Q19" s="183"/>
    </row>
    <row r="20" spans="2:17" ht="14.25">
      <c r="B20" s="183">
        <v>2132</v>
      </c>
      <c r="C20" s="183" t="s">
        <v>347</v>
      </c>
      <c r="D20" s="183" t="s">
        <v>38</v>
      </c>
      <c r="E20" s="183">
        <v>0</v>
      </c>
      <c r="F20" s="184" t="s">
        <v>348</v>
      </c>
      <c r="G20" s="183"/>
      <c r="H20" s="183" t="s">
        <v>349</v>
      </c>
      <c r="I20" s="183">
        <v>3850005.6</v>
      </c>
      <c r="J20" s="183">
        <v>0</v>
      </c>
      <c r="K20" s="183" t="s">
        <v>188</v>
      </c>
      <c r="L20" s="185">
        <v>3850005.6</v>
      </c>
      <c r="M20" s="185">
        <v>3850005.6</v>
      </c>
      <c r="N20" s="187"/>
      <c r="O20" s="183"/>
      <c r="P20" s="183"/>
      <c r="Q20" s="183"/>
    </row>
    <row r="21" spans="2:17" ht="14.25">
      <c r="B21" s="183">
        <v>2181</v>
      </c>
      <c r="C21" s="183" t="s">
        <v>281</v>
      </c>
      <c r="D21" s="183" t="s">
        <v>38</v>
      </c>
      <c r="E21" s="183">
        <v>0</v>
      </c>
      <c r="F21" s="184" t="s">
        <v>350</v>
      </c>
      <c r="G21" s="183"/>
      <c r="H21" s="183" t="s">
        <v>351</v>
      </c>
      <c r="I21" s="183">
        <v>2121658.4</v>
      </c>
      <c r="J21" s="183">
        <v>0</v>
      </c>
      <c r="K21" s="183" t="s">
        <v>188</v>
      </c>
      <c r="L21" s="185">
        <v>2121658.4</v>
      </c>
      <c r="M21" s="185">
        <v>2121658.4</v>
      </c>
      <c r="N21" s="187"/>
      <c r="O21" s="183"/>
      <c r="P21" s="183"/>
      <c r="Q21" s="183"/>
    </row>
    <row r="22" spans="2:17" ht="14.25">
      <c r="B22" s="183">
        <v>2182</v>
      </c>
      <c r="C22" s="183" t="s">
        <v>149</v>
      </c>
      <c r="D22" s="183" t="s">
        <v>38</v>
      </c>
      <c r="E22" s="183">
        <v>0</v>
      </c>
      <c r="F22" s="184" t="s">
        <v>352</v>
      </c>
      <c r="G22" s="183"/>
      <c r="H22" s="183" t="s">
        <v>353</v>
      </c>
      <c r="I22" s="183">
        <v>979381.29</v>
      </c>
      <c r="J22" s="183">
        <v>0</v>
      </c>
      <c r="K22" s="183" t="s">
        <v>188</v>
      </c>
      <c r="L22" s="185">
        <v>979381.29</v>
      </c>
      <c r="M22" s="185">
        <v>979381.29</v>
      </c>
      <c r="N22" s="187"/>
      <c r="O22" s="183"/>
      <c r="P22" s="183"/>
      <c r="Q22" s="183"/>
    </row>
    <row r="23" spans="2:17" ht="14.25">
      <c r="B23" s="183">
        <v>2183</v>
      </c>
      <c r="C23" s="183" t="s">
        <v>274</v>
      </c>
      <c r="D23" s="183" t="s">
        <v>38</v>
      </c>
      <c r="E23" s="183">
        <v>0</v>
      </c>
      <c r="F23" s="184" t="s">
        <v>354</v>
      </c>
      <c r="G23" s="183"/>
      <c r="H23" s="183" t="s">
        <v>355</v>
      </c>
      <c r="I23" s="183">
        <v>7530011.22</v>
      </c>
      <c r="J23" s="183">
        <v>0</v>
      </c>
      <c r="K23" s="183" t="s">
        <v>188</v>
      </c>
      <c r="L23" s="185">
        <v>7530011.22</v>
      </c>
      <c r="M23" s="185">
        <v>7530011.22</v>
      </c>
      <c r="N23" s="187"/>
      <c r="O23" s="183"/>
      <c r="P23" s="183"/>
      <c r="Q23" s="183"/>
    </row>
    <row r="24" spans="2:17" ht="14.25">
      <c r="B24" s="183">
        <v>351</v>
      </c>
      <c r="C24" s="183" t="s">
        <v>356</v>
      </c>
      <c r="D24" s="183" t="s">
        <v>38</v>
      </c>
      <c r="E24" s="183">
        <v>0</v>
      </c>
      <c r="F24" s="184" t="s">
        <v>328</v>
      </c>
      <c r="G24" s="183"/>
      <c r="H24" s="183" t="s">
        <v>357</v>
      </c>
      <c r="I24" s="183">
        <v>38410315.305</v>
      </c>
      <c r="J24" s="183">
        <v>21234415.629</v>
      </c>
      <c r="K24" s="183" t="s">
        <v>185</v>
      </c>
      <c r="L24" s="185">
        <v>17175899.676</v>
      </c>
      <c r="M24" s="185">
        <v>17175899.676</v>
      </c>
      <c r="N24" s="187"/>
      <c r="O24" s="7"/>
      <c r="P24" s="183"/>
      <c r="Q24" s="186"/>
    </row>
    <row r="25" spans="2:17" ht="14.25">
      <c r="B25" s="183">
        <v>411</v>
      </c>
      <c r="C25" s="183" t="s">
        <v>319</v>
      </c>
      <c r="D25" s="183" t="s">
        <v>38</v>
      </c>
      <c r="E25" s="183">
        <v>0</v>
      </c>
      <c r="F25" s="184" t="s">
        <v>328</v>
      </c>
      <c r="G25" s="183" t="s">
        <v>203</v>
      </c>
      <c r="H25" s="183" t="s">
        <v>358</v>
      </c>
      <c r="I25" s="183">
        <v>29020689</v>
      </c>
      <c r="J25" s="183">
        <v>29021869.99</v>
      </c>
      <c r="K25" s="183" t="s">
        <v>185</v>
      </c>
      <c r="L25" s="185">
        <v>6718.6399999999</v>
      </c>
      <c r="M25" s="185">
        <v>6718.6399999999</v>
      </c>
      <c r="N25" s="187"/>
      <c r="O25" s="183"/>
      <c r="P25" s="183"/>
      <c r="Q25" s="186"/>
    </row>
    <row r="26" spans="2:17" ht="14.25">
      <c r="B26" s="183">
        <v>421</v>
      </c>
      <c r="C26" s="183" t="s">
        <v>151</v>
      </c>
      <c r="D26" s="183" t="s">
        <v>38</v>
      </c>
      <c r="E26" s="183">
        <v>0</v>
      </c>
      <c r="F26" s="184" t="s">
        <v>328</v>
      </c>
      <c r="G26" s="183"/>
      <c r="H26" s="183" t="s">
        <v>193</v>
      </c>
      <c r="I26" s="183">
        <v>4128492</v>
      </c>
      <c r="J26" s="183">
        <v>4128493</v>
      </c>
      <c r="K26" s="183" t="s">
        <v>185</v>
      </c>
      <c r="L26" s="185">
        <v>-1</v>
      </c>
      <c r="M26" s="185">
        <v>-1</v>
      </c>
      <c r="N26" s="187"/>
      <c r="O26" s="183"/>
      <c r="P26" s="183"/>
      <c r="Q26" s="183"/>
    </row>
    <row r="27" spans="2:17" ht="14.25">
      <c r="B27" s="183">
        <v>444</v>
      </c>
      <c r="C27" s="183" t="s">
        <v>210</v>
      </c>
      <c r="D27" s="183" t="s">
        <v>38</v>
      </c>
      <c r="E27" s="183">
        <v>0</v>
      </c>
      <c r="F27" s="184" t="s">
        <v>359</v>
      </c>
      <c r="G27" s="183"/>
      <c r="H27" s="183" t="s">
        <v>211</v>
      </c>
      <c r="I27" s="183">
        <v>20000</v>
      </c>
      <c r="J27" s="183">
        <v>0</v>
      </c>
      <c r="K27" s="183" t="s">
        <v>188</v>
      </c>
      <c r="L27" s="185">
        <v>20000</v>
      </c>
      <c r="M27" s="185">
        <v>20000</v>
      </c>
      <c r="N27" s="187"/>
      <c r="O27" s="183"/>
      <c r="P27" s="183"/>
      <c r="Q27" s="183"/>
    </row>
    <row r="28" spans="2:17" ht="14.25">
      <c r="B28" s="183">
        <v>4456</v>
      </c>
      <c r="C28" s="183" t="s">
        <v>152</v>
      </c>
      <c r="D28" s="183" t="s">
        <v>38</v>
      </c>
      <c r="E28" s="183">
        <v>0</v>
      </c>
      <c r="F28" s="184" t="s">
        <v>360</v>
      </c>
      <c r="G28" s="183"/>
      <c r="H28" s="183" t="s">
        <v>212</v>
      </c>
      <c r="I28" s="183">
        <v>959693.73328</v>
      </c>
      <c r="J28" s="183">
        <v>0</v>
      </c>
      <c r="K28" s="183" t="s">
        <v>188</v>
      </c>
      <c r="L28" s="185">
        <v>959693.73328</v>
      </c>
      <c r="M28" s="185">
        <v>959693.73328</v>
      </c>
      <c r="N28" s="187"/>
      <c r="O28" s="183"/>
      <c r="P28" s="183"/>
      <c r="Q28" s="183"/>
    </row>
    <row r="29" spans="2:17" ht="14.25">
      <c r="B29" s="183">
        <v>486</v>
      </c>
      <c r="C29" s="183" t="s">
        <v>361</v>
      </c>
      <c r="D29" s="183" t="s">
        <v>38</v>
      </c>
      <c r="E29" s="183">
        <v>0</v>
      </c>
      <c r="F29" s="184" t="s">
        <v>328</v>
      </c>
      <c r="G29" s="183"/>
      <c r="H29" s="183" t="s">
        <v>362</v>
      </c>
      <c r="I29" s="183">
        <v>376899</v>
      </c>
      <c r="J29" s="183">
        <v>376901</v>
      </c>
      <c r="K29" s="183" t="s">
        <v>185</v>
      </c>
      <c r="L29" s="185">
        <v>-2</v>
      </c>
      <c r="M29" s="185">
        <v>-2</v>
      </c>
      <c r="N29" s="187"/>
      <c r="O29" s="183"/>
      <c r="P29" s="183"/>
      <c r="Q29" s="183"/>
    </row>
    <row r="30" spans="2:17" ht="14.25">
      <c r="B30" s="183">
        <v>5121</v>
      </c>
      <c r="C30" s="183" t="s">
        <v>154</v>
      </c>
      <c r="D30" s="183" t="s">
        <v>38</v>
      </c>
      <c r="E30" s="183">
        <v>0</v>
      </c>
      <c r="F30" s="184" t="s">
        <v>328</v>
      </c>
      <c r="G30" s="183"/>
      <c r="H30" s="183" t="s">
        <v>363</v>
      </c>
      <c r="I30" s="183">
        <v>36048757.28</v>
      </c>
      <c r="J30" s="183">
        <v>36027501.13</v>
      </c>
      <c r="K30" s="183" t="s">
        <v>185</v>
      </c>
      <c r="L30" s="185">
        <v>21256.1500000004</v>
      </c>
      <c r="M30" s="185">
        <v>21256.1500000004</v>
      </c>
      <c r="N30" s="187"/>
      <c r="O30" s="183"/>
      <c r="P30" s="183"/>
      <c r="Q30" s="183"/>
    </row>
    <row r="31" spans="2:17" ht="14.25">
      <c r="B31" s="183">
        <v>5122</v>
      </c>
      <c r="C31" s="183" t="s">
        <v>155</v>
      </c>
      <c r="D31" s="183" t="s">
        <v>38</v>
      </c>
      <c r="E31" s="183">
        <v>0</v>
      </c>
      <c r="F31" s="184" t="s">
        <v>328</v>
      </c>
      <c r="G31" s="183" t="s">
        <v>203</v>
      </c>
      <c r="H31" s="183" t="s">
        <v>364</v>
      </c>
      <c r="I31" s="183">
        <v>192344.11</v>
      </c>
      <c r="J31" s="183">
        <v>212026.34</v>
      </c>
      <c r="K31" s="183" t="s">
        <v>185</v>
      </c>
      <c r="L31" s="185">
        <v>-2747442.4755</v>
      </c>
      <c r="M31" s="185">
        <v>-2747442.4755</v>
      </c>
      <c r="N31" s="187"/>
      <c r="O31" s="183"/>
      <c r="P31" s="183"/>
      <c r="Q31" s="183"/>
    </row>
    <row r="32" spans="2:17" ht="14.25">
      <c r="B32" s="183">
        <v>5311</v>
      </c>
      <c r="C32" s="183" t="s">
        <v>365</v>
      </c>
      <c r="D32" s="183" t="s">
        <v>38</v>
      </c>
      <c r="E32" s="183">
        <v>0</v>
      </c>
      <c r="F32" s="184" t="s">
        <v>328</v>
      </c>
      <c r="G32" s="183"/>
      <c r="H32" s="183" t="s">
        <v>366</v>
      </c>
      <c r="I32" s="183">
        <v>27145861</v>
      </c>
      <c r="J32" s="183">
        <v>26662552.05</v>
      </c>
      <c r="K32" s="183" t="s">
        <v>185</v>
      </c>
      <c r="L32" s="185">
        <v>483308.95</v>
      </c>
      <c r="M32" s="185">
        <v>483308.95</v>
      </c>
      <c r="N32" s="187"/>
      <c r="O32" s="183"/>
      <c r="P32" s="183"/>
      <c r="Q32" s="183"/>
    </row>
    <row r="33" spans="2:14" ht="14.25">
      <c r="B33" s="183">
        <v>5312</v>
      </c>
      <c r="C33" s="183" t="s">
        <v>218</v>
      </c>
      <c r="D33" s="183" t="s">
        <v>38</v>
      </c>
      <c r="E33" s="183">
        <v>0</v>
      </c>
      <c r="F33" s="184" t="s">
        <v>328</v>
      </c>
      <c r="G33" s="183" t="s">
        <v>203</v>
      </c>
      <c r="H33" s="183" t="s">
        <v>367</v>
      </c>
      <c r="I33" s="183">
        <v>17736.7</v>
      </c>
      <c r="J33" s="183">
        <v>17685.5</v>
      </c>
      <c r="K33" s="183" t="s">
        <v>185</v>
      </c>
      <c r="L33" s="185">
        <v>7147.00999999999</v>
      </c>
      <c r="M33" s="185">
        <v>7147.00999999999</v>
      </c>
      <c r="N33" s="187"/>
    </row>
    <row r="34" spans="2:14" ht="14.25">
      <c r="B34" s="183">
        <v>581</v>
      </c>
      <c r="C34" s="183" t="s">
        <v>221</v>
      </c>
      <c r="D34" s="183" t="s">
        <v>38</v>
      </c>
      <c r="E34" s="183">
        <v>0</v>
      </c>
      <c r="F34" s="184" t="s">
        <v>328</v>
      </c>
      <c r="G34" s="183"/>
      <c r="H34" s="183" t="s">
        <v>222</v>
      </c>
      <c r="I34" s="183">
        <v>39894101.55</v>
      </c>
      <c r="J34" s="183">
        <v>39894101.55</v>
      </c>
      <c r="K34" s="183" t="s">
        <v>185</v>
      </c>
      <c r="L34" s="185">
        <v>0</v>
      </c>
      <c r="M34" s="185">
        <v>0</v>
      </c>
      <c r="N34" s="187"/>
    </row>
    <row r="35" spans="2:14" ht="14.25">
      <c r="B35" s="183">
        <v>583</v>
      </c>
      <c r="C35" s="183" t="s">
        <v>283</v>
      </c>
      <c r="D35" s="183" t="s">
        <v>38</v>
      </c>
      <c r="E35" s="183">
        <v>0</v>
      </c>
      <c r="F35" s="184" t="s">
        <v>328</v>
      </c>
      <c r="G35" s="183"/>
      <c r="H35" s="183" t="s">
        <v>368</v>
      </c>
      <c r="I35" s="183">
        <v>3076139</v>
      </c>
      <c r="J35" s="183">
        <v>3025777.2</v>
      </c>
      <c r="K35" s="183" t="s">
        <v>185</v>
      </c>
      <c r="L35" s="185">
        <v>50361.8</v>
      </c>
      <c r="M35" s="185">
        <v>50361.8</v>
      </c>
      <c r="N35" s="18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6">
      <selection activeCell="C17" sqref="C17"/>
    </sheetView>
  </sheetViews>
  <sheetFormatPr defaultColWidth="9.140625" defaultRowHeight="15"/>
  <cols>
    <col min="16" max="16" width="11.7109375" style="0" bestFit="1" customWidth="1"/>
  </cols>
  <sheetData>
    <row r="1" spans="1:16" ht="14.25">
      <c r="A1" s="187" t="s">
        <v>168</v>
      </c>
      <c r="B1" s="187" t="s">
        <v>369</v>
      </c>
      <c r="C1" s="187" t="s">
        <v>170</v>
      </c>
      <c r="D1" s="187" t="s">
        <v>370</v>
      </c>
      <c r="E1" s="187" t="s">
        <v>371</v>
      </c>
      <c r="F1" s="187" t="s">
        <v>372</v>
      </c>
      <c r="G1" s="187" t="s">
        <v>373</v>
      </c>
      <c r="H1" s="187" t="s">
        <v>374</v>
      </c>
      <c r="I1" s="187" t="s">
        <v>375</v>
      </c>
      <c r="J1" s="187" t="s">
        <v>376</v>
      </c>
      <c r="K1" s="187" t="s">
        <v>377</v>
      </c>
      <c r="L1" s="187" t="s">
        <v>378</v>
      </c>
      <c r="M1" s="187" t="s">
        <v>379</v>
      </c>
      <c r="N1" s="187" t="s">
        <v>380</v>
      </c>
      <c r="O1" s="187" t="s">
        <v>381</v>
      </c>
      <c r="P1" s="189" t="s">
        <v>382</v>
      </c>
    </row>
    <row r="2" spans="1:17" ht="14.25">
      <c r="A2" s="187"/>
      <c r="B2" s="187">
        <v>705</v>
      </c>
      <c r="C2" s="187" t="s">
        <v>383</v>
      </c>
      <c r="D2" s="187">
        <v>6</v>
      </c>
      <c r="E2" s="187"/>
      <c r="F2" s="187" t="s">
        <v>384</v>
      </c>
      <c r="G2" s="187">
        <v>0</v>
      </c>
      <c r="H2" s="187">
        <v>28327189.826</v>
      </c>
      <c r="I2" s="187">
        <v>-28327189.826</v>
      </c>
      <c r="J2" s="187" t="s">
        <v>185</v>
      </c>
      <c r="K2" s="188" t="s">
        <v>328</v>
      </c>
      <c r="L2" s="187">
        <v>-28327189.826</v>
      </c>
      <c r="M2" s="187">
        <v>0</v>
      </c>
      <c r="N2" s="187">
        <v>28327189.826</v>
      </c>
      <c r="O2" s="187" t="s">
        <v>385</v>
      </c>
      <c r="P2" s="189">
        <v>28327189.826</v>
      </c>
      <c r="Q2">
        <f>VLOOKUP(B2,PL!$C$43:$C$82,1,FALSE)</f>
        <v>705</v>
      </c>
    </row>
    <row r="3" spans="1:17" ht="14.25">
      <c r="A3" s="187"/>
      <c r="B3" s="187">
        <v>7071</v>
      </c>
      <c r="C3" s="187" t="s">
        <v>386</v>
      </c>
      <c r="D3" s="187">
        <v>6</v>
      </c>
      <c r="E3" s="187"/>
      <c r="F3" s="187" t="s">
        <v>387</v>
      </c>
      <c r="G3" s="187">
        <v>0</v>
      </c>
      <c r="H3" s="187">
        <v>740</v>
      </c>
      <c r="I3" s="187">
        <v>-740</v>
      </c>
      <c r="J3" s="187" t="s">
        <v>185</v>
      </c>
      <c r="K3" s="188" t="s">
        <v>388</v>
      </c>
      <c r="L3" s="187">
        <v>-740</v>
      </c>
      <c r="M3" s="187">
        <v>0</v>
      </c>
      <c r="N3" s="187">
        <v>740</v>
      </c>
      <c r="O3" s="187" t="s">
        <v>385</v>
      </c>
      <c r="P3" s="189">
        <v>740</v>
      </c>
      <c r="Q3" s="187" t="e">
        <f>VLOOKUP(B3,PL!$C$43:$C$82,1,FALSE)</f>
        <v>#N/A</v>
      </c>
    </row>
    <row r="4" spans="1:17" ht="14.25">
      <c r="A4" s="187"/>
      <c r="B4" s="187">
        <v>7072</v>
      </c>
      <c r="C4" s="187" t="s">
        <v>389</v>
      </c>
      <c r="D4" s="187">
        <v>6</v>
      </c>
      <c r="E4" s="187"/>
      <c r="F4" s="187" t="s">
        <v>390</v>
      </c>
      <c r="G4" s="187">
        <v>0</v>
      </c>
      <c r="H4" s="187">
        <v>6420</v>
      </c>
      <c r="I4" s="187">
        <v>-6420</v>
      </c>
      <c r="J4" s="187" t="s">
        <v>185</v>
      </c>
      <c r="K4" s="188" t="s">
        <v>391</v>
      </c>
      <c r="L4" s="187">
        <v>-6420</v>
      </c>
      <c r="M4" s="187">
        <v>0</v>
      </c>
      <c r="N4" s="187">
        <v>6420</v>
      </c>
      <c r="O4" s="187" t="s">
        <v>385</v>
      </c>
      <c r="P4" s="189">
        <v>6420</v>
      </c>
      <c r="Q4" s="187" t="e">
        <f>VLOOKUP(B4,PL!$C$43:$C$82,1,FALSE)</f>
        <v>#N/A</v>
      </c>
    </row>
    <row r="5" spans="1:17" ht="14.25">
      <c r="A5" s="187"/>
      <c r="B5" s="187">
        <v>7073</v>
      </c>
      <c r="C5" s="187" t="s">
        <v>392</v>
      </c>
      <c r="D5" s="187">
        <v>6</v>
      </c>
      <c r="E5" s="187"/>
      <c r="F5" s="187" t="s">
        <v>393</v>
      </c>
      <c r="G5" s="187">
        <v>0</v>
      </c>
      <c r="H5" s="187">
        <v>38730</v>
      </c>
      <c r="I5" s="187">
        <v>-38730</v>
      </c>
      <c r="J5" s="187" t="s">
        <v>185</v>
      </c>
      <c r="K5" s="188" t="s">
        <v>328</v>
      </c>
      <c r="L5" s="187">
        <v>-38730</v>
      </c>
      <c r="M5" s="187">
        <v>0</v>
      </c>
      <c r="N5" s="187">
        <v>38730</v>
      </c>
      <c r="O5" s="187" t="s">
        <v>385</v>
      </c>
      <c r="P5" s="189">
        <v>38730</v>
      </c>
      <c r="Q5" s="187" t="e">
        <f>VLOOKUP(B5,PL!$C$43:$C$82,1,FALSE)</f>
        <v>#N/A</v>
      </c>
    </row>
    <row r="6" spans="1:17" ht="14.25">
      <c r="A6" s="187"/>
      <c r="B6" s="187">
        <v>708</v>
      </c>
      <c r="C6" s="187" t="s">
        <v>394</v>
      </c>
      <c r="D6" s="187">
        <v>6</v>
      </c>
      <c r="E6" s="187" t="s">
        <v>203</v>
      </c>
      <c r="F6" s="187" t="s">
        <v>395</v>
      </c>
      <c r="G6" s="187">
        <v>0</v>
      </c>
      <c r="H6" s="187">
        <v>405072.86</v>
      </c>
      <c r="I6" s="187">
        <v>-411772.86</v>
      </c>
      <c r="J6" s="187" t="s">
        <v>185</v>
      </c>
      <c r="K6" s="188" t="s">
        <v>396</v>
      </c>
      <c r="L6" s="187">
        <v>-411772.86</v>
      </c>
      <c r="M6" s="187">
        <v>0</v>
      </c>
      <c r="N6" s="187">
        <v>411772.86</v>
      </c>
      <c r="O6" s="187" t="s">
        <v>385</v>
      </c>
      <c r="P6" s="189">
        <v>411772.86</v>
      </c>
      <c r="Q6" s="187">
        <f>VLOOKUP(B6,PL!$C$43:$C$82,1,FALSE)</f>
        <v>708</v>
      </c>
    </row>
    <row r="7" spans="1:17" ht="14.25">
      <c r="A7" s="187"/>
      <c r="B7" s="187">
        <v>715</v>
      </c>
      <c r="C7" s="187" t="s">
        <v>397</v>
      </c>
      <c r="D7" s="187">
        <v>6</v>
      </c>
      <c r="E7" s="187"/>
      <c r="F7" s="187" t="s">
        <v>398</v>
      </c>
      <c r="G7" s="187">
        <v>0</v>
      </c>
      <c r="H7" s="187">
        <v>67773.37</v>
      </c>
      <c r="I7" s="187">
        <v>-67773.37</v>
      </c>
      <c r="J7" s="187" t="s">
        <v>185</v>
      </c>
      <c r="K7" s="188" t="s">
        <v>399</v>
      </c>
      <c r="L7" s="187">
        <v>-67773.37</v>
      </c>
      <c r="M7" s="187">
        <v>0</v>
      </c>
      <c r="N7" s="187">
        <v>67773.37</v>
      </c>
      <c r="O7" s="187" t="s">
        <v>385</v>
      </c>
      <c r="P7" s="189">
        <v>67773.37</v>
      </c>
      <c r="Q7" s="187">
        <f>VLOOKUP(B7,PL!$C$43:$C$82,1,FALSE)</f>
        <v>715</v>
      </c>
    </row>
    <row r="8" spans="1:17" ht="14.25">
      <c r="A8" s="187"/>
      <c r="B8" s="187">
        <v>758</v>
      </c>
      <c r="C8" s="187" t="s">
        <v>397</v>
      </c>
      <c r="D8" s="187">
        <v>6</v>
      </c>
      <c r="E8" s="187"/>
      <c r="F8" s="187" t="s">
        <v>400</v>
      </c>
      <c r="G8" s="187">
        <v>0</v>
      </c>
      <c r="H8" s="187">
        <v>4363</v>
      </c>
      <c r="I8" s="187">
        <v>-4363</v>
      </c>
      <c r="J8" s="187" t="s">
        <v>185</v>
      </c>
      <c r="K8" s="188" t="s">
        <v>401</v>
      </c>
      <c r="L8" s="187">
        <v>-4363</v>
      </c>
      <c r="M8" s="187">
        <v>0</v>
      </c>
      <c r="N8" s="187">
        <v>4363</v>
      </c>
      <c r="O8" s="187" t="s">
        <v>385</v>
      </c>
      <c r="P8" s="189">
        <v>4363</v>
      </c>
      <c r="Q8" s="187">
        <f>VLOOKUP(B8,PL!$C$43:$C$82,1,FALSE)</f>
        <v>758</v>
      </c>
    </row>
    <row r="9" spans="1:17" ht="14.25">
      <c r="A9" s="187"/>
      <c r="B9" s="187">
        <v>7581</v>
      </c>
      <c r="C9" s="187" t="s">
        <v>402</v>
      </c>
      <c r="D9" s="187">
        <v>6</v>
      </c>
      <c r="E9" s="187"/>
      <c r="F9" s="187" t="s">
        <v>403</v>
      </c>
      <c r="G9" s="187">
        <v>477.17</v>
      </c>
      <c r="H9" s="187">
        <v>14388</v>
      </c>
      <c r="I9" s="187">
        <v>-13910.83</v>
      </c>
      <c r="J9" s="187" t="s">
        <v>185</v>
      </c>
      <c r="K9" s="188" t="s">
        <v>360</v>
      </c>
      <c r="L9" s="187">
        <v>-13910.83</v>
      </c>
      <c r="M9" s="187">
        <v>0</v>
      </c>
      <c r="N9" s="187">
        <v>13910.83</v>
      </c>
      <c r="O9" s="187" t="s">
        <v>385</v>
      </c>
      <c r="P9" s="189">
        <v>13910.83</v>
      </c>
      <c r="Q9" s="187">
        <f>VLOOKUP(B9,PL!$C$43:$C$82,1,FALSE)</f>
        <v>7581</v>
      </c>
    </row>
    <row r="10" spans="1:17" ht="14.25">
      <c r="A10" s="187"/>
      <c r="B10" s="187">
        <v>766</v>
      </c>
      <c r="C10" s="187" t="s">
        <v>156</v>
      </c>
      <c r="D10" s="187">
        <v>6</v>
      </c>
      <c r="E10" s="187"/>
      <c r="F10" s="187" t="s">
        <v>404</v>
      </c>
      <c r="G10" s="187">
        <v>0.05</v>
      </c>
      <c r="H10" s="187">
        <v>1503.52</v>
      </c>
      <c r="I10" s="187">
        <v>-1503.47</v>
      </c>
      <c r="J10" s="187" t="s">
        <v>185</v>
      </c>
      <c r="K10" s="188" t="s">
        <v>405</v>
      </c>
      <c r="L10" s="187">
        <v>-1503.47</v>
      </c>
      <c r="M10" s="187">
        <v>0</v>
      </c>
      <c r="N10" s="187">
        <v>1503.47</v>
      </c>
      <c r="O10" s="187" t="s">
        <v>385</v>
      </c>
      <c r="P10" s="189">
        <v>1503.47</v>
      </c>
      <c r="Q10" s="187">
        <f>VLOOKUP(B10,PL!$C$43:$C$82,1,FALSE)</f>
        <v>766</v>
      </c>
    </row>
    <row r="11" spans="1:17" ht="14.25">
      <c r="A11" s="187"/>
      <c r="B11" s="187">
        <v>767</v>
      </c>
      <c r="C11" s="187" t="s">
        <v>157</v>
      </c>
      <c r="D11" s="187">
        <v>6</v>
      </c>
      <c r="E11" s="187"/>
      <c r="F11" s="187" t="s">
        <v>406</v>
      </c>
      <c r="G11" s="187">
        <v>0</v>
      </c>
      <c r="H11" s="187">
        <v>1200.97</v>
      </c>
      <c r="I11" s="187">
        <v>-1200.97</v>
      </c>
      <c r="J11" s="187" t="s">
        <v>185</v>
      </c>
      <c r="K11" s="188" t="s">
        <v>407</v>
      </c>
      <c r="L11" s="187">
        <v>-1200.97</v>
      </c>
      <c r="M11" s="187">
        <v>0</v>
      </c>
      <c r="N11" s="187">
        <v>1200.97</v>
      </c>
      <c r="O11" s="187" t="s">
        <v>385</v>
      </c>
      <c r="P11" s="189">
        <v>1200.97</v>
      </c>
      <c r="Q11" s="187">
        <f>VLOOKUP(B11,PL!$C$43:$C$82,1,FALSE)</f>
        <v>767</v>
      </c>
    </row>
    <row r="12" spans="1:17" ht="14.25">
      <c r="A12" s="187"/>
      <c r="B12" s="187">
        <v>381</v>
      </c>
      <c r="C12" s="187" t="s">
        <v>408</v>
      </c>
      <c r="D12" s="187">
        <v>5</v>
      </c>
      <c r="E12" s="187"/>
      <c r="F12" s="187" t="s">
        <v>409</v>
      </c>
      <c r="G12" s="187">
        <v>556998.18</v>
      </c>
      <c r="H12" s="187">
        <v>556998.18</v>
      </c>
      <c r="I12" s="187">
        <v>0</v>
      </c>
      <c r="J12" s="187" t="s">
        <v>185</v>
      </c>
      <c r="K12" s="188" t="s">
        <v>354</v>
      </c>
      <c r="L12" s="187">
        <v>0</v>
      </c>
      <c r="M12" s="187">
        <v>0</v>
      </c>
      <c r="N12" s="187">
        <v>0</v>
      </c>
      <c r="O12" s="187" t="s">
        <v>410</v>
      </c>
      <c r="P12" s="189">
        <v>0</v>
      </c>
      <c r="Q12" s="187" t="e">
        <f>VLOOKUP(B12,PL!$C$43:$C$82,1,FALSE)</f>
        <v>#N/A</v>
      </c>
    </row>
    <row r="13" spans="1:17" ht="14.25">
      <c r="A13" s="187"/>
      <c r="B13" s="187">
        <v>6035</v>
      </c>
      <c r="C13" s="187" t="s">
        <v>411</v>
      </c>
      <c r="D13" s="187">
        <v>5</v>
      </c>
      <c r="E13" s="187"/>
      <c r="F13" s="187" t="s">
        <v>412</v>
      </c>
      <c r="G13" s="187">
        <v>20904712.939</v>
      </c>
      <c r="H13" s="187">
        <v>30016205.665</v>
      </c>
      <c r="I13" s="187">
        <v>-9111492.72599999</v>
      </c>
      <c r="J13" s="187" t="s">
        <v>185</v>
      </c>
      <c r="K13" s="188" t="s">
        <v>328</v>
      </c>
      <c r="L13" s="187">
        <v>-9111492.72599999</v>
      </c>
      <c r="M13" s="187">
        <v>-9111492.72599999</v>
      </c>
      <c r="N13" s="187">
        <v>0</v>
      </c>
      <c r="O13" s="187" t="s">
        <v>410</v>
      </c>
      <c r="P13" s="189">
        <v>9111492.72599999</v>
      </c>
      <c r="Q13" s="187">
        <f>VLOOKUP(B13,PL!$C$43:$C$82,1,FALSE)</f>
        <v>6035</v>
      </c>
    </row>
    <row r="14" spans="1:17" ht="14.25">
      <c r="A14" s="187"/>
      <c r="B14" s="187">
        <v>605</v>
      </c>
      <c r="C14" s="187" t="s">
        <v>413</v>
      </c>
      <c r="D14" s="187">
        <v>5</v>
      </c>
      <c r="E14" s="187"/>
      <c r="F14" s="187" t="s">
        <v>414</v>
      </c>
      <c r="G14" s="187">
        <v>28334950.72</v>
      </c>
      <c r="H14" s="187">
        <v>146971.33</v>
      </c>
      <c r="I14" s="187">
        <v>28187979.39</v>
      </c>
      <c r="J14" s="187" t="s">
        <v>185</v>
      </c>
      <c r="K14" s="188" t="s">
        <v>328</v>
      </c>
      <c r="L14" s="187">
        <v>28187979.39</v>
      </c>
      <c r="M14" s="187">
        <v>28187979.39</v>
      </c>
      <c r="N14" s="187">
        <v>0</v>
      </c>
      <c r="O14" s="187" t="s">
        <v>410</v>
      </c>
      <c r="P14" s="189">
        <v>-28187979.39</v>
      </c>
      <c r="Q14" s="187">
        <f>VLOOKUP(B14,PL!$C$43:$C$82,1,FALSE)</f>
        <v>605</v>
      </c>
    </row>
    <row r="15" spans="1:17" ht="14.25">
      <c r="A15" s="187"/>
      <c r="B15" s="187">
        <v>608</v>
      </c>
      <c r="C15" s="187" t="s">
        <v>415</v>
      </c>
      <c r="D15" s="187">
        <v>5</v>
      </c>
      <c r="E15" s="187"/>
      <c r="F15" s="187" t="s">
        <v>416</v>
      </c>
      <c r="G15" s="187">
        <v>776103.1</v>
      </c>
      <c r="H15" s="187">
        <v>0</v>
      </c>
      <c r="I15" s="187">
        <v>776103.1</v>
      </c>
      <c r="J15" s="187" t="s">
        <v>188</v>
      </c>
      <c r="K15" s="188" t="s">
        <v>328</v>
      </c>
      <c r="L15" s="187">
        <v>776103.1</v>
      </c>
      <c r="M15" s="187">
        <v>776103.1</v>
      </c>
      <c r="N15" s="187">
        <v>0</v>
      </c>
      <c r="O15" s="187" t="s">
        <v>410</v>
      </c>
      <c r="P15" s="189">
        <v>-776103.1</v>
      </c>
      <c r="Q15" s="187">
        <f>VLOOKUP(B15,PL!$C$43:$C$82,1,FALSE)</f>
        <v>608</v>
      </c>
    </row>
    <row r="16" spans="1:17" ht="14.25">
      <c r="A16" s="187"/>
      <c r="B16" s="187">
        <v>610</v>
      </c>
      <c r="C16" s="187" t="s">
        <v>417</v>
      </c>
      <c r="D16" s="187">
        <v>5</v>
      </c>
      <c r="E16" s="187"/>
      <c r="F16" s="187" t="s">
        <v>418</v>
      </c>
      <c r="G16" s="187">
        <v>54203.33</v>
      </c>
      <c r="H16" s="187">
        <v>0</v>
      </c>
      <c r="I16" s="187">
        <v>54203.33</v>
      </c>
      <c r="J16" s="187" t="s">
        <v>188</v>
      </c>
      <c r="K16" s="188" t="s">
        <v>419</v>
      </c>
      <c r="L16" s="187">
        <v>54203.33</v>
      </c>
      <c r="M16" s="187">
        <v>54203.33</v>
      </c>
      <c r="N16" s="187">
        <v>0</v>
      </c>
      <c r="O16" s="187" t="s">
        <v>410</v>
      </c>
      <c r="P16" s="189">
        <v>-54203.33</v>
      </c>
      <c r="Q16" s="187">
        <f>VLOOKUP(B16,PL!$C$43:$C$82,1,FALSE)</f>
        <v>610</v>
      </c>
    </row>
    <row r="17" spans="2:17" ht="14.25">
      <c r="B17" s="187">
        <v>611</v>
      </c>
      <c r="C17" s="187" t="s">
        <v>420</v>
      </c>
      <c r="D17" s="187">
        <v>5</v>
      </c>
      <c r="E17" s="187"/>
      <c r="F17" s="187" t="s">
        <v>421</v>
      </c>
      <c r="G17" s="187">
        <v>12966.67</v>
      </c>
      <c r="H17" s="187">
        <v>0</v>
      </c>
      <c r="I17" s="187">
        <v>12966.67</v>
      </c>
      <c r="J17" s="187" t="s">
        <v>188</v>
      </c>
      <c r="K17" s="188" t="s">
        <v>422</v>
      </c>
      <c r="L17" s="187">
        <v>12966.67</v>
      </c>
      <c r="M17" s="187">
        <v>12966.67</v>
      </c>
      <c r="N17" s="187">
        <v>0</v>
      </c>
      <c r="O17" s="187" t="s">
        <v>410</v>
      </c>
      <c r="P17" s="189">
        <v>-12966.67</v>
      </c>
      <c r="Q17" s="187">
        <f>VLOOKUP(B17,PL!$C$43:$C$82,1,FALSE)</f>
        <v>611</v>
      </c>
    </row>
    <row r="18" spans="2:17" ht="14.25">
      <c r="B18" s="187">
        <v>613</v>
      </c>
      <c r="C18" s="187" t="s">
        <v>423</v>
      </c>
      <c r="D18" s="187">
        <v>5</v>
      </c>
      <c r="E18" s="187"/>
      <c r="F18" s="187" t="s">
        <v>424</v>
      </c>
      <c r="G18" s="187">
        <v>1309622.94</v>
      </c>
      <c r="H18" s="187">
        <v>0</v>
      </c>
      <c r="I18" s="187">
        <v>1309622.94</v>
      </c>
      <c r="J18" s="187" t="s">
        <v>188</v>
      </c>
      <c r="K18" s="188" t="s">
        <v>425</v>
      </c>
      <c r="L18" s="187">
        <v>1309622.94</v>
      </c>
      <c r="M18" s="187">
        <v>1309622.94</v>
      </c>
      <c r="N18" s="187">
        <v>0</v>
      </c>
      <c r="O18" s="187" t="s">
        <v>410</v>
      </c>
      <c r="P18" s="189">
        <v>-1309622.94</v>
      </c>
      <c r="Q18" s="187">
        <f>VLOOKUP(B18,PL!$C$43:$C$82,1,FALSE)</f>
        <v>613</v>
      </c>
    </row>
    <row r="19" spans="2:17" ht="14.25">
      <c r="B19" s="187">
        <v>615</v>
      </c>
      <c r="C19" s="187" t="s">
        <v>426</v>
      </c>
      <c r="D19" s="187">
        <v>5</v>
      </c>
      <c r="E19" s="187"/>
      <c r="F19" s="187" t="s">
        <v>427</v>
      </c>
      <c r="G19" s="187">
        <v>18826.67</v>
      </c>
      <c r="H19" s="187">
        <v>0</v>
      </c>
      <c r="I19" s="187">
        <v>18826.67</v>
      </c>
      <c r="J19" s="187" t="s">
        <v>188</v>
      </c>
      <c r="K19" s="188" t="s">
        <v>342</v>
      </c>
      <c r="L19" s="187">
        <v>18826.67</v>
      </c>
      <c r="M19" s="187">
        <v>18826.67</v>
      </c>
      <c r="N19" s="187">
        <v>0</v>
      </c>
      <c r="O19" s="187" t="s">
        <v>410</v>
      </c>
      <c r="P19" s="189">
        <v>-18826.67</v>
      </c>
      <c r="Q19" s="187">
        <f>VLOOKUP(B19,PL!$C$43:$C$82,1,FALSE)</f>
        <v>615</v>
      </c>
    </row>
    <row r="20" spans="2:17" ht="14.25">
      <c r="B20" s="187">
        <v>618</v>
      </c>
      <c r="C20" s="187" t="s">
        <v>428</v>
      </c>
      <c r="D20" s="187">
        <v>5</v>
      </c>
      <c r="E20" s="187"/>
      <c r="F20" s="187" t="s">
        <v>429</v>
      </c>
      <c r="G20" s="187">
        <v>285299.05</v>
      </c>
      <c r="H20" s="187">
        <v>0</v>
      </c>
      <c r="I20" s="187">
        <v>285299.05</v>
      </c>
      <c r="J20" s="187" t="s">
        <v>188</v>
      </c>
      <c r="K20" s="188" t="s">
        <v>430</v>
      </c>
      <c r="L20" s="187">
        <v>285299.05</v>
      </c>
      <c r="M20" s="187">
        <v>285299.05</v>
      </c>
      <c r="N20" s="187">
        <v>0</v>
      </c>
      <c r="O20" s="187" t="s">
        <v>410</v>
      </c>
      <c r="P20" s="189">
        <v>-285299.05</v>
      </c>
      <c r="Q20" s="187">
        <f>VLOOKUP(B20,PL!$C$43:$C$82,1,FALSE)</f>
        <v>618</v>
      </c>
    </row>
    <row r="21" spans="2:17" ht="14.25">
      <c r="B21" s="187">
        <v>624</v>
      </c>
      <c r="C21" s="187" t="s">
        <v>431</v>
      </c>
      <c r="D21" s="187">
        <v>5</v>
      </c>
      <c r="E21" s="187"/>
      <c r="F21" s="187" t="s">
        <v>432</v>
      </c>
      <c r="G21" s="187">
        <v>99800</v>
      </c>
      <c r="H21" s="187">
        <v>0</v>
      </c>
      <c r="I21" s="187">
        <v>99800</v>
      </c>
      <c r="J21" s="187" t="s">
        <v>188</v>
      </c>
      <c r="K21" s="188" t="s">
        <v>336</v>
      </c>
      <c r="L21" s="187">
        <v>99800</v>
      </c>
      <c r="M21" s="187">
        <v>99800</v>
      </c>
      <c r="N21" s="187">
        <v>0</v>
      </c>
      <c r="O21" s="187" t="s">
        <v>410</v>
      </c>
      <c r="P21" s="189">
        <v>-99800</v>
      </c>
      <c r="Q21" s="187">
        <f>VLOOKUP(B21,PL!$C$43:$C$82,1,FALSE)</f>
        <v>624</v>
      </c>
    </row>
    <row r="22" spans="2:17" ht="14.25">
      <c r="B22" s="187">
        <v>625</v>
      </c>
      <c r="C22" s="187" t="s">
        <v>433</v>
      </c>
      <c r="D22" s="187">
        <v>5</v>
      </c>
      <c r="E22" s="187"/>
      <c r="F22" s="187" t="s">
        <v>434</v>
      </c>
      <c r="G22" s="187">
        <v>84709</v>
      </c>
      <c r="H22" s="187">
        <v>0</v>
      </c>
      <c r="I22" s="187">
        <v>84709</v>
      </c>
      <c r="J22" s="187" t="s">
        <v>188</v>
      </c>
      <c r="K22" s="188" t="s">
        <v>435</v>
      </c>
      <c r="L22" s="187">
        <v>84709</v>
      </c>
      <c r="M22" s="187">
        <v>84709</v>
      </c>
      <c r="N22" s="187">
        <v>0</v>
      </c>
      <c r="O22" s="187" t="s">
        <v>410</v>
      </c>
      <c r="P22" s="189">
        <v>-84709</v>
      </c>
      <c r="Q22" s="187">
        <f>VLOOKUP(B22,PL!$C$43:$C$82,1,FALSE)</f>
        <v>625</v>
      </c>
    </row>
    <row r="23" spans="2:17" ht="14.25">
      <c r="B23" s="187">
        <v>626</v>
      </c>
      <c r="C23" s="187" t="s">
        <v>436</v>
      </c>
      <c r="D23" s="187">
        <v>5</v>
      </c>
      <c r="E23" s="187"/>
      <c r="F23" s="187" t="s">
        <v>437</v>
      </c>
      <c r="G23" s="187">
        <v>127550.33</v>
      </c>
      <c r="H23" s="187">
        <v>0</v>
      </c>
      <c r="I23" s="187">
        <v>127550.33</v>
      </c>
      <c r="J23" s="187" t="s">
        <v>188</v>
      </c>
      <c r="K23" s="188" t="s">
        <v>328</v>
      </c>
      <c r="L23" s="187">
        <v>127550.33</v>
      </c>
      <c r="M23" s="187">
        <v>127550.33</v>
      </c>
      <c r="N23" s="187">
        <v>0</v>
      </c>
      <c r="O23" s="187" t="s">
        <v>410</v>
      </c>
      <c r="P23" s="189">
        <v>-127550.33</v>
      </c>
      <c r="Q23" s="187">
        <f>VLOOKUP(B23,PL!$C$43:$C$82,1,FALSE)</f>
        <v>626</v>
      </c>
    </row>
    <row r="24" spans="2:17" ht="14.25">
      <c r="B24" s="187">
        <v>6276</v>
      </c>
      <c r="C24" s="187" t="s">
        <v>438</v>
      </c>
      <c r="D24" s="187">
        <v>5</v>
      </c>
      <c r="E24" s="187"/>
      <c r="F24" s="187" t="s">
        <v>439</v>
      </c>
      <c r="G24" s="187">
        <v>179462</v>
      </c>
      <c r="H24" s="187">
        <v>0</v>
      </c>
      <c r="I24" s="187">
        <v>179462</v>
      </c>
      <c r="J24" s="187" t="s">
        <v>188</v>
      </c>
      <c r="K24" s="188" t="s">
        <v>328</v>
      </c>
      <c r="L24" s="187">
        <v>179462</v>
      </c>
      <c r="M24" s="187">
        <v>179462</v>
      </c>
      <c r="N24" s="187">
        <v>0</v>
      </c>
      <c r="O24" s="187" t="s">
        <v>410</v>
      </c>
      <c r="P24" s="189">
        <v>-179462</v>
      </c>
      <c r="Q24" s="187">
        <f>VLOOKUP(B24,PL!$C$43:$C$82,1,FALSE)</f>
        <v>6276</v>
      </c>
    </row>
    <row r="25" spans="2:17" ht="14.25">
      <c r="B25" s="187">
        <v>628</v>
      </c>
      <c r="C25" s="187" t="s">
        <v>440</v>
      </c>
      <c r="D25" s="187">
        <v>5</v>
      </c>
      <c r="E25" s="187"/>
      <c r="F25" s="187" t="s">
        <v>441</v>
      </c>
      <c r="G25" s="187">
        <v>52283.66</v>
      </c>
      <c r="H25" s="187">
        <v>0</v>
      </c>
      <c r="I25" s="187">
        <v>52283.66</v>
      </c>
      <c r="J25" s="187" t="s">
        <v>188</v>
      </c>
      <c r="K25" s="188" t="s">
        <v>328</v>
      </c>
      <c r="L25" s="187">
        <v>52283.66</v>
      </c>
      <c r="M25" s="187">
        <v>52283.66</v>
      </c>
      <c r="N25" s="187">
        <v>0</v>
      </c>
      <c r="O25" s="187" t="s">
        <v>410</v>
      </c>
      <c r="P25" s="189">
        <v>-52283.66</v>
      </c>
      <c r="Q25" s="187">
        <f>VLOOKUP(B25,PL!$C$43:$C$82,1,FALSE)</f>
        <v>628</v>
      </c>
    </row>
    <row r="26" spans="2:17" ht="14.25">
      <c r="B26" s="187">
        <v>629</v>
      </c>
      <c r="C26" s="187" t="s">
        <v>442</v>
      </c>
      <c r="D26" s="187">
        <v>5</v>
      </c>
      <c r="E26" s="187"/>
      <c r="F26" s="187" t="s">
        <v>443</v>
      </c>
      <c r="G26" s="187">
        <v>61324.63</v>
      </c>
      <c r="H26" s="187">
        <v>2</v>
      </c>
      <c r="I26" s="187">
        <v>61322.63</v>
      </c>
      <c r="J26" s="187" t="s">
        <v>185</v>
      </c>
      <c r="K26" s="188" t="s">
        <v>328</v>
      </c>
      <c r="L26" s="187">
        <v>61322.63</v>
      </c>
      <c r="M26" s="187">
        <v>61322.63</v>
      </c>
      <c r="N26" s="187">
        <v>0</v>
      </c>
      <c r="O26" s="187" t="s">
        <v>410</v>
      </c>
      <c r="P26" s="189">
        <v>-61322.63</v>
      </c>
      <c r="Q26" s="187">
        <f>VLOOKUP(B26,PL!$C$43:$C$82,1,FALSE)</f>
        <v>629</v>
      </c>
    </row>
    <row r="27" spans="2:17" ht="14.25">
      <c r="B27" s="187">
        <v>634</v>
      </c>
      <c r="C27" s="187" t="s">
        <v>444</v>
      </c>
      <c r="D27" s="187">
        <v>5</v>
      </c>
      <c r="E27" s="187"/>
      <c r="F27" s="187" t="s">
        <v>445</v>
      </c>
      <c r="G27" s="187">
        <v>60120</v>
      </c>
      <c r="H27" s="187">
        <v>0</v>
      </c>
      <c r="I27" s="187">
        <v>60120</v>
      </c>
      <c r="J27" s="187" t="s">
        <v>188</v>
      </c>
      <c r="K27" s="188" t="s">
        <v>446</v>
      </c>
      <c r="L27" s="187">
        <v>60120</v>
      </c>
      <c r="M27" s="187">
        <v>60120</v>
      </c>
      <c r="N27" s="187">
        <v>0</v>
      </c>
      <c r="O27" s="187" t="s">
        <v>410</v>
      </c>
      <c r="P27" s="189">
        <v>-60120</v>
      </c>
      <c r="Q27" s="187">
        <f>VLOOKUP(B27,PL!$C$43:$C$82,1,FALSE)</f>
        <v>634</v>
      </c>
    </row>
    <row r="28" spans="2:17" ht="14.25">
      <c r="B28" s="187">
        <v>641</v>
      </c>
      <c r="C28" s="187" t="s">
        <v>447</v>
      </c>
      <c r="D28" s="187">
        <v>5</v>
      </c>
      <c r="E28" s="187"/>
      <c r="F28" s="187" t="s">
        <v>448</v>
      </c>
      <c r="G28" s="187">
        <v>4806913</v>
      </c>
      <c r="H28" s="187">
        <v>0</v>
      </c>
      <c r="I28" s="187">
        <v>4806913</v>
      </c>
      <c r="J28" s="187" t="s">
        <v>188</v>
      </c>
      <c r="K28" s="188" t="s">
        <v>328</v>
      </c>
      <c r="L28" s="187">
        <v>4806913</v>
      </c>
      <c r="M28" s="187">
        <v>4806913</v>
      </c>
      <c r="N28" s="187">
        <v>0</v>
      </c>
      <c r="O28" s="187" t="s">
        <v>410</v>
      </c>
      <c r="P28" s="189">
        <v>-4806913</v>
      </c>
      <c r="Q28" s="187">
        <f>VLOOKUP(B28,PL!$C$43:$C$82,1,FALSE)</f>
        <v>641</v>
      </c>
    </row>
    <row r="29" spans="2:17" ht="14.25">
      <c r="B29" s="187">
        <v>644</v>
      </c>
      <c r="C29" s="187" t="s">
        <v>276</v>
      </c>
      <c r="D29" s="187">
        <v>5</v>
      </c>
      <c r="E29" s="187"/>
      <c r="F29" s="187" t="s">
        <v>449</v>
      </c>
      <c r="G29" s="187">
        <v>747725</v>
      </c>
      <c r="H29" s="187">
        <v>0</v>
      </c>
      <c r="I29" s="187">
        <v>747725</v>
      </c>
      <c r="J29" s="187" t="s">
        <v>188</v>
      </c>
      <c r="K29" s="188" t="s">
        <v>328</v>
      </c>
      <c r="L29" s="187">
        <v>747725</v>
      </c>
      <c r="M29" s="187">
        <v>747725</v>
      </c>
      <c r="N29" s="187">
        <v>0</v>
      </c>
      <c r="O29" s="187" t="s">
        <v>410</v>
      </c>
      <c r="P29" s="189">
        <v>-747725</v>
      </c>
      <c r="Q29" s="187">
        <f>VLOOKUP(B29,PL!$C$43:$C$82,1,FALSE)</f>
        <v>644</v>
      </c>
    </row>
    <row r="30" spans="2:17" ht="14.25">
      <c r="B30" s="187">
        <v>648</v>
      </c>
      <c r="C30" s="187" t="s">
        <v>450</v>
      </c>
      <c r="D30" s="187">
        <v>5</v>
      </c>
      <c r="E30" s="187"/>
      <c r="F30" s="187" t="s">
        <v>451</v>
      </c>
      <c r="G30" s="187">
        <v>6075</v>
      </c>
      <c r="H30" s="187">
        <v>0</v>
      </c>
      <c r="I30" s="187">
        <v>6075</v>
      </c>
      <c r="J30" s="187" t="s">
        <v>188</v>
      </c>
      <c r="K30" s="188" t="s">
        <v>452</v>
      </c>
      <c r="L30" s="187">
        <v>6075</v>
      </c>
      <c r="M30" s="187">
        <v>6075</v>
      </c>
      <c r="N30" s="187">
        <v>0</v>
      </c>
      <c r="O30" s="187" t="s">
        <v>410</v>
      </c>
      <c r="P30" s="189">
        <v>-6075</v>
      </c>
      <c r="Q30" s="187">
        <f>VLOOKUP(B30,PL!$C$43:$C$82,1,FALSE)</f>
        <v>648</v>
      </c>
    </row>
    <row r="31" spans="2:17" ht="14.25">
      <c r="B31" s="187">
        <v>654</v>
      </c>
      <c r="C31" s="187" t="s">
        <v>453</v>
      </c>
      <c r="D31" s="187">
        <v>5</v>
      </c>
      <c r="E31" s="187"/>
      <c r="F31" s="187" t="s">
        <v>454</v>
      </c>
      <c r="G31" s="187">
        <v>2000</v>
      </c>
      <c r="H31" s="187">
        <v>0</v>
      </c>
      <c r="I31" s="187">
        <v>2000</v>
      </c>
      <c r="J31" s="187" t="s">
        <v>188</v>
      </c>
      <c r="K31" s="188" t="s">
        <v>446</v>
      </c>
      <c r="L31" s="187">
        <v>2000</v>
      </c>
      <c r="M31" s="187">
        <v>2000</v>
      </c>
      <c r="N31" s="187">
        <v>0</v>
      </c>
      <c r="O31" s="187" t="s">
        <v>410</v>
      </c>
      <c r="P31" s="189">
        <v>-2000</v>
      </c>
      <c r="Q31" s="187">
        <f>VLOOKUP(B31,PL!$C$43:$C$82,1,FALSE)</f>
        <v>654</v>
      </c>
    </row>
    <row r="32" spans="2:17" ht="14.25">
      <c r="B32" s="187">
        <v>655</v>
      </c>
      <c r="C32" s="187" t="s">
        <v>455</v>
      </c>
      <c r="D32" s="187">
        <v>5</v>
      </c>
      <c r="E32" s="187"/>
      <c r="F32" s="187" t="s">
        <v>456</v>
      </c>
      <c r="G32" s="187">
        <v>40099.92</v>
      </c>
      <c r="H32" s="187">
        <v>0</v>
      </c>
      <c r="I32" s="187">
        <v>40099.92</v>
      </c>
      <c r="J32" s="187" t="s">
        <v>188</v>
      </c>
      <c r="K32" s="188" t="s">
        <v>457</v>
      </c>
      <c r="L32" s="187">
        <v>40099.92</v>
      </c>
      <c r="M32" s="187">
        <v>40099.92</v>
      </c>
      <c r="N32" s="187">
        <v>0</v>
      </c>
      <c r="O32" s="187" t="s">
        <v>410</v>
      </c>
      <c r="P32" s="189">
        <v>-40099.92</v>
      </c>
      <c r="Q32" s="187">
        <f>VLOOKUP(B32,PL!$C$43:$C$82,1,FALSE)</f>
        <v>655</v>
      </c>
    </row>
    <row r="33" spans="2:17" ht="14.25">
      <c r="B33" s="187">
        <v>656</v>
      </c>
      <c r="C33" s="187" t="s">
        <v>458</v>
      </c>
      <c r="D33" s="187">
        <v>5</v>
      </c>
      <c r="E33" s="187"/>
      <c r="F33" s="187" t="s">
        <v>459</v>
      </c>
      <c r="G33" s="187">
        <v>3390</v>
      </c>
      <c r="H33" s="187">
        <v>0</v>
      </c>
      <c r="I33" s="187">
        <v>3390</v>
      </c>
      <c r="J33" s="187" t="s">
        <v>188</v>
      </c>
      <c r="K33" s="188" t="s">
        <v>460</v>
      </c>
      <c r="L33" s="187">
        <v>3390</v>
      </c>
      <c r="M33" s="187">
        <v>3390</v>
      </c>
      <c r="N33" s="187">
        <v>0</v>
      </c>
      <c r="O33" s="187" t="s">
        <v>410</v>
      </c>
      <c r="P33" s="189">
        <v>-3390</v>
      </c>
      <c r="Q33" s="187">
        <f>VLOOKUP(B33,PL!$C$43:$C$82,1,FALSE)</f>
        <v>656</v>
      </c>
    </row>
    <row r="34" spans="2:17" ht="14.25">
      <c r="B34" s="187">
        <v>658</v>
      </c>
      <c r="C34" s="187" t="s">
        <v>158</v>
      </c>
      <c r="D34" s="187">
        <v>5</v>
      </c>
      <c r="E34" s="187"/>
      <c r="F34" s="187" t="s">
        <v>461</v>
      </c>
      <c r="G34" s="187">
        <v>1215189.63</v>
      </c>
      <c r="H34" s="187">
        <v>362669</v>
      </c>
      <c r="I34" s="187">
        <v>852520.63</v>
      </c>
      <c r="J34" s="187" t="s">
        <v>185</v>
      </c>
      <c r="K34" s="188" t="s">
        <v>328</v>
      </c>
      <c r="L34" s="187">
        <v>852520.63</v>
      </c>
      <c r="M34" s="187">
        <v>852520.63</v>
      </c>
      <c r="N34" s="187">
        <v>0</v>
      </c>
      <c r="O34" s="187" t="s">
        <v>410</v>
      </c>
      <c r="P34" s="189">
        <v>-852520.63</v>
      </c>
      <c r="Q34" s="187">
        <f>VLOOKUP(B34,PL!$C$43:$C$82,1,FALSE)</f>
        <v>658</v>
      </c>
    </row>
    <row r="35" spans="2:17" ht="14.25">
      <c r="B35" s="187">
        <v>6581</v>
      </c>
      <c r="C35" s="187" t="s">
        <v>462</v>
      </c>
      <c r="D35" s="187">
        <v>5</v>
      </c>
      <c r="E35" s="187"/>
      <c r="F35" s="187" t="s">
        <v>463</v>
      </c>
      <c r="G35" s="187">
        <v>5661.83</v>
      </c>
      <c r="H35" s="187">
        <v>0</v>
      </c>
      <c r="I35" s="187">
        <v>5661.83</v>
      </c>
      <c r="J35" s="187" t="s">
        <v>188</v>
      </c>
      <c r="K35" s="188" t="s">
        <v>464</v>
      </c>
      <c r="L35" s="187">
        <v>5661.83</v>
      </c>
      <c r="M35" s="187">
        <v>5661.83</v>
      </c>
      <c r="N35" s="187">
        <v>0</v>
      </c>
      <c r="O35" s="187" t="s">
        <v>410</v>
      </c>
      <c r="P35" s="189">
        <v>-5661.83</v>
      </c>
      <c r="Q35" s="187" t="e">
        <f>VLOOKUP(B35,PL!$C$43:$C$82,1,FALSE)</f>
        <v>#N/A</v>
      </c>
    </row>
    <row r="36" spans="2:17" ht="14.25">
      <c r="B36" s="187">
        <v>6582</v>
      </c>
      <c r="C36" s="187" t="s">
        <v>465</v>
      </c>
      <c r="D36" s="187">
        <v>5</v>
      </c>
      <c r="E36" s="187"/>
      <c r="F36" s="187" t="s">
        <v>466</v>
      </c>
      <c r="G36" s="187">
        <v>46200</v>
      </c>
      <c r="H36" s="187">
        <v>0</v>
      </c>
      <c r="I36" s="187">
        <v>46200</v>
      </c>
      <c r="J36" s="187" t="s">
        <v>188</v>
      </c>
      <c r="K36" s="188" t="s">
        <v>467</v>
      </c>
      <c r="L36" s="187">
        <v>46200</v>
      </c>
      <c r="M36" s="187">
        <v>46200</v>
      </c>
      <c r="N36" s="187">
        <v>0</v>
      </c>
      <c r="O36" s="187" t="s">
        <v>410</v>
      </c>
      <c r="P36" s="189">
        <v>-46200</v>
      </c>
      <c r="Q36" s="187" t="e">
        <f>VLOOKUP(B36,PL!$C$43:$C$82,1,FALSE)</f>
        <v>#N/A</v>
      </c>
    </row>
    <row r="37" spans="2:17" ht="14.25">
      <c r="B37" s="187">
        <v>666</v>
      </c>
      <c r="C37" s="187" t="s">
        <v>468</v>
      </c>
      <c r="D37" s="187">
        <v>5</v>
      </c>
      <c r="E37" s="187"/>
      <c r="F37" s="187" t="s">
        <v>469</v>
      </c>
      <c r="G37" s="187">
        <v>19091.2</v>
      </c>
      <c r="H37" s="187">
        <v>0</v>
      </c>
      <c r="I37" s="187">
        <v>19091.2</v>
      </c>
      <c r="J37" s="187" t="s">
        <v>188</v>
      </c>
      <c r="K37" s="188" t="s">
        <v>328</v>
      </c>
      <c r="L37" s="187">
        <v>19091.2</v>
      </c>
      <c r="M37" s="187">
        <v>19091.2</v>
      </c>
      <c r="N37" s="187">
        <v>0</v>
      </c>
      <c r="O37" s="187" t="s">
        <v>410</v>
      </c>
      <c r="P37" s="189">
        <v>-19091.2</v>
      </c>
      <c r="Q37" s="187">
        <f>VLOOKUP(B37,PL!$C$43:$C$82,1,FALSE)</f>
        <v>666</v>
      </c>
    </row>
    <row r="38" spans="2:17" ht="14.25">
      <c r="B38" s="187">
        <v>667</v>
      </c>
      <c r="C38" s="187" t="s">
        <v>470</v>
      </c>
      <c r="D38" s="187">
        <v>5</v>
      </c>
      <c r="E38" s="187" t="s">
        <v>203</v>
      </c>
      <c r="F38" s="187" t="s">
        <v>471</v>
      </c>
      <c r="G38" s="187">
        <v>154789.41</v>
      </c>
      <c r="H38" s="187">
        <v>0</v>
      </c>
      <c r="I38" s="187">
        <v>1466483.7</v>
      </c>
      <c r="J38" s="187" t="s">
        <v>188</v>
      </c>
      <c r="K38" s="188" t="s">
        <v>328</v>
      </c>
      <c r="L38" s="187">
        <v>1466483.7</v>
      </c>
      <c r="M38" s="187">
        <v>1466483.7</v>
      </c>
      <c r="N38" s="187">
        <v>0</v>
      </c>
      <c r="O38" s="187" t="s">
        <v>410</v>
      </c>
      <c r="P38" s="189">
        <v>-1466483.7</v>
      </c>
      <c r="Q38" s="187">
        <f>VLOOKUP(B38,PL!$C$43:$C$82,1,FALSE)</f>
        <v>667</v>
      </c>
    </row>
    <row r="39" spans="2:17" ht="14.25">
      <c r="B39" s="187">
        <v>669</v>
      </c>
      <c r="C39" s="187" t="s">
        <v>472</v>
      </c>
      <c r="D39" s="187">
        <v>5</v>
      </c>
      <c r="E39" s="187"/>
      <c r="F39" s="187" t="s">
        <v>473</v>
      </c>
      <c r="G39" s="187">
        <v>207415.24</v>
      </c>
      <c r="H39" s="187">
        <v>0</v>
      </c>
      <c r="I39" s="187">
        <v>207415.24</v>
      </c>
      <c r="J39" s="187" t="s">
        <v>188</v>
      </c>
      <c r="K39" s="188" t="s">
        <v>328</v>
      </c>
      <c r="L39" s="187">
        <v>207415.24</v>
      </c>
      <c r="M39" s="187">
        <v>207415.24</v>
      </c>
      <c r="N39" s="187">
        <v>0</v>
      </c>
      <c r="O39" s="187" t="s">
        <v>410</v>
      </c>
      <c r="P39" s="189">
        <v>-207415.24</v>
      </c>
      <c r="Q39" s="187">
        <f>VLOOKUP(B39,PL!$C$43:$C$82,1,FALSE)</f>
        <v>669</v>
      </c>
    </row>
    <row r="40" spans="2:17" ht="14.25">
      <c r="B40" s="187">
        <v>671</v>
      </c>
      <c r="C40" s="187" t="s">
        <v>474</v>
      </c>
      <c r="D40" s="187">
        <v>5</v>
      </c>
      <c r="E40" s="187"/>
      <c r="F40" s="187" t="s">
        <v>475</v>
      </c>
      <c r="G40" s="187">
        <v>12139.82</v>
      </c>
      <c r="H40" s="187">
        <v>-25000</v>
      </c>
      <c r="I40" s="187">
        <v>37139.82</v>
      </c>
      <c r="J40" s="187" t="s">
        <v>185</v>
      </c>
      <c r="K40" s="188" t="s">
        <v>354</v>
      </c>
      <c r="L40" s="187">
        <v>37139.82</v>
      </c>
      <c r="M40" s="187">
        <v>37139.82</v>
      </c>
      <c r="N40" s="187">
        <v>0</v>
      </c>
      <c r="O40" s="187" t="s">
        <v>410</v>
      </c>
      <c r="P40" s="189">
        <v>-37139.82</v>
      </c>
      <c r="Q40" s="187">
        <f>VLOOKUP(B40,PL!$C$43:$C$82,1,FALSE)</f>
        <v>671</v>
      </c>
    </row>
    <row r="41" spans="2:17" ht="14.25">
      <c r="B41" s="187">
        <v>6813</v>
      </c>
      <c r="C41" s="187" t="s">
        <v>476</v>
      </c>
      <c r="D41" s="187">
        <v>5</v>
      </c>
      <c r="E41" s="187"/>
      <c r="F41" s="187" t="s">
        <v>477</v>
      </c>
      <c r="G41" s="187">
        <v>3300404</v>
      </c>
      <c r="H41" s="187">
        <v>0</v>
      </c>
      <c r="I41" s="187">
        <v>3300404</v>
      </c>
      <c r="J41" s="187" t="s">
        <v>188</v>
      </c>
      <c r="K41" s="188" t="s">
        <v>328</v>
      </c>
      <c r="L41" s="187">
        <v>3300404</v>
      </c>
      <c r="M41" s="187">
        <v>3300404</v>
      </c>
      <c r="N41" s="187">
        <v>0</v>
      </c>
      <c r="O41" s="187" t="s">
        <v>410</v>
      </c>
      <c r="P41" s="189">
        <v>-3300404</v>
      </c>
      <c r="Q41" s="187">
        <f>VLOOKUP(B41,PL!$C$43:$C$82,1,FALSE)</f>
        <v>6813</v>
      </c>
    </row>
    <row r="42" spans="2:17" ht="14.25">
      <c r="B42" s="187">
        <v>6818</v>
      </c>
      <c r="C42" s="187" t="s">
        <v>478</v>
      </c>
      <c r="D42" s="187">
        <v>5</v>
      </c>
      <c r="E42" s="187"/>
      <c r="F42" s="187" t="s">
        <v>479</v>
      </c>
      <c r="G42" s="187">
        <v>218217</v>
      </c>
      <c r="H42" s="187">
        <v>0</v>
      </c>
      <c r="I42" s="187">
        <v>218217</v>
      </c>
      <c r="J42" s="187" t="s">
        <v>188</v>
      </c>
      <c r="K42" s="188" t="s">
        <v>328</v>
      </c>
      <c r="L42" s="187">
        <v>218217</v>
      </c>
      <c r="M42" s="187">
        <v>218217</v>
      </c>
      <c r="N42" s="187">
        <v>0</v>
      </c>
      <c r="O42" s="187" t="s">
        <v>410</v>
      </c>
      <c r="P42" s="189">
        <v>-218217</v>
      </c>
      <c r="Q42" s="187">
        <f>VLOOKUP(B42,PL!$C$43:$C$82,1,FALSE)</f>
        <v>6818</v>
      </c>
    </row>
    <row r="43" spans="2:17" ht="14.25">
      <c r="B43" s="187">
        <v>6819</v>
      </c>
      <c r="C43" s="187" t="s">
        <v>480</v>
      </c>
      <c r="D43" s="187">
        <v>5</v>
      </c>
      <c r="E43" s="187"/>
      <c r="F43" s="187" t="s">
        <v>481</v>
      </c>
      <c r="G43" s="187">
        <v>1632676</v>
      </c>
      <c r="H43" s="187">
        <v>0</v>
      </c>
      <c r="I43" s="187">
        <v>1632676</v>
      </c>
      <c r="J43" s="187" t="s">
        <v>188</v>
      </c>
      <c r="K43" s="188" t="s">
        <v>328</v>
      </c>
      <c r="L43" s="187">
        <v>1632676</v>
      </c>
      <c r="M43" s="187">
        <v>1632676</v>
      </c>
      <c r="N43" s="187">
        <v>0</v>
      </c>
      <c r="O43" s="187" t="s">
        <v>410</v>
      </c>
      <c r="P43" s="189">
        <v>-1632676</v>
      </c>
      <c r="Q43" s="187">
        <f>VLOOKUP(B43,PL!$C$43:$C$82,1,FALSE)</f>
        <v>6819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9" sqref="B29"/>
    </sheetView>
  </sheetViews>
  <sheetFormatPr defaultColWidth="9.140625" defaultRowHeight="15"/>
  <cols>
    <col min="3" max="3" width="35.28125" style="0" customWidth="1"/>
    <col min="4" max="4" width="15.00390625" style="193" bestFit="1" customWidth="1"/>
    <col min="12" max="12" width="15.00390625" style="202" bestFit="1" customWidth="1"/>
  </cols>
  <sheetData>
    <row r="1" spans="2:12" ht="14.25">
      <c r="B1" s="192" t="s">
        <v>369</v>
      </c>
      <c r="C1" s="192" t="s">
        <v>170</v>
      </c>
      <c r="D1" s="193" t="s">
        <v>382</v>
      </c>
      <c r="J1" s="203" t="s">
        <v>369</v>
      </c>
      <c r="K1" s="203" t="s">
        <v>170</v>
      </c>
      <c r="L1" s="202" t="s">
        <v>378</v>
      </c>
    </row>
    <row r="2" spans="1:12" ht="14.25">
      <c r="A2">
        <v>701</v>
      </c>
      <c r="B2" s="192">
        <v>705</v>
      </c>
      <c r="C2" s="192" t="s">
        <v>383</v>
      </c>
      <c r="D2" s="193">
        <f>-SUMIF(J:J,B:B,L:L)</f>
        <v>21581836.383</v>
      </c>
      <c r="J2" s="203">
        <v>705</v>
      </c>
      <c r="K2" s="203" t="s">
        <v>383</v>
      </c>
      <c r="L2" s="202">
        <v>-21581836.383</v>
      </c>
    </row>
    <row r="3" spans="1:12" ht="14.25">
      <c r="A3" s="192">
        <v>701</v>
      </c>
      <c r="B3" s="192">
        <v>7071</v>
      </c>
      <c r="C3" s="192" t="s">
        <v>386</v>
      </c>
      <c r="D3" s="193">
        <f>-SUMIF(J:J,B:B,L:L)</f>
        <v>749</v>
      </c>
      <c r="J3" s="203">
        <v>7071</v>
      </c>
      <c r="K3" s="203" t="s">
        <v>386</v>
      </c>
      <c r="L3" s="202">
        <v>-749</v>
      </c>
    </row>
    <row r="4" spans="1:12" ht="14.25">
      <c r="A4" s="192">
        <v>701</v>
      </c>
      <c r="B4" s="192">
        <v>7072</v>
      </c>
      <c r="C4" s="192" t="s">
        <v>389</v>
      </c>
      <c r="D4" s="193">
        <f>-SUMIF(J:J,B:B,L:L)</f>
        <v>20945</v>
      </c>
      <c r="J4" s="203">
        <v>7072</v>
      </c>
      <c r="K4" s="203" t="s">
        <v>389</v>
      </c>
      <c r="L4" s="202">
        <v>-20945</v>
      </c>
    </row>
    <row r="5" spans="1:12" ht="14.25">
      <c r="A5" s="192">
        <v>701</v>
      </c>
      <c r="B5" s="192">
        <v>7073</v>
      </c>
      <c r="C5" s="192" t="s">
        <v>392</v>
      </c>
      <c r="D5" s="193">
        <f>-SUMIF(J:J,B:B,L:L)</f>
        <v>14512</v>
      </c>
      <c r="J5" s="203">
        <v>7073</v>
      </c>
      <c r="K5" s="203" t="s">
        <v>392</v>
      </c>
      <c r="L5" s="202">
        <v>-14512</v>
      </c>
    </row>
    <row r="6" spans="1:12" ht="14.25">
      <c r="A6">
        <v>702</v>
      </c>
      <c r="B6" s="192">
        <v>708</v>
      </c>
      <c r="C6" s="192" t="s">
        <v>394</v>
      </c>
      <c r="D6" s="193">
        <f>-SUMIF(J:J,B:B,L:L)</f>
        <v>148702.9</v>
      </c>
      <c r="J6" s="203">
        <v>708</v>
      </c>
      <c r="K6" s="203" t="s">
        <v>394</v>
      </c>
      <c r="L6" s="202">
        <v>-148702.9</v>
      </c>
    </row>
    <row r="7" spans="1:12" ht="14.25">
      <c r="A7" s="192">
        <v>701</v>
      </c>
      <c r="B7" s="192">
        <v>715</v>
      </c>
      <c r="C7" s="192" t="s">
        <v>397</v>
      </c>
      <c r="D7" s="193">
        <f>-SUMIF(J:J,B:B,L:L)</f>
        <v>22001.75</v>
      </c>
      <c r="J7" s="203">
        <v>715</v>
      </c>
      <c r="K7" s="203" t="s">
        <v>397</v>
      </c>
      <c r="L7" s="202">
        <v>-22001.75</v>
      </c>
    </row>
    <row r="8" spans="1:12" ht="14.25">
      <c r="A8">
        <v>702</v>
      </c>
      <c r="B8" s="192">
        <v>752</v>
      </c>
      <c r="C8" s="192" t="s">
        <v>482</v>
      </c>
      <c r="D8" s="193">
        <f>-SUMIF(J:J,B:B,L:L)</f>
        <v>53100</v>
      </c>
      <c r="J8" s="203">
        <v>752</v>
      </c>
      <c r="K8" s="203" t="s">
        <v>482</v>
      </c>
      <c r="L8" s="202">
        <v>-53100</v>
      </c>
    </row>
    <row r="9" spans="1:12" ht="14.25">
      <c r="A9" s="192">
        <v>701</v>
      </c>
      <c r="B9" s="192">
        <v>758</v>
      </c>
      <c r="C9" s="192" t="s">
        <v>397</v>
      </c>
      <c r="D9" s="193">
        <f>-SUMIF(J:J,B:B,L:L)</f>
        <v>22841.27</v>
      </c>
      <c r="J9" s="203">
        <v>758</v>
      </c>
      <c r="K9" s="203" t="s">
        <v>397</v>
      </c>
      <c r="L9" s="202">
        <v>-22841.27</v>
      </c>
    </row>
    <row r="10" spans="1:12" ht="14.25">
      <c r="A10" s="192">
        <v>701</v>
      </c>
      <c r="B10" s="192">
        <v>7581</v>
      </c>
      <c r="C10" s="192" t="s">
        <v>402</v>
      </c>
      <c r="D10" s="193">
        <f>-SUMIF(J:J,B:B,L:L)</f>
        <v>124</v>
      </c>
      <c r="J10" s="203">
        <v>7581</v>
      </c>
      <c r="K10" s="203" t="s">
        <v>402</v>
      </c>
      <c r="L10" s="202">
        <v>-124</v>
      </c>
    </row>
    <row r="11" spans="1:12" ht="14.25">
      <c r="A11">
        <v>622</v>
      </c>
      <c r="B11" s="192">
        <v>766</v>
      </c>
      <c r="C11" s="192" t="s">
        <v>156</v>
      </c>
      <c r="D11" s="193">
        <f>-SUMIF(J:J,B:B,L:L)</f>
        <v>45048.24</v>
      </c>
      <c r="J11" s="203">
        <v>766</v>
      </c>
      <c r="K11" s="203" t="s">
        <v>156</v>
      </c>
      <c r="L11" s="202">
        <v>-45048.24</v>
      </c>
    </row>
    <row r="12" spans="2:12" ht="14.25">
      <c r="B12" s="192">
        <v>381</v>
      </c>
      <c r="C12" s="192" t="s">
        <v>408</v>
      </c>
      <c r="D12" s="193">
        <f>-SUMIF(J:J,B:B,L:L)</f>
        <v>0</v>
      </c>
      <c r="J12" s="203">
        <v>381</v>
      </c>
      <c r="K12" s="203" t="s">
        <v>408</v>
      </c>
      <c r="L12" s="202">
        <v>0</v>
      </c>
    </row>
    <row r="13" spans="1:12" ht="14.25">
      <c r="A13">
        <v>605</v>
      </c>
      <c r="B13" s="192">
        <v>6035</v>
      </c>
      <c r="C13" s="192" t="s">
        <v>411</v>
      </c>
      <c r="D13" s="193">
        <f>-SUMIF(J:J,B:B,L:L)</f>
        <v>-752172.534</v>
      </c>
      <c r="J13" s="203">
        <v>6035</v>
      </c>
      <c r="K13" s="203" t="s">
        <v>411</v>
      </c>
      <c r="L13" s="202">
        <v>752172.534</v>
      </c>
    </row>
    <row r="14" spans="1:12" ht="14.25">
      <c r="A14">
        <v>605</v>
      </c>
      <c r="B14" s="192">
        <v>605</v>
      </c>
      <c r="C14" s="192" t="s">
        <v>413</v>
      </c>
      <c r="D14" s="193">
        <f>-SUMIF(J:J,B:B,L:L)</f>
        <v>-15481095.08</v>
      </c>
      <c r="J14" s="203">
        <v>605</v>
      </c>
      <c r="K14" s="203" t="s">
        <v>413</v>
      </c>
      <c r="L14" s="202">
        <v>15481095.08</v>
      </c>
    </row>
    <row r="15" spans="1:12" ht="14.25">
      <c r="A15">
        <v>606</v>
      </c>
      <c r="B15" s="192">
        <v>608</v>
      </c>
      <c r="C15" s="192" t="s">
        <v>415</v>
      </c>
      <c r="D15" s="193">
        <f>-SUMIF(J:J,B:B,L:L)</f>
        <v>-415953.4</v>
      </c>
      <c r="J15" s="203">
        <v>608</v>
      </c>
      <c r="K15" s="203" t="s">
        <v>415</v>
      </c>
      <c r="L15" s="202">
        <v>415953.4</v>
      </c>
    </row>
    <row r="16" spans="1:12" ht="14.25">
      <c r="A16">
        <v>606</v>
      </c>
      <c r="B16" s="192">
        <v>610</v>
      </c>
      <c r="C16" s="192" t="s">
        <v>417</v>
      </c>
      <c r="D16" s="193">
        <f>-SUMIF(J:J,B:B,L:L)</f>
        <v>-8000</v>
      </c>
      <c r="J16" s="203">
        <v>610</v>
      </c>
      <c r="K16" s="203" t="s">
        <v>417</v>
      </c>
      <c r="L16" s="202">
        <v>8000</v>
      </c>
    </row>
    <row r="17" spans="1:12" ht="14.25">
      <c r="A17">
        <v>606</v>
      </c>
      <c r="B17" s="192">
        <v>611</v>
      </c>
      <c r="C17" s="192" t="s">
        <v>420</v>
      </c>
      <c r="D17" s="193">
        <f>-SUMIF(J:J,B:B,L:L)</f>
        <v>-3200</v>
      </c>
      <c r="J17" s="203">
        <v>611</v>
      </c>
      <c r="K17" s="203" t="s">
        <v>420</v>
      </c>
      <c r="L17" s="202">
        <v>3200</v>
      </c>
    </row>
    <row r="18" spans="1:12" ht="14.25">
      <c r="A18">
        <v>606</v>
      </c>
      <c r="B18" s="192">
        <v>615</v>
      </c>
      <c r="C18" s="192" t="s">
        <v>426</v>
      </c>
      <c r="D18" s="193">
        <f>-SUMIF(J:J,B:B,L:L)</f>
        <v>-42980</v>
      </c>
      <c r="J18" s="203">
        <v>615</v>
      </c>
      <c r="K18" s="203" t="s">
        <v>426</v>
      </c>
      <c r="L18" s="202">
        <v>42980</v>
      </c>
    </row>
    <row r="19" spans="1:12" ht="14.25">
      <c r="A19" s="192">
        <v>606</v>
      </c>
      <c r="B19" s="192">
        <v>618</v>
      </c>
      <c r="C19" s="192" t="s">
        <v>428</v>
      </c>
      <c r="D19" s="193">
        <f>-SUMIF(J:J,B:B,L:L)</f>
        <v>-59501</v>
      </c>
      <c r="J19" s="203">
        <v>618</v>
      </c>
      <c r="K19" s="203" t="s">
        <v>428</v>
      </c>
      <c r="L19" s="202">
        <v>59501</v>
      </c>
    </row>
    <row r="20" spans="1:12" ht="14.25">
      <c r="A20" s="192">
        <v>606</v>
      </c>
      <c r="B20" s="192">
        <v>624</v>
      </c>
      <c r="C20" s="192" t="s">
        <v>431</v>
      </c>
      <c r="D20" s="193">
        <f>-SUMIF(J:J,B:B,L:L)</f>
        <v>-8000</v>
      </c>
      <c r="J20" s="203">
        <v>624</v>
      </c>
      <c r="K20" s="203" t="s">
        <v>431</v>
      </c>
      <c r="L20" s="202">
        <v>8000</v>
      </c>
    </row>
    <row r="21" spans="1:12" ht="14.25">
      <c r="A21" s="192">
        <v>606</v>
      </c>
      <c r="B21" s="192">
        <v>625</v>
      </c>
      <c r="C21" s="192" t="s">
        <v>433</v>
      </c>
      <c r="D21" s="193">
        <f>-SUMIF(J:J,B:B,L:L)</f>
        <v>-112248</v>
      </c>
      <c r="J21" s="203">
        <v>625</v>
      </c>
      <c r="K21" s="203" t="s">
        <v>433</v>
      </c>
      <c r="L21" s="202">
        <v>112248</v>
      </c>
    </row>
    <row r="22" spans="1:12" ht="14.25">
      <c r="A22" s="192">
        <v>606</v>
      </c>
      <c r="B22" s="192">
        <v>626</v>
      </c>
      <c r="C22" s="192" t="s">
        <v>436</v>
      </c>
      <c r="D22" s="193">
        <f>-SUMIF(J:J,B:B,L:L)</f>
        <v>-150463.51</v>
      </c>
      <c r="J22" s="203">
        <v>626</v>
      </c>
      <c r="K22" s="203" t="s">
        <v>436</v>
      </c>
      <c r="L22" s="202">
        <v>150463.51</v>
      </c>
    </row>
    <row r="23" spans="1:12" ht="14.25">
      <c r="A23" s="192">
        <v>606</v>
      </c>
      <c r="B23" s="192">
        <v>6276</v>
      </c>
      <c r="C23" s="192" t="s">
        <v>438</v>
      </c>
      <c r="D23" s="193">
        <f>-SUMIF(J:J,B:B,L:L)</f>
        <v>-16582</v>
      </c>
      <c r="J23" s="203">
        <v>6276</v>
      </c>
      <c r="K23" s="203" t="s">
        <v>438</v>
      </c>
      <c r="L23" s="202">
        <v>16582</v>
      </c>
    </row>
    <row r="24" spans="1:12" ht="14.25">
      <c r="A24" s="192">
        <v>606</v>
      </c>
      <c r="B24" s="192">
        <v>628</v>
      </c>
      <c r="C24" s="192" t="s">
        <v>440</v>
      </c>
      <c r="D24" s="193">
        <f>-SUMIF(J:J,B:B,L:L)</f>
        <v>-43242.86</v>
      </c>
      <c r="J24" s="203">
        <v>628</v>
      </c>
      <c r="K24" s="203" t="s">
        <v>440</v>
      </c>
      <c r="L24" s="202">
        <v>43242.86</v>
      </c>
    </row>
    <row r="25" spans="1:12" ht="14.25">
      <c r="A25" s="192">
        <v>606</v>
      </c>
      <c r="B25" s="192">
        <v>629</v>
      </c>
      <c r="C25" s="192" t="s">
        <v>442</v>
      </c>
      <c r="D25" s="193">
        <f>-SUMIF(J:J,B:B,L:L)</f>
        <v>-38049.66</v>
      </c>
      <c r="J25" s="203">
        <v>629</v>
      </c>
      <c r="K25" s="203" t="s">
        <v>442</v>
      </c>
      <c r="L25" s="202">
        <v>38049.66</v>
      </c>
    </row>
    <row r="26" spans="1:12" ht="14.25">
      <c r="A26">
        <v>606</v>
      </c>
      <c r="B26" s="192">
        <v>634</v>
      </c>
      <c r="C26" s="192" t="s">
        <v>444</v>
      </c>
      <c r="D26" s="193">
        <f>-SUMIF(J:J,B:B,L:L)</f>
        <v>-60120</v>
      </c>
      <c r="J26" s="203">
        <v>634</v>
      </c>
      <c r="K26" s="203" t="s">
        <v>444</v>
      </c>
      <c r="L26" s="202">
        <v>60120</v>
      </c>
    </row>
    <row r="27" spans="1:12" ht="14.25">
      <c r="A27">
        <v>607</v>
      </c>
      <c r="B27" s="192">
        <v>641</v>
      </c>
      <c r="C27" s="192" t="s">
        <v>447</v>
      </c>
      <c r="D27" s="193">
        <f>-SUMIF(J:J,B:B,L:L)</f>
        <v>-3227375</v>
      </c>
      <c r="J27" s="203">
        <v>641</v>
      </c>
      <c r="K27" s="203" t="s">
        <v>447</v>
      </c>
      <c r="L27" s="202">
        <v>3227375</v>
      </c>
    </row>
    <row r="28" spans="1:12" ht="14.25">
      <c r="A28">
        <v>608</v>
      </c>
      <c r="B28" s="192">
        <v>644</v>
      </c>
      <c r="C28" s="192" t="s">
        <v>276</v>
      </c>
      <c r="D28" s="193">
        <f>-SUMIF(J:J,B:B,L:L)</f>
        <v>-529763</v>
      </c>
      <c r="J28" s="203">
        <v>644</v>
      </c>
      <c r="K28" s="203" t="s">
        <v>276</v>
      </c>
      <c r="L28" s="202">
        <v>529763</v>
      </c>
    </row>
    <row r="29" spans="1:12" ht="14.25">
      <c r="A29">
        <v>606</v>
      </c>
      <c r="B29" s="192">
        <v>652</v>
      </c>
      <c r="C29" s="192" t="s">
        <v>483</v>
      </c>
      <c r="D29" s="193">
        <f>-SUMIF(J:J,B:B,L:L)</f>
        <v>-53100</v>
      </c>
      <c r="J29" s="203">
        <v>652</v>
      </c>
      <c r="K29" s="203" t="s">
        <v>483</v>
      </c>
      <c r="L29" s="202">
        <v>53100</v>
      </c>
    </row>
    <row r="30" spans="1:12" ht="14.25">
      <c r="A30">
        <v>606</v>
      </c>
      <c r="B30" s="192">
        <v>654</v>
      </c>
      <c r="C30" s="192" t="s">
        <v>453</v>
      </c>
      <c r="D30" s="193">
        <f>-SUMIF(J:J,B:B,L:L)</f>
        <v>-96920</v>
      </c>
      <c r="J30" s="203">
        <v>654</v>
      </c>
      <c r="K30" s="203" t="s">
        <v>453</v>
      </c>
      <c r="L30" s="202">
        <v>96920</v>
      </c>
    </row>
    <row r="31" spans="1:12" ht="14.25">
      <c r="A31">
        <v>606</v>
      </c>
      <c r="B31" s="192">
        <v>655</v>
      </c>
      <c r="C31" s="192" t="s">
        <v>455</v>
      </c>
      <c r="D31" s="193">
        <f>-SUMIF(J:J,B:B,L:L)</f>
        <v>-34613.23</v>
      </c>
      <c r="J31" s="203">
        <v>655</v>
      </c>
      <c r="K31" s="203" t="s">
        <v>455</v>
      </c>
      <c r="L31" s="202">
        <v>34613.23</v>
      </c>
    </row>
    <row r="32" spans="1:12" ht="14.25">
      <c r="A32">
        <v>606</v>
      </c>
      <c r="B32" s="192">
        <v>656</v>
      </c>
      <c r="C32" s="192" t="s">
        <v>458</v>
      </c>
      <c r="D32" s="193">
        <f>-SUMIF(J:J,B:B,L:L)</f>
        <v>-9718.4</v>
      </c>
      <c r="J32" s="203">
        <v>656</v>
      </c>
      <c r="K32" s="203" t="s">
        <v>458</v>
      </c>
      <c r="L32" s="202">
        <v>9718.4</v>
      </c>
    </row>
    <row r="33" spans="1:12" ht="14.25">
      <c r="A33">
        <v>606</v>
      </c>
      <c r="B33" s="192">
        <v>658</v>
      </c>
      <c r="C33" s="192" t="s">
        <v>158</v>
      </c>
      <c r="D33" s="193">
        <f>-SUMIF(J:J,B:B,L:L)</f>
        <v>-90024.77</v>
      </c>
      <c r="J33" s="203">
        <v>658</v>
      </c>
      <c r="K33" s="203" t="s">
        <v>158</v>
      </c>
      <c r="L33" s="202">
        <v>90024.77</v>
      </c>
    </row>
    <row r="34" spans="1:12" ht="14.25">
      <c r="A34">
        <v>606</v>
      </c>
      <c r="B34" s="192">
        <v>666</v>
      </c>
      <c r="C34" s="192" t="s">
        <v>468</v>
      </c>
      <c r="D34" s="193">
        <f>-SUMIF(J:J,B:B,L:L)</f>
        <v>-3177.24</v>
      </c>
      <c r="J34" s="203">
        <v>666</v>
      </c>
      <c r="K34" s="203" t="s">
        <v>468</v>
      </c>
      <c r="L34" s="202">
        <v>3177.24</v>
      </c>
    </row>
    <row r="35" spans="1:12" ht="14.25">
      <c r="A35">
        <v>621</v>
      </c>
      <c r="B35" s="192">
        <v>667</v>
      </c>
      <c r="C35" s="192" t="s">
        <v>470</v>
      </c>
      <c r="D35" s="193">
        <f>-SUMIF(J:J,B:B,L:L)</f>
        <v>-1140354.39</v>
      </c>
      <c r="J35" s="203">
        <v>667</v>
      </c>
      <c r="K35" s="203" t="s">
        <v>470</v>
      </c>
      <c r="L35" s="202">
        <v>1140354.39</v>
      </c>
    </row>
    <row r="36" spans="1:12" ht="14.25">
      <c r="A36">
        <v>622</v>
      </c>
      <c r="B36" s="192">
        <v>669</v>
      </c>
      <c r="C36" s="192" t="s">
        <v>472</v>
      </c>
      <c r="D36" s="193">
        <f>-SUMIF(J:J,B:B,L:L)</f>
        <v>-126208.32</v>
      </c>
      <c r="J36" s="203">
        <v>669</v>
      </c>
      <c r="K36" s="203" t="s">
        <v>472</v>
      </c>
      <c r="L36" s="202">
        <v>126208.32</v>
      </c>
    </row>
    <row r="37" spans="1:12" ht="14.25">
      <c r="A37">
        <v>701</v>
      </c>
      <c r="B37" s="192">
        <v>671</v>
      </c>
      <c r="C37" s="192" t="s">
        <v>474</v>
      </c>
      <c r="D37" s="193">
        <f>-SUMIF(J:J,B:B,L:L)</f>
        <v>-19366</v>
      </c>
      <c r="J37" s="203">
        <v>671</v>
      </c>
      <c r="K37" s="203" t="s">
        <v>474</v>
      </c>
      <c r="L37" s="202">
        <v>19366</v>
      </c>
    </row>
    <row r="38" spans="1:12" ht="14.25">
      <c r="A38">
        <v>610</v>
      </c>
      <c r="B38" s="192">
        <v>6813</v>
      </c>
      <c r="C38" s="192" t="s">
        <v>476</v>
      </c>
      <c r="D38" s="193">
        <f>-SUMIF(J:J,B:B,L:L)</f>
        <v>-2798758</v>
      </c>
      <c r="J38" s="203">
        <v>6813</v>
      </c>
      <c r="K38" s="203" t="s">
        <v>476</v>
      </c>
      <c r="L38" s="202">
        <v>2798758</v>
      </c>
    </row>
    <row r="39" spans="1:12" ht="14.25">
      <c r="A39" s="192">
        <v>610</v>
      </c>
      <c r="B39" s="192">
        <v>6818</v>
      </c>
      <c r="C39" s="192" t="s">
        <v>478</v>
      </c>
      <c r="D39" s="193">
        <f>-SUMIF(J:J,B:B,L:L)</f>
        <v>-190886</v>
      </c>
      <c r="J39" s="203">
        <v>6818</v>
      </c>
      <c r="K39" s="203" t="s">
        <v>478</v>
      </c>
      <c r="L39" s="202">
        <v>190886</v>
      </c>
    </row>
    <row r="40" spans="1:12" ht="14.25">
      <c r="A40" s="192">
        <v>610</v>
      </c>
      <c r="B40" s="192">
        <v>6819</v>
      </c>
      <c r="C40" s="192" t="s">
        <v>480</v>
      </c>
      <c r="D40" s="193">
        <f>-SUMIF(J:J,B:B,L:L)</f>
        <v>-1312900</v>
      </c>
      <c r="J40" s="203">
        <v>6819</v>
      </c>
      <c r="K40" s="203" t="s">
        <v>480</v>
      </c>
      <c r="L40" s="202">
        <v>1312900</v>
      </c>
    </row>
    <row r="41" ht="14.25">
      <c r="D41" s="193">
        <f>SUM(D2:D40)</f>
        <v>-4914911.851000004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29" sqref="B29"/>
    </sheetView>
  </sheetViews>
  <sheetFormatPr defaultColWidth="9.140625" defaultRowHeight="15"/>
  <cols>
    <col min="3" max="3" width="40.57421875" style="0" customWidth="1"/>
    <col min="4" max="4" width="22.7109375" style="194" customWidth="1"/>
    <col min="8" max="8" width="13.140625" style="0" customWidth="1"/>
    <col min="9" max="9" width="15.00390625" style="202" bestFit="1" customWidth="1"/>
  </cols>
  <sheetData>
    <row r="1" spans="2:4" ht="14.25">
      <c r="B1" s="199" t="s">
        <v>169</v>
      </c>
      <c r="C1" s="199" t="s">
        <v>170</v>
      </c>
      <c r="D1" s="194" t="s">
        <v>180</v>
      </c>
    </row>
    <row r="2" spans="1:9" ht="14.25">
      <c r="A2">
        <v>400</v>
      </c>
      <c r="B2" s="199">
        <v>101</v>
      </c>
      <c r="C2" s="199" t="s">
        <v>181</v>
      </c>
      <c r="D2" s="194">
        <f>SUMIF(G:G,B:B,I:I)</f>
        <v>-14093021</v>
      </c>
      <c r="G2" s="201">
        <v>101</v>
      </c>
      <c r="H2" s="201" t="s">
        <v>181</v>
      </c>
      <c r="I2" s="202">
        <v>-14093021</v>
      </c>
    </row>
    <row r="3" spans="1:9" ht="14.25">
      <c r="A3">
        <v>410</v>
      </c>
      <c r="B3" s="199">
        <v>109</v>
      </c>
      <c r="C3" s="199" t="s">
        <v>323</v>
      </c>
      <c r="D3" s="194">
        <f>SUMIF(G:G,B:B,I:I)</f>
        <v>7276873.68</v>
      </c>
      <c r="G3" s="201">
        <v>109</v>
      </c>
      <c r="H3" s="201" t="s">
        <v>323</v>
      </c>
      <c r="I3" s="202">
        <v>7276873.68</v>
      </c>
    </row>
    <row r="4" spans="2:9" ht="14.25">
      <c r="B4" s="199" t="s">
        <v>189</v>
      </c>
      <c r="C4" s="199" t="s">
        <v>190</v>
      </c>
      <c r="D4" s="194">
        <f>+Sheet1!D41</f>
        <v>-4914911.851000004</v>
      </c>
      <c r="G4" s="201">
        <v>2131</v>
      </c>
      <c r="H4" s="201" t="s">
        <v>279</v>
      </c>
      <c r="I4" s="202">
        <v>14812412.08</v>
      </c>
    </row>
    <row r="5" spans="1:9" ht="14.25">
      <c r="A5">
        <v>200</v>
      </c>
      <c r="B5" s="199">
        <v>2813</v>
      </c>
      <c r="C5" s="199" t="s">
        <v>327</v>
      </c>
      <c r="D5" s="194">
        <f>SUMIF(G:G,B:B,I:I)</f>
        <v>-6135368</v>
      </c>
      <c r="G5" s="201">
        <v>2132</v>
      </c>
      <c r="H5" s="201" t="s">
        <v>347</v>
      </c>
      <c r="I5" s="202">
        <v>3850005.6</v>
      </c>
    </row>
    <row r="6" spans="1:9" ht="14.25">
      <c r="A6">
        <v>200</v>
      </c>
      <c r="B6" s="199">
        <v>28181</v>
      </c>
      <c r="C6" s="199" t="s">
        <v>330</v>
      </c>
      <c r="D6" s="194">
        <f>SUMIF(G:G,B:B,I:I)</f>
        <v>-631359</v>
      </c>
      <c r="G6" s="201">
        <v>2181</v>
      </c>
      <c r="H6" s="201" t="s">
        <v>281</v>
      </c>
      <c r="I6" s="202">
        <v>2049658.4</v>
      </c>
    </row>
    <row r="7" spans="1:9" ht="14.25">
      <c r="A7">
        <v>200</v>
      </c>
      <c r="B7" s="199">
        <v>28182</v>
      </c>
      <c r="C7" s="199" t="s">
        <v>150</v>
      </c>
      <c r="D7" s="194">
        <f>SUMIF(G:G,B:B,I:I)</f>
        <v>-411053</v>
      </c>
      <c r="G7" s="201">
        <v>2182</v>
      </c>
      <c r="H7" s="201" t="s">
        <v>149</v>
      </c>
      <c r="I7" s="202">
        <v>979381.29</v>
      </c>
    </row>
    <row r="8" spans="1:9" ht="14.25">
      <c r="A8">
        <v>210</v>
      </c>
      <c r="B8" s="199">
        <v>28183</v>
      </c>
      <c r="C8" s="199" t="s">
        <v>274</v>
      </c>
      <c r="D8" s="194">
        <f>SUMIF(G:G,B:B,I:I)</f>
        <v>-2313987</v>
      </c>
      <c r="G8" s="201">
        <v>2183</v>
      </c>
      <c r="H8" s="201" t="s">
        <v>274</v>
      </c>
      <c r="I8" s="202">
        <v>7530011.22</v>
      </c>
    </row>
    <row r="9" spans="1:9" ht="14.25">
      <c r="A9">
        <v>320</v>
      </c>
      <c r="B9" s="199">
        <v>401</v>
      </c>
      <c r="C9" s="199" t="s">
        <v>146</v>
      </c>
      <c r="D9" s="194">
        <f>SUMIF(G:G,B:B,I:I)</f>
        <v>-9437529.56327998</v>
      </c>
      <c r="G9" s="201">
        <v>2813</v>
      </c>
      <c r="H9" s="201" t="s">
        <v>327</v>
      </c>
      <c r="I9" s="202">
        <v>-6135368</v>
      </c>
    </row>
    <row r="10" spans="1:9" ht="14.25">
      <c r="A10">
        <v>320</v>
      </c>
      <c r="B10" s="199">
        <v>408</v>
      </c>
      <c r="C10" s="199" t="s">
        <v>275</v>
      </c>
      <c r="D10" s="194">
        <f>SUMIF(G:G,B:B,I:I)</f>
        <v>-14483354.76</v>
      </c>
      <c r="G10" s="201">
        <v>28181</v>
      </c>
      <c r="H10" s="201" t="s">
        <v>330</v>
      </c>
      <c r="I10" s="202">
        <v>-631359</v>
      </c>
    </row>
    <row r="11" spans="1:9" ht="14.25">
      <c r="A11">
        <v>321</v>
      </c>
      <c r="B11" s="199">
        <v>423</v>
      </c>
      <c r="C11" s="199" t="s">
        <v>338</v>
      </c>
      <c r="D11" s="194">
        <f>SUMIF(G:G,B:B,I:I)</f>
        <v>-53505</v>
      </c>
      <c r="G11" s="201">
        <v>28182</v>
      </c>
      <c r="H11" s="201" t="s">
        <v>150</v>
      </c>
      <c r="I11" s="202">
        <v>-411053</v>
      </c>
    </row>
    <row r="12" spans="1:9" ht="14.25">
      <c r="A12">
        <v>322</v>
      </c>
      <c r="B12" s="199">
        <v>431</v>
      </c>
      <c r="C12" s="199" t="s">
        <v>194</v>
      </c>
      <c r="D12" s="194">
        <f>SUMIF(G:G,B:B,I:I)</f>
        <v>-57198</v>
      </c>
      <c r="G12" s="201">
        <v>28183</v>
      </c>
      <c r="H12" s="201" t="s">
        <v>274</v>
      </c>
      <c r="I12" s="202">
        <v>-2313987</v>
      </c>
    </row>
    <row r="13" spans="1:9" ht="14.25">
      <c r="A13">
        <v>322</v>
      </c>
      <c r="B13" s="199">
        <v>442</v>
      </c>
      <c r="C13" s="199" t="s">
        <v>208</v>
      </c>
      <c r="D13" s="194">
        <f>SUMIF(G:G,B:B,I:I)</f>
        <v>-5607</v>
      </c>
      <c r="G13" s="201">
        <v>351</v>
      </c>
      <c r="H13" s="201" t="s">
        <v>356</v>
      </c>
      <c r="I13" s="202">
        <v>16058562.886</v>
      </c>
    </row>
    <row r="14" spans="1:9" ht="14.25">
      <c r="A14">
        <v>121</v>
      </c>
      <c r="B14" s="199">
        <v>4457</v>
      </c>
      <c r="C14" s="199" t="s">
        <v>277</v>
      </c>
      <c r="D14" s="194">
        <f>SUMIF(G:G,B:B,I:I)</f>
        <v>-384471.518</v>
      </c>
      <c r="G14" s="201">
        <v>381</v>
      </c>
      <c r="H14" s="201" t="s">
        <v>408</v>
      </c>
      <c r="I14" s="202">
        <v>1.16415321826935E-09</v>
      </c>
    </row>
    <row r="15" spans="1:9" ht="14.25">
      <c r="A15">
        <v>360</v>
      </c>
      <c r="B15" s="199">
        <v>455</v>
      </c>
      <c r="C15" s="199" t="s">
        <v>153</v>
      </c>
      <c r="D15" s="194">
        <f>SUMIF(G:G,B:B,I:I)</f>
        <v>3354.85399999842</v>
      </c>
      <c r="G15" s="201">
        <v>401</v>
      </c>
      <c r="H15" s="201" t="s">
        <v>146</v>
      </c>
      <c r="I15" s="202">
        <v>-9437529.56327998</v>
      </c>
    </row>
    <row r="16" spans="1:9" ht="14.25">
      <c r="A16">
        <v>360</v>
      </c>
      <c r="B16" s="199">
        <v>467</v>
      </c>
      <c r="C16" s="199" t="s">
        <v>318</v>
      </c>
      <c r="D16" s="194">
        <f>SUMIF(G:G,B:B,I:I)</f>
        <v>4550</v>
      </c>
      <c r="G16" s="201">
        <v>402</v>
      </c>
      <c r="H16" s="201" t="s">
        <v>491</v>
      </c>
      <c r="I16" s="202">
        <v>0</v>
      </c>
    </row>
    <row r="17" spans="1:9" ht="14.25">
      <c r="A17">
        <v>350</v>
      </c>
      <c r="B17" s="199">
        <v>468</v>
      </c>
      <c r="C17" s="199" t="s">
        <v>278</v>
      </c>
      <c r="D17" s="194">
        <f>SUMIF(G:G,B:B,I:I)</f>
        <v>-9850421.15</v>
      </c>
      <c r="G17" s="201">
        <v>408</v>
      </c>
      <c r="H17" s="201" t="s">
        <v>275</v>
      </c>
      <c r="I17" s="202">
        <v>-14483354.76</v>
      </c>
    </row>
    <row r="18" spans="1:9" ht="14.25">
      <c r="A18" s="199">
        <v>200</v>
      </c>
      <c r="B18" s="199">
        <v>2131</v>
      </c>
      <c r="C18" s="199" t="s">
        <v>279</v>
      </c>
      <c r="D18" s="194">
        <f>SUMIF(G:G,B:B,I:I)</f>
        <v>14812412.08</v>
      </c>
      <c r="G18" s="201">
        <v>409</v>
      </c>
      <c r="H18" s="201" t="s">
        <v>335</v>
      </c>
      <c r="I18" s="202">
        <v>0</v>
      </c>
    </row>
    <row r="19" spans="1:9" ht="14.25">
      <c r="A19" s="199">
        <v>200</v>
      </c>
      <c r="B19" s="199">
        <v>2132</v>
      </c>
      <c r="C19" s="199" t="s">
        <v>347</v>
      </c>
      <c r="D19" s="194">
        <f>SUMIF(G:G,B:B,I:I)</f>
        <v>3850005.6</v>
      </c>
      <c r="G19" s="201">
        <v>411</v>
      </c>
      <c r="H19" s="201" t="s">
        <v>319</v>
      </c>
      <c r="I19" s="202">
        <v>68570.0100000023</v>
      </c>
    </row>
    <row r="20" spans="1:9" ht="14.25">
      <c r="A20" s="199">
        <v>200</v>
      </c>
      <c r="B20" s="199">
        <v>2181</v>
      </c>
      <c r="C20" s="199" t="s">
        <v>281</v>
      </c>
      <c r="D20" s="194">
        <f>SUMIF(G:G,B:B,I:I)</f>
        <v>2049658.4</v>
      </c>
      <c r="G20" s="201">
        <v>412</v>
      </c>
      <c r="H20" s="201" t="s">
        <v>487</v>
      </c>
      <c r="I20" s="202">
        <v>6729.6</v>
      </c>
    </row>
    <row r="21" spans="1:9" ht="14.25">
      <c r="A21">
        <v>200</v>
      </c>
      <c r="B21" s="199">
        <v>2182</v>
      </c>
      <c r="C21" s="199" t="s">
        <v>149</v>
      </c>
      <c r="D21" s="194">
        <f>SUMIF(G:G,B:B,I:I)</f>
        <v>979381.29</v>
      </c>
      <c r="G21" s="201">
        <v>418</v>
      </c>
      <c r="H21" s="201" t="s">
        <v>492</v>
      </c>
      <c r="I21" s="202">
        <v>0</v>
      </c>
    </row>
    <row r="22" spans="1:9" ht="14.25">
      <c r="A22" s="199">
        <v>210</v>
      </c>
      <c r="B22" s="199">
        <v>2183</v>
      </c>
      <c r="C22" s="199" t="s">
        <v>274</v>
      </c>
      <c r="D22" s="194">
        <f>SUMIF(G:G,B:B,I:I)</f>
        <v>7530011.22</v>
      </c>
      <c r="G22" s="201">
        <v>421</v>
      </c>
      <c r="H22" s="201" t="s">
        <v>151</v>
      </c>
      <c r="I22" s="202">
        <v>11</v>
      </c>
    </row>
    <row r="23" spans="1:9" ht="14.25">
      <c r="A23">
        <v>130</v>
      </c>
      <c r="B23" s="199">
        <v>351</v>
      </c>
      <c r="C23" s="199" t="s">
        <v>356</v>
      </c>
      <c r="D23" s="194">
        <f>SUMIF(G:G,B:B,I:I)</f>
        <v>16058562.886</v>
      </c>
      <c r="G23" s="201">
        <v>423</v>
      </c>
      <c r="H23" s="201" t="s">
        <v>338</v>
      </c>
      <c r="I23" s="202">
        <v>-53505</v>
      </c>
    </row>
    <row r="24" spans="1:9" ht="14.25">
      <c r="A24">
        <v>120</v>
      </c>
      <c r="B24" s="199">
        <v>411</v>
      </c>
      <c r="C24" s="199" t="s">
        <v>319</v>
      </c>
      <c r="D24" s="194">
        <f>SUMIF(G:G,B:B,I:I)</f>
        <v>68570.0100000023</v>
      </c>
      <c r="G24" s="201">
        <v>431</v>
      </c>
      <c r="H24" s="201" t="s">
        <v>194</v>
      </c>
      <c r="I24" s="202">
        <v>-57198</v>
      </c>
    </row>
    <row r="25" spans="1:9" ht="14.25">
      <c r="A25">
        <v>120</v>
      </c>
      <c r="B25" s="199">
        <v>412</v>
      </c>
      <c r="C25" s="199" t="s">
        <v>487</v>
      </c>
      <c r="D25" s="194">
        <f>SUMIF(G:G,B:B,I:I)</f>
        <v>6729.6</v>
      </c>
      <c r="G25" s="201">
        <v>442</v>
      </c>
      <c r="H25" s="201" t="s">
        <v>208</v>
      </c>
      <c r="I25" s="202">
        <v>-5607</v>
      </c>
    </row>
    <row r="26" spans="1:9" ht="14.25">
      <c r="A26">
        <v>120</v>
      </c>
      <c r="B26" s="199">
        <v>421</v>
      </c>
      <c r="C26" s="199" t="s">
        <v>151</v>
      </c>
      <c r="D26" s="194">
        <f>SUMIF(G:G,B:B,I:I)</f>
        <v>11</v>
      </c>
      <c r="G26" s="201">
        <v>444</v>
      </c>
      <c r="H26" s="201" t="s">
        <v>210</v>
      </c>
      <c r="I26" s="202">
        <v>50000</v>
      </c>
    </row>
    <row r="27" spans="1:9" ht="14.25">
      <c r="A27">
        <v>121</v>
      </c>
      <c r="B27" s="199">
        <v>444</v>
      </c>
      <c r="C27" s="199" t="s">
        <v>210</v>
      </c>
      <c r="D27" s="194">
        <f>SUMIF(G:G,B:B,I:I)</f>
        <v>50000</v>
      </c>
      <c r="G27" s="201">
        <v>4456</v>
      </c>
      <c r="H27" s="201" t="s">
        <v>152</v>
      </c>
      <c r="I27" s="202">
        <v>1186652.62328</v>
      </c>
    </row>
    <row r="28" spans="1:9" ht="14.25">
      <c r="A28">
        <v>121</v>
      </c>
      <c r="B28" s="199">
        <v>4456</v>
      </c>
      <c r="C28" s="199" t="s">
        <v>152</v>
      </c>
      <c r="D28" s="194">
        <f>SUMIF(G:G,B:B,I:I)</f>
        <v>1186652.62328</v>
      </c>
      <c r="G28" s="201">
        <v>4457</v>
      </c>
      <c r="H28" s="201" t="s">
        <v>277</v>
      </c>
      <c r="I28" s="202">
        <v>-384471.518</v>
      </c>
    </row>
    <row r="29" spans="1:9" ht="14.25">
      <c r="A29">
        <v>360</v>
      </c>
      <c r="B29" s="199">
        <v>451</v>
      </c>
      <c r="C29" s="199" t="s">
        <v>488</v>
      </c>
      <c r="D29" s="194">
        <f>SUMIF(G:G,B:B,I:I)</f>
        <v>-1633814.4</v>
      </c>
      <c r="G29" s="201">
        <v>451</v>
      </c>
      <c r="H29" s="201" t="s">
        <v>488</v>
      </c>
      <c r="I29" s="202">
        <v>-1633814.4</v>
      </c>
    </row>
    <row r="30" spans="1:9" ht="14.25">
      <c r="A30">
        <v>360</v>
      </c>
      <c r="B30" s="199">
        <v>481</v>
      </c>
      <c r="C30" s="199" t="s">
        <v>489</v>
      </c>
      <c r="D30" s="194">
        <f>SUMIF(G:G,B:B,I:I)</f>
        <v>-32204.41</v>
      </c>
      <c r="G30" s="201">
        <v>455</v>
      </c>
      <c r="H30" s="201" t="s">
        <v>153</v>
      </c>
      <c r="I30" s="202">
        <v>3354.85399999842</v>
      </c>
    </row>
    <row r="31" spans="1:9" ht="14.25">
      <c r="A31">
        <v>360</v>
      </c>
      <c r="B31" s="199">
        <v>486</v>
      </c>
      <c r="C31" s="199" t="s">
        <v>361</v>
      </c>
      <c r="D31" s="194">
        <f>SUMIF(G:G,B:B,I:I)</f>
        <v>-2</v>
      </c>
      <c r="G31" s="201">
        <v>467</v>
      </c>
      <c r="H31" s="201" t="s">
        <v>318</v>
      </c>
      <c r="I31" s="202">
        <v>4550</v>
      </c>
    </row>
    <row r="32" spans="1:9" ht="14.25">
      <c r="A32">
        <v>100</v>
      </c>
      <c r="B32" s="199">
        <v>5121</v>
      </c>
      <c r="C32" s="199" t="s">
        <v>154</v>
      </c>
      <c r="D32" s="194">
        <f>SUMIF(G:G,B:B,I:I)</f>
        <v>497587.549999999</v>
      </c>
      <c r="G32" s="201">
        <v>4671</v>
      </c>
      <c r="H32" s="201" t="s">
        <v>493</v>
      </c>
      <c r="I32" s="202">
        <v>0</v>
      </c>
    </row>
    <row r="33" spans="1:9" ht="14.25">
      <c r="A33">
        <v>100</v>
      </c>
      <c r="B33" s="199">
        <v>5122</v>
      </c>
      <c r="C33" s="199" t="s">
        <v>155</v>
      </c>
      <c r="D33" s="194">
        <f>SUMIF(G:G,B:B,I:I)</f>
        <v>84297.2971000005</v>
      </c>
      <c r="G33" s="201">
        <v>468</v>
      </c>
      <c r="H33" s="201" t="s">
        <v>278</v>
      </c>
      <c r="I33" s="202">
        <v>-9850421.15</v>
      </c>
    </row>
    <row r="34" spans="1:9" ht="14.25">
      <c r="A34">
        <v>100</v>
      </c>
      <c r="B34" s="199">
        <v>5311</v>
      </c>
      <c r="C34" s="199" t="s">
        <v>365</v>
      </c>
      <c r="D34" s="194">
        <f>SUMIF(G:G,B:B,I:I)</f>
        <v>108921.67</v>
      </c>
      <c r="G34" s="201">
        <v>481</v>
      </c>
      <c r="H34" s="201" t="s">
        <v>489</v>
      </c>
      <c r="I34" s="202">
        <v>-32204.41</v>
      </c>
    </row>
    <row r="35" spans="1:9" ht="14.25">
      <c r="A35">
        <v>100</v>
      </c>
      <c r="B35" s="199">
        <v>5312</v>
      </c>
      <c r="C35" s="199" t="s">
        <v>218</v>
      </c>
      <c r="D35" s="194">
        <f>SUMIF(G:G,B:B,I:I)</f>
        <v>25404.24</v>
      </c>
      <c r="G35" s="201">
        <v>486</v>
      </c>
      <c r="H35" s="201" t="s">
        <v>361</v>
      </c>
      <c r="I35" s="202">
        <v>-2</v>
      </c>
    </row>
    <row r="36" spans="1:9" ht="14.25">
      <c r="A36">
        <v>100</v>
      </c>
      <c r="B36" s="199">
        <v>591</v>
      </c>
      <c r="C36" s="199" t="s">
        <v>490</v>
      </c>
      <c r="D36" s="194">
        <f>SUMIF(G:G,B:B,I:I)</f>
        <v>15000</v>
      </c>
      <c r="G36" s="201">
        <v>5121</v>
      </c>
      <c r="H36" s="201" t="s">
        <v>154</v>
      </c>
      <c r="I36" s="202">
        <v>497587.549999999</v>
      </c>
    </row>
    <row r="37" spans="7:9" ht="14.25">
      <c r="G37" s="201">
        <v>5122</v>
      </c>
      <c r="H37" s="201" t="s">
        <v>155</v>
      </c>
      <c r="I37" s="202">
        <v>84297.2971000005</v>
      </c>
    </row>
    <row r="38" spans="7:9" ht="14.25">
      <c r="G38" s="201">
        <v>5311</v>
      </c>
      <c r="H38" s="201" t="s">
        <v>365</v>
      </c>
      <c r="I38" s="202">
        <v>108921.67</v>
      </c>
    </row>
    <row r="39" spans="7:9" ht="14.25">
      <c r="G39" s="201">
        <v>5312</v>
      </c>
      <c r="H39" s="201" t="s">
        <v>218</v>
      </c>
      <c r="I39" s="202">
        <v>25404.24</v>
      </c>
    </row>
    <row r="40" spans="7:9" ht="14.25">
      <c r="G40" s="201">
        <v>581</v>
      </c>
      <c r="H40" s="201" t="s">
        <v>221</v>
      </c>
      <c r="I40" s="202">
        <v>-1.86264514923096E-09</v>
      </c>
    </row>
    <row r="41" spans="7:9" ht="14.25">
      <c r="G41" s="201">
        <v>582</v>
      </c>
      <c r="H41" s="201" t="s">
        <v>494</v>
      </c>
      <c r="I41" s="202">
        <v>0</v>
      </c>
    </row>
    <row r="42" spans="7:9" ht="14.25">
      <c r="G42" s="201">
        <v>583</v>
      </c>
      <c r="H42" s="201" t="s">
        <v>283</v>
      </c>
      <c r="I42" s="202">
        <v>-6.98491930961609E-10</v>
      </c>
    </row>
    <row r="43" spans="7:9" ht="14.25">
      <c r="G43" s="201">
        <v>591</v>
      </c>
      <c r="H43" s="201" t="s">
        <v>490</v>
      </c>
      <c r="I43" s="202">
        <v>15000</v>
      </c>
    </row>
  </sheetData>
  <sheetProtection/>
  <autoFilter ref="A1:I36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27.57421875" style="0" customWidth="1"/>
    <col min="3" max="3" width="15.8515625" style="0" customWidth="1"/>
    <col min="4" max="4" width="11.421875" style="0" customWidth="1"/>
    <col min="5" max="5" width="22.140625" style="0" customWidth="1"/>
    <col min="6" max="6" width="25.421875" style="0" customWidth="1"/>
    <col min="7" max="7" width="16.00390625" style="0" customWidth="1"/>
    <col min="8" max="8" width="3.00390625" style="0" customWidth="1"/>
    <col min="9" max="9" width="18.140625" style="0" bestFit="1" customWidth="1"/>
  </cols>
  <sheetData>
    <row r="1" ht="15" thickBot="1"/>
    <row r="2" spans="2:8" ht="27" thickTop="1">
      <c r="B2" s="233" t="s">
        <v>541</v>
      </c>
      <c r="C2" s="234" t="s">
        <v>72</v>
      </c>
      <c r="D2" s="234" t="s">
        <v>534</v>
      </c>
      <c r="E2" s="234" t="s">
        <v>535</v>
      </c>
      <c r="F2" s="234" t="s">
        <v>544</v>
      </c>
      <c r="G2" s="234" t="s">
        <v>46</v>
      </c>
      <c r="H2" s="235"/>
    </row>
    <row r="3" spans="2:8" ht="15">
      <c r="B3" s="236"/>
      <c r="C3" s="237"/>
      <c r="D3" s="237"/>
      <c r="E3" s="238"/>
      <c r="F3" s="238"/>
      <c r="G3" s="237"/>
      <c r="H3" s="239"/>
    </row>
    <row r="4" spans="2:8" ht="15">
      <c r="B4" s="236" t="s">
        <v>536</v>
      </c>
      <c r="C4" s="237"/>
      <c r="D4" s="237"/>
      <c r="E4" s="238"/>
      <c r="F4" s="238"/>
      <c r="G4" s="237"/>
      <c r="H4" s="239"/>
    </row>
    <row r="5" spans="2:8" ht="15">
      <c r="B5" s="236" t="s">
        <v>542</v>
      </c>
      <c r="C5" s="240">
        <v>0</v>
      </c>
      <c r="D5" s="240">
        <v>0</v>
      </c>
      <c r="E5" s="240">
        <v>18185958</v>
      </c>
      <c r="F5" s="240">
        <v>10631051</v>
      </c>
      <c r="G5" s="241">
        <f>SUM(C5:F5)</f>
        <v>28817009</v>
      </c>
      <c r="H5" s="239"/>
    </row>
    <row r="6" spans="2:8" ht="15">
      <c r="B6" s="242" t="s">
        <v>229</v>
      </c>
      <c r="C6" s="243"/>
      <c r="D6" s="243"/>
      <c r="E6" s="243"/>
      <c r="F6" s="243"/>
      <c r="G6" s="244">
        <f>SUM(C6:F6)</f>
        <v>0</v>
      </c>
      <c r="H6" s="239"/>
    </row>
    <row r="7" spans="2:8" ht="15">
      <c r="B7" s="242" t="s">
        <v>537</v>
      </c>
      <c r="C7" s="243"/>
      <c r="D7" s="243"/>
      <c r="E7" s="243"/>
      <c r="F7" s="243"/>
      <c r="G7" s="244">
        <f>SUM(C7:F7)</f>
        <v>0</v>
      </c>
      <c r="H7" s="239"/>
    </row>
    <row r="8" spans="2:8" ht="15">
      <c r="B8" s="242" t="s">
        <v>230</v>
      </c>
      <c r="C8" s="243"/>
      <c r="D8" s="243"/>
      <c r="E8" s="243"/>
      <c r="F8" s="243">
        <v>72000</v>
      </c>
      <c r="G8" s="244">
        <f>SUM(C8:F8)</f>
        <v>72000</v>
      </c>
      <c r="H8" s="239"/>
    </row>
    <row r="9" spans="2:8" ht="15">
      <c r="B9" s="245" t="s">
        <v>543</v>
      </c>
      <c r="C9" s="246">
        <f>+C5+C6+C8+C7</f>
        <v>0</v>
      </c>
      <c r="D9" s="246">
        <f>+D5+D6+D8+D7</f>
        <v>0</v>
      </c>
      <c r="E9" s="246">
        <f>+E5+E6+E8+E7</f>
        <v>18185958</v>
      </c>
      <c r="F9" s="246">
        <f>+F5+F6+F8+F7</f>
        <v>10703051</v>
      </c>
      <c r="G9" s="246">
        <f>+G5+G6+G8+G7</f>
        <v>28889009</v>
      </c>
      <c r="H9" s="239"/>
    </row>
    <row r="10" spans="2:8" ht="9" customHeight="1">
      <c r="B10" s="242"/>
      <c r="C10" s="243"/>
      <c r="D10" s="243"/>
      <c r="E10" s="243"/>
      <c r="F10" s="247"/>
      <c r="G10" s="244"/>
      <c r="H10" s="239"/>
    </row>
    <row r="11" spans="2:8" ht="15">
      <c r="B11" s="236" t="s">
        <v>538</v>
      </c>
      <c r="C11" s="244"/>
      <c r="D11" s="244"/>
      <c r="E11" s="247"/>
      <c r="F11" s="247"/>
      <c r="G11" s="244"/>
      <c r="H11" s="239"/>
    </row>
    <row r="12" spans="2:8" ht="15">
      <c r="B12" s="236" t="str">
        <f>+B5</f>
        <v>31.12.2012</v>
      </c>
      <c r="C12" s="246"/>
      <c r="D12" s="246"/>
      <c r="E12" s="246">
        <v>3336613</v>
      </c>
      <c r="F12" s="246">
        <v>1871510</v>
      </c>
      <c r="G12" s="241">
        <f>SUM(C12:F12)</f>
        <v>5208123</v>
      </c>
      <c r="H12" s="239"/>
    </row>
    <row r="13" spans="2:8" ht="15">
      <c r="B13" s="242" t="s">
        <v>539</v>
      </c>
      <c r="C13" s="243"/>
      <c r="D13" s="243"/>
      <c r="E13" s="243">
        <v>2586427</v>
      </c>
      <c r="F13" s="243">
        <v>1366647.12904689</v>
      </c>
      <c r="G13" s="247">
        <f>SUM(C13:F13)</f>
        <v>3953074.12904689</v>
      </c>
      <c r="H13" s="239"/>
    </row>
    <row r="14" spans="2:8" ht="15">
      <c r="B14" s="242" t="s">
        <v>230</v>
      </c>
      <c r="C14" s="243"/>
      <c r="D14" s="243"/>
      <c r="E14" s="243"/>
      <c r="F14" s="243">
        <v>-1890</v>
      </c>
      <c r="G14" s="247">
        <f>SUM(C14:F14)</f>
        <v>-1890</v>
      </c>
      <c r="H14" s="239"/>
    </row>
    <row r="15" spans="2:8" ht="15">
      <c r="B15" s="245" t="str">
        <f>+B9</f>
        <v>31.12.2013</v>
      </c>
      <c r="C15" s="241">
        <f>SUM(C12:C14)</f>
        <v>0</v>
      </c>
      <c r="D15" s="241">
        <f>SUM(D12:D14)</f>
        <v>0</v>
      </c>
      <c r="E15" s="241">
        <f>SUM(E12:E14)</f>
        <v>5923040</v>
      </c>
      <c r="F15" s="241">
        <f>SUM(F12:F14)</f>
        <v>3236267.12904689</v>
      </c>
      <c r="G15" s="241">
        <f>SUM(G12:G14)</f>
        <v>9159307.12904689</v>
      </c>
      <c r="H15" s="239"/>
    </row>
    <row r="16" spans="2:8" ht="7.5" customHeight="1">
      <c r="B16" s="245"/>
      <c r="C16" s="244"/>
      <c r="D16" s="244"/>
      <c r="E16" s="244"/>
      <c r="F16" s="244"/>
      <c r="G16" s="244"/>
      <c r="H16" s="239"/>
    </row>
    <row r="17" spans="2:8" ht="15">
      <c r="B17" s="236" t="s">
        <v>540</v>
      </c>
      <c r="C17" s="247"/>
      <c r="D17" s="247"/>
      <c r="E17" s="247"/>
      <c r="F17" s="247"/>
      <c r="G17" s="244"/>
      <c r="H17" s="239"/>
    </row>
    <row r="18" spans="2:8" ht="15.75" thickBot="1">
      <c r="B18" s="236" t="str">
        <f>+B5</f>
        <v>31.12.2012</v>
      </c>
      <c r="C18" s="248">
        <f>+C5-C12</f>
        <v>0</v>
      </c>
      <c r="D18" s="248">
        <f>+D5-D12</f>
        <v>0</v>
      </c>
      <c r="E18" s="248">
        <f>+E5-E12</f>
        <v>14849345</v>
      </c>
      <c r="F18" s="248">
        <f>+F5-F12</f>
        <v>8759541</v>
      </c>
      <c r="G18" s="248">
        <f>+G5-G12</f>
        <v>23608886</v>
      </c>
      <c r="H18" s="249"/>
    </row>
    <row r="19" spans="2:8" ht="5.25" customHeight="1" thickTop="1">
      <c r="B19" s="236"/>
      <c r="C19" s="247"/>
      <c r="D19" s="247"/>
      <c r="E19" s="247"/>
      <c r="F19" s="247"/>
      <c r="G19" s="244"/>
      <c r="H19" s="239"/>
    </row>
    <row r="20" spans="2:9" ht="15.75" thickBot="1">
      <c r="B20" s="245" t="str">
        <f>+B15</f>
        <v>31.12.2013</v>
      </c>
      <c r="C20" s="248">
        <f>+C9-C15</f>
        <v>0</v>
      </c>
      <c r="D20" s="248">
        <f>+D9-D15</f>
        <v>0</v>
      </c>
      <c r="E20" s="248">
        <f>+E9-E15</f>
        <v>12262918</v>
      </c>
      <c r="F20" s="248">
        <f>+F9-F15</f>
        <v>7466783.87095311</v>
      </c>
      <c r="G20" s="248">
        <f>+G9-G15</f>
        <v>19729701.87095311</v>
      </c>
      <c r="H20" s="249"/>
      <c r="I20" s="229">
        <f>+G20-BSH!E37-BSH!E38</f>
        <v>0.2809531083330512</v>
      </c>
    </row>
    <row r="21" spans="2:8" ht="16.5" thickBot="1" thickTop="1">
      <c r="B21" s="250"/>
      <c r="C21" s="251"/>
      <c r="D21" s="251"/>
      <c r="E21" s="251"/>
      <c r="F21" s="251"/>
      <c r="G21" s="251"/>
      <c r="H21" s="252"/>
    </row>
    <row r="22" ht="15" thickTop="1"/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B29" sqref="B29"/>
    </sheetView>
  </sheetViews>
  <sheetFormatPr defaultColWidth="9.140625" defaultRowHeight="15"/>
  <cols>
    <col min="10" max="10" width="11.57421875" style="0" bestFit="1" customWidth="1"/>
  </cols>
  <sheetData>
    <row r="1" spans="1:13" ht="14.25">
      <c r="A1" s="203" t="s">
        <v>168</v>
      </c>
      <c r="B1" s="203" t="s">
        <v>174</v>
      </c>
      <c r="C1" s="203" t="s">
        <v>369</v>
      </c>
      <c r="D1" s="203" t="s">
        <v>371</v>
      </c>
      <c r="E1" s="203" t="s">
        <v>658</v>
      </c>
      <c r="F1" s="203" t="s">
        <v>659</v>
      </c>
      <c r="G1" s="203" t="s">
        <v>660</v>
      </c>
      <c r="H1" s="203" t="s">
        <v>661</v>
      </c>
      <c r="I1" s="203" t="s">
        <v>662</v>
      </c>
      <c r="J1" s="203" t="s">
        <v>663</v>
      </c>
      <c r="K1" s="203" t="s">
        <v>664</v>
      </c>
      <c r="L1" s="203" t="s">
        <v>665</v>
      </c>
      <c r="M1" s="203" t="s">
        <v>666</v>
      </c>
    </row>
    <row r="2" spans="1:13" ht="14.25">
      <c r="A2" s="203"/>
      <c r="B2" s="203"/>
      <c r="C2" s="203" t="s">
        <v>418</v>
      </c>
      <c r="D2" s="203">
        <v>1</v>
      </c>
      <c r="E2" s="188" t="s">
        <v>667</v>
      </c>
      <c r="F2" s="203" t="s">
        <v>668</v>
      </c>
      <c r="G2" s="203">
        <v>1000</v>
      </c>
      <c r="H2" s="203">
        <v>1000</v>
      </c>
      <c r="I2" s="203">
        <v>1000</v>
      </c>
      <c r="J2" s="356">
        <v>1000</v>
      </c>
      <c r="K2" s="203" t="s">
        <v>669</v>
      </c>
      <c r="L2" s="203">
        <v>110</v>
      </c>
      <c r="M2" s="203" t="s">
        <v>670</v>
      </c>
    </row>
    <row r="3" spans="1:13" ht="14.25">
      <c r="A3" s="203"/>
      <c r="B3" s="203"/>
      <c r="C3" s="203" t="s">
        <v>434</v>
      </c>
      <c r="D3" s="203">
        <v>1</v>
      </c>
      <c r="E3" s="188" t="s">
        <v>671</v>
      </c>
      <c r="F3" s="203" t="s">
        <v>668</v>
      </c>
      <c r="G3" s="203">
        <v>5600</v>
      </c>
      <c r="H3" s="203">
        <v>5600</v>
      </c>
      <c r="I3" s="203">
        <v>5600</v>
      </c>
      <c r="J3" s="356">
        <v>5600</v>
      </c>
      <c r="K3" s="203" t="s">
        <v>669</v>
      </c>
      <c r="L3" s="203">
        <v>17</v>
      </c>
      <c r="M3" s="203" t="s">
        <v>672</v>
      </c>
    </row>
    <row r="4" spans="1:13" ht="14.25">
      <c r="A4" s="203"/>
      <c r="B4" s="203"/>
      <c r="C4" s="203" t="s">
        <v>434</v>
      </c>
      <c r="D4" s="203">
        <v>1</v>
      </c>
      <c r="E4" s="188" t="s">
        <v>673</v>
      </c>
      <c r="F4" s="203" t="s">
        <v>668</v>
      </c>
      <c r="G4" s="203">
        <v>6150</v>
      </c>
      <c r="H4" s="203">
        <v>6150</v>
      </c>
      <c r="I4" s="203">
        <v>6150</v>
      </c>
      <c r="J4" s="356">
        <v>6150</v>
      </c>
      <c r="K4" s="203" t="s">
        <v>669</v>
      </c>
      <c r="L4" s="203">
        <v>28</v>
      </c>
      <c r="M4" s="203" t="s">
        <v>674</v>
      </c>
    </row>
    <row r="5" spans="1:13" ht="14.25">
      <c r="A5" s="203"/>
      <c r="B5" s="203"/>
      <c r="C5" s="203" t="s">
        <v>434</v>
      </c>
      <c r="D5" s="203">
        <v>1</v>
      </c>
      <c r="E5" s="188" t="s">
        <v>675</v>
      </c>
      <c r="F5" s="203" t="s">
        <v>668</v>
      </c>
      <c r="G5" s="203">
        <v>6150</v>
      </c>
      <c r="H5" s="203">
        <v>6150</v>
      </c>
      <c r="I5" s="203">
        <v>6150</v>
      </c>
      <c r="J5" s="356">
        <v>6150</v>
      </c>
      <c r="K5" s="203" t="s">
        <v>669</v>
      </c>
      <c r="L5" s="203">
        <v>54</v>
      </c>
      <c r="M5" s="203" t="s">
        <v>676</v>
      </c>
    </row>
    <row r="6" spans="1:13" ht="14.25">
      <c r="A6" s="203"/>
      <c r="B6" s="203"/>
      <c r="C6" s="203" t="s">
        <v>434</v>
      </c>
      <c r="D6" s="203">
        <v>1</v>
      </c>
      <c r="E6" s="188" t="s">
        <v>677</v>
      </c>
      <c r="F6" s="203" t="s">
        <v>668</v>
      </c>
      <c r="G6" s="203">
        <v>90</v>
      </c>
      <c r="H6" s="203">
        <v>90</v>
      </c>
      <c r="I6" s="203">
        <v>90</v>
      </c>
      <c r="J6" s="356">
        <v>90</v>
      </c>
      <c r="K6" s="203" t="s">
        <v>669</v>
      </c>
      <c r="L6" s="203">
        <v>95</v>
      </c>
      <c r="M6" s="203" t="s">
        <v>678</v>
      </c>
    </row>
    <row r="7" spans="1:13" ht="14.25">
      <c r="A7" s="203"/>
      <c r="B7" s="203"/>
      <c r="C7" s="203" t="s">
        <v>434</v>
      </c>
      <c r="D7" s="203">
        <v>1</v>
      </c>
      <c r="E7" s="188" t="s">
        <v>679</v>
      </c>
      <c r="F7" s="203" t="s">
        <v>668</v>
      </c>
      <c r="G7" s="203">
        <v>16150</v>
      </c>
      <c r="H7" s="203">
        <v>16150</v>
      </c>
      <c r="I7" s="203">
        <v>16150</v>
      </c>
      <c r="J7" s="356">
        <v>16150</v>
      </c>
      <c r="K7" s="203" t="s">
        <v>669</v>
      </c>
      <c r="L7" s="203">
        <v>103</v>
      </c>
      <c r="M7" s="203" t="s">
        <v>680</v>
      </c>
    </row>
    <row r="8" spans="1:13" ht="14.25">
      <c r="A8" s="203"/>
      <c r="B8" s="203"/>
      <c r="C8" s="203" t="s">
        <v>434</v>
      </c>
      <c r="D8" s="203">
        <v>1</v>
      </c>
      <c r="E8" s="188" t="s">
        <v>681</v>
      </c>
      <c r="F8" s="203" t="s">
        <v>668</v>
      </c>
      <c r="G8" s="203">
        <v>5380</v>
      </c>
      <c r="H8" s="203">
        <v>5380</v>
      </c>
      <c r="I8" s="203">
        <v>5380</v>
      </c>
      <c r="J8" s="356">
        <v>5380</v>
      </c>
      <c r="K8" s="203" t="s">
        <v>669</v>
      </c>
      <c r="L8" s="203">
        <v>107</v>
      </c>
      <c r="M8" s="203" t="s">
        <v>682</v>
      </c>
    </row>
    <row r="9" spans="1:13" ht="14.25">
      <c r="A9" s="203"/>
      <c r="B9" s="203"/>
      <c r="C9" s="203" t="s">
        <v>434</v>
      </c>
      <c r="D9" s="203">
        <v>1</v>
      </c>
      <c r="E9" s="188" t="s">
        <v>683</v>
      </c>
      <c r="F9" s="203" t="s">
        <v>668</v>
      </c>
      <c r="G9" s="203">
        <v>3845</v>
      </c>
      <c r="H9" s="203">
        <v>3845</v>
      </c>
      <c r="I9" s="203">
        <v>3845</v>
      </c>
      <c r="J9" s="356">
        <v>3845</v>
      </c>
      <c r="K9" s="203" t="s">
        <v>669</v>
      </c>
      <c r="L9" s="203">
        <v>120</v>
      </c>
      <c r="M9" s="203" t="s">
        <v>684</v>
      </c>
    </row>
    <row r="10" spans="1:13" ht="14.25">
      <c r="A10" s="203"/>
      <c r="B10" s="203"/>
      <c r="C10" s="203" t="s">
        <v>434</v>
      </c>
      <c r="D10" s="203">
        <v>1</v>
      </c>
      <c r="E10" s="188" t="s">
        <v>685</v>
      </c>
      <c r="F10" s="203" t="s">
        <v>668</v>
      </c>
      <c r="G10" s="203">
        <v>1500</v>
      </c>
      <c r="H10" s="203">
        <v>1500</v>
      </c>
      <c r="I10" s="203">
        <v>1500</v>
      </c>
      <c r="J10" s="356">
        <v>1500</v>
      </c>
      <c r="K10" s="203" t="s">
        <v>669</v>
      </c>
      <c r="L10" s="203">
        <v>131</v>
      </c>
      <c r="M10" s="203" t="s">
        <v>686</v>
      </c>
    </row>
    <row r="11" spans="1:13" ht="14.25">
      <c r="A11" s="203"/>
      <c r="B11" s="203"/>
      <c r="C11" s="203" t="s">
        <v>434</v>
      </c>
      <c r="D11" s="203">
        <v>1</v>
      </c>
      <c r="E11" s="188" t="s">
        <v>687</v>
      </c>
      <c r="F11" s="203" t="s">
        <v>668</v>
      </c>
      <c r="G11" s="203">
        <v>3870</v>
      </c>
      <c r="H11" s="203">
        <v>3870</v>
      </c>
      <c r="I11" s="203">
        <v>3870</v>
      </c>
      <c r="J11" s="356">
        <v>3870</v>
      </c>
      <c r="K11" s="203" t="s">
        <v>669</v>
      </c>
      <c r="L11" s="203">
        <v>138</v>
      </c>
      <c r="M11" s="203" t="s">
        <v>688</v>
      </c>
    </row>
    <row r="12" spans="1:13" ht="14.25">
      <c r="A12" s="203"/>
      <c r="B12" s="203"/>
      <c r="C12" s="203" t="s">
        <v>434</v>
      </c>
      <c r="D12" s="203">
        <v>1</v>
      </c>
      <c r="E12" s="188" t="s">
        <v>689</v>
      </c>
      <c r="F12" s="203" t="s">
        <v>668</v>
      </c>
      <c r="G12" s="203">
        <v>5610</v>
      </c>
      <c r="H12" s="203">
        <v>5610</v>
      </c>
      <c r="I12" s="203">
        <v>5610</v>
      </c>
      <c r="J12" s="356">
        <v>5610</v>
      </c>
      <c r="K12" s="203" t="s">
        <v>669</v>
      </c>
      <c r="L12" s="203">
        <v>140</v>
      </c>
      <c r="M12" s="203" t="s">
        <v>690</v>
      </c>
    </row>
    <row r="13" spans="1:13" ht="14.25">
      <c r="A13" s="203"/>
      <c r="B13" s="203"/>
      <c r="C13" s="203" t="s">
        <v>434</v>
      </c>
      <c r="D13" s="203">
        <v>1</v>
      </c>
      <c r="E13" s="188" t="s">
        <v>691</v>
      </c>
      <c r="F13" s="203" t="s">
        <v>668</v>
      </c>
      <c r="G13" s="203">
        <v>7690</v>
      </c>
      <c r="H13" s="203">
        <v>7690</v>
      </c>
      <c r="I13" s="203">
        <v>7690</v>
      </c>
      <c r="J13" s="356">
        <v>7690</v>
      </c>
      <c r="K13" s="203" t="s">
        <v>669</v>
      </c>
      <c r="L13" s="203">
        <v>170</v>
      </c>
      <c r="M13" s="203" t="s">
        <v>692</v>
      </c>
    </row>
    <row r="14" spans="1:13" ht="14.25">
      <c r="A14" s="203"/>
      <c r="B14" s="203"/>
      <c r="C14" s="203" t="s">
        <v>434</v>
      </c>
      <c r="D14" s="203">
        <v>1</v>
      </c>
      <c r="E14" s="188" t="s">
        <v>693</v>
      </c>
      <c r="F14" s="203" t="s">
        <v>668</v>
      </c>
      <c r="G14" s="203">
        <v>1500</v>
      </c>
      <c r="H14" s="203">
        <v>1500</v>
      </c>
      <c r="I14" s="203">
        <v>1500</v>
      </c>
      <c r="J14" s="356">
        <v>1500</v>
      </c>
      <c r="K14" s="203" t="s">
        <v>669</v>
      </c>
      <c r="L14" s="203">
        <v>227</v>
      </c>
      <c r="M14" s="203" t="s">
        <v>694</v>
      </c>
    </row>
    <row r="15" spans="1:13" ht="14.25">
      <c r="A15" s="203"/>
      <c r="B15" s="203"/>
      <c r="C15" s="203" t="s">
        <v>434</v>
      </c>
      <c r="D15" s="203">
        <v>1</v>
      </c>
      <c r="E15" s="188" t="s">
        <v>695</v>
      </c>
      <c r="F15" s="203" t="s">
        <v>668</v>
      </c>
      <c r="G15" s="203">
        <v>13850</v>
      </c>
      <c r="H15" s="203">
        <v>13850</v>
      </c>
      <c r="I15" s="203">
        <v>13850</v>
      </c>
      <c r="J15" s="356">
        <v>13850</v>
      </c>
      <c r="K15" s="203" t="s">
        <v>669</v>
      </c>
      <c r="L15" s="203">
        <v>262</v>
      </c>
      <c r="M15" s="203" t="s">
        <v>696</v>
      </c>
    </row>
    <row r="16" spans="1:13" ht="14.25">
      <c r="A16" s="203"/>
      <c r="B16" s="203"/>
      <c r="C16" s="203" t="s">
        <v>434</v>
      </c>
      <c r="D16" s="203">
        <v>1</v>
      </c>
      <c r="E16" s="188" t="s">
        <v>697</v>
      </c>
      <c r="F16" s="203" t="s">
        <v>668</v>
      </c>
      <c r="G16" s="203">
        <v>27690</v>
      </c>
      <c r="H16" s="203">
        <v>27690</v>
      </c>
      <c r="I16" s="203">
        <v>27690</v>
      </c>
      <c r="J16" s="356">
        <v>27690</v>
      </c>
      <c r="K16" s="203" t="s">
        <v>669</v>
      </c>
      <c r="L16" s="203">
        <v>299</v>
      </c>
      <c r="M16" s="203" t="s">
        <v>698</v>
      </c>
    </row>
    <row r="17" spans="1:13" ht="14.25">
      <c r="A17" s="203"/>
      <c r="B17" s="203"/>
      <c r="C17" s="203" t="s">
        <v>434</v>
      </c>
      <c r="D17" s="203">
        <v>1</v>
      </c>
      <c r="E17" s="188" t="s">
        <v>699</v>
      </c>
      <c r="F17" s="203" t="s">
        <v>668</v>
      </c>
      <c r="G17" s="203">
        <v>5260</v>
      </c>
      <c r="H17" s="203">
        <v>5260</v>
      </c>
      <c r="I17" s="203">
        <v>5260</v>
      </c>
      <c r="J17" s="356">
        <v>5260</v>
      </c>
      <c r="K17" s="203" t="s">
        <v>669</v>
      </c>
      <c r="L17" s="203">
        <v>376</v>
      </c>
      <c r="M17" s="203" t="s">
        <v>700</v>
      </c>
    </row>
    <row r="18" spans="1:13" ht="14.25">
      <c r="A18" s="203"/>
      <c r="B18" s="203"/>
      <c r="C18" s="203" t="s">
        <v>434</v>
      </c>
      <c r="D18" s="203">
        <v>1</v>
      </c>
      <c r="E18" s="188" t="s">
        <v>701</v>
      </c>
      <c r="F18" s="203" t="s">
        <v>668</v>
      </c>
      <c r="G18" s="203">
        <v>800</v>
      </c>
      <c r="H18" s="203">
        <v>800</v>
      </c>
      <c r="I18" s="203">
        <v>800</v>
      </c>
      <c r="J18" s="356">
        <v>800</v>
      </c>
      <c r="K18" s="203" t="s">
        <v>669</v>
      </c>
      <c r="L18" s="203">
        <v>384</v>
      </c>
      <c r="M18" s="203" t="s">
        <v>702</v>
      </c>
    </row>
    <row r="19" spans="1:13" ht="14.25">
      <c r="A19" s="203"/>
      <c r="B19" s="203"/>
      <c r="C19" s="203" t="s">
        <v>434</v>
      </c>
      <c r="D19" s="203">
        <v>1</v>
      </c>
      <c r="E19" s="188" t="s">
        <v>703</v>
      </c>
      <c r="F19" s="203" t="s">
        <v>668</v>
      </c>
      <c r="G19" s="203">
        <v>1000</v>
      </c>
      <c r="H19" s="203">
        <v>1000</v>
      </c>
      <c r="I19" s="203">
        <v>1000</v>
      </c>
      <c r="J19" s="356">
        <v>1000</v>
      </c>
      <c r="K19" s="203" t="s">
        <v>669</v>
      </c>
      <c r="L19" s="203">
        <v>414</v>
      </c>
      <c r="M19" s="203" t="s">
        <v>704</v>
      </c>
    </row>
    <row r="20" spans="1:13" ht="14.25">
      <c r="A20" s="203"/>
      <c r="B20" s="203"/>
      <c r="C20" s="203" t="s">
        <v>461</v>
      </c>
      <c r="D20" s="203">
        <v>1</v>
      </c>
      <c r="E20" s="188" t="s">
        <v>705</v>
      </c>
      <c r="F20" s="203" t="s">
        <v>668</v>
      </c>
      <c r="G20" s="203">
        <v>2000</v>
      </c>
      <c r="H20" s="203">
        <v>2000</v>
      </c>
      <c r="I20" s="203">
        <v>2000</v>
      </c>
      <c r="J20" s="356">
        <v>2000</v>
      </c>
      <c r="K20" s="203" t="s">
        <v>669</v>
      </c>
      <c r="L20" s="203">
        <v>3</v>
      </c>
      <c r="M20" s="203" t="s">
        <v>706</v>
      </c>
    </row>
    <row r="21" spans="1:13" ht="14.25">
      <c r="A21" s="203"/>
      <c r="B21" s="203"/>
      <c r="C21" s="203" t="s">
        <v>461</v>
      </c>
      <c r="D21" s="203">
        <v>1</v>
      </c>
      <c r="E21" s="188" t="s">
        <v>707</v>
      </c>
      <c r="F21" s="203" t="s">
        <v>668</v>
      </c>
      <c r="G21" s="203">
        <v>330</v>
      </c>
      <c r="H21" s="203">
        <v>330</v>
      </c>
      <c r="I21" s="203">
        <v>330</v>
      </c>
      <c r="J21" s="356">
        <v>330</v>
      </c>
      <c r="K21" s="203" t="s">
        <v>669</v>
      </c>
      <c r="L21" s="203">
        <v>59</v>
      </c>
      <c r="M21" s="203" t="s">
        <v>708</v>
      </c>
    </row>
    <row r="22" spans="1:13" ht="14.25">
      <c r="A22" s="203"/>
      <c r="B22" s="203"/>
      <c r="C22" s="203" t="s">
        <v>461</v>
      </c>
      <c r="D22" s="203">
        <v>1</v>
      </c>
      <c r="E22" s="188" t="s">
        <v>709</v>
      </c>
      <c r="F22" s="203" t="s">
        <v>668</v>
      </c>
      <c r="G22" s="203">
        <v>808</v>
      </c>
      <c r="H22" s="203">
        <v>808</v>
      </c>
      <c r="I22" s="203">
        <v>808</v>
      </c>
      <c r="J22" s="356">
        <v>808</v>
      </c>
      <c r="K22" s="203" t="s">
        <v>669</v>
      </c>
      <c r="L22" s="203">
        <v>201</v>
      </c>
      <c r="M22" s="203" t="s">
        <v>710</v>
      </c>
    </row>
    <row r="23" spans="1:13" ht="14.25">
      <c r="A23" s="203"/>
      <c r="B23" s="203"/>
      <c r="C23" s="203" t="s">
        <v>461</v>
      </c>
      <c r="D23" s="203">
        <v>1</v>
      </c>
      <c r="E23" s="188" t="s">
        <v>711</v>
      </c>
      <c r="F23" s="203" t="s">
        <v>668</v>
      </c>
      <c r="G23" s="203">
        <v>2000</v>
      </c>
      <c r="H23" s="203">
        <v>2000</v>
      </c>
      <c r="I23" s="203">
        <v>2000</v>
      </c>
      <c r="J23" s="356">
        <v>2000</v>
      </c>
      <c r="K23" s="203" t="s">
        <v>669</v>
      </c>
      <c r="L23" s="203">
        <v>337</v>
      </c>
      <c r="M23" s="203" t="s">
        <v>712</v>
      </c>
    </row>
    <row r="24" spans="1:13" ht="14.25">
      <c r="A24" s="203"/>
      <c r="B24" s="203"/>
      <c r="C24" s="203" t="s">
        <v>461</v>
      </c>
      <c r="D24" s="203">
        <v>1</v>
      </c>
      <c r="E24" s="188" t="s">
        <v>713</v>
      </c>
      <c r="F24" s="203" t="s">
        <v>668</v>
      </c>
      <c r="G24" s="203">
        <v>1300</v>
      </c>
      <c r="H24" s="203">
        <v>1300</v>
      </c>
      <c r="I24" s="203">
        <v>1300</v>
      </c>
      <c r="J24" s="356">
        <v>1300</v>
      </c>
      <c r="K24" s="203" t="s">
        <v>669</v>
      </c>
      <c r="L24" s="203">
        <v>344</v>
      </c>
      <c r="M24" s="203" t="s">
        <v>714</v>
      </c>
    </row>
    <row r="25" spans="1:13" ht="14.25">
      <c r="A25" s="203"/>
      <c r="B25" s="203"/>
      <c r="C25" s="203" t="s">
        <v>461</v>
      </c>
      <c r="D25" s="203">
        <v>1</v>
      </c>
      <c r="E25" s="188" t="s">
        <v>715</v>
      </c>
      <c r="F25" s="203" t="s">
        <v>668</v>
      </c>
      <c r="G25" s="203">
        <v>2000</v>
      </c>
      <c r="H25" s="203">
        <v>2000</v>
      </c>
      <c r="I25" s="203">
        <v>2000</v>
      </c>
      <c r="J25" s="356">
        <v>2000</v>
      </c>
      <c r="K25" s="203" t="s">
        <v>669</v>
      </c>
      <c r="L25" s="203">
        <v>355</v>
      </c>
      <c r="M25" s="203" t="s">
        <v>716</v>
      </c>
    </row>
    <row r="26" spans="1:13" ht="14.25">
      <c r="A26" s="203"/>
      <c r="B26" s="203"/>
      <c r="C26" s="203" t="s">
        <v>461</v>
      </c>
      <c r="D26" s="203">
        <v>1</v>
      </c>
      <c r="E26" s="188" t="s">
        <v>717</v>
      </c>
      <c r="F26" s="203" t="s">
        <v>668</v>
      </c>
      <c r="G26" s="203">
        <v>3310</v>
      </c>
      <c r="H26" s="203">
        <v>3310</v>
      </c>
      <c r="I26" s="203">
        <v>3310</v>
      </c>
      <c r="J26" s="356">
        <v>3310</v>
      </c>
      <c r="K26" s="203" t="s">
        <v>669</v>
      </c>
      <c r="L26" s="203">
        <v>357</v>
      </c>
      <c r="M26" s="203" t="s">
        <v>718</v>
      </c>
    </row>
    <row r="27" spans="1:13" ht="14.25">
      <c r="A27" s="203"/>
      <c r="B27" s="203"/>
      <c r="C27" s="203" t="s">
        <v>461</v>
      </c>
      <c r="D27" s="203">
        <v>1</v>
      </c>
      <c r="E27" s="188" t="s">
        <v>717</v>
      </c>
      <c r="F27" s="203" t="s">
        <v>668</v>
      </c>
      <c r="G27" s="203">
        <v>8655</v>
      </c>
      <c r="H27" s="203">
        <v>8655</v>
      </c>
      <c r="I27" s="203">
        <v>8655</v>
      </c>
      <c r="J27" s="356">
        <v>8655</v>
      </c>
      <c r="K27" s="203" t="s">
        <v>669</v>
      </c>
      <c r="L27" s="203">
        <v>358</v>
      </c>
      <c r="M27" s="203" t="s">
        <v>719</v>
      </c>
    </row>
    <row r="28" spans="1:13" ht="14.25">
      <c r="A28" s="203"/>
      <c r="B28" s="203"/>
      <c r="C28" s="203" t="s">
        <v>461</v>
      </c>
      <c r="D28" s="203">
        <v>1</v>
      </c>
      <c r="E28" s="188" t="s">
        <v>720</v>
      </c>
      <c r="F28" s="203" t="s">
        <v>668</v>
      </c>
      <c r="G28" s="203">
        <v>1440</v>
      </c>
      <c r="H28" s="203">
        <v>1440</v>
      </c>
      <c r="I28" s="203">
        <v>1440</v>
      </c>
      <c r="J28" s="356">
        <v>1440</v>
      </c>
      <c r="K28" s="203" t="s">
        <v>669</v>
      </c>
      <c r="L28" s="203">
        <v>360</v>
      </c>
      <c r="M28" s="203" t="s">
        <v>721</v>
      </c>
    </row>
    <row r="29" spans="1:13" ht="14.25">
      <c r="A29" s="203"/>
      <c r="B29" s="203"/>
      <c r="C29" s="203" t="s">
        <v>461</v>
      </c>
      <c r="D29" s="203">
        <v>1</v>
      </c>
      <c r="E29" s="188" t="s">
        <v>722</v>
      </c>
      <c r="F29" s="203" t="s">
        <v>668</v>
      </c>
      <c r="G29" s="203">
        <v>800</v>
      </c>
      <c r="H29" s="203">
        <v>800</v>
      </c>
      <c r="I29" s="203">
        <v>800</v>
      </c>
      <c r="J29" s="356">
        <v>800</v>
      </c>
      <c r="K29" s="203" t="s">
        <v>669</v>
      </c>
      <c r="L29" s="203">
        <v>373</v>
      </c>
      <c r="M29" s="203" t="s">
        <v>723</v>
      </c>
    </row>
    <row r="30" spans="1:13" ht="14.25">
      <c r="A30" s="203"/>
      <c r="B30" s="203"/>
      <c r="C30" s="203" t="s">
        <v>461</v>
      </c>
      <c r="D30" s="203">
        <v>1</v>
      </c>
      <c r="E30" s="188" t="s">
        <v>724</v>
      </c>
      <c r="F30" s="203" t="s">
        <v>668</v>
      </c>
      <c r="G30" s="203">
        <v>360</v>
      </c>
      <c r="H30" s="203">
        <v>360</v>
      </c>
      <c r="I30" s="203">
        <v>360</v>
      </c>
      <c r="J30" s="356">
        <v>360</v>
      </c>
      <c r="K30" s="203" t="s">
        <v>669</v>
      </c>
      <c r="L30" s="203">
        <v>379</v>
      </c>
      <c r="M30" s="203" t="s">
        <v>725</v>
      </c>
    </row>
    <row r="31" spans="1:13" ht="14.25">
      <c r="A31" s="203"/>
      <c r="B31" s="203"/>
      <c r="C31" s="203" t="s">
        <v>461</v>
      </c>
      <c r="D31" s="203">
        <v>1</v>
      </c>
      <c r="E31" s="188" t="s">
        <v>726</v>
      </c>
      <c r="F31" s="203" t="s">
        <v>668</v>
      </c>
      <c r="G31" s="203">
        <v>200</v>
      </c>
      <c r="H31" s="203">
        <v>200</v>
      </c>
      <c r="I31" s="203">
        <v>200</v>
      </c>
      <c r="J31" s="356">
        <v>200</v>
      </c>
      <c r="K31" s="203" t="s">
        <v>669</v>
      </c>
      <c r="L31" s="203">
        <v>388</v>
      </c>
      <c r="M31" s="203" t="s">
        <v>727</v>
      </c>
    </row>
    <row r="32" spans="1:13" ht="14.25">
      <c r="A32" s="203"/>
      <c r="B32" s="203"/>
      <c r="C32" s="203"/>
      <c r="D32" s="203"/>
      <c r="E32" s="203"/>
      <c r="F32" s="203"/>
      <c r="G32" s="203"/>
      <c r="H32" s="203"/>
      <c r="I32" s="203"/>
      <c r="J32" s="357">
        <v>136338</v>
      </c>
      <c r="K32" s="203"/>
      <c r="L32" s="203"/>
      <c r="M32" s="20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PageLayoutView="0" workbookViewId="0" topLeftCell="A63">
      <selection activeCell="E158" sqref="E158"/>
    </sheetView>
  </sheetViews>
  <sheetFormatPr defaultColWidth="9.140625" defaultRowHeight="15"/>
  <cols>
    <col min="1" max="1" width="8.8515625" style="88" customWidth="1"/>
    <col min="2" max="2" width="4.00390625" style="88" bestFit="1" customWidth="1"/>
    <col min="3" max="3" width="48.8515625" style="88" customWidth="1"/>
    <col min="4" max="4" width="8.421875" style="88" customWidth="1"/>
    <col min="5" max="5" width="16.28125" style="88" customWidth="1"/>
    <col min="6" max="6" width="15.8515625" style="88" customWidth="1"/>
    <col min="7" max="7" width="14.57421875" style="88" hidden="1" customWidth="1"/>
    <col min="8" max="8" width="0" style="88" hidden="1" customWidth="1"/>
    <col min="9" max="9" width="12.00390625" style="88" hidden="1" customWidth="1"/>
    <col min="10" max="10" width="11.00390625" style="88" hidden="1" customWidth="1"/>
    <col min="11" max="15" width="0" style="88" hidden="1" customWidth="1"/>
    <col min="16" max="16" width="15.8515625" style="88" customWidth="1"/>
    <col min="17" max="17" width="9.8515625" style="88" bestFit="1" customWidth="1"/>
    <col min="18" max="16384" width="8.8515625" style="88" customWidth="1"/>
  </cols>
  <sheetData>
    <row r="1" spans="2:7" ht="32.25" customHeight="1" thickBot="1">
      <c r="B1" s="86"/>
      <c r="C1" s="87" t="s">
        <v>320</v>
      </c>
      <c r="D1" s="384" t="s">
        <v>284</v>
      </c>
      <c r="E1" s="384"/>
      <c r="F1" s="384"/>
      <c r="G1" s="384"/>
    </row>
    <row r="2" spans="2:16" ht="12.75" customHeight="1" thickBot="1">
      <c r="B2" s="89"/>
      <c r="C2" s="90" t="s">
        <v>36</v>
      </c>
      <c r="D2" s="91" t="s">
        <v>3</v>
      </c>
      <c r="E2" s="380">
        <v>41639</v>
      </c>
      <c r="F2" s="354" t="s">
        <v>657</v>
      </c>
      <c r="G2" s="382" t="s">
        <v>37</v>
      </c>
      <c r="J2" s="94"/>
      <c r="P2" s="354" t="s">
        <v>657</v>
      </c>
    </row>
    <row r="3" spans="2:16" ht="14.25" customHeight="1">
      <c r="B3" s="92" t="s">
        <v>38</v>
      </c>
      <c r="C3" s="6" t="s">
        <v>39</v>
      </c>
      <c r="D3" s="8"/>
      <c r="E3" s="381"/>
      <c r="F3" s="355">
        <v>41306</v>
      </c>
      <c r="G3" s="383"/>
      <c r="J3" s="94">
        <f>F3-G3</f>
        <v>41306</v>
      </c>
      <c r="P3" s="355">
        <v>41274</v>
      </c>
    </row>
    <row r="4" spans="2:16" ht="14.25" customHeight="1">
      <c r="B4" s="92" t="s">
        <v>40</v>
      </c>
      <c r="C4" s="8" t="s">
        <v>41</v>
      </c>
      <c r="D4" s="8"/>
      <c r="E4" s="8"/>
      <c r="F4" s="8"/>
      <c r="G4" s="93"/>
      <c r="J4" s="94">
        <f>F4-G4</f>
        <v>0</v>
      </c>
      <c r="P4" s="8"/>
    </row>
    <row r="5" spans="1:17" ht="14.25" customHeight="1">
      <c r="A5" s="88">
        <v>100</v>
      </c>
      <c r="B5" s="92">
        <v>1</v>
      </c>
      <c r="C5" s="8" t="s">
        <v>42</v>
      </c>
      <c r="D5" s="95">
        <v>2.2</v>
      </c>
      <c r="E5" s="177">
        <f>SUMIF(Sheet2!A:A,BSH!A:A,Sheet2!D:D)</f>
        <v>731210.7570999996</v>
      </c>
      <c r="F5" s="177">
        <f>F141+F143+F144+H142</f>
        <v>519957.6345000003</v>
      </c>
      <c r="G5" s="8">
        <v>7038474</v>
      </c>
      <c r="J5" s="94">
        <f aca="true" t="shared" si="0" ref="J5:J61">F5-G5</f>
        <v>-6518516.365499999</v>
      </c>
      <c r="P5" s="177">
        <v>519957.6345000003</v>
      </c>
      <c r="Q5" s="128"/>
    </row>
    <row r="6" spans="2:17" ht="14.25" customHeight="1">
      <c r="B6" s="92">
        <v>2</v>
      </c>
      <c r="C6" s="8" t="s">
        <v>43</v>
      </c>
      <c r="D6" s="95"/>
      <c r="E6" s="8"/>
      <c r="F6" s="8"/>
      <c r="G6" s="8"/>
      <c r="J6" s="94">
        <f t="shared" si="0"/>
        <v>0</v>
      </c>
      <c r="P6" s="8"/>
      <c r="Q6" s="128"/>
    </row>
    <row r="7" spans="2:17" ht="14.25" customHeight="1">
      <c r="B7" s="96" t="s">
        <v>12</v>
      </c>
      <c r="C7" s="7" t="s">
        <v>44</v>
      </c>
      <c r="D7" s="95"/>
      <c r="E7" s="7"/>
      <c r="F7" s="7"/>
      <c r="G7" s="7"/>
      <c r="J7" s="94">
        <f t="shared" si="0"/>
        <v>0</v>
      </c>
      <c r="P7" s="7"/>
      <c r="Q7" s="128"/>
    </row>
    <row r="8" spans="2:17" ht="14.25" customHeight="1">
      <c r="B8" s="96" t="s">
        <v>14</v>
      </c>
      <c r="C8" s="7" t="s">
        <v>45</v>
      </c>
      <c r="D8" s="95"/>
      <c r="E8" s="7"/>
      <c r="F8" s="7"/>
      <c r="G8" s="7"/>
      <c r="J8" s="94">
        <f t="shared" si="0"/>
        <v>0</v>
      </c>
      <c r="P8" s="7"/>
      <c r="Q8" s="128"/>
    </row>
    <row r="9" spans="2:17" ht="14.25" customHeight="1">
      <c r="B9" s="97"/>
      <c r="C9" s="9" t="s">
        <v>46</v>
      </c>
      <c r="D9" s="98"/>
      <c r="E9" s="10">
        <f>SUM(E5:E8)</f>
        <v>731210.7570999996</v>
      </c>
      <c r="F9" s="10">
        <f>SUM(F5:F8)</f>
        <v>519957.6345000003</v>
      </c>
      <c r="G9" s="10">
        <f>SUM(G5:G8)</f>
        <v>7038474</v>
      </c>
      <c r="J9" s="94">
        <f t="shared" si="0"/>
        <v>-6518516.365499999</v>
      </c>
      <c r="P9" s="10">
        <v>519957.6345000003</v>
      </c>
      <c r="Q9" s="128"/>
    </row>
    <row r="10" spans="2:17" ht="14.25" customHeight="1">
      <c r="B10" s="92">
        <v>3</v>
      </c>
      <c r="C10" s="8" t="s">
        <v>47</v>
      </c>
      <c r="D10" s="95"/>
      <c r="E10" s="8"/>
      <c r="F10" s="8"/>
      <c r="G10" s="8"/>
      <c r="J10" s="94">
        <f t="shared" si="0"/>
        <v>0</v>
      </c>
      <c r="P10" s="8"/>
      <c r="Q10" s="128"/>
    </row>
    <row r="11" spans="1:17" ht="14.25" customHeight="1">
      <c r="A11" s="88">
        <v>120</v>
      </c>
      <c r="B11" s="96" t="s">
        <v>12</v>
      </c>
      <c r="C11" s="7" t="s">
        <v>48</v>
      </c>
      <c r="D11" s="95"/>
      <c r="E11" s="7">
        <f>SUMIF(Sheet2!A:A,BSH!A:A,Sheet2!D:D)</f>
        <v>75310.6100000023</v>
      </c>
      <c r="F11" s="7">
        <f>F137+F145</f>
        <v>57080.4399999999</v>
      </c>
      <c r="G11" s="7">
        <v>11320</v>
      </c>
      <c r="J11" s="94">
        <f t="shared" si="0"/>
        <v>45760.4399999999</v>
      </c>
      <c r="P11" s="7">
        <v>57080.4399999999</v>
      </c>
      <c r="Q11" s="128"/>
    </row>
    <row r="12" spans="1:17" ht="14.25" customHeight="1">
      <c r="A12" s="88">
        <v>121</v>
      </c>
      <c r="B12" s="96" t="s">
        <v>14</v>
      </c>
      <c r="C12" s="7" t="s">
        <v>49</v>
      </c>
      <c r="D12" s="95">
        <v>2.3</v>
      </c>
      <c r="E12" s="7">
        <f>SUMIF(Sheet2!A:A,BSH!A:A,Sheet2!D:D)</f>
        <v>852181.10528</v>
      </c>
      <c r="F12" s="7">
        <f>F139-F123+F138+F140</f>
        <v>717405.60228</v>
      </c>
      <c r="G12" s="7">
        <v>64943</v>
      </c>
      <c r="J12" s="94">
        <f t="shared" si="0"/>
        <v>652462.60228</v>
      </c>
      <c r="P12" s="7">
        <v>717405.60228</v>
      </c>
      <c r="Q12" s="128"/>
    </row>
    <row r="13" spans="2:17" ht="14.25" customHeight="1">
      <c r="B13" s="96" t="s">
        <v>16</v>
      </c>
      <c r="C13" s="7" t="s">
        <v>50</v>
      </c>
      <c r="D13" s="95"/>
      <c r="E13" s="7"/>
      <c r="F13" s="7"/>
      <c r="G13" s="7"/>
      <c r="J13" s="94">
        <f t="shared" si="0"/>
        <v>0</v>
      </c>
      <c r="P13" s="7"/>
      <c r="Q13" s="128"/>
    </row>
    <row r="14" spans="2:17" ht="14.25" customHeight="1">
      <c r="B14" s="96" t="s">
        <v>51</v>
      </c>
      <c r="C14" s="7" t="s">
        <v>52</v>
      </c>
      <c r="D14" s="95"/>
      <c r="E14" s="7"/>
      <c r="F14" s="7"/>
      <c r="G14" s="7"/>
      <c r="J14" s="94">
        <f t="shared" si="0"/>
        <v>0</v>
      </c>
      <c r="P14" s="7"/>
      <c r="Q14" s="128"/>
    </row>
    <row r="15" spans="2:17" ht="14.25" customHeight="1">
      <c r="B15" s="99"/>
      <c r="C15" s="9" t="s">
        <v>46</v>
      </c>
      <c r="D15" s="98"/>
      <c r="E15" s="10">
        <f>SUM(E11:E14)</f>
        <v>927491.7152800023</v>
      </c>
      <c r="F15" s="10">
        <f>SUM(F11:F14)</f>
        <v>774486.0422799999</v>
      </c>
      <c r="G15" s="10">
        <f>SUM(G11:G14)</f>
        <v>76263</v>
      </c>
      <c r="J15" s="94">
        <f t="shared" si="0"/>
        <v>698223.0422799999</v>
      </c>
      <c r="P15" s="10">
        <v>774486.0422799999</v>
      </c>
      <c r="Q15" s="128"/>
    </row>
    <row r="16" spans="2:17" ht="14.25" customHeight="1">
      <c r="B16" s="92">
        <v>4</v>
      </c>
      <c r="C16" s="8" t="s">
        <v>53</v>
      </c>
      <c r="D16" s="95"/>
      <c r="E16" s="8"/>
      <c r="F16" s="8"/>
      <c r="G16" s="8"/>
      <c r="J16" s="94">
        <f t="shared" si="0"/>
        <v>0</v>
      </c>
      <c r="P16" s="8"/>
      <c r="Q16" s="128"/>
    </row>
    <row r="17" spans="2:17" ht="14.25" customHeight="1">
      <c r="B17" s="96" t="s">
        <v>12</v>
      </c>
      <c r="C17" s="7" t="s">
        <v>54</v>
      </c>
      <c r="D17" s="95"/>
      <c r="E17" s="7">
        <f>SUMIF(Sheet2!A:A,BSH!A:A,Sheet2!D:D)</f>
        <v>0</v>
      </c>
      <c r="F17" s="7"/>
      <c r="G17" s="7"/>
      <c r="J17" s="94"/>
      <c r="P17" s="7"/>
      <c r="Q17" s="128"/>
    </row>
    <row r="18" spans="2:17" ht="14.25" customHeight="1">
      <c r="B18" s="96" t="s">
        <v>14</v>
      </c>
      <c r="C18" s="7" t="s">
        <v>55</v>
      </c>
      <c r="D18" s="95"/>
      <c r="E18" s="7">
        <f>SUMIF(Sheet2!A:A,BSH!A:A,Sheet2!D:D)</f>
        <v>0</v>
      </c>
      <c r="F18" s="7"/>
      <c r="G18" s="7"/>
      <c r="J18" s="94">
        <f t="shared" si="0"/>
        <v>0</v>
      </c>
      <c r="P18" s="7"/>
      <c r="Q18" s="128"/>
    </row>
    <row r="19" spans="2:17" ht="14.25" customHeight="1">
      <c r="B19" s="96" t="s">
        <v>16</v>
      </c>
      <c r="C19" s="7" t="s">
        <v>56</v>
      </c>
      <c r="D19" s="95"/>
      <c r="E19" s="7">
        <f>SUMIF(Sheet2!A:A,BSH!A:A,Sheet2!D:D)</f>
        <v>0</v>
      </c>
      <c r="F19" s="7"/>
      <c r="G19" s="7"/>
      <c r="J19" s="94">
        <f t="shared" si="0"/>
        <v>0</v>
      </c>
      <c r="P19" s="7"/>
      <c r="Q19" s="128"/>
    </row>
    <row r="20" spans="1:17" ht="14.25" customHeight="1">
      <c r="A20" s="88">
        <v>130</v>
      </c>
      <c r="B20" s="96" t="s">
        <v>51</v>
      </c>
      <c r="C20" s="7" t="s">
        <v>57</v>
      </c>
      <c r="D20" s="95"/>
      <c r="E20" s="7">
        <f>SUMIF(Sheet2!A:A,BSH!A:A,Sheet2!D:D)</f>
        <v>16058562.886</v>
      </c>
      <c r="F20" s="7">
        <v>17175899.676</v>
      </c>
      <c r="G20" s="7"/>
      <c r="J20" s="94">
        <v>17175899.676</v>
      </c>
      <c r="P20" s="7">
        <v>17175899.676</v>
      </c>
      <c r="Q20" s="128"/>
    </row>
    <row r="21" spans="2:17" ht="14.25" customHeight="1">
      <c r="B21" s="96" t="s">
        <v>58</v>
      </c>
      <c r="C21" s="7" t="s">
        <v>59</v>
      </c>
      <c r="D21" s="95"/>
      <c r="E21" s="7"/>
      <c r="F21" s="7"/>
      <c r="G21" s="7"/>
      <c r="J21" s="94">
        <f t="shared" si="0"/>
        <v>0</v>
      </c>
      <c r="P21" s="7"/>
      <c r="Q21" s="128"/>
    </row>
    <row r="22" spans="2:17" ht="14.25" customHeight="1">
      <c r="B22" s="99"/>
      <c r="C22" s="9" t="s">
        <v>46</v>
      </c>
      <c r="D22" s="98"/>
      <c r="E22" s="10">
        <f>SUM(E17:E21)</f>
        <v>16058562.886</v>
      </c>
      <c r="F22" s="10">
        <f>SUM(F17:F21)</f>
        <v>17175899.676</v>
      </c>
      <c r="G22" s="10">
        <f>SUM(G17:G21)</f>
        <v>0</v>
      </c>
      <c r="J22" s="94">
        <f t="shared" si="0"/>
        <v>17175899.676</v>
      </c>
      <c r="P22" s="10">
        <v>17175899.676</v>
      </c>
      <c r="Q22" s="128"/>
    </row>
    <row r="23" spans="2:17" ht="14.25" customHeight="1">
      <c r="B23" s="92">
        <v>5</v>
      </c>
      <c r="C23" s="8" t="s">
        <v>60</v>
      </c>
      <c r="D23" s="95"/>
      <c r="E23" s="8"/>
      <c r="F23" s="8"/>
      <c r="G23" s="8"/>
      <c r="J23" s="94">
        <f t="shared" si="0"/>
        <v>0</v>
      </c>
      <c r="P23" s="8"/>
      <c r="Q23" s="128"/>
    </row>
    <row r="24" spans="2:17" ht="14.25" customHeight="1">
      <c r="B24" s="92">
        <v>6</v>
      </c>
      <c r="C24" s="8" t="s">
        <v>61</v>
      </c>
      <c r="D24" s="95"/>
      <c r="E24" s="8"/>
      <c r="F24" s="8"/>
      <c r="G24" s="8"/>
      <c r="J24" s="94">
        <f t="shared" si="0"/>
        <v>0</v>
      </c>
      <c r="P24" s="8"/>
      <c r="Q24" s="128"/>
    </row>
    <row r="25" spans="2:17" ht="14.25" customHeight="1">
      <c r="B25" s="92">
        <v>7</v>
      </c>
      <c r="C25" s="8" t="s">
        <v>62</v>
      </c>
      <c r="D25" s="95">
        <v>2.4</v>
      </c>
      <c r="E25" s="100">
        <v>0</v>
      </c>
      <c r="F25" s="100">
        <v>0</v>
      </c>
      <c r="G25" s="100"/>
      <c r="J25" s="94">
        <f t="shared" si="0"/>
        <v>0</v>
      </c>
      <c r="P25" s="100">
        <v>0</v>
      </c>
      <c r="Q25" s="128"/>
    </row>
    <row r="26" spans="2:17" ht="14.25" customHeight="1">
      <c r="B26" s="101"/>
      <c r="C26" s="10" t="s">
        <v>63</v>
      </c>
      <c r="D26" s="98"/>
      <c r="E26" s="10">
        <f>E25+E24+E23+E22+E15+E9</f>
        <v>17717265.358380005</v>
      </c>
      <c r="F26" s="10">
        <f>F25+F24+F23+F22+F15+F9</f>
        <v>18470343.35278</v>
      </c>
      <c r="G26" s="10">
        <f>G25+G24+G23+G22+G15+G9</f>
        <v>7114737</v>
      </c>
      <c r="J26" s="94">
        <f t="shared" si="0"/>
        <v>11355606.35278</v>
      </c>
      <c r="P26" s="10">
        <v>18470343.35278</v>
      </c>
      <c r="Q26" s="128"/>
    </row>
    <row r="27" spans="2:17" ht="14.25" customHeight="1">
      <c r="B27" s="92" t="s">
        <v>64</v>
      </c>
      <c r="C27" s="8" t="s">
        <v>65</v>
      </c>
      <c r="D27" s="95"/>
      <c r="E27" s="7"/>
      <c r="F27" s="7"/>
      <c r="G27" s="7"/>
      <c r="J27" s="94">
        <f t="shared" si="0"/>
        <v>0</v>
      </c>
      <c r="P27" s="7"/>
      <c r="Q27" s="128"/>
    </row>
    <row r="28" spans="2:17" ht="14.25" customHeight="1">
      <c r="B28" s="92">
        <v>1</v>
      </c>
      <c r="C28" s="8" t="s">
        <v>66</v>
      </c>
      <c r="D28" s="95"/>
      <c r="E28" s="8"/>
      <c r="F28" s="8"/>
      <c r="G28" s="8"/>
      <c r="J28" s="94">
        <f t="shared" si="0"/>
        <v>0</v>
      </c>
      <c r="P28" s="8"/>
      <c r="Q28" s="128"/>
    </row>
    <row r="29" spans="2:17" ht="14.25" customHeight="1">
      <c r="B29" s="96" t="s">
        <v>12</v>
      </c>
      <c r="C29" s="7" t="s">
        <v>67</v>
      </c>
      <c r="D29" s="95"/>
      <c r="E29" s="7">
        <f aca="true" t="shared" si="1" ref="E29:F32">SUMIF($H$111:$H$143,$C29,$F$111:$F$143)</f>
        <v>0</v>
      </c>
      <c r="F29" s="7">
        <f t="shared" si="1"/>
        <v>0</v>
      </c>
      <c r="G29" s="7"/>
      <c r="J29" s="94">
        <f t="shared" si="0"/>
        <v>0</v>
      </c>
      <c r="P29" s="7">
        <v>0</v>
      </c>
      <c r="Q29" s="128"/>
    </row>
    <row r="30" spans="2:17" ht="14.25" customHeight="1">
      <c r="B30" s="96" t="s">
        <v>14</v>
      </c>
      <c r="C30" s="7" t="s">
        <v>68</v>
      </c>
      <c r="D30" s="95"/>
      <c r="E30" s="7">
        <f t="shared" si="1"/>
        <v>0</v>
      </c>
      <c r="F30" s="7">
        <f t="shared" si="1"/>
        <v>0</v>
      </c>
      <c r="G30" s="7"/>
      <c r="J30" s="94">
        <f t="shared" si="0"/>
        <v>0</v>
      </c>
      <c r="P30" s="7">
        <v>0</v>
      </c>
      <c r="Q30" s="128"/>
    </row>
    <row r="31" spans="2:17" ht="14.25" customHeight="1">
      <c r="B31" s="96" t="s">
        <v>16</v>
      </c>
      <c r="C31" s="7" t="s">
        <v>69</v>
      </c>
      <c r="D31" s="95"/>
      <c r="E31" s="7">
        <f t="shared" si="1"/>
        <v>0</v>
      </c>
      <c r="F31" s="7">
        <f t="shared" si="1"/>
        <v>0</v>
      </c>
      <c r="G31" s="7"/>
      <c r="J31" s="94">
        <f t="shared" si="0"/>
        <v>0</v>
      </c>
      <c r="P31" s="7">
        <v>0</v>
      </c>
      <c r="Q31" s="128"/>
    </row>
    <row r="32" spans="2:17" ht="14.25" customHeight="1">
      <c r="B32" s="102" t="s">
        <v>51</v>
      </c>
      <c r="C32" s="7" t="s">
        <v>70</v>
      </c>
      <c r="D32" s="95"/>
      <c r="E32" s="7">
        <f t="shared" si="1"/>
        <v>0</v>
      </c>
      <c r="F32" s="7">
        <f t="shared" si="1"/>
        <v>0</v>
      </c>
      <c r="G32" s="7"/>
      <c r="J32" s="94">
        <f t="shared" si="0"/>
        <v>0</v>
      </c>
      <c r="P32" s="7">
        <v>0</v>
      </c>
      <c r="Q32" s="128"/>
    </row>
    <row r="33" spans="2:17" ht="14.25" customHeight="1">
      <c r="B33" s="99"/>
      <c r="C33" s="9" t="s">
        <v>46</v>
      </c>
      <c r="D33" s="98"/>
      <c r="E33" s="103">
        <f>SUM(E29:E32)</f>
        <v>0</v>
      </c>
      <c r="F33" s="103">
        <f>SUM(F29:F32)</f>
        <v>0</v>
      </c>
      <c r="G33" s="103">
        <f>SUM(G29:G32)</f>
        <v>0</v>
      </c>
      <c r="J33" s="94">
        <f t="shared" si="0"/>
        <v>0</v>
      </c>
      <c r="P33" s="103">
        <v>0</v>
      </c>
      <c r="Q33" s="128"/>
    </row>
    <row r="34" spans="2:17" ht="14.25" customHeight="1">
      <c r="B34" s="92">
        <v>2</v>
      </c>
      <c r="C34" s="8" t="s">
        <v>71</v>
      </c>
      <c r="D34" s="95">
        <v>2.5</v>
      </c>
      <c r="E34" s="8">
        <f aca="true" t="shared" si="2" ref="E34:F36">SUMIF($H$111:$H$143,$C34,$F$111:$F$143)</f>
        <v>0</v>
      </c>
      <c r="F34" s="8">
        <f t="shared" si="2"/>
        <v>0</v>
      </c>
      <c r="G34" s="8"/>
      <c r="J34" s="94">
        <f t="shared" si="0"/>
        <v>0</v>
      </c>
      <c r="P34" s="8">
        <v>0</v>
      </c>
      <c r="Q34" s="128"/>
    </row>
    <row r="35" spans="2:17" ht="14.25" customHeight="1">
      <c r="B35" s="96" t="s">
        <v>12</v>
      </c>
      <c r="C35" s="7" t="s">
        <v>72</v>
      </c>
      <c r="D35" s="95"/>
      <c r="E35" s="7">
        <f t="shared" si="2"/>
        <v>0</v>
      </c>
      <c r="F35" s="7">
        <f t="shared" si="2"/>
        <v>0</v>
      </c>
      <c r="G35" s="7"/>
      <c r="J35" s="94">
        <f t="shared" si="0"/>
        <v>0</v>
      </c>
      <c r="P35" s="7">
        <v>0</v>
      </c>
      <c r="Q35" s="128"/>
    </row>
    <row r="36" spans="2:17" ht="14.25" customHeight="1">
      <c r="B36" s="96" t="s">
        <v>14</v>
      </c>
      <c r="C36" s="7" t="s">
        <v>73</v>
      </c>
      <c r="D36" s="95"/>
      <c r="E36" s="7">
        <f t="shared" si="2"/>
        <v>0</v>
      </c>
      <c r="F36" s="7">
        <f t="shared" si="2"/>
        <v>0</v>
      </c>
      <c r="G36" s="7"/>
      <c r="J36" s="94">
        <f t="shared" si="0"/>
        <v>0</v>
      </c>
      <c r="P36" s="7">
        <v>0</v>
      </c>
      <c r="Q36" s="128"/>
    </row>
    <row r="37" spans="1:17" ht="14.25" customHeight="1">
      <c r="A37" s="88">
        <v>200</v>
      </c>
      <c r="B37" s="96" t="s">
        <v>16</v>
      </c>
      <c r="C37" s="7" t="s">
        <v>74</v>
      </c>
      <c r="D37" s="95"/>
      <c r="E37" s="7">
        <f>SUMIF(Sheet2!A:A,BSH!A:A,Sheet2!D:D)</f>
        <v>14513677.370000001</v>
      </c>
      <c r="F37" s="7">
        <f>F131+F132-F114</f>
        <v>14849347.68</v>
      </c>
      <c r="G37" s="7">
        <v>16799436</v>
      </c>
      <c r="J37" s="94">
        <f t="shared" si="0"/>
        <v>-1950088.3200000003</v>
      </c>
      <c r="P37" s="7">
        <v>14849347.68</v>
      </c>
      <c r="Q37" s="128"/>
    </row>
    <row r="38" spans="1:17" ht="14.25" customHeight="1">
      <c r="A38" s="88">
        <v>210</v>
      </c>
      <c r="B38" s="102" t="s">
        <v>51</v>
      </c>
      <c r="C38" s="7" t="s">
        <v>75</v>
      </c>
      <c r="D38" s="95"/>
      <c r="E38" s="7">
        <f>SUMIF(Sheet2!A:A,BSH!A:A,Sheet2!D:D)</f>
        <v>5216024.22</v>
      </c>
      <c r="F38" s="7">
        <f>F133+F134+F135-F116-F117-F115</f>
        <v>8759537.91</v>
      </c>
      <c r="G38" s="7">
        <v>10053433</v>
      </c>
      <c r="J38" s="94">
        <f t="shared" si="0"/>
        <v>-1293895.0899999999</v>
      </c>
      <c r="P38" s="7">
        <v>8759537.91</v>
      </c>
      <c r="Q38" s="128"/>
    </row>
    <row r="39" spans="2:17" ht="14.25" customHeight="1">
      <c r="B39" s="99"/>
      <c r="C39" s="9" t="s">
        <v>46</v>
      </c>
      <c r="D39" s="98"/>
      <c r="E39" s="103">
        <f>SUM(E35:E38)</f>
        <v>19729701.59</v>
      </c>
      <c r="F39" s="103">
        <f>SUM(F35:F38)</f>
        <v>23608885.59</v>
      </c>
      <c r="G39" s="103">
        <f>SUM(G35:G38)</f>
        <v>26852869</v>
      </c>
      <c r="J39" s="94">
        <f t="shared" si="0"/>
        <v>-3243983.41</v>
      </c>
      <c r="P39" s="103">
        <v>23608885.59</v>
      </c>
      <c r="Q39" s="128"/>
    </row>
    <row r="40" spans="2:17" ht="14.25" customHeight="1">
      <c r="B40" s="92">
        <v>3</v>
      </c>
      <c r="C40" s="8" t="s">
        <v>76</v>
      </c>
      <c r="D40" s="95"/>
      <c r="E40" s="8"/>
      <c r="F40" s="8"/>
      <c r="G40" s="8"/>
      <c r="J40" s="94">
        <f t="shared" si="0"/>
        <v>0</v>
      </c>
      <c r="P40" s="8"/>
      <c r="Q40" s="128"/>
    </row>
    <row r="41" spans="2:17" ht="14.25" customHeight="1">
      <c r="B41" s="92">
        <v>4</v>
      </c>
      <c r="C41" s="8" t="s">
        <v>77</v>
      </c>
      <c r="D41" s="95"/>
      <c r="E41" s="8"/>
      <c r="F41" s="8"/>
      <c r="G41" s="8"/>
      <c r="J41" s="94">
        <f t="shared" si="0"/>
        <v>0</v>
      </c>
      <c r="P41" s="8"/>
      <c r="Q41" s="128"/>
    </row>
    <row r="42" spans="2:17" ht="14.25" customHeight="1">
      <c r="B42" s="96" t="s">
        <v>12</v>
      </c>
      <c r="C42" s="7" t="s">
        <v>78</v>
      </c>
      <c r="D42" s="95"/>
      <c r="E42" s="7">
        <f aca="true" t="shared" si="3" ref="E42:F44">SUMIF($H$111:$H$143,$C42,$F$111:$F$143)</f>
        <v>0</v>
      </c>
      <c r="F42" s="7">
        <f t="shared" si="3"/>
        <v>0</v>
      </c>
      <c r="G42" s="7"/>
      <c r="J42" s="94">
        <f t="shared" si="0"/>
        <v>0</v>
      </c>
      <c r="P42" s="7">
        <v>0</v>
      </c>
      <c r="Q42" s="128"/>
    </row>
    <row r="43" spans="2:17" ht="14.25" customHeight="1">
      <c r="B43" s="96" t="s">
        <v>14</v>
      </c>
      <c r="C43" s="7" t="s">
        <v>79</v>
      </c>
      <c r="D43" s="95"/>
      <c r="E43" s="7">
        <f t="shared" si="3"/>
        <v>0</v>
      </c>
      <c r="F43" s="7">
        <f t="shared" si="3"/>
        <v>0</v>
      </c>
      <c r="G43" s="7"/>
      <c r="J43" s="94">
        <f t="shared" si="0"/>
        <v>0</v>
      </c>
      <c r="P43" s="7">
        <v>0</v>
      </c>
      <c r="Q43" s="128"/>
    </row>
    <row r="44" spans="2:17" ht="14.25" customHeight="1">
      <c r="B44" s="96" t="s">
        <v>16</v>
      </c>
      <c r="C44" s="7" t="s">
        <v>80</v>
      </c>
      <c r="D44" s="95"/>
      <c r="E44" s="7">
        <f t="shared" si="3"/>
        <v>0</v>
      </c>
      <c r="F44" s="7">
        <f t="shared" si="3"/>
        <v>0</v>
      </c>
      <c r="G44" s="7"/>
      <c r="J44" s="94">
        <f t="shared" si="0"/>
        <v>0</v>
      </c>
      <c r="P44" s="7">
        <v>0</v>
      </c>
      <c r="Q44" s="128"/>
    </row>
    <row r="45" spans="2:17" ht="14.25" customHeight="1">
      <c r="B45" s="99"/>
      <c r="C45" s="9" t="s">
        <v>46</v>
      </c>
      <c r="D45" s="98"/>
      <c r="E45" s="9">
        <f>SUM(E42:E44)</f>
        <v>0</v>
      </c>
      <c r="F45" s="9">
        <f>SUM(F42:F44)</f>
        <v>0</v>
      </c>
      <c r="G45" s="9">
        <f>SUM(G42:G44)</f>
        <v>0</v>
      </c>
      <c r="J45" s="94">
        <f t="shared" si="0"/>
        <v>0</v>
      </c>
      <c r="P45" s="9">
        <v>0</v>
      </c>
      <c r="Q45" s="128"/>
    </row>
    <row r="46" spans="2:17" ht="14.25" customHeight="1">
      <c r="B46" s="92">
        <v>5</v>
      </c>
      <c r="C46" s="8" t="s">
        <v>81</v>
      </c>
      <c r="D46" s="95"/>
      <c r="E46" s="8"/>
      <c r="F46" s="8"/>
      <c r="G46" s="8"/>
      <c r="J46" s="94">
        <f t="shared" si="0"/>
        <v>0</v>
      </c>
      <c r="P46" s="8"/>
      <c r="Q46" s="128"/>
    </row>
    <row r="47" spans="2:17" ht="14.25" customHeight="1">
      <c r="B47" s="92">
        <v>6</v>
      </c>
      <c r="C47" s="8" t="s">
        <v>82</v>
      </c>
      <c r="D47" s="95">
        <v>2.6</v>
      </c>
      <c r="E47" s="8">
        <v>0</v>
      </c>
      <c r="F47" s="8">
        <v>0</v>
      </c>
      <c r="G47" s="8"/>
      <c r="J47" s="94">
        <f t="shared" si="0"/>
        <v>0</v>
      </c>
      <c r="P47" s="8">
        <v>0</v>
      </c>
      <c r="Q47" s="128"/>
    </row>
    <row r="48" spans="2:17" ht="14.25" customHeight="1">
      <c r="B48" s="101"/>
      <c r="C48" s="10" t="s">
        <v>83</v>
      </c>
      <c r="D48" s="104"/>
      <c r="E48" s="10">
        <f>E47+E46+E45+E39+E33</f>
        <v>19729701.59</v>
      </c>
      <c r="F48" s="10">
        <f>F47+F46+F45+F39+F33</f>
        <v>23608885.59</v>
      </c>
      <c r="G48" s="10">
        <f>G47+G46+G45+G39+G33</f>
        <v>26852869</v>
      </c>
      <c r="J48" s="94">
        <f t="shared" si="0"/>
        <v>-3243983.41</v>
      </c>
      <c r="P48" s="10">
        <v>23608885.59</v>
      </c>
      <c r="Q48" s="128"/>
    </row>
    <row r="49" spans="2:17" ht="14.25" customHeight="1">
      <c r="B49" s="96"/>
      <c r="C49" s="7"/>
      <c r="D49" s="6"/>
      <c r="E49" s="7"/>
      <c r="F49" s="7"/>
      <c r="G49" s="7"/>
      <c r="J49" s="94">
        <f t="shared" si="0"/>
        <v>0</v>
      </c>
      <c r="P49" s="7"/>
      <c r="Q49" s="128"/>
    </row>
    <row r="50" spans="2:17" ht="14.25" customHeight="1">
      <c r="B50" s="101"/>
      <c r="C50" s="10" t="s">
        <v>84</v>
      </c>
      <c r="D50" s="104"/>
      <c r="E50" s="10">
        <f>E48+E26</f>
        <v>37446966.94838001</v>
      </c>
      <c r="F50" s="10">
        <f>F48+F26</f>
        <v>42079228.94278</v>
      </c>
      <c r="G50" s="10">
        <f>G48+G26</f>
        <v>33967606</v>
      </c>
      <c r="J50" s="94">
        <f t="shared" si="0"/>
        <v>8111622.942780003</v>
      </c>
      <c r="P50" s="10">
        <v>42079228.94278</v>
      </c>
      <c r="Q50" s="128"/>
    </row>
    <row r="51" spans="2:16" ht="17.25" customHeight="1">
      <c r="B51" s="105"/>
      <c r="C51" s="11"/>
      <c r="D51" s="106"/>
      <c r="E51" s="106"/>
      <c r="F51" s="11"/>
      <c r="G51" s="11"/>
      <c r="J51" s="94"/>
      <c r="P51" s="11"/>
    </row>
    <row r="52" spans="2:16" ht="17.25" customHeight="1">
      <c r="B52" s="105"/>
      <c r="C52" s="11"/>
      <c r="D52" s="106"/>
      <c r="E52" s="106"/>
      <c r="F52" s="11"/>
      <c r="G52" s="11"/>
      <c r="J52" s="94"/>
      <c r="P52" s="11"/>
    </row>
    <row r="53" spans="2:16" ht="17.25" customHeight="1">
      <c r="B53" s="105"/>
      <c r="C53" s="11"/>
      <c r="D53" s="106"/>
      <c r="E53" s="106"/>
      <c r="F53" s="11"/>
      <c r="G53" s="11"/>
      <c r="J53" s="94"/>
      <c r="P53" s="11"/>
    </row>
    <row r="54" spans="2:16" ht="17.25" customHeight="1">
      <c r="B54" s="105"/>
      <c r="C54" s="11"/>
      <c r="D54" s="106"/>
      <c r="E54" s="106"/>
      <c r="F54" s="11"/>
      <c r="G54" s="11"/>
      <c r="J54" s="94"/>
      <c r="P54" s="11"/>
    </row>
    <row r="55" spans="2:16" ht="17.25" customHeight="1">
      <c r="B55" s="12"/>
      <c r="C55" s="107"/>
      <c r="D55" s="107"/>
      <c r="E55" s="107"/>
      <c r="F55" s="107"/>
      <c r="G55" s="107"/>
      <c r="J55" s="94"/>
      <c r="P55" s="107"/>
    </row>
    <row r="56" spans="2:10" ht="17.25" customHeight="1" thickBot="1">
      <c r="B56" s="108"/>
      <c r="C56" s="109" t="s">
        <v>485</v>
      </c>
      <c r="D56" s="384" t="s">
        <v>284</v>
      </c>
      <c r="E56" s="384"/>
      <c r="F56" s="384"/>
      <c r="G56" s="384"/>
      <c r="J56" s="94"/>
    </row>
    <row r="57" spans="2:16" ht="17.25" customHeight="1" thickBot="1">
      <c r="B57" s="385"/>
      <c r="C57" s="387" t="s">
        <v>36</v>
      </c>
      <c r="D57" s="389" t="s">
        <v>3</v>
      </c>
      <c r="E57" s="380">
        <v>41639</v>
      </c>
      <c r="F57" s="354" t="s">
        <v>657</v>
      </c>
      <c r="G57" s="382" t="s">
        <v>37</v>
      </c>
      <c r="J57" s="94"/>
      <c r="P57" s="354" t="s">
        <v>657</v>
      </c>
    </row>
    <row r="58" spans="2:16" ht="17.25" customHeight="1">
      <c r="B58" s="386"/>
      <c r="C58" s="388"/>
      <c r="D58" s="390"/>
      <c r="E58" s="381"/>
      <c r="F58" s="355">
        <v>41306</v>
      </c>
      <c r="G58" s="383"/>
      <c r="J58" s="94">
        <f t="shared" si="0"/>
        <v>41306</v>
      </c>
      <c r="P58" s="355">
        <v>41274</v>
      </c>
    </row>
    <row r="59" spans="2:16" ht="14.25" customHeight="1">
      <c r="B59" s="92" t="s">
        <v>85</v>
      </c>
      <c r="C59" s="8" t="s">
        <v>86</v>
      </c>
      <c r="D59" s="6"/>
      <c r="E59" s="8"/>
      <c r="F59" s="8"/>
      <c r="G59" s="8"/>
      <c r="J59" s="94">
        <f t="shared" si="0"/>
        <v>0</v>
      </c>
      <c r="P59" s="8"/>
    </row>
    <row r="60" spans="2:16" ht="14.25" customHeight="1">
      <c r="B60" s="92" t="s">
        <v>40</v>
      </c>
      <c r="C60" s="8" t="s">
        <v>87</v>
      </c>
      <c r="D60" s="6"/>
      <c r="E60" s="8"/>
      <c r="F60" s="8"/>
      <c r="G60" s="8"/>
      <c r="J60" s="94">
        <f t="shared" si="0"/>
        <v>0</v>
      </c>
      <c r="P60" s="8"/>
    </row>
    <row r="61" spans="2:16" ht="14.25" customHeight="1">
      <c r="B61" s="92">
        <v>1</v>
      </c>
      <c r="C61" s="8" t="s">
        <v>88</v>
      </c>
      <c r="D61" s="6"/>
      <c r="E61" s="8">
        <f>SUMIF($H$111:$H$143,$C61,$F$111:$F$143)</f>
        <v>0</v>
      </c>
      <c r="F61" s="8">
        <f>SUMIF($H$111:$H$143,$C61,$F$111:$F$143)</f>
        <v>0</v>
      </c>
      <c r="G61" s="8"/>
      <c r="J61" s="94">
        <f t="shared" si="0"/>
        <v>0</v>
      </c>
      <c r="P61" s="8">
        <v>0</v>
      </c>
    </row>
    <row r="62" spans="2:16" ht="14.25" customHeight="1">
      <c r="B62" s="92">
        <v>2</v>
      </c>
      <c r="C62" s="8" t="s">
        <v>89</v>
      </c>
      <c r="D62" s="6"/>
      <c r="E62" s="8">
        <v>0</v>
      </c>
      <c r="F62" s="8">
        <v>0</v>
      </c>
      <c r="G62" s="8"/>
      <c r="J62" s="94">
        <f aca="true" t="shared" si="4" ref="J62:J101">F62-G62</f>
        <v>0</v>
      </c>
      <c r="P62" s="8">
        <v>0</v>
      </c>
    </row>
    <row r="63" spans="2:17" ht="14.25" customHeight="1">
      <c r="B63" s="96" t="s">
        <v>12</v>
      </c>
      <c r="C63" s="110" t="s">
        <v>90</v>
      </c>
      <c r="D63" s="6"/>
      <c r="E63" s="7">
        <f>33710*140.2</f>
        <v>4726142</v>
      </c>
      <c r="F63" s="7">
        <f>2755688+31180.45*139.59</f>
        <v>7108167.0155</v>
      </c>
      <c r="G63" s="7"/>
      <c r="J63" s="94">
        <f t="shared" si="4"/>
        <v>7108167.0155</v>
      </c>
      <c r="P63" s="7">
        <f>7108167.0155-31180.45*139.59</f>
        <v>2755688</v>
      </c>
      <c r="Q63" s="128"/>
    </row>
    <row r="64" spans="2:17" ht="14.25" customHeight="1">
      <c r="B64" s="96" t="s">
        <v>14</v>
      </c>
      <c r="C64" s="110" t="s">
        <v>91</v>
      </c>
      <c r="D64" s="6"/>
      <c r="E64" s="7">
        <f>SUMIF($H$111:$H$143,$C64,$F$111:$F$143)</f>
        <v>0</v>
      </c>
      <c r="F64" s="7">
        <f>SUMIF($H$111:$H$143,$C64,$F$111:$F$143)</f>
        <v>0</v>
      </c>
      <c r="G64" s="7"/>
      <c r="J64" s="94">
        <f t="shared" si="4"/>
        <v>0</v>
      </c>
      <c r="P64" s="7">
        <v>0</v>
      </c>
      <c r="Q64" s="128"/>
    </row>
    <row r="65" spans="2:17" ht="14.25" customHeight="1">
      <c r="B65" s="96" t="s">
        <v>16</v>
      </c>
      <c r="C65" s="110" t="s">
        <v>92</v>
      </c>
      <c r="D65" s="6"/>
      <c r="E65" s="7">
        <f>SUMIF($H$111:$H$143,$C65,$F$111:$F$143)</f>
        <v>0</v>
      </c>
      <c r="F65" s="7">
        <f>SUMIF($H$111:$H$143,$C65,$F$111:$F$143)</f>
        <v>0</v>
      </c>
      <c r="G65" s="7"/>
      <c r="J65" s="94">
        <f t="shared" si="4"/>
        <v>0</v>
      </c>
      <c r="P65" s="7">
        <v>0</v>
      </c>
      <c r="Q65" s="128"/>
    </row>
    <row r="66" spans="2:17" ht="14.25" customHeight="1">
      <c r="B66" s="97"/>
      <c r="C66" s="111" t="s">
        <v>46</v>
      </c>
      <c r="D66" s="104"/>
      <c r="E66" s="111">
        <f>SUM(E61:E65)</f>
        <v>4726142</v>
      </c>
      <c r="F66" s="111">
        <f>SUM(F61:F65)</f>
        <v>7108167.0155</v>
      </c>
      <c r="G66" s="111">
        <f>SUM(G61:G65)</f>
        <v>0</v>
      </c>
      <c r="J66" s="94">
        <f t="shared" si="4"/>
        <v>7108167.0155</v>
      </c>
      <c r="P66" s="111">
        <v>7108167.0155</v>
      </c>
      <c r="Q66" s="128"/>
    </row>
    <row r="67" spans="2:17" ht="14.25" customHeight="1">
      <c r="B67" s="92">
        <v>3</v>
      </c>
      <c r="C67" s="8" t="s">
        <v>93</v>
      </c>
      <c r="D67" s="95"/>
      <c r="E67" s="7"/>
      <c r="F67" s="8"/>
      <c r="G67" s="8"/>
      <c r="J67" s="94">
        <f t="shared" si="4"/>
        <v>0</v>
      </c>
      <c r="P67" s="8"/>
      <c r="Q67" s="128"/>
    </row>
    <row r="68" spans="1:17" ht="14.25" customHeight="1">
      <c r="A68" s="88">
        <v>320</v>
      </c>
      <c r="B68" s="96" t="s">
        <v>12</v>
      </c>
      <c r="C68" s="110" t="s">
        <v>94</v>
      </c>
      <c r="D68" s="112">
        <v>2.7</v>
      </c>
      <c r="E68" s="7">
        <f>-SUMIF(Sheet2!A:A,BSH!A:A,Sheet2!D:D)</f>
        <v>23920884.32327998</v>
      </c>
      <c r="F68" s="7">
        <f>F118+F119+F127+F128</f>
        <v>27776111.043279998</v>
      </c>
      <c r="G68" s="7">
        <v>20002782</v>
      </c>
      <c r="J68" s="94">
        <f t="shared" si="4"/>
        <v>7773329.043279998</v>
      </c>
      <c r="P68" s="7">
        <v>27776111.043279998</v>
      </c>
      <c r="Q68" s="128"/>
    </row>
    <row r="69" spans="1:17" ht="14.25" customHeight="1">
      <c r="A69" s="88">
        <v>321</v>
      </c>
      <c r="B69" s="96" t="s">
        <v>14</v>
      </c>
      <c r="C69" s="110" t="s">
        <v>95</v>
      </c>
      <c r="D69" s="112">
        <v>2.8</v>
      </c>
      <c r="E69" s="7">
        <f>-SUMIF(Sheet2!A:A,BSH!A:A,Sheet2!D:D)</f>
        <v>53505</v>
      </c>
      <c r="F69" s="7">
        <v>0</v>
      </c>
      <c r="G69" s="7"/>
      <c r="J69" s="94">
        <f t="shared" si="4"/>
        <v>0</v>
      </c>
      <c r="P69" s="7">
        <v>0</v>
      </c>
      <c r="Q69" s="128"/>
    </row>
    <row r="70" spans="1:17" ht="14.25" customHeight="1">
      <c r="A70" s="88">
        <v>322</v>
      </c>
      <c r="B70" s="96" t="s">
        <v>16</v>
      </c>
      <c r="C70" s="110" t="s">
        <v>96</v>
      </c>
      <c r="D70" s="112">
        <v>2.9</v>
      </c>
      <c r="E70" s="7">
        <f>-SUMIF(Sheet2!A:A,BSH!A:A,Sheet2!D:D)</f>
        <v>62805</v>
      </c>
      <c r="F70" s="7">
        <f>F121+F122</f>
        <v>129576</v>
      </c>
      <c r="G70" s="7">
        <v>84354</v>
      </c>
      <c r="J70" s="94">
        <f t="shared" si="4"/>
        <v>45222</v>
      </c>
      <c r="P70" s="7">
        <v>129576</v>
      </c>
      <c r="Q70" s="128"/>
    </row>
    <row r="71" spans="1:17" ht="14.25" customHeight="1">
      <c r="A71" s="88">
        <v>360</v>
      </c>
      <c r="B71" s="96" t="s">
        <v>51</v>
      </c>
      <c r="C71" s="110" t="s">
        <v>97</v>
      </c>
      <c r="D71" s="6"/>
      <c r="E71" s="7">
        <f>-SUMIF(Sheet2!A:A,BSH!A:A,Sheet2!D:D)</f>
        <v>1658115.9560000014</v>
      </c>
      <c r="F71" s="7"/>
      <c r="G71" s="7"/>
      <c r="J71" s="94">
        <f t="shared" si="4"/>
        <v>0</v>
      </c>
      <c r="P71" s="7"/>
      <c r="Q71" s="128"/>
    </row>
    <row r="72" spans="2:17" ht="14.25" customHeight="1">
      <c r="B72" s="96" t="s">
        <v>58</v>
      </c>
      <c r="C72" s="110" t="s">
        <v>98</v>
      </c>
      <c r="D72" s="6"/>
      <c r="E72" s="7">
        <f>SUMIF($H$111:$H$143,$C72,$F$111:$F$143)</f>
        <v>0</v>
      </c>
      <c r="F72" s="7">
        <f>SUMIF($H$111:$H$143,$C72,$F$111:$F$143)</f>
        <v>0</v>
      </c>
      <c r="G72" s="7"/>
      <c r="J72" s="94">
        <f t="shared" si="4"/>
        <v>0</v>
      </c>
      <c r="P72" s="7">
        <v>0</v>
      </c>
      <c r="Q72" s="128"/>
    </row>
    <row r="73" spans="2:17" ht="14.25" customHeight="1">
      <c r="B73" s="99"/>
      <c r="C73" s="9" t="s">
        <v>46</v>
      </c>
      <c r="D73" s="104"/>
      <c r="E73" s="103">
        <f>SUM(E68:E72)</f>
        <v>25695310.27927998</v>
      </c>
      <c r="F73" s="103">
        <f>SUM(F68:F72)</f>
        <v>27905687.043279998</v>
      </c>
      <c r="G73" s="103">
        <f>SUM(G68:G72)</f>
        <v>20087136</v>
      </c>
      <c r="J73" s="94">
        <f t="shared" si="4"/>
        <v>7818551.043279998</v>
      </c>
      <c r="P73" s="103">
        <v>27905687.043279998</v>
      </c>
      <c r="Q73" s="128"/>
    </row>
    <row r="74" spans="2:17" ht="14.25" customHeight="1">
      <c r="B74" s="92">
        <v>4</v>
      </c>
      <c r="C74" s="8" t="s">
        <v>99</v>
      </c>
      <c r="D74" s="6"/>
      <c r="E74" s="8">
        <f aca="true" t="shared" si="5" ref="E74:F76">SUMIF($H$111:$H$143,$C74,$F$111:$F$143)</f>
        <v>0</v>
      </c>
      <c r="F74" s="8">
        <f t="shared" si="5"/>
        <v>0</v>
      </c>
      <c r="G74" s="8"/>
      <c r="J74" s="94">
        <f t="shared" si="4"/>
        <v>0</v>
      </c>
      <c r="P74" s="8">
        <v>0</v>
      </c>
      <c r="Q74" s="128"/>
    </row>
    <row r="75" spans="2:17" ht="14.25" customHeight="1">
      <c r="B75" s="92">
        <v>5</v>
      </c>
      <c r="C75" s="8" t="s">
        <v>100</v>
      </c>
      <c r="D75" s="6"/>
      <c r="E75" s="8">
        <f t="shared" si="5"/>
        <v>0</v>
      </c>
      <c r="F75" s="8">
        <f t="shared" si="5"/>
        <v>0</v>
      </c>
      <c r="G75" s="8"/>
      <c r="J75" s="94">
        <f t="shared" si="4"/>
        <v>0</v>
      </c>
      <c r="P75" s="8">
        <v>0</v>
      </c>
      <c r="Q75" s="128"/>
    </row>
    <row r="76" spans="2:17" ht="14.25" customHeight="1">
      <c r="B76" s="96"/>
      <c r="C76" s="110"/>
      <c r="D76" s="6"/>
      <c r="E76" s="7">
        <f t="shared" si="5"/>
        <v>0</v>
      </c>
      <c r="F76" s="7">
        <f t="shared" si="5"/>
        <v>0</v>
      </c>
      <c r="G76" s="7"/>
      <c r="J76" s="94">
        <f t="shared" si="4"/>
        <v>0</v>
      </c>
      <c r="P76" s="7">
        <v>0</v>
      </c>
      <c r="Q76" s="128"/>
    </row>
    <row r="77" spans="2:17" ht="14.25" customHeight="1">
      <c r="B77" s="101"/>
      <c r="C77" s="10" t="s">
        <v>101</v>
      </c>
      <c r="D77" s="104"/>
      <c r="E77" s="10">
        <f>E73+E66</f>
        <v>30421452.27927998</v>
      </c>
      <c r="F77" s="10">
        <f>F73+F66</f>
        <v>35013854.05878</v>
      </c>
      <c r="G77" s="10">
        <f>G73+G66</f>
        <v>20087136</v>
      </c>
      <c r="J77" s="94">
        <f t="shared" si="4"/>
        <v>14926718.05878</v>
      </c>
      <c r="P77" s="10">
        <v>35013854.05878</v>
      </c>
      <c r="Q77" s="128"/>
    </row>
    <row r="78" spans="2:17" ht="14.25" customHeight="1">
      <c r="B78" s="92" t="s">
        <v>64</v>
      </c>
      <c r="C78" s="8" t="s">
        <v>102</v>
      </c>
      <c r="D78" s="6"/>
      <c r="E78" s="7"/>
      <c r="F78" s="7"/>
      <c r="G78" s="7"/>
      <c r="J78" s="94">
        <f t="shared" si="4"/>
        <v>0</v>
      </c>
      <c r="P78" s="7"/>
      <c r="Q78" s="128"/>
    </row>
    <row r="79" spans="2:17" ht="14.25" customHeight="1">
      <c r="B79" s="92">
        <v>1</v>
      </c>
      <c r="C79" s="8" t="s">
        <v>103</v>
      </c>
      <c r="D79" s="6"/>
      <c r="E79" s="8"/>
      <c r="F79" s="8"/>
      <c r="G79" s="8"/>
      <c r="J79" s="94">
        <f t="shared" si="4"/>
        <v>0</v>
      </c>
      <c r="P79" s="8"/>
      <c r="Q79" s="128"/>
    </row>
    <row r="80" spans="1:17" ht="14.25" customHeight="1">
      <c r="A80" s="88">
        <v>350</v>
      </c>
      <c r="B80" s="96" t="s">
        <v>12</v>
      </c>
      <c r="C80" s="110" t="s">
        <v>104</v>
      </c>
      <c r="D80" s="6"/>
      <c r="E80" s="7">
        <f>-SUMIF(Sheet2!A:A,BSH!A:A,Sheet2!D:D)-E63</f>
        <v>5124279.15</v>
      </c>
      <c r="F80" s="7">
        <f>F126-31180.45*139.59</f>
        <v>9807562.6845</v>
      </c>
      <c r="G80" s="7">
        <v>17969900</v>
      </c>
      <c r="J80" s="94">
        <f t="shared" si="4"/>
        <v>-8162337.3155000005</v>
      </c>
      <c r="P80" s="7">
        <f>9807562.6845+31180.45*139.59</f>
        <v>14160041.7</v>
      </c>
      <c r="Q80" s="128"/>
    </row>
    <row r="81" spans="2:17" ht="14.25" customHeight="1">
      <c r="B81" s="96" t="s">
        <v>14</v>
      </c>
      <c r="C81" s="110" t="s">
        <v>105</v>
      </c>
      <c r="D81" s="6"/>
      <c r="E81" s="7">
        <f>SUMIF($H$111:$H$143,$C81,$F$111:$F$143)</f>
        <v>0</v>
      </c>
      <c r="F81" s="7">
        <f>SUMIF($H$111:$H$143,$C81,$F$111:$F$143)</f>
        <v>0</v>
      </c>
      <c r="G81" s="7"/>
      <c r="J81" s="94">
        <f t="shared" si="4"/>
        <v>0</v>
      </c>
      <c r="P81" s="7">
        <v>0</v>
      </c>
      <c r="Q81" s="128"/>
    </row>
    <row r="82" spans="2:17" ht="14.25" customHeight="1">
      <c r="B82" s="99"/>
      <c r="C82" s="9" t="s">
        <v>46</v>
      </c>
      <c r="D82" s="104"/>
      <c r="E82" s="103">
        <f>SUM(E80:E81)</f>
        <v>5124279.15</v>
      </c>
      <c r="F82" s="103">
        <f>SUM(F80:F81)</f>
        <v>9807562.6845</v>
      </c>
      <c r="G82" s="103">
        <f>SUM(G80:G81)</f>
        <v>17969900</v>
      </c>
      <c r="J82" s="94">
        <f t="shared" si="4"/>
        <v>-8162337.3155000005</v>
      </c>
      <c r="P82" s="103">
        <v>9807562.6845</v>
      </c>
      <c r="Q82" s="128"/>
    </row>
    <row r="83" spans="2:17" ht="14.25" customHeight="1">
      <c r="B83" s="92">
        <v>2</v>
      </c>
      <c r="C83" s="8" t="s">
        <v>106</v>
      </c>
      <c r="D83" s="95">
        <v>3</v>
      </c>
      <c r="E83" s="177">
        <v>0</v>
      </c>
      <c r="F83" s="177">
        <v>0</v>
      </c>
      <c r="G83" s="8">
        <v>4534586</v>
      </c>
      <c r="J83" s="94">
        <f t="shared" si="4"/>
        <v>-4534586</v>
      </c>
      <c r="P83" s="177">
        <v>0</v>
      </c>
      <c r="Q83" s="128"/>
    </row>
    <row r="84" spans="2:17" ht="14.25" customHeight="1">
      <c r="B84" s="92">
        <v>3</v>
      </c>
      <c r="C84" s="8" t="s">
        <v>107</v>
      </c>
      <c r="D84" s="6"/>
      <c r="E84" s="8">
        <f>SUMIF($H$111:$H$143,$C84,$F$111:$F$143)</f>
        <v>0</v>
      </c>
      <c r="F84" s="8">
        <f>SUMIF($H$111:$H$143,$C84,$F$111:$F$143)</f>
        <v>0</v>
      </c>
      <c r="G84" s="8"/>
      <c r="J84" s="94">
        <f t="shared" si="4"/>
        <v>0</v>
      </c>
      <c r="P84" s="8">
        <v>0</v>
      </c>
      <c r="Q84" s="128"/>
    </row>
    <row r="85" spans="2:17" ht="14.25" customHeight="1">
      <c r="B85" s="92">
        <v>4</v>
      </c>
      <c r="C85" s="8" t="s">
        <v>108</v>
      </c>
      <c r="D85" s="6"/>
      <c r="E85" s="8">
        <f>SUMIF($H$111:$H$143,$C85,$F$111:$F$143)</f>
        <v>0</v>
      </c>
      <c r="F85" s="8">
        <f>SUMIF($H$111:$H$143,$C85,$F$111:$F$143)</f>
        <v>0</v>
      </c>
      <c r="G85" s="8"/>
      <c r="J85" s="94">
        <f t="shared" si="4"/>
        <v>0</v>
      </c>
      <c r="P85" s="8">
        <v>0</v>
      </c>
      <c r="Q85" s="128"/>
    </row>
    <row r="86" spans="2:17" ht="14.25" customHeight="1">
      <c r="B86" s="101"/>
      <c r="C86" s="10" t="s">
        <v>109</v>
      </c>
      <c r="D86" s="104"/>
      <c r="E86" s="10">
        <f>E82+E83</f>
        <v>5124279.15</v>
      </c>
      <c r="F86" s="10">
        <f>F82+F83</f>
        <v>9807562.6845</v>
      </c>
      <c r="G86" s="10">
        <f>G82+G83</f>
        <v>22504486</v>
      </c>
      <c r="J86" s="94">
        <f t="shared" si="4"/>
        <v>-12696923.3155</v>
      </c>
      <c r="P86" s="10">
        <v>9807562.6845</v>
      </c>
      <c r="Q86" s="128"/>
    </row>
    <row r="87" spans="2:17" ht="14.25" customHeight="1">
      <c r="B87" s="101"/>
      <c r="C87" s="10" t="s">
        <v>110</v>
      </c>
      <c r="D87" s="104"/>
      <c r="E87" s="10">
        <f>E86+E77</f>
        <v>35545731.42927998</v>
      </c>
      <c r="F87" s="10">
        <f>F86+F77</f>
        <v>44821416.74328</v>
      </c>
      <c r="G87" s="10">
        <f>G86+G77</f>
        <v>42591622</v>
      </c>
      <c r="J87" s="94">
        <f t="shared" si="4"/>
        <v>2229794.743280001</v>
      </c>
      <c r="P87" s="10">
        <v>44821416.74328</v>
      </c>
      <c r="Q87" s="128"/>
    </row>
    <row r="88" spans="2:17" ht="14.25" customHeight="1">
      <c r="B88" s="92" t="s">
        <v>111</v>
      </c>
      <c r="C88" s="8" t="s">
        <v>112</v>
      </c>
      <c r="D88" s="6"/>
      <c r="E88" s="7"/>
      <c r="F88" s="7"/>
      <c r="G88" s="7"/>
      <c r="J88" s="94">
        <f t="shared" si="4"/>
        <v>0</v>
      </c>
      <c r="P88" s="7"/>
      <c r="Q88" s="128"/>
    </row>
    <row r="89" spans="2:17" ht="14.25" customHeight="1">
      <c r="B89" s="92">
        <v>1</v>
      </c>
      <c r="C89" s="8" t="s">
        <v>113</v>
      </c>
      <c r="D89" s="6"/>
      <c r="E89" s="8">
        <f>SUMIF($H$111:$H$143,$C89,$F$111:$F$143)</f>
        <v>0</v>
      </c>
      <c r="F89" s="8">
        <f>SUMIF($H$111:$H$143,$C89,$F$111:$F$143)</f>
        <v>0</v>
      </c>
      <c r="G89" s="8"/>
      <c r="J89" s="94">
        <f t="shared" si="4"/>
        <v>0</v>
      </c>
      <c r="P89" s="8">
        <v>0</v>
      </c>
      <c r="Q89" s="128"/>
    </row>
    <row r="90" spans="2:17" ht="14.25" customHeight="1">
      <c r="B90" s="92">
        <v>2</v>
      </c>
      <c r="C90" s="8" t="s">
        <v>114</v>
      </c>
      <c r="D90" s="6"/>
      <c r="E90" s="8">
        <f>SUMIF($H$111:$H$143,$C90,$F$111:$F$143)</f>
        <v>0</v>
      </c>
      <c r="F90" s="8">
        <f>SUMIF($H$111:$H$143,$C90,$F$111:$F$143)</f>
        <v>0</v>
      </c>
      <c r="G90" s="8"/>
      <c r="J90" s="94">
        <f t="shared" si="4"/>
        <v>0</v>
      </c>
      <c r="P90" s="8">
        <v>0</v>
      </c>
      <c r="Q90" s="128"/>
    </row>
    <row r="91" spans="1:17" ht="14.25" customHeight="1">
      <c r="A91" s="88">
        <v>400</v>
      </c>
      <c r="B91" s="92">
        <v>3</v>
      </c>
      <c r="C91" s="8" t="s">
        <v>115</v>
      </c>
      <c r="D91" s="6">
        <v>1</v>
      </c>
      <c r="E91" s="177">
        <f>-SUMIF(Sheet2!A:A,BSH!A:A,Sheet2!D:D)</f>
        <v>14093021</v>
      </c>
      <c r="F91" s="8">
        <f>F111</f>
        <v>4534686</v>
      </c>
      <c r="G91" s="8">
        <v>100</v>
      </c>
      <c r="J91" s="94">
        <f t="shared" si="4"/>
        <v>4534586</v>
      </c>
      <c r="P91" s="8">
        <v>4534686</v>
      </c>
      <c r="Q91" s="128"/>
    </row>
    <row r="92" spans="2:17" ht="14.25" customHeight="1">
      <c r="B92" s="92">
        <v>4</v>
      </c>
      <c r="C92" s="8" t="s">
        <v>116</v>
      </c>
      <c r="D92" s="6"/>
      <c r="E92" s="8">
        <f aca="true" t="shared" si="6" ref="E92:F96">SUMIF($H$111:$H$143,$C92,$F$111:$F$143)</f>
        <v>0</v>
      </c>
      <c r="F92" s="8">
        <f t="shared" si="6"/>
        <v>0</v>
      </c>
      <c r="G92" s="8"/>
      <c r="J92" s="94">
        <f t="shared" si="4"/>
        <v>0</v>
      </c>
      <c r="P92" s="8">
        <v>0</v>
      </c>
      <c r="Q92" s="128"/>
    </row>
    <row r="93" spans="2:17" ht="14.25" customHeight="1">
      <c r="B93" s="92">
        <v>5</v>
      </c>
      <c r="C93" s="8" t="s">
        <v>117</v>
      </c>
      <c r="D93" s="6"/>
      <c r="E93" s="8">
        <f t="shared" si="6"/>
        <v>0</v>
      </c>
      <c r="F93" s="8">
        <f t="shared" si="6"/>
        <v>0</v>
      </c>
      <c r="G93" s="8"/>
      <c r="J93" s="94">
        <f t="shared" si="4"/>
        <v>0</v>
      </c>
      <c r="P93" s="8">
        <v>0</v>
      </c>
      <c r="Q93" s="128"/>
    </row>
    <row r="94" spans="2:17" ht="14.25" customHeight="1">
      <c r="B94" s="92">
        <v>6</v>
      </c>
      <c r="C94" s="8" t="s">
        <v>118</v>
      </c>
      <c r="D94" s="6"/>
      <c r="E94" s="8">
        <f t="shared" si="6"/>
        <v>0</v>
      </c>
      <c r="F94" s="8">
        <f t="shared" si="6"/>
        <v>0</v>
      </c>
      <c r="G94" s="8"/>
      <c r="J94" s="94">
        <f t="shared" si="4"/>
        <v>0</v>
      </c>
      <c r="P94" s="8">
        <v>0</v>
      </c>
      <c r="Q94" s="128"/>
    </row>
    <row r="95" spans="2:17" ht="14.25" customHeight="1">
      <c r="B95" s="92">
        <v>7</v>
      </c>
      <c r="C95" s="8" t="s">
        <v>119</v>
      </c>
      <c r="D95" s="6"/>
      <c r="E95" s="8">
        <f t="shared" si="6"/>
        <v>0</v>
      </c>
      <c r="F95" s="8">
        <f t="shared" si="6"/>
        <v>0</v>
      </c>
      <c r="G95" s="8"/>
      <c r="J95" s="94">
        <f t="shared" si="4"/>
        <v>0</v>
      </c>
      <c r="P95" s="8">
        <v>0</v>
      </c>
      <c r="Q95" s="128"/>
    </row>
    <row r="96" spans="2:17" ht="14.25" customHeight="1">
      <c r="B96" s="92">
        <v>8</v>
      </c>
      <c r="C96" s="8" t="s">
        <v>120</v>
      </c>
      <c r="D96" s="6"/>
      <c r="E96" s="8">
        <f t="shared" si="6"/>
        <v>0</v>
      </c>
      <c r="F96" s="8">
        <f t="shared" si="6"/>
        <v>0</v>
      </c>
      <c r="G96" s="8"/>
      <c r="J96" s="94">
        <f t="shared" si="4"/>
        <v>0</v>
      </c>
      <c r="P96" s="8">
        <v>0</v>
      </c>
      <c r="Q96" s="128"/>
    </row>
    <row r="97" spans="1:17" ht="14.25" customHeight="1">
      <c r="A97" s="88">
        <v>410</v>
      </c>
      <c r="B97" s="92">
        <v>9</v>
      </c>
      <c r="C97" s="8" t="s">
        <v>121</v>
      </c>
      <c r="D97" s="6"/>
      <c r="E97" s="177">
        <f>-SUMIF(Sheet2!A:A,BSH!A:A,Sheet2!D:D)</f>
        <v>-7276873.68</v>
      </c>
      <c r="F97" s="8">
        <f>F112</f>
        <v>-559709.62</v>
      </c>
      <c r="G97" s="8"/>
      <c r="J97" s="94">
        <f t="shared" si="4"/>
        <v>-559709.62</v>
      </c>
      <c r="P97" s="8">
        <v>-559709.62</v>
      </c>
      <c r="Q97" s="128"/>
    </row>
    <row r="98" spans="2:17" ht="14.25" customHeight="1">
      <c r="B98" s="92">
        <v>10</v>
      </c>
      <c r="C98" s="8" t="s">
        <v>122</v>
      </c>
      <c r="D98" s="95">
        <v>3.1</v>
      </c>
      <c r="E98" s="8">
        <f>+PL!D33</f>
        <v>-4914911.851000001</v>
      </c>
      <c r="F98" s="8">
        <f>F113</f>
        <v>-6717164.05500002</v>
      </c>
      <c r="G98" s="8">
        <v>-559710</v>
      </c>
      <c r="H98" s="113"/>
      <c r="J98" s="94">
        <f t="shared" si="4"/>
        <v>-6157454.05500002</v>
      </c>
      <c r="P98" s="8">
        <v>-6717164.05500002</v>
      </c>
      <c r="Q98" s="128"/>
    </row>
    <row r="99" spans="2:17" ht="14.25" customHeight="1">
      <c r="B99" s="101"/>
      <c r="C99" s="10" t="s">
        <v>123</v>
      </c>
      <c r="D99" s="104"/>
      <c r="E99" s="10">
        <f>SUM(E89:E98)</f>
        <v>1901235.4689999996</v>
      </c>
      <c r="F99" s="10">
        <f>SUM(F89:F98)</f>
        <v>-2742187.6750000203</v>
      </c>
      <c r="G99" s="10">
        <f>SUM(G89:G98)</f>
        <v>-559610</v>
      </c>
      <c r="J99" s="94">
        <f t="shared" si="4"/>
        <v>-2182577.6750000203</v>
      </c>
      <c r="P99" s="10">
        <v>-2742187.6750000203</v>
      </c>
      <c r="Q99" s="128"/>
    </row>
    <row r="100" spans="2:17" s="135" customFormat="1" ht="14.25" customHeight="1">
      <c r="B100" s="132"/>
      <c r="C100" s="133"/>
      <c r="D100" s="134"/>
      <c r="E100" s="133"/>
      <c r="F100" s="133"/>
      <c r="G100" s="133"/>
      <c r="J100" s="136"/>
      <c r="P100" s="133"/>
      <c r="Q100" s="128"/>
    </row>
    <row r="101" spans="2:17" ht="14.25" customHeight="1" thickBot="1">
      <c r="B101" s="114"/>
      <c r="C101" s="115" t="s">
        <v>124</v>
      </c>
      <c r="D101" s="116"/>
      <c r="E101" s="115">
        <f>E99+E87</f>
        <v>37446966.89827998</v>
      </c>
      <c r="F101" s="115">
        <f>F99+F87</f>
        <v>42079229.06827998</v>
      </c>
      <c r="G101" s="115">
        <f>G99+G87</f>
        <v>42032012</v>
      </c>
      <c r="J101" s="94">
        <f t="shared" si="4"/>
        <v>47217.06827998161</v>
      </c>
      <c r="P101" s="115">
        <v>42079229.06827998</v>
      </c>
      <c r="Q101" s="128"/>
    </row>
    <row r="102" spans="2:17" ht="17.25" customHeight="1">
      <c r="B102" s="86"/>
      <c r="C102" s="117"/>
      <c r="D102" s="117"/>
      <c r="E102" s="117"/>
      <c r="F102" s="117"/>
      <c r="G102" s="117"/>
      <c r="P102" s="117"/>
      <c r="Q102" s="128"/>
    </row>
    <row r="103" spans="2:16" ht="17.25" customHeight="1">
      <c r="B103" s="86"/>
      <c r="C103" s="117"/>
      <c r="D103" s="117"/>
      <c r="E103" s="117">
        <f>E101-E50</f>
        <v>-0.05010002851486206</v>
      </c>
      <c r="F103" s="117">
        <f>F101-F50</f>
        <v>0.12549997866153717</v>
      </c>
      <c r="G103" s="117"/>
      <c r="P103" s="117">
        <f>P101-P50</f>
        <v>0.12549997866153717</v>
      </c>
    </row>
    <row r="104" ht="15"/>
    <row r="105" ht="15"/>
    <row r="106" ht="15"/>
    <row r="107" ht="14.25" hidden="1"/>
    <row r="108" ht="14.25" hidden="1"/>
    <row r="109" ht="14.25" hidden="1"/>
    <row r="110" spans="6:16" ht="14.25" hidden="1">
      <c r="F110" s="118"/>
      <c r="P110" s="118"/>
    </row>
    <row r="111" spans="2:16" ht="14.25" hidden="1">
      <c r="B111" s="88">
        <v>400</v>
      </c>
      <c r="C111" s="25">
        <v>101</v>
      </c>
      <c r="D111" s="88" t="s">
        <v>112</v>
      </c>
      <c r="E111" s="94"/>
      <c r="F111" s="119">
        <f>VLOOKUP(C111,'Bilanc Fin 5'!B2:L35,11,FALSE)</f>
        <v>4534686</v>
      </c>
      <c r="G111" s="94"/>
      <c r="P111" s="119">
        <v>4534686</v>
      </c>
    </row>
    <row r="112" spans="2:16" ht="14.25" hidden="1">
      <c r="B112" s="88">
        <v>0</v>
      </c>
      <c r="C112" s="25">
        <v>109</v>
      </c>
      <c r="D112" s="88" t="s">
        <v>272</v>
      </c>
      <c r="E112" s="94"/>
      <c r="F112" s="119">
        <f>VLOOKUP(C112,'Bilanc Fin 5'!B3:L36,11,FALSE)</f>
        <v>-559709.62</v>
      </c>
      <c r="G112" s="94"/>
      <c r="P112" s="119">
        <v>-559709.62</v>
      </c>
    </row>
    <row r="113" spans="2:16" ht="14.25" hidden="1">
      <c r="B113" s="88">
        <v>0</v>
      </c>
      <c r="C113" s="182" t="s">
        <v>189</v>
      </c>
      <c r="D113" s="187" t="s">
        <v>190</v>
      </c>
      <c r="E113" s="194"/>
      <c r="F113" s="119">
        <f>VLOOKUP(C113,'Bilanc Fin 5'!B4:L37,11,FALSE)</f>
        <v>-6717164.05500002</v>
      </c>
      <c r="G113" s="94"/>
      <c r="P113" s="119">
        <v>-6717164.05500002</v>
      </c>
    </row>
    <row r="114" spans="2:16" ht="14.25" hidden="1">
      <c r="B114" s="88">
        <v>200</v>
      </c>
      <c r="C114" s="25">
        <v>2813</v>
      </c>
      <c r="D114" s="88" t="s">
        <v>273</v>
      </c>
      <c r="E114" s="94"/>
      <c r="F114" s="119">
        <f>VLOOKUP(C114,'Bilanc Fin 5'!B4:L37,11,FALSE)</f>
        <v>3336610</v>
      </c>
      <c r="G114" s="94"/>
      <c r="P114" s="119">
        <v>3336610</v>
      </c>
    </row>
    <row r="115" spans="2:16" ht="14.25" hidden="1">
      <c r="B115" s="88">
        <v>200</v>
      </c>
      <c r="C115" s="25">
        <v>28181</v>
      </c>
      <c r="D115" s="88" t="s">
        <v>281</v>
      </c>
      <c r="E115" s="94"/>
      <c r="F115" s="119">
        <f>VLOOKUP(C115,'Bilanc Fin 5'!B5:L38,11,FALSE)</f>
        <v>385784</v>
      </c>
      <c r="G115" s="94"/>
      <c r="P115" s="119">
        <v>385784</v>
      </c>
    </row>
    <row r="116" spans="2:16" ht="14.25" hidden="1">
      <c r="B116" s="88">
        <v>200</v>
      </c>
      <c r="C116" s="25">
        <v>28182</v>
      </c>
      <c r="D116" s="120" t="s">
        <v>150</v>
      </c>
      <c r="E116" s="119"/>
      <c r="F116" s="119">
        <f>VLOOKUP(C116,'Bilanc Fin 5'!B6:L39,11,FALSE)</f>
        <v>220167</v>
      </c>
      <c r="G116" s="94"/>
      <c r="P116" s="119">
        <v>220167</v>
      </c>
    </row>
    <row r="117" spans="2:16" ht="14.25" hidden="1">
      <c r="B117" s="88">
        <v>210</v>
      </c>
      <c r="C117" s="25">
        <v>28183</v>
      </c>
      <c r="D117" s="120" t="s">
        <v>274</v>
      </c>
      <c r="E117" s="119"/>
      <c r="F117" s="119">
        <f>VLOOKUP(C117,'Bilanc Fin 5'!B7:L40,11,FALSE)</f>
        <v>1265562</v>
      </c>
      <c r="G117" s="94"/>
      <c r="P117" s="119">
        <v>1265562</v>
      </c>
    </row>
    <row r="118" spans="2:16" ht="14.25" hidden="1">
      <c r="B118" s="88">
        <v>320</v>
      </c>
      <c r="C118" s="25">
        <v>401</v>
      </c>
      <c r="D118" s="88" t="s">
        <v>146</v>
      </c>
      <c r="E118" s="94"/>
      <c r="F118" s="119">
        <f>VLOOKUP(C118,'Bilanc Fin 5'!B8:L41,11,FALSE)</f>
        <v>14945280.54328</v>
      </c>
      <c r="G118" s="94"/>
      <c r="P118" s="119">
        <v>14945280.54328</v>
      </c>
    </row>
    <row r="119" spans="2:16" ht="14.25" hidden="1">
      <c r="B119" s="88">
        <v>320</v>
      </c>
      <c r="C119" s="25">
        <v>408</v>
      </c>
      <c r="D119" s="88" t="s">
        <v>275</v>
      </c>
      <c r="E119" s="94"/>
      <c r="F119" s="119">
        <f>VLOOKUP(C119,'Bilanc Fin 5'!B9:L42,11,FALSE)</f>
        <v>12830827.5</v>
      </c>
      <c r="G119" s="94"/>
      <c r="P119" s="119">
        <v>12830827.5</v>
      </c>
    </row>
    <row r="120" spans="2:16" ht="14.25" hidden="1">
      <c r="B120" s="88">
        <v>321</v>
      </c>
      <c r="C120" s="25">
        <v>423</v>
      </c>
      <c r="D120" s="88" t="s">
        <v>486</v>
      </c>
      <c r="E120" s="94"/>
      <c r="F120" s="119"/>
      <c r="G120" s="94"/>
      <c r="P120" s="119"/>
    </row>
    <row r="121" spans="2:16" ht="14.25" hidden="1">
      <c r="B121" s="88">
        <v>322</v>
      </c>
      <c r="C121" s="25">
        <v>431</v>
      </c>
      <c r="D121" s="88" t="s">
        <v>276</v>
      </c>
      <c r="E121" s="94"/>
      <c r="F121" s="119">
        <f>VLOOKUP(C121,'Bilanc Fin 5'!B10:L43,11,FALSE)</f>
        <v>98286</v>
      </c>
      <c r="G121" s="94"/>
      <c r="P121" s="119">
        <v>98286</v>
      </c>
    </row>
    <row r="122" spans="2:16" ht="14.25" hidden="1">
      <c r="B122" s="88">
        <v>322</v>
      </c>
      <c r="C122" s="25">
        <v>442</v>
      </c>
      <c r="D122" s="88" t="s">
        <v>147</v>
      </c>
      <c r="E122" s="94"/>
      <c r="F122" s="119">
        <f>VLOOKUP(C122,'Bilanc Fin 5'!B11:L44,11,FALSE)</f>
        <v>31290</v>
      </c>
      <c r="G122" s="94"/>
      <c r="P122" s="119">
        <v>31290</v>
      </c>
    </row>
    <row r="123" spans="2:16" ht="14.25" hidden="1">
      <c r="B123" s="88">
        <v>121</v>
      </c>
      <c r="C123" s="25">
        <v>4457</v>
      </c>
      <c r="D123" s="88" t="s">
        <v>277</v>
      </c>
      <c r="E123" s="94"/>
      <c r="F123" s="119">
        <f>VLOOKUP(C123,'Bilanc Fin 5'!B12:L45,11,FALSE)</f>
        <v>271288.131</v>
      </c>
      <c r="G123" s="94"/>
      <c r="P123" s="119">
        <v>271288.131</v>
      </c>
    </row>
    <row r="124" spans="2:16" ht="14.25" hidden="1">
      <c r="B124" s="88">
        <v>360</v>
      </c>
      <c r="C124" s="25">
        <v>455</v>
      </c>
      <c r="E124" s="94"/>
      <c r="F124" s="119"/>
      <c r="G124" s="94"/>
      <c r="P124" s="119"/>
    </row>
    <row r="125" spans="2:16" ht="14.25" hidden="1">
      <c r="B125" s="88">
        <v>321</v>
      </c>
      <c r="C125" s="25">
        <v>467</v>
      </c>
      <c r="E125" s="94"/>
      <c r="F125" s="119"/>
      <c r="G125" s="94"/>
      <c r="P125" s="119"/>
    </row>
    <row r="126" spans="2:16" ht="14.25" hidden="1">
      <c r="B126" s="88">
        <v>350</v>
      </c>
      <c r="C126" s="25">
        <v>468</v>
      </c>
      <c r="D126" s="88" t="s">
        <v>278</v>
      </c>
      <c r="E126" s="94"/>
      <c r="F126" s="119">
        <f>VLOOKUP(C126,'Bilanc Fin 5'!B13:L46,11,FALSE)</f>
        <v>14160041.7</v>
      </c>
      <c r="G126" s="94"/>
      <c r="P126" s="119">
        <v>14160041.7</v>
      </c>
    </row>
    <row r="127" spans="3:16" ht="14.25" hidden="1">
      <c r="C127" s="187">
        <v>421</v>
      </c>
      <c r="D127" s="187" t="s">
        <v>151</v>
      </c>
      <c r="E127" s="194"/>
      <c r="F127" s="119">
        <f>-VLOOKUP(C127,'Bilanc Fin 5'!B14:L47,11,FALSE)</f>
        <v>1</v>
      </c>
      <c r="G127" s="94"/>
      <c r="P127" s="119">
        <v>1</v>
      </c>
    </row>
    <row r="128" spans="2:16" ht="14.25" hidden="1">
      <c r="B128" s="88">
        <v>360</v>
      </c>
      <c r="C128" s="187">
        <v>486</v>
      </c>
      <c r="D128" s="187" t="s">
        <v>361</v>
      </c>
      <c r="E128" s="194"/>
      <c r="F128" s="119">
        <f>-VLOOKUP(C128,'Bilanc Fin 5'!B15:L48,11,FALSE)</f>
        <v>2</v>
      </c>
      <c r="G128" s="94"/>
      <c r="P128" s="119">
        <v>2</v>
      </c>
    </row>
    <row r="129" spans="3:16" s="195" customFormat="1" ht="14.25" hidden="1">
      <c r="C129" s="196"/>
      <c r="E129" s="197"/>
      <c r="F129" s="198">
        <f>SUM(F111:F128)</f>
        <v>44802952.19927998</v>
      </c>
      <c r="G129" s="198"/>
      <c r="P129" s="198">
        <v>44802952.19927998</v>
      </c>
    </row>
    <row r="130" spans="3:5" ht="14.25" hidden="1">
      <c r="C130" s="25" t="s">
        <v>145</v>
      </c>
      <c r="E130" s="94"/>
    </row>
    <row r="131" spans="2:16" ht="14.25" hidden="1">
      <c r="B131" s="88">
        <v>200</v>
      </c>
      <c r="C131" s="26">
        <v>2131</v>
      </c>
      <c r="D131" s="88" t="s">
        <v>279</v>
      </c>
      <c r="E131" s="94"/>
      <c r="F131" s="119">
        <f>VLOOKUP(C131,'Bilanc Fin 5'!B16:L49,11,FALSE)</f>
        <v>14335952.08</v>
      </c>
      <c r="G131" s="94"/>
      <c r="P131" s="119">
        <v>14335952.08</v>
      </c>
    </row>
    <row r="132" spans="2:16" ht="14.25" hidden="1">
      <c r="B132" s="88">
        <v>200</v>
      </c>
      <c r="C132" s="85">
        <v>2132</v>
      </c>
      <c r="D132" s="88" t="s">
        <v>280</v>
      </c>
      <c r="E132" s="94"/>
      <c r="F132" s="119">
        <f>VLOOKUP(C132,'Bilanc Fin 5'!B17:L50,11,FALSE)</f>
        <v>3850005.6</v>
      </c>
      <c r="G132" s="94"/>
      <c r="I132" s="118"/>
      <c r="P132" s="119">
        <v>3850005.6</v>
      </c>
    </row>
    <row r="133" spans="2:16" ht="14.25" hidden="1">
      <c r="B133" s="88">
        <v>200</v>
      </c>
      <c r="C133" s="85">
        <v>2181</v>
      </c>
      <c r="D133" s="88" t="s">
        <v>281</v>
      </c>
      <c r="E133" s="94"/>
      <c r="F133" s="119">
        <f>VLOOKUP(C133,'Bilanc Fin 5'!B18:L51,11,FALSE)</f>
        <v>2121658.4</v>
      </c>
      <c r="G133" s="94"/>
      <c r="P133" s="119">
        <v>2121658.4</v>
      </c>
    </row>
    <row r="134" spans="2:16" ht="14.25" hidden="1">
      <c r="B134" s="88">
        <v>200</v>
      </c>
      <c r="C134" s="85">
        <v>2182</v>
      </c>
      <c r="D134" s="88" t="s">
        <v>149</v>
      </c>
      <c r="E134" s="94"/>
      <c r="F134" s="119">
        <f>VLOOKUP(C134,'Bilanc Fin 5'!B19:L52,11,FALSE)</f>
        <v>979381.29</v>
      </c>
      <c r="G134" s="94"/>
      <c r="P134" s="119">
        <v>979381.29</v>
      </c>
    </row>
    <row r="135" spans="2:16" ht="14.25" hidden="1">
      <c r="B135" s="88">
        <v>210</v>
      </c>
      <c r="C135" s="85">
        <v>2183</v>
      </c>
      <c r="D135" s="88" t="s">
        <v>274</v>
      </c>
      <c r="E135" s="94"/>
      <c r="F135" s="119">
        <f>VLOOKUP(C135,'Bilanc Fin 5'!B20:L53,11,FALSE)</f>
        <v>7530011.22</v>
      </c>
      <c r="G135" s="94"/>
      <c r="P135" s="119">
        <v>7530011.22</v>
      </c>
    </row>
    <row r="136" spans="2:16" ht="14.25" hidden="1">
      <c r="B136" s="88">
        <v>130</v>
      </c>
      <c r="C136" s="85">
        <v>351</v>
      </c>
      <c r="D136" s="88" t="s">
        <v>282</v>
      </c>
      <c r="E136" s="94"/>
      <c r="F136" s="119">
        <f>VLOOKUP(C136,'Bilanc Fin 5'!B21:L54,11,FALSE)</f>
        <v>17175899.676</v>
      </c>
      <c r="G136" s="94"/>
      <c r="P136" s="119">
        <v>17175899.676</v>
      </c>
    </row>
    <row r="137" spans="2:16" ht="14.25" hidden="1">
      <c r="B137" s="88">
        <v>120</v>
      </c>
      <c r="C137" s="85">
        <v>411</v>
      </c>
      <c r="D137" s="88" t="s">
        <v>319</v>
      </c>
      <c r="E137" s="94"/>
      <c r="F137" s="119">
        <f>VLOOKUP(C137,'Bilanc Fin 5'!B22:L55,11,FALSE)</f>
        <v>6718.6399999999</v>
      </c>
      <c r="G137" s="94"/>
      <c r="P137" s="119">
        <v>6718.6399999999</v>
      </c>
    </row>
    <row r="138" spans="2:16" ht="14.25" hidden="1">
      <c r="B138" s="88">
        <v>121</v>
      </c>
      <c r="C138" s="85">
        <v>444</v>
      </c>
      <c r="D138" s="88" t="s">
        <v>210</v>
      </c>
      <c r="E138" s="94"/>
      <c r="F138" s="119">
        <f>VLOOKUP(C138,'Bilanc Fin 5'!B23:L56,11,FALSE)</f>
        <v>20000</v>
      </c>
      <c r="G138" s="94"/>
      <c r="P138" s="119">
        <v>20000</v>
      </c>
    </row>
    <row r="139" spans="2:16" ht="14.25" hidden="1">
      <c r="B139" s="88">
        <v>121</v>
      </c>
      <c r="C139" s="26">
        <v>4456</v>
      </c>
      <c r="D139" s="88" t="s">
        <v>152</v>
      </c>
      <c r="E139" s="94"/>
      <c r="F139" s="119">
        <f>VLOOKUP(C139,'Bilanc Fin 5'!B24:L57,11,FALSE)</f>
        <v>959693.73328</v>
      </c>
      <c r="G139" s="94"/>
      <c r="P139" s="119">
        <v>959693.73328</v>
      </c>
    </row>
    <row r="140" spans="2:16" ht="14.25" hidden="1">
      <c r="B140" s="88">
        <v>360</v>
      </c>
      <c r="C140" s="25">
        <v>467</v>
      </c>
      <c r="D140" s="88" t="s">
        <v>318</v>
      </c>
      <c r="E140" s="94"/>
      <c r="F140" s="119">
        <f>-'Bilanc Fin 5'!L17</f>
        <v>9000</v>
      </c>
      <c r="G140" s="94"/>
      <c r="J140" s="94"/>
      <c r="K140" s="118"/>
      <c r="P140" s="119">
        <v>9000</v>
      </c>
    </row>
    <row r="141" spans="2:16" ht="14.25" hidden="1">
      <c r="B141" s="88">
        <v>100</v>
      </c>
      <c r="C141" s="26">
        <v>5121</v>
      </c>
      <c r="D141" s="88" t="s">
        <v>154</v>
      </c>
      <c r="E141" s="94"/>
      <c r="F141" s="119">
        <f>VLOOKUP(C141,'Bilanc Fin 5'!B26:L59,11,FALSE)</f>
        <v>21256.1500000004</v>
      </c>
      <c r="G141" s="94"/>
      <c r="P141" s="119">
        <v>21256.1500000004</v>
      </c>
    </row>
    <row r="142" spans="2:16" ht="14.25" hidden="1">
      <c r="B142" s="88">
        <v>100</v>
      </c>
      <c r="C142" s="26">
        <v>5122</v>
      </c>
      <c r="D142" s="88" t="s">
        <v>155</v>
      </c>
      <c r="E142" s="94"/>
      <c r="F142" s="119">
        <f>VLOOKUP(C142,'Bilanc Fin 5'!B27:L60,11,FALSE)</f>
        <v>-2747442.4755</v>
      </c>
      <c r="G142" s="94">
        <v>2755688</v>
      </c>
      <c r="H142" s="118">
        <f>F142+G142</f>
        <v>8245.524499999825</v>
      </c>
      <c r="P142" s="119">
        <v>-2747442.4755</v>
      </c>
    </row>
    <row r="143" spans="2:16" ht="14.25" hidden="1">
      <c r="B143" s="88">
        <v>100</v>
      </c>
      <c r="C143" s="26">
        <v>5311</v>
      </c>
      <c r="D143" s="88" t="s">
        <v>154</v>
      </c>
      <c r="E143" s="94"/>
      <c r="F143" s="119">
        <f>VLOOKUP(C143,'Bilanc Fin 5'!B28:L61,11,FALSE)</f>
        <v>483308.95</v>
      </c>
      <c r="G143" s="94"/>
      <c r="H143" s="118">
        <f>F141+H142</f>
        <v>29501.674500000227</v>
      </c>
      <c r="P143" s="119">
        <v>483308.95</v>
      </c>
    </row>
    <row r="144" spans="2:16" ht="14.25" hidden="1">
      <c r="B144" s="88">
        <v>100</v>
      </c>
      <c r="C144" s="26">
        <v>5312</v>
      </c>
      <c r="D144" s="88" t="s">
        <v>155</v>
      </c>
      <c r="E144" s="94"/>
      <c r="F144" s="119">
        <f>VLOOKUP(C144,'Bilanc Fin 5'!B29:L62,11,FALSE)</f>
        <v>7147.00999999999</v>
      </c>
      <c r="G144" s="94"/>
      <c r="P144" s="119">
        <v>7147.00999999999</v>
      </c>
    </row>
    <row r="145" spans="2:16" ht="14.25" hidden="1">
      <c r="B145" s="88">
        <v>100</v>
      </c>
      <c r="C145" s="26">
        <v>583</v>
      </c>
      <c r="D145" s="88" t="s">
        <v>283</v>
      </c>
      <c r="E145" s="94"/>
      <c r="F145" s="119">
        <f>VLOOKUP(C145,'Bilanc Fin 5'!B30:L63,11,FALSE)</f>
        <v>50361.8</v>
      </c>
      <c r="P145" s="119">
        <v>50361.8</v>
      </c>
    </row>
    <row r="146" spans="5:16" ht="14.25" hidden="1">
      <c r="E146" s="94"/>
      <c r="F146" s="121">
        <f>SUM(F131:F145)</f>
        <v>44802952.07377999</v>
      </c>
      <c r="P146" s="121">
        <v>44802952.07377999</v>
      </c>
    </row>
    <row r="147" spans="5:16" ht="14.25" hidden="1">
      <c r="E147" s="94"/>
      <c r="F147" s="127">
        <f>F129-F146</f>
        <v>0.12549998611211777</v>
      </c>
      <c r="P147" s="127">
        <v>0.12549998611211777</v>
      </c>
    </row>
    <row r="148" spans="6:16" ht="14.25" hidden="1">
      <c r="F148" s="127"/>
      <c r="P148" s="127"/>
    </row>
    <row r="149" ht="14.25" hidden="1"/>
    <row r="185" ht="15"/>
    <row r="186" ht="15"/>
    <row r="187" ht="15"/>
  </sheetData>
  <sheetProtection/>
  <autoFilter ref="A110:Q147"/>
  <mergeCells count="9">
    <mergeCell ref="E2:E3"/>
    <mergeCell ref="G2:G3"/>
    <mergeCell ref="D1:G1"/>
    <mergeCell ref="D56:G56"/>
    <mergeCell ref="B57:B58"/>
    <mergeCell ref="C57:C58"/>
    <mergeCell ref="D57:D58"/>
    <mergeCell ref="G57:G58"/>
    <mergeCell ref="E57:E58"/>
  </mergeCells>
  <printOptions/>
  <pageMargins left="0.17" right="0.17" top="0.17" bottom="0.17" header="0.17" footer="0.17"/>
  <pageSetup fitToHeight="1" fitToWidth="1" horizontalDpi="600" verticalDpi="600" orientation="portrait" paperSize="9" scale="38" r:id="rId3"/>
  <ignoredErrors>
    <ignoredError sqref="F73 F91 F3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19">
      <selection activeCell="H1" sqref="H1:I16384"/>
    </sheetView>
  </sheetViews>
  <sheetFormatPr defaultColWidth="9.140625" defaultRowHeight="15"/>
  <cols>
    <col min="1" max="1" width="8.8515625" style="137" customWidth="1"/>
    <col min="2" max="2" width="5.421875" style="137" customWidth="1"/>
    <col min="3" max="3" width="59.28125" style="137" customWidth="1"/>
    <col min="4" max="4" width="17.8515625" style="137" customWidth="1"/>
    <col min="5" max="5" width="15.00390625" style="137" bestFit="1" customWidth="1"/>
    <col min="6" max="6" width="13.7109375" style="137" hidden="1" customWidth="1"/>
    <col min="7" max="7" width="11.28125" style="137" bestFit="1" customWidth="1"/>
    <col min="8" max="8" width="13.8515625" style="137" bestFit="1" customWidth="1"/>
    <col min="9" max="16384" width="8.8515625" style="137" customWidth="1"/>
  </cols>
  <sheetData>
    <row r="2" spans="2:6" ht="14.25">
      <c r="B2" s="140"/>
      <c r="C2" s="394" t="s">
        <v>284</v>
      </c>
      <c r="D2" s="394"/>
      <c r="E2" s="394"/>
      <c r="F2" s="141"/>
    </row>
    <row r="3" spans="2:6" ht="14.25">
      <c r="B3" s="393" t="s">
        <v>484</v>
      </c>
      <c r="C3" s="393"/>
      <c r="D3" s="393"/>
      <c r="E3" s="393"/>
      <c r="F3" s="141" t="s">
        <v>0</v>
      </c>
    </row>
    <row r="4" spans="2:6" ht="14.25">
      <c r="B4" s="142"/>
      <c r="C4" s="142"/>
      <c r="D4" s="190"/>
      <c r="E4" s="142"/>
      <c r="F4" s="141"/>
    </row>
    <row r="5" spans="2:5" ht="14.25">
      <c r="B5" s="143" t="s">
        <v>1</v>
      </c>
      <c r="C5" s="143" t="s">
        <v>2</v>
      </c>
      <c r="D5" s="391">
        <v>2013</v>
      </c>
      <c r="E5" s="391">
        <v>2012</v>
      </c>
    </row>
    <row r="6" spans="2:5" ht="14.25">
      <c r="B6" s="143"/>
      <c r="C6" s="143"/>
      <c r="D6" s="391"/>
      <c r="E6" s="391"/>
    </row>
    <row r="7" spans="1:6" ht="14.25" customHeight="1">
      <c r="A7" s="137">
        <v>701</v>
      </c>
      <c r="B7" s="143">
        <v>1</v>
      </c>
      <c r="C7" s="144" t="s">
        <v>5</v>
      </c>
      <c r="D7" s="253">
        <f>SUMIF(Sheet1!A:A,PL!A:A,Sheet1!D:D)</f>
        <v>21643643.403</v>
      </c>
      <c r="E7" s="253">
        <f>E43</f>
        <v>28327189.826</v>
      </c>
      <c r="F7" s="145">
        <v>454440</v>
      </c>
    </row>
    <row r="8" spans="1:6" ht="14.25" customHeight="1">
      <c r="A8" s="137">
        <v>702</v>
      </c>
      <c r="B8" s="143">
        <v>2</v>
      </c>
      <c r="C8" s="144" t="s">
        <v>6</v>
      </c>
      <c r="D8" s="158">
        <f>SUMIF(Sheet1!A:A,PL!A:A,Sheet1!D:D)</f>
        <v>201802.9</v>
      </c>
      <c r="E8" s="158">
        <f>E44+E45+E46+E47+E48</f>
        <v>543710.0599999999</v>
      </c>
      <c r="F8" s="146">
        <v>0</v>
      </c>
    </row>
    <row r="9" spans="2:6" ht="14.25" customHeight="1">
      <c r="B9" s="143">
        <v>3</v>
      </c>
      <c r="C9" s="144" t="s">
        <v>7</v>
      </c>
      <c r="D9" s="253"/>
      <c r="E9" s="253">
        <f>SUMIF($G$43:$G$80,$C9,$E$47:$E$82)</f>
        <v>0</v>
      </c>
      <c r="F9" s="147">
        <v>0</v>
      </c>
    </row>
    <row r="10" spans="2:6" ht="14.25" customHeight="1">
      <c r="B10" s="143">
        <v>4</v>
      </c>
      <c r="C10" s="144" t="s">
        <v>8</v>
      </c>
      <c r="D10" s="254"/>
      <c r="E10" s="158">
        <f>SUMIF($G$43:$G$80,$C10,$E$47:$E$82)</f>
        <v>0</v>
      </c>
      <c r="F10" s="148">
        <v>0</v>
      </c>
    </row>
    <row r="11" spans="1:6" ht="14.25" customHeight="1">
      <c r="A11" s="137">
        <v>605</v>
      </c>
      <c r="B11" s="143">
        <v>5</v>
      </c>
      <c r="C11" s="144" t="s">
        <v>9</v>
      </c>
      <c r="D11" s="157">
        <f>SUMIF(Sheet1!A:A,PL!A:A,Sheet1!D:D)</f>
        <v>-16233267.614</v>
      </c>
      <c r="E11" s="158">
        <f>E53+E54</f>
        <v>-19076486.664000012</v>
      </c>
      <c r="F11" s="146">
        <v>-250350</v>
      </c>
    </row>
    <row r="12" spans="1:6" ht="14.25" customHeight="1">
      <c r="A12" s="137">
        <v>606</v>
      </c>
      <c r="B12" s="143">
        <v>6</v>
      </c>
      <c r="C12" s="144" t="s">
        <v>10</v>
      </c>
      <c r="D12" s="157">
        <f>SUMIF(Sheet1!A:A,PL!A:A,Sheet1!D:D)</f>
        <v>-1245894.07</v>
      </c>
      <c r="E12" s="253">
        <f>E55+E56+E58+E59+E60+E62+E63+E64+E65+E66+E70+E71+E72+E73+E78+E74+E67+E61+E57</f>
        <v>-4115356.5799999996</v>
      </c>
      <c r="F12" s="145">
        <v>-305698</v>
      </c>
    </row>
    <row r="13" spans="2:6" ht="14.25" customHeight="1">
      <c r="B13" s="143">
        <v>7</v>
      </c>
      <c r="C13" s="144" t="s">
        <v>11</v>
      </c>
      <c r="D13" s="157">
        <f>SUM(D14:D16)</f>
        <v>-3757138</v>
      </c>
      <c r="E13" s="253">
        <f>SUM(E14:E16)</f>
        <v>-5554638</v>
      </c>
      <c r="F13" s="145">
        <f>SUM(F14:F16)</f>
        <v>-299683</v>
      </c>
    </row>
    <row r="14" spans="1:6" ht="14.25" customHeight="1">
      <c r="A14" s="137">
        <v>607</v>
      </c>
      <c r="B14" s="149" t="s">
        <v>12</v>
      </c>
      <c r="C14" s="150" t="s">
        <v>13</v>
      </c>
      <c r="D14" s="157">
        <f>SUMIF(Sheet1!A:A,PL!A:A,Sheet1!D:D)</f>
        <v>-3227375</v>
      </c>
      <c r="E14" s="158">
        <f>E68</f>
        <v>-4806913</v>
      </c>
      <c r="F14" s="146">
        <v>-261557</v>
      </c>
    </row>
    <row r="15" spans="1:6" ht="14.25" customHeight="1">
      <c r="A15" s="137">
        <v>608</v>
      </c>
      <c r="B15" s="149" t="s">
        <v>14</v>
      </c>
      <c r="C15" s="150" t="s">
        <v>15</v>
      </c>
      <c r="D15" s="157">
        <f>SUMIF(Sheet1!A:A,PL!A:A,Sheet1!D:D)</f>
        <v>-529763</v>
      </c>
      <c r="E15" s="157">
        <f>E69</f>
        <v>-747725</v>
      </c>
      <c r="F15" s="146">
        <v>-38126</v>
      </c>
    </row>
    <row r="16" spans="2:6" ht="14.25" customHeight="1">
      <c r="B16" s="149" t="s">
        <v>16</v>
      </c>
      <c r="C16" s="150" t="s">
        <v>17</v>
      </c>
      <c r="D16" s="157"/>
      <c r="E16" s="157"/>
      <c r="F16" s="148"/>
    </row>
    <row r="17" spans="1:6" ht="14.25" customHeight="1">
      <c r="A17" s="137">
        <v>610</v>
      </c>
      <c r="B17" s="143">
        <v>8</v>
      </c>
      <c r="C17" s="144" t="s">
        <v>18</v>
      </c>
      <c r="D17" s="157">
        <f>SUMIF(Sheet1!A:A,PL!A:A,Sheet1!D:D)</f>
        <v>-4302544</v>
      </c>
      <c r="E17" s="157">
        <f>E79+E80+E81</f>
        <v>-5151297</v>
      </c>
      <c r="F17" s="148">
        <v>-56826</v>
      </c>
    </row>
    <row r="18" spans="2:8" ht="14.25" customHeight="1">
      <c r="B18" s="152"/>
      <c r="C18" s="153" t="s">
        <v>19</v>
      </c>
      <c r="D18" s="255">
        <f>D7+D8+D11+D12+D13+D17</f>
        <v>-3693397.381000001</v>
      </c>
      <c r="E18" s="256">
        <f>E7+E8+E9+E10+E11+E12+E13+E17</f>
        <v>-5026878.358000012</v>
      </c>
      <c r="F18" s="154">
        <f>F7+F8+F9+F10+F11+F12+F13+F17</f>
        <v>-458117</v>
      </c>
      <c r="G18" s="179"/>
      <c r="H18" s="179"/>
    </row>
    <row r="19" spans="2:6" ht="14.25" customHeight="1">
      <c r="B19" s="149"/>
      <c r="C19" s="144"/>
      <c r="D19" s="254"/>
      <c r="E19" s="157"/>
      <c r="F19" s="148"/>
    </row>
    <row r="20" spans="2:6" ht="14.25" customHeight="1">
      <c r="B20" s="143">
        <v>1</v>
      </c>
      <c r="C20" s="144" t="s">
        <v>20</v>
      </c>
      <c r="D20" s="254"/>
      <c r="E20" s="157">
        <f>SUMIF($G$43:$G$80,$C20,$E$47:$E$82)</f>
        <v>0</v>
      </c>
      <c r="F20" s="148">
        <v>0</v>
      </c>
    </row>
    <row r="21" spans="2:6" ht="14.25" customHeight="1">
      <c r="B21" s="143">
        <v>2</v>
      </c>
      <c r="C21" s="144" t="s">
        <v>21</v>
      </c>
      <c r="D21" s="254"/>
      <c r="E21" s="157">
        <f>SUMIF($G$43:$G$80,$C21,$E$47:$E$82)</f>
        <v>0</v>
      </c>
      <c r="F21" s="148">
        <v>0</v>
      </c>
    </row>
    <row r="22" spans="2:6" ht="14.25" customHeight="1">
      <c r="B22" s="143">
        <v>3</v>
      </c>
      <c r="C22" s="144" t="s">
        <v>22</v>
      </c>
      <c r="D22" s="175">
        <v>0</v>
      </c>
      <c r="E22" s="175">
        <v>0</v>
      </c>
      <c r="F22" s="145">
        <v>-103673</v>
      </c>
    </row>
    <row r="23" spans="2:6" ht="14.25" customHeight="1">
      <c r="B23" s="149" t="s">
        <v>23</v>
      </c>
      <c r="C23" s="150" t="s">
        <v>288</v>
      </c>
      <c r="D23" s="257"/>
      <c r="E23" s="157">
        <f>SUMIF($G$43:$G$80,$C23,$E$47:$E$82)</f>
        <v>0</v>
      </c>
      <c r="F23" s="148">
        <v>0</v>
      </c>
    </row>
    <row r="24" spans="1:8" ht="14.25" customHeight="1">
      <c r="A24" s="137">
        <v>621</v>
      </c>
      <c r="B24" s="149" t="s">
        <v>24</v>
      </c>
      <c r="C24" s="150" t="s">
        <v>25</v>
      </c>
      <c r="D24" s="157">
        <f>SUMIF(Sheet1!A:A,PL!A:A,Sheet1!D:D)</f>
        <v>-1140354.39</v>
      </c>
      <c r="E24" s="157">
        <f>E50+E76</f>
        <v>-1465282.73</v>
      </c>
      <c r="F24" s="158">
        <v>0</v>
      </c>
      <c r="G24" s="180"/>
      <c r="H24" s="180"/>
    </row>
    <row r="25" spans="1:6" ht="14.25" customHeight="1">
      <c r="A25" s="137">
        <v>622</v>
      </c>
      <c r="B25" s="149" t="s">
        <v>26</v>
      </c>
      <c r="C25" s="150" t="s">
        <v>27</v>
      </c>
      <c r="D25" s="157">
        <f>SUMIF(Sheet1!A:A,PL!A:A,Sheet1!D:D)</f>
        <v>-81160.08000000002</v>
      </c>
      <c r="E25" s="157">
        <f>E49+E77+E75</f>
        <v>-225002.97</v>
      </c>
      <c r="F25" s="158">
        <v>815</v>
      </c>
    </row>
    <row r="26" spans="2:8" ht="14.25" customHeight="1">
      <c r="B26" s="149" t="s">
        <v>28</v>
      </c>
      <c r="C26" s="150" t="s">
        <v>29</v>
      </c>
      <c r="D26" s="257"/>
      <c r="E26" s="157"/>
      <c r="F26" s="158">
        <v>1265</v>
      </c>
      <c r="H26" s="180"/>
    </row>
    <row r="27" spans="2:6" ht="14.25" customHeight="1">
      <c r="B27" s="143"/>
      <c r="C27" s="144" t="s">
        <v>30</v>
      </c>
      <c r="D27" s="175">
        <f>SUM(D24:D26)</f>
        <v>-1221514.47</v>
      </c>
      <c r="E27" s="175">
        <f>SUM(E24:E26)</f>
        <v>-1690285.7</v>
      </c>
      <c r="F27" s="159">
        <f>SUM(F24:F26)</f>
        <v>2080</v>
      </c>
    </row>
    <row r="28" spans="2:6" ht="14.25" customHeight="1">
      <c r="B28" s="149"/>
      <c r="C28" s="144"/>
      <c r="D28" s="254"/>
      <c r="E28" s="157"/>
      <c r="F28" s="148"/>
    </row>
    <row r="29" spans="2:6" ht="14.25" customHeight="1">
      <c r="B29" s="152"/>
      <c r="C29" s="153" t="s">
        <v>31</v>
      </c>
      <c r="D29" s="256">
        <f>D18+D20+D21+D22+D27</f>
        <v>-4914911.851000001</v>
      </c>
      <c r="E29" s="256">
        <f>E18+E20+E21+E22+E27</f>
        <v>-6717164.058000012</v>
      </c>
      <c r="F29" s="154">
        <f>F18+F20+F21+F22+F27</f>
        <v>-559710</v>
      </c>
    </row>
    <row r="30" spans="2:6" ht="14.25" customHeight="1">
      <c r="B30" s="149"/>
      <c r="C30" s="144"/>
      <c r="D30" s="254"/>
      <c r="E30" s="157"/>
      <c r="F30" s="148"/>
    </row>
    <row r="31" spans="2:6" ht="14.25" customHeight="1">
      <c r="B31" s="149"/>
      <c r="C31" s="144" t="s">
        <v>32</v>
      </c>
      <c r="D31" s="254"/>
      <c r="E31" s="157">
        <f>SUMIF($G$43:$G$80,$C31,$E$47:$E$82)</f>
        <v>0</v>
      </c>
      <c r="F31" s="148">
        <v>0</v>
      </c>
    </row>
    <row r="32" spans="2:6" ht="14.25" customHeight="1">
      <c r="B32" s="149"/>
      <c r="C32" s="144"/>
      <c r="D32" s="254"/>
      <c r="E32" s="157"/>
      <c r="F32" s="148"/>
    </row>
    <row r="33" spans="2:6" ht="14.25" customHeight="1">
      <c r="B33" s="152"/>
      <c r="C33" s="153" t="s">
        <v>33</v>
      </c>
      <c r="D33" s="256">
        <f>D29+D31</f>
        <v>-4914911.851000001</v>
      </c>
      <c r="E33" s="256">
        <f>E29+E31</f>
        <v>-6717164.058000012</v>
      </c>
      <c r="F33" s="155">
        <f>F29+F31</f>
        <v>-559710</v>
      </c>
    </row>
    <row r="34" spans="2:6" ht="14.25" customHeight="1">
      <c r="B34" s="149"/>
      <c r="C34" s="144"/>
      <c r="D34" s="254"/>
      <c r="E34" s="157"/>
      <c r="F34" s="148"/>
    </row>
    <row r="35" spans="2:6" ht="14.25" customHeight="1">
      <c r="B35" s="149"/>
      <c r="C35" s="144" t="s">
        <v>34</v>
      </c>
      <c r="D35" s="254"/>
      <c r="E35" s="157"/>
      <c r="F35" s="148"/>
    </row>
    <row r="36" spans="2:6" ht="14.25" customHeight="1">
      <c r="B36" s="149"/>
      <c r="C36" s="144" t="s">
        <v>35</v>
      </c>
      <c r="D36" s="254"/>
      <c r="E36" s="157"/>
      <c r="F36" s="148"/>
    </row>
    <row r="37" spans="2:6" ht="14.25" customHeight="1">
      <c r="B37" s="149"/>
      <c r="C37" s="144"/>
      <c r="D37" s="254"/>
      <c r="E37" s="158"/>
      <c r="F37" s="148"/>
    </row>
    <row r="38" spans="2:6" ht="14.25">
      <c r="B38" s="140"/>
      <c r="C38" s="392"/>
      <c r="D38" s="392"/>
      <c r="E38" s="392"/>
      <c r="F38" s="140"/>
    </row>
    <row r="39" spans="5:6" ht="14.25" hidden="1">
      <c r="E39" s="138">
        <f>E33-BSH!F98</f>
        <v>-0.002999992109835148</v>
      </c>
      <c r="F39" s="138">
        <f>F33-BSH!G98</f>
        <v>0</v>
      </c>
    </row>
    <row r="40" ht="14.25" hidden="1"/>
    <row r="41" ht="14.25" hidden="1"/>
    <row r="42" ht="14.25" hidden="1"/>
    <row r="43" spans="2:7" ht="14.25" hidden="1">
      <c r="B43" s="137">
        <v>705</v>
      </c>
      <c r="C43" s="137">
        <v>705</v>
      </c>
      <c r="E43" s="176">
        <f>VLOOKUP(C43,'PL Fin 5'!$B$2:$P$43,15,FALSE)</f>
        <v>28327189.826</v>
      </c>
      <c r="G43" s="192"/>
    </row>
    <row r="44" spans="2:7" ht="14.25" hidden="1">
      <c r="B44" s="137">
        <v>707</v>
      </c>
      <c r="C44" s="137">
        <v>707</v>
      </c>
      <c r="E44" s="176">
        <f>'PL Fin 5'!P3+'PL Fin 5'!P4+'PL Fin 5'!P5</f>
        <v>45890</v>
      </c>
      <c r="G44" s="192"/>
    </row>
    <row r="45" spans="2:7" ht="14.25" hidden="1">
      <c r="B45" s="137">
        <v>708</v>
      </c>
      <c r="C45" s="137">
        <v>708</v>
      </c>
      <c r="E45" s="176">
        <f>VLOOKUP(C45,'PL Fin 5'!$B$2:$P$43,15,FALSE)</f>
        <v>411772.86</v>
      </c>
      <c r="G45" s="192"/>
    </row>
    <row r="46" spans="2:7" ht="14.25" hidden="1">
      <c r="B46" s="137">
        <v>715</v>
      </c>
      <c r="C46" s="137">
        <v>715</v>
      </c>
      <c r="E46" s="176">
        <f>VLOOKUP(C46,'PL Fin 5'!$B$2:$P$43,15,FALSE)</f>
        <v>67773.37</v>
      </c>
      <c r="G46" s="192"/>
    </row>
    <row r="47" spans="2:7" ht="14.25" hidden="1">
      <c r="B47" s="160">
        <v>758</v>
      </c>
      <c r="C47" s="160">
        <v>758</v>
      </c>
      <c r="D47" s="161"/>
      <c r="E47" s="176">
        <f>VLOOKUP(C47,'PL Fin 5'!$B$2:$P$43,15,FALSE)</f>
        <v>4363</v>
      </c>
      <c r="G47" s="192"/>
    </row>
    <row r="48" spans="2:7" ht="14.25" hidden="1">
      <c r="B48" s="160">
        <v>7581</v>
      </c>
      <c r="C48" s="160">
        <v>7581</v>
      </c>
      <c r="D48" s="161"/>
      <c r="E48" s="176">
        <f>VLOOKUP(C48,'PL Fin 5'!$B$2:$P$43,15,FALSE)</f>
        <v>13910.83</v>
      </c>
      <c r="G48" s="192"/>
    </row>
    <row r="49" spans="2:7" ht="14.25" hidden="1">
      <c r="B49" s="160">
        <v>766</v>
      </c>
      <c r="C49" s="160">
        <v>766</v>
      </c>
      <c r="D49" s="161"/>
      <c r="E49" s="176">
        <f>VLOOKUP(C49,'PL Fin 5'!$B$2:$P$43,15,FALSE)</f>
        <v>1503.47</v>
      </c>
      <c r="G49" s="192"/>
    </row>
    <row r="50" spans="2:7" ht="14.25" hidden="1">
      <c r="B50" s="160">
        <v>767</v>
      </c>
      <c r="C50" s="160">
        <v>767</v>
      </c>
      <c r="D50" s="161"/>
      <c r="E50" s="176">
        <f>VLOOKUP(C50,'PL Fin 5'!$B$2:$P$43,15,FALSE)</f>
        <v>1200.97</v>
      </c>
      <c r="G50" s="192"/>
    </row>
    <row r="51" spans="2:7" ht="14.25" hidden="1">
      <c r="B51" s="160"/>
      <c r="C51" s="160"/>
      <c r="D51" s="161"/>
      <c r="E51" s="94"/>
      <c r="G51" s="192"/>
    </row>
    <row r="52" spans="2:7" ht="14.25" hidden="1">
      <c r="B52" s="160"/>
      <c r="C52" s="160"/>
      <c r="D52" s="161"/>
      <c r="E52" s="94"/>
      <c r="G52" s="192"/>
    </row>
    <row r="53" spans="2:7" ht="14.25" hidden="1">
      <c r="B53" s="160">
        <v>6035</v>
      </c>
      <c r="C53" s="160">
        <v>6035</v>
      </c>
      <c r="D53" s="161"/>
      <c r="E53" s="176">
        <f>VLOOKUP(C53,'PL Fin 5'!$B$2:$P$43,15,FALSE)</f>
        <v>9111492.72599999</v>
      </c>
      <c r="G53" s="192"/>
    </row>
    <row r="54" spans="2:7" ht="14.25" hidden="1">
      <c r="B54" s="160">
        <v>605</v>
      </c>
      <c r="C54" s="160">
        <v>605</v>
      </c>
      <c r="D54" s="161"/>
      <c r="E54" s="176">
        <f>VLOOKUP(C54,'PL Fin 5'!$B$2:$P$43,15,FALSE)</f>
        <v>-28187979.39</v>
      </c>
      <c r="G54" s="192"/>
    </row>
    <row r="55" spans="2:7" ht="14.25" hidden="1">
      <c r="B55" s="160">
        <v>608</v>
      </c>
      <c r="C55" s="160">
        <v>608</v>
      </c>
      <c r="D55" s="161"/>
      <c r="E55" s="176">
        <f>VLOOKUP(C55,'PL Fin 5'!$B$2:$P$43,15,FALSE)</f>
        <v>-776103.1</v>
      </c>
      <c r="G55" s="192"/>
    </row>
    <row r="56" spans="2:7" ht="14.25" hidden="1">
      <c r="B56" s="160">
        <v>610</v>
      </c>
      <c r="C56" s="160">
        <v>610</v>
      </c>
      <c r="D56" s="161"/>
      <c r="E56" s="176">
        <f>VLOOKUP(C56,'PL Fin 5'!$B$2:$P$43,15,FALSE)</f>
        <v>-54203.33</v>
      </c>
      <c r="G56" s="192"/>
    </row>
    <row r="57" spans="2:7" ht="14.25" hidden="1">
      <c r="B57" s="160">
        <v>611</v>
      </c>
      <c r="C57" s="160">
        <v>611</v>
      </c>
      <c r="D57" s="161"/>
      <c r="E57" s="176">
        <f>VLOOKUP(C57,'PL Fin 5'!$B$2:$P$43,15,FALSE)</f>
        <v>-12966.67</v>
      </c>
      <c r="G57" s="192"/>
    </row>
    <row r="58" spans="2:7" ht="14.25" hidden="1">
      <c r="B58" s="160">
        <v>613</v>
      </c>
      <c r="C58" s="160">
        <v>613</v>
      </c>
      <c r="D58" s="161"/>
      <c r="E58" s="176">
        <f>VLOOKUP(C58,'PL Fin 5'!$B$2:$P$43,15,FALSE)</f>
        <v>-1309622.94</v>
      </c>
      <c r="G58" s="192"/>
    </row>
    <row r="59" spans="2:7" ht="14.25" hidden="1">
      <c r="B59" s="160">
        <v>615</v>
      </c>
      <c r="C59" s="160">
        <v>615</v>
      </c>
      <c r="D59" s="161"/>
      <c r="E59" s="176">
        <f>VLOOKUP(C59,'PL Fin 5'!$B$2:$P$43,15,FALSE)</f>
        <v>-18826.67</v>
      </c>
      <c r="G59" s="192"/>
    </row>
    <row r="60" spans="2:7" ht="14.25" hidden="1">
      <c r="B60" s="160">
        <v>618</v>
      </c>
      <c r="C60" s="160">
        <v>618</v>
      </c>
      <c r="D60" s="161"/>
      <c r="E60" s="176">
        <f>VLOOKUP(C60,'PL Fin 5'!$B$2:$P$43,15,FALSE)</f>
        <v>-285299.05</v>
      </c>
      <c r="G60" s="192"/>
    </row>
    <row r="61" spans="2:7" ht="14.25" hidden="1">
      <c r="B61" s="160">
        <v>624</v>
      </c>
      <c r="C61" s="160">
        <v>624</v>
      </c>
      <c r="D61" s="161"/>
      <c r="E61" s="176">
        <f>VLOOKUP(C61,'PL Fin 5'!$B$2:$P$43,15,FALSE)</f>
        <v>-99800</v>
      </c>
      <c r="G61" s="192"/>
    </row>
    <row r="62" spans="2:7" ht="14.25" hidden="1">
      <c r="B62" s="160">
        <v>625</v>
      </c>
      <c r="C62" s="160">
        <v>625</v>
      </c>
      <c r="D62" s="161"/>
      <c r="E62" s="176">
        <f>VLOOKUP(C62,'PL Fin 5'!$B$2:$P$43,15,FALSE)</f>
        <v>-84709</v>
      </c>
      <c r="G62" s="192"/>
    </row>
    <row r="63" spans="2:7" ht="14.25" hidden="1">
      <c r="B63" s="160">
        <v>626</v>
      </c>
      <c r="C63" s="160">
        <v>626</v>
      </c>
      <c r="D63" s="161"/>
      <c r="E63" s="176">
        <f>VLOOKUP(C63,'PL Fin 5'!$B$2:$P$43,15,FALSE)</f>
        <v>-127550.33</v>
      </c>
      <c r="G63" s="192"/>
    </row>
    <row r="64" spans="2:7" ht="14.25" hidden="1">
      <c r="B64" s="160">
        <v>6276</v>
      </c>
      <c r="C64" s="160">
        <v>6276</v>
      </c>
      <c r="D64" s="161"/>
      <c r="E64" s="176">
        <f>VLOOKUP(C64,'PL Fin 5'!$B$2:$P$43,15,FALSE)</f>
        <v>-179462</v>
      </c>
      <c r="G64" s="192"/>
    </row>
    <row r="65" spans="2:7" ht="14.25" hidden="1">
      <c r="B65" s="160">
        <v>628</v>
      </c>
      <c r="C65" s="160">
        <v>628</v>
      </c>
      <c r="D65" s="161"/>
      <c r="E65" s="176">
        <f>VLOOKUP(C65,'PL Fin 5'!$B$2:$P$43,15,FALSE)</f>
        <v>-52283.66</v>
      </c>
      <c r="G65" s="192"/>
    </row>
    <row r="66" spans="2:7" ht="14.25" hidden="1">
      <c r="B66" s="160">
        <v>629</v>
      </c>
      <c r="C66" s="160">
        <v>629</v>
      </c>
      <c r="D66" s="161"/>
      <c r="E66" s="176">
        <f>VLOOKUP(C66,'PL Fin 5'!$B$2:$P$43,15,FALSE)</f>
        <v>-61322.63</v>
      </c>
      <c r="G66" s="192"/>
    </row>
    <row r="67" spans="2:7" ht="14.25" hidden="1">
      <c r="B67" s="160">
        <v>634</v>
      </c>
      <c r="C67" s="160">
        <v>634</v>
      </c>
      <c r="D67" s="161"/>
      <c r="E67" s="176">
        <f>VLOOKUP(C67,'PL Fin 5'!$B$2:$P$43,15,FALSE)</f>
        <v>-60120</v>
      </c>
      <c r="G67" s="192"/>
    </row>
    <row r="68" spans="2:7" ht="14.25" hidden="1">
      <c r="B68" s="160">
        <v>641</v>
      </c>
      <c r="C68" s="160">
        <v>641</v>
      </c>
      <c r="D68" s="161"/>
      <c r="E68" s="176">
        <f>VLOOKUP(C68,'PL Fin 5'!$B$2:$P$43,15,FALSE)</f>
        <v>-4806913</v>
      </c>
      <c r="G68" s="192"/>
    </row>
    <row r="69" spans="2:7" ht="14.25" hidden="1">
      <c r="B69" s="160">
        <v>644</v>
      </c>
      <c r="C69" s="160">
        <v>644</v>
      </c>
      <c r="D69" s="161"/>
      <c r="E69" s="176">
        <f>VLOOKUP(C69,'PL Fin 5'!$B$2:$P$43,15,FALSE)</f>
        <v>-747725</v>
      </c>
      <c r="G69" s="192"/>
    </row>
    <row r="70" spans="2:7" ht="14.25" hidden="1">
      <c r="B70" s="160">
        <v>648</v>
      </c>
      <c r="C70" s="160">
        <v>648</v>
      </c>
      <c r="D70" s="161"/>
      <c r="E70" s="176">
        <f>VLOOKUP(C70,'PL Fin 5'!$B$2:$P$43,15,FALSE)</f>
        <v>-6075</v>
      </c>
      <c r="G70" s="192"/>
    </row>
    <row r="71" spans="2:7" ht="14.25" hidden="1">
      <c r="B71" s="160">
        <v>654</v>
      </c>
      <c r="C71" s="160">
        <v>654</v>
      </c>
      <c r="D71" s="161"/>
      <c r="E71" s="176">
        <f>VLOOKUP(C71,'PL Fin 5'!$B$2:$P$43,15,FALSE)</f>
        <v>-2000</v>
      </c>
      <c r="G71" s="192"/>
    </row>
    <row r="72" spans="2:7" ht="14.25" hidden="1">
      <c r="B72" s="160">
        <v>655</v>
      </c>
      <c r="C72" s="160">
        <v>655</v>
      </c>
      <c r="D72" s="161"/>
      <c r="E72" s="176">
        <f>VLOOKUP(C72,'PL Fin 5'!$B$2:$P$43,15,FALSE)</f>
        <v>-40099.92</v>
      </c>
      <c r="G72" s="192"/>
    </row>
    <row r="73" spans="2:7" ht="14.25" hidden="1">
      <c r="B73" s="160">
        <v>656</v>
      </c>
      <c r="C73" s="160">
        <v>656</v>
      </c>
      <c r="D73" s="161"/>
      <c r="E73" s="176">
        <f>VLOOKUP(C73,'PL Fin 5'!$B$2:$P$43,15,FALSE)</f>
        <v>-3390</v>
      </c>
      <c r="G73" s="192"/>
    </row>
    <row r="74" spans="2:7" ht="14.25" hidden="1">
      <c r="B74" s="160">
        <v>658</v>
      </c>
      <c r="C74" s="160">
        <v>658</v>
      </c>
      <c r="D74" s="161"/>
      <c r="E74" s="176">
        <f>VLOOKUP(C74,'PL Fin 5'!$B$2:$P$43,15,FALSE)+'PL Fin 5'!P35+'PL Fin 5'!P36</f>
        <v>-904382.46</v>
      </c>
      <c r="G74" s="192"/>
    </row>
    <row r="75" spans="2:7" ht="14.25" hidden="1">
      <c r="B75" s="160">
        <v>666</v>
      </c>
      <c r="C75" s="160">
        <v>666</v>
      </c>
      <c r="D75" s="161"/>
      <c r="E75" s="176">
        <f>VLOOKUP(C75,'PL Fin 5'!$B$2:$P$43,15,FALSE)</f>
        <v>-19091.2</v>
      </c>
      <c r="G75" s="192"/>
    </row>
    <row r="76" spans="2:7" ht="14.25" hidden="1">
      <c r="B76" s="160">
        <v>667</v>
      </c>
      <c r="C76" s="160">
        <v>667</v>
      </c>
      <c r="D76" s="161"/>
      <c r="E76" s="176">
        <f>VLOOKUP(C76,'PL Fin 5'!$B$2:$P$43,15,FALSE)</f>
        <v>-1466483.7</v>
      </c>
      <c r="G76" s="192"/>
    </row>
    <row r="77" spans="2:7" ht="14.25" hidden="1">
      <c r="B77" s="160">
        <v>669</v>
      </c>
      <c r="C77" s="160">
        <v>669</v>
      </c>
      <c r="D77" s="161"/>
      <c r="E77" s="176">
        <f>VLOOKUP(C77,'PL Fin 5'!$B$2:$P$43,15,FALSE)</f>
        <v>-207415.24</v>
      </c>
      <c r="G77" s="192"/>
    </row>
    <row r="78" spans="2:7" ht="14.25" hidden="1">
      <c r="B78" s="160">
        <v>671</v>
      </c>
      <c r="C78" s="160">
        <v>671</v>
      </c>
      <c r="D78" s="161"/>
      <c r="E78" s="176">
        <f>VLOOKUP(C78,'PL Fin 5'!$B$2:$P$43,15,FALSE)</f>
        <v>-37139.82</v>
      </c>
      <c r="G78" s="192"/>
    </row>
    <row r="79" spans="2:7" ht="14.25" hidden="1">
      <c r="B79" s="160">
        <v>6813</v>
      </c>
      <c r="C79" s="160">
        <v>6813</v>
      </c>
      <c r="D79" s="161"/>
      <c r="E79" s="176">
        <f>VLOOKUP(C79,'PL Fin 5'!$B$2:$P$43,15,FALSE)</f>
        <v>-3300404</v>
      </c>
      <c r="G79" s="192"/>
    </row>
    <row r="80" spans="2:7" ht="14.25" hidden="1">
      <c r="B80" s="160">
        <v>6818</v>
      </c>
      <c r="C80" s="160">
        <v>6818</v>
      </c>
      <c r="D80" s="161"/>
      <c r="E80" s="176">
        <f>VLOOKUP(C80,'PL Fin 5'!$B$2:$P$43,15,FALSE)</f>
        <v>-218217</v>
      </c>
      <c r="G80" s="192"/>
    </row>
    <row r="81" spans="2:7" ht="14.25" hidden="1">
      <c r="B81" s="161">
        <v>6819</v>
      </c>
      <c r="C81" s="161">
        <v>6819</v>
      </c>
      <c r="D81" s="161"/>
      <c r="E81" s="176">
        <f>VLOOKUP(C81,'PL Fin 5'!$B$2:$P$43,15,FALSE)</f>
        <v>-1632676</v>
      </c>
      <c r="G81" s="192"/>
    </row>
    <row r="82" spans="2:5" ht="14.25" hidden="1">
      <c r="B82" s="161">
        <v>694</v>
      </c>
      <c r="C82" s="161">
        <v>694</v>
      </c>
      <c r="D82" s="161"/>
      <c r="E82" s="176"/>
    </row>
    <row r="83" ht="14.25" hidden="1">
      <c r="E83" s="181">
        <f>SUM(E43:E82)</f>
        <v>-6717164.058000013</v>
      </c>
    </row>
    <row r="84" spans="5:6" ht="14.25" hidden="1">
      <c r="E84" s="127">
        <f>E83-BSH!F98</f>
        <v>-0.0029999930411577225</v>
      </c>
      <c r="F84" s="180"/>
    </row>
    <row r="85" ht="14.25" hidden="1"/>
    <row r="86" ht="14.25" hidden="1"/>
  </sheetData>
  <sheetProtection/>
  <mergeCells count="5">
    <mergeCell ref="E5:E6"/>
    <mergeCell ref="C38:E38"/>
    <mergeCell ref="B3:E3"/>
    <mergeCell ref="C2:E2"/>
    <mergeCell ref="D5:D6"/>
  </mergeCells>
  <printOptions/>
  <pageMargins left="0.43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258" customWidth="1"/>
    <col min="2" max="2" width="3.57421875" style="258" bestFit="1" customWidth="1"/>
    <col min="3" max="3" width="54.28125" style="258" bestFit="1" customWidth="1"/>
    <col min="4" max="4" width="11.421875" style="258" bestFit="1" customWidth="1"/>
    <col min="5" max="5" width="10.140625" style="258" bestFit="1" customWidth="1"/>
    <col min="6" max="6" width="16.140625" style="260" bestFit="1" customWidth="1"/>
    <col min="7" max="7" width="13.57421875" style="260" bestFit="1" customWidth="1"/>
    <col min="8" max="16384" width="9.140625" style="258" customWidth="1"/>
  </cols>
  <sheetData>
    <row r="2" ht="13.5">
      <c r="C2" s="259" t="s">
        <v>596</v>
      </c>
    </row>
    <row r="3" ht="13.5">
      <c r="C3" s="261" t="s">
        <v>597</v>
      </c>
    </row>
    <row r="4" spans="3:6" ht="12.75">
      <c r="C4" s="262"/>
      <c r="F4" s="263" t="s">
        <v>565</v>
      </c>
    </row>
    <row r="5" spans="3:6" ht="12.75">
      <c r="C5" s="262"/>
      <c r="F5" s="263"/>
    </row>
    <row r="6" spans="3:6" ht="12.75">
      <c r="C6" s="262"/>
      <c r="F6" s="263"/>
    </row>
    <row r="7" spans="3:6" ht="12.75">
      <c r="C7" s="262"/>
      <c r="F7" s="263"/>
    </row>
    <row r="8" ht="12.75">
      <c r="C8" s="262"/>
    </row>
    <row r="9" spans="2:13" ht="13.5">
      <c r="B9" s="264"/>
      <c r="C9" s="264"/>
      <c r="D9" s="264"/>
      <c r="E9" s="264"/>
      <c r="F9" s="265"/>
      <c r="G9" s="266" t="s">
        <v>566</v>
      </c>
      <c r="H9" s="264"/>
      <c r="I9" s="264"/>
      <c r="J9" s="264"/>
      <c r="K9" s="264"/>
      <c r="L9" s="264"/>
      <c r="M9" s="264"/>
    </row>
    <row r="10" spans="2:13" ht="15.75" customHeight="1">
      <c r="B10" s="395" t="s">
        <v>567</v>
      </c>
      <c r="C10" s="396"/>
      <c r="D10" s="396"/>
      <c r="E10" s="396"/>
      <c r="F10" s="396"/>
      <c r="G10" s="397"/>
      <c r="H10" s="267"/>
      <c r="I10" s="267"/>
      <c r="J10" s="267"/>
      <c r="K10" s="267"/>
      <c r="L10" s="267"/>
      <c r="M10" s="267"/>
    </row>
    <row r="11" spans="2:7" ht="26.25" customHeight="1" thickBot="1">
      <c r="B11" s="268"/>
      <c r="C11" s="269" t="s">
        <v>568</v>
      </c>
      <c r="D11" s="270" t="s">
        <v>569</v>
      </c>
      <c r="E11" s="270" t="s">
        <v>570</v>
      </c>
      <c r="F11" s="271" t="s">
        <v>594</v>
      </c>
      <c r="G11" s="271" t="s">
        <v>595</v>
      </c>
    </row>
    <row r="12" spans="2:7" ht="16.5" customHeight="1">
      <c r="B12" s="272">
        <v>1</v>
      </c>
      <c r="C12" s="273" t="s">
        <v>572</v>
      </c>
      <c r="D12" s="274">
        <v>70</v>
      </c>
      <c r="E12" s="274">
        <v>11100</v>
      </c>
      <c r="F12" s="275">
        <f>F13+F14+F15</f>
        <v>21598676.383</v>
      </c>
      <c r="G12" s="275">
        <f>G13+G14+G15</f>
        <v>28327190</v>
      </c>
    </row>
    <row r="13" spans="2:7" ht="16.5" customHeight="1">
      <c r="B13" s="276" t="s">
        <v>12</v>
      </c>
      <c r="C13" s="277" t="s">
        <v>573</v>
      </c>
      <c r="D13" s="278" t="s">
        <v>574</v>
      </c>
      <c r="E13" s="279">
        <v>11101</v>
      </c>
      <c r="F13" s="280">
        <v>0</v>
      </c>
      <c r="G13" s="280">
        <v>0</v>
      </c>
    </row>
    <row r="14" spans="2:7" ht="16.5" customHeight="1">
      <c r="B14" s="281" t="s">
        <v>575</v>
      </c>
      <c r="C14" s="277" t="s">
        <v>576</v>
      </c>
      <c r="D14" s="278">
        <v>704</v>
      </c>
      <c r="E14" s="279">
        <v>11102</v>
      </c>
      <c r="F14" s="282"/>
      <c r="G14" s="280"/>
    </row>
    <row r="15" spans="2:7" ht="16.5" customHeight="1">
      <c r="B15" s="281" t="s">
        <v>577</v>
      </c>
      <c r="C15" s="277" t="s">
        <v>578</v>
      </c>
      <c r="D15" s="283">
        <v>705</v>
      </c>
      <c r="E15" s="279">
        <v>11103</v>
      </c>
      <c r="F15" s="280">
        <f>+Sheet1!D2+Sheet1!D3+Sheet1!D4+Sheet1!D5+Sheet1!D37</f>
        <v>21598676.383</v>
      </c>
      <c r="G15" s="280">
        <v>28327190</v>
      </c>
    </row>
    <row r="16" spans="2:7" ht="16.5" customHeight="1">
      <c r="B16" s="284">
        <v>2</v>
      </c>
      <c r="C16" s="285" t="s">
        <v>579</v>
      </c>
      <c r="D16" s="286">
        <v>708</v>
      </c>
      <c r="E16" s="287">
        <v>11104</v>
      </c>
      <c r="F16" s="280">
        <f>F17+F18+F19</f>
        <v>148702.9</v>
      </c>
      <c r="G16" s="280">
        <f>G17+G18+G19</f>
        <v>411773</v>
      </c>
    </row>
    <row r="17" spans="2:7" ht="16.5" customHeight="1">
      <c r="B17" s="288" t="s">
        <v>12</v>
      </c>
      <c r="C17" s="277" t="s">
        <v>580</v>
      </c>
      <c r="D17" s="278">
        <v>7081</v>
      </c>
      <c r="E17" s="289">
        <v>111041</v>
      </c>
      <c r="F17" s="282">
        <f>+Sheet1!D6</f>
        <v>148702.9</v>
      </c>
      <c r="G17" s="280">
        <v>411773</v>
      </c>
    </row>
    <row r="18" spans="2:7" ht="16.5" customHeight="1">
      <c r="B18" s="288" t="s">
        <v>14</v>
      </c>
      <c r="C18" s="277" t="s">
        <v>581</v>
      </c>
      <c r="D18" s="278">
        <v>7082</v>
      </c>
      <c r="E18" s="289">
        <v>111042</v>
      </c>
      <c r="F18" s="280">
        <v>0</v>
      </c>
      <c r="G18" s="280">
        <v>0</v>
      </c>
    </row>
    <row r="19" spans="2:7" ht="16.5" customHeight="1">
      <c r="B19" s="288" t="s">
        <v>16</v>
      </c>
      <c r="C19" s="277" t="s">
        <v>582</v>
      </c>
      <c r="D19" s="278">
        <v>7083</v>
      </c>
      <c r="E19" s="289">
        <v>111043</v>
      </c>
      <c r="F19" s="280">
        <v>0</v>
      </c>
      <c r="G19" s="280">
        <v>0</v>
      </c>
    </row>
    <row r="20" spans="2:7" ht="27.75" customHeight="1">
      <c r="B20" s="290">
        <v>3</v>
      </c>
      <c r="C20" s="285" t="s">
        <v>583</v>
      </c>
      <c r="D20" s="286">
        <v>71</v>
      </c>
      <c r="E20" s="287">
        <v>11201</v>
      </c>
      <c r="F20" s="280"/>
      <c r="G20" s="280"/>
    </row>
    <row r="21" spans="2:7" ht="16.5" customHeight="1">
      <c r="B21" s="291"/>
      <c r="C21" s="292" t="s">
        <v>584</v>
      </c>
      <c r="D21" s="293"/>
      <c r="E21" s="279">
        <v>112011</v>
      </c>
      <c r="F21" s="280"/>
      <c r="G21" s="280"/>
    </row>
    <row r="22" spans="2:7" ht="16.5" customHeight="1">
      <c r="B22" s="291"/>
      <c r="C22" s="292" t="s">
        <v>585</v>
      </c>
      <c r="D22" s="293"/>
      <c r="E22" s="279">
        <v>112012</v>
      </c>
      <c r="F22" s="280"/>
      <c r="G22" s="280"/>
    </row>
    <row r="23" spans="2:7" ht="16.5" customHeight="1">
      <c r="B23" s="294">
        <v>4</v>
      </c>
      <c r="C23" s="285" t="s">
        <v>586</v>
      </c>
      <c r="D23" s="295">
        <v>72</v>
      </c>
      <c r="E23" s="296">
        <v>11300</v>
      </c>
      <c r="F23" s="280"/>
      <c r="G23" s="280"/>
    </row>
    <row r="24" spans="2:7" ht="16.5" customHeight="1">
      <c r="B24" s="281"/>
      <c r="C24" s="297" t="s">
        <v>587</v>
      </c>
      <c r="D24" s="298"/>
      <c r="E24" s="299">
        <v>11301</v>
      </c>
      <c r="F24" s="280"/>
      <c r="G24" s="280"/>
    </row>
    <row r="25" spans="2:7" ht="16.5" customHeight="1">
      <c r="B25" s="300">
        <v>5</v>
      </c>
      <c r="C25" s="285" t="s">
        <v>588</v>
      </c>
      <c r="D25" s="286">
        <v>73</v>
      </c>
      <c r="E25" s="286">
        <v>11400</v>
      </c>
      <c r="F25" s="280"/>
      <c r="G25" s="280"/>
    </row>
    <row r="26" spans="2:7" ht="16.5" customHeight="1">
      <c r="B26" s="301">
        <v>6</v>
      </c>
      <c r="C26" s="285" t="s">
        <v>589</v>
      </c>
      <c r="D26" s="286">
        <v>75</v>
      </c>
      <c r="E26" s="302">
        <v>11500</v>
      </c>
      <c r="F26" s="280">
        <f>+Sheet1!D7+Sheet1!D9+Sheet1!D10</f>
        <v>44967.020000000004</v>
      </c>
      <c r="G26" s="280">
        <v>134642</v>
      </c>
    </row>
    <row r="27" spans="2:7" ht="16.5" customHeight="1">
      <c r="B27" s="300">
        <v>7</v>
      </c>
      <c r="C27" s="285" t="s">
        <v>590</v>
      </c>
      <c r="D27" s="286">
        <v>77</v>
      </c>
      <c r="E27" s="303">
        <v>11600</v>
      </c>
      <c r="F27" s="280">
        <f>+Sheet1!D8</f>
        <v>53100</v>
      </c>
      <c r="G27" s="280"/>
    </row>
    <row r="28" spans="2:7" ht="16.5" customHeight="1" thickBot="1">
      <c r="B28" s="304" t="s">
        <v>591</v>
      </c>
      <c r="C28" s="305" t="s">
        <v>592</v>
      </c>
      <c r="D28" s="306"/>
      <c r="E28" s="306">
        <v>11800</v>
      </c>
      <c r="F28" s="307">
        <f>+F12+F16+F26+F27</f>
        <v>21845446.303</v>
      </c>
      <c r="G28" s="307">
        <f>+G16+G12</f>
        <v>28738963</v>
      </c>
    </row>
    <row r="29" spans="2:7" ht="16.5" customHeight="1">
      <c r="B29" s="308"/>
      <c r="C29" s="309"/>
      <c r="D29" s="309"/>
      <c r="E29" s="309"/>
      <c r="F29" s="310"/>
      <c r="G29" s="310"/>
    </row>
    <row r="30" spans="2:7" ht="16.5" customHeight="1">
      <c r="B30" s="308"/>
      <c r="C30" s="309"/>
      <c r="D30" s="309"/>
      <c r="E30" s="309"/>
      <c r="F30" s="310"/>
      <c r="G30" s="310"/>
    </row>
    <row r="31" spans="2:7" ht="16.5" customHeight="1">
      <c r="B31" s="308"/>
      <c r="C31" s="309"/>
      <c r="D31" s="309"/>
      <c r="E31" s="309"/>
      <c r="F31" s="310"/>
      <c r="G31" s="310"/>
    </row>
    <row r="32" spans="2:5" ht="16.5" customHeight="1">
      <c r="B32" s="308"/>
      <c r="C32" s="309"/>
      <c r="D32" s="309"/>
      <c r="E32" s="309"/>
    </row>
    <row r="33" spans="2:5" ht="16.5" customHeight="1">
      <c r="B33" s="308"/>
      <c r="C33" s="309"/>
      <c r="D33" s="309"/>
      <c r="E33" s="309"/>
    </row>
    <row r="40" spans="5:6" ht="13.5">
      <c r="E40" s="398"/>
      <c r="F40" s="398"/>
    </row>
    <row r="41" spans="5:6" ht="12.75">
      <c r="E41" s="311" t="s">
        <v>593</v>
      </c>
      <c r="F41" s="310"/>
    </row>
  </sheetData>
  <sheetProtection/>
  <mergeCells count="2">
    <mergeCell ref="B10:G10"/>
    <mergeCell ref="E40:F40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4">
      <selection activeCell="C23" sqref="C23"/>
    </sheetView>
  </sheetViews>
  <sheetFormatPr defaultColWidth="9.140625" defaultRowHeight="15"/>
  <cols>
    <col min="1" max="1" width="9.140625" style="258" customWidth="1"/>
    <col min="2" max="2" width="7.00390625" style="258" bestFit="1" customWidth="1"/>
    <col min="3" max="3" width="56.140625" style="258" bestFit="1" customWidth="1"/>
    <col min="4" max="4" width="11.140625" style="258" bestFit="1" customWidth="1"/>
    <col min="5" max="5" width="9.8515625" style="258" bestFit="1" customWidth="1"/>
    <col min="6" max="6" width="15.421875" style="258" customWidth="1"/>
    <col min="7" max="7" width="12.00390625" style="258" bestFit="1" customWidth="1"/>
    <col min="8" max="8" width="4.7109375" style="258" customWidth="1"/>
    <col min="9" max="12" width="9.140625" style="258" customWidth="1"/>
    <col min="13" max="13" width="53.421875" style="258" customWidth="1"/>
    <col min="14" max="15" width="9.140625" style="258" customWidth="1"/>
    <col min="16" max="16" width="11.57421875" style="258" bestFit="1" customWidth="1"/>
    <col min="17" max="16384" width="9.140625" style="258" customWidth="1"/>
  </cols>
  <sheetData>
    <row r="1" spans="2:7" ht="16.5" customHeight="1">
      <c r="B1" s="308"/>
      <c r="C1" s="309"/>
      <c r="D1" s="309"/>
      <c r="E1" s="309"/>
      <c r="F1" s="311"/>
      <c r="G1" s="311"/>
    </row>
    <row r="2" ht="13.5">
      <c r="C2" s="259" t="s">
        <v>564</v>
      </c>
    </row>
    <row r="3" ht="13.5">
      <c r="C3" s="261" t="s">
        <v>598</v>
      </c>
    </row>
    <row r="4" spans="3:6" ht="12.75">
      <c r="C4" s="262"/>
      <c r="F4" s="262" t="s">
        <v>599</v>
      </c>
    </row>
    <row r="5" spans="2:13" ht="12.75" customHeight="1" thickBot="1">
      <c r="B5" s="264"/>
      <c r="C5" s="264"/>
      <c r="D5" s="264"/>
      <c r="E5" s="264"/>
      <c r="F5" s="259"/>
      <c r="G5" s="312" t="s">
        <v>600</v>
      </c>
      <c r="H5" s="264"/>
      <c r="I5" s="264"/>
      <c r="J5" s="264"/>
      <c r="K5" s="264"/>
      <c r="L5" s="264"/>
      <c r="M5" s="264"/>
    </row>
    <row r="6" spans="2:7" ht="12.75">
      <c r="B6" s="399" t="s">
        <v>567</v>
      </c>
      <c r="C6" s="400"/>
      <c r="D6" s="400"/>
      <c r="E6" s="400"/>
      <c r="F6" s="400"/>
      <c r="G6" s="401"/>
    </row>
    <row r="7" spans="2:7" ht="24.75" customHeight="1" thickBot="1">
      <c r="B7" s="313"/>
      <c r="C7" s="314" t="s">
        <v>601</v>
      </c>
      <c r="D7" s="315" t="s">
        <v>569</v>
      </c>
      <c r="E7" s="315" t="s">
        <v>570</v>
      </c>
      <c r="F7" s="316" t="s">
        <v>594</v>
      </c>
      <c r="G7" s="317" t="s">
        <v>595</v>
      </c>
    </row>
    <row r="8" spans="2:7" ht="16.5" customHeight="1">
      <c r="B8" s="318">
        <v>1</v>
      </c>
      <c r="C8" s="319" t="s">
        <v>602</v>
      </c>
      <c r="D8" s="320">
        <v>60</v>
      </c>
      <c r="E8" s="320">
        <v>12100</v>
      </c>
      <c r="F8" s="321">
        <f>SUM(F9:F13)</f>
        <v>16233.267614</v>
      </c>
      <c r="G8" s="321">
        <f>SUM(G9:G13)</f>
        <v>19076.485999999997</v>
      </c>
    </row>
    <row r="9" spans="2:7" ht="16.5" customHeight="1">
      <c r="B9" s="322" t="s">
        <v>603</v>
      </c>
      <c r="C9" s="323" t="s">
        <v>604</v>
      </c>
      <c r="D9" s="323" t="s">
        <v>605</v>
      </c>
      <c r="E9" s="323">
        <v>12101</v>
      </c>
      <c r="F9" s="324">
        <v>0</v>
      </c>
      <c r="G9" s="324">
        <v>0</v>
      </c>
    </row>
    <row r="10" spans="2:7" ht="12" customHeight="1">
      <c r="B10" s="322" t="s">
        <v>575</v>
      </c>
      <c r="C10" s="323" t="s">
        <v>606</v>
      </c>
      <c r="D10" s="323"/>
      <c r="E10" s="325">
        <v>12102</v>
      </c>
      <c r="F10" s="324">
        <f>-Sheet1!D13/1000</f>
        <v>752.172534</v>
      </c>
      <c r="G10" s="324">
        <f>-9111493/1000</f>
        <v>-9111.493</v>
      </c>
    </row>
    <row r="11" spans="2:7" ht="16.5" customHeight="1">
      <c r="B11" s="322" t="s">
        <v>577</v>
      </c>
      <c r="C11" s="323" t="s">
        <v>607</v>
      </c>
      <c r="D11" s="323" t="s">
        <v>608</v>
      </c>
      <c r="E11" s="323">
        <v>12103</v>
      </c>
      <c r="F11" s="324">
        <f>-Sheet1!D14/1000</f>
        <v>15481.095080000001</v>
      </c>
      <c r="G11" s="324">
        <f>28187979/1000</f>
        <v>28187.979</v>
      </c>
    </row>
    <row r="12" spans="2:7" ht="16.5" customHeight="1">
      <c r="B12" s="322" t="s">
        <v>609</v>
      </c>
      <c r="C12" s="326" t="s">
        <v>610</v>
      </c>
      <c r="D12" s="323"/>
      <c r="E12" s="325">
        <v>12104</v>
      </c>
      <c r="F12" s="327">
        <v>0</v>
      </c>
      <c r="G12" s="327">
        <v>0</v>
      </c>
    </row>
    <row r="13" spans="2:7" ht="16.5" customHeight="1">
      <c r="B13" s="322" t="s">
        <v>611</v>
      </c>
      <c r="C13" s="323" t="s">
        <v>612</v>
      </c>
      <c r="D13" s="323" t="s">
        <v>613</v>
      </c>
      <c r="E13" s="325">
        <v>12105</v>
      </c>
      <c r="F13" s="327">
        <v>0</v>
      </c>
      <c r="G13" s="327">
        <v>0</v>
      </c>
    </row>
    <row r="14" spans="2:7" ht="16.5" customHeight="1">
      <c r="B14" s="328">
        <v>2</v>
      </c>
      <c r="C14" s="329" t="s">
        <v>614</v>
      </c>
      <c r="D14" s="329">
        <v>64</v>
      </c>
      <c r="E14" s="329">
        <v>12200</v>
      </c>
      <c r="F14" s="327">
        <f>SUM(F15:F16)</f>
        <v>3757.138</v>
      </c>
      <c r="G14" s="327">
        <f>SUM(G15:G16)</f>
        <v>5554.638</v>
      </c>
    </row>
    <row r="15" spans="2:7" ht="16.5" customHeight="1">
      <c r="B15" s="330" t="s">
        <v>615</v>
      </c>
      <c r="C15" s="329" t="s">
        <v>616</v>
      </c>
      <c r="D15" s="325">
        <v>641</v>
      </c>
      <c r="E15" s="325">
        <v>12201</v>
      </c>
      <c r="F15" s="324">
        <f>-Sheet1!D27/1000</f>
        <v>3227.375</v>
      </c>
      <c r="G15" s="324">
        <f>4806913/1000</f>
        <v>4806.913</v>
      </c>
    </row>
    <row r="16" spans="2:7" ht="16.5" customHeight="1">
      <c r="B16" s="330" t="s">
        <v>617</v>
      </c>
      <c r="C16" s="325" t="s">
        <v>618</v>
      </c>
      <c r="D16" s="325">
        <v>644</v>
      </c>
      <c r="E16" s="325">
        <v>12202</v>
      </c>
      <c r="F16" s="324">
        <f>-Sheet1!D28/1000</f>
        <v>529.763</v>
      </c>
      <c r="G16" s="324">
        <f>747725/1000</f>
        <v>747.725</v>
      </c>
    </row>
    <row r="17" spans="2:7" ht="16.5" customHeight="1">
      <c r="B17" s="328">
        <v>3</v>
      </c>
      <c r="C17" s="329" t="s">
        <v>619</v>
      </c>
      <c r="D17" s="329">
        <v>68</v>
      </c>
      <c r="E17" s="329">
        <v>12300</v>
      </c>
      <c r="F17" s="327">
        <f>-PL!D17/1000</f>
        <v>4302.544</v>
      </c>
      <c r="G17" s="327">
        <f>-PL!E17/1000</f>
        <v>5151.297</v>
      </c>
    </row>
    <row r="18" spans="2:7" ht="16.5" customHeight="1">
      <c r="B18" s="328">
        <v>4</v>
      </c>
      <c r="C18" s="329" t="s">
        <v>620</v>
      </c>
      <c r="D18" s="329">
        <v>61</v>
      </c>
      <c r="E18" s="329">
        <v>12400</v>
      </c>
      <c r="F18" s="327">
        <f>SUM(F19:F30)+F33</f>
        <v>533.56803</v>
      </c>
      <c r="G18" s="327">
        <f>SUM(G19:G30)+G33</f>
        <v>4055</v>
      </c>
    </row>
    <row r="19" spans="2:7" ht="16.5" customHeight="1">
      <c r="B19" s="330" t="s">
        <v>12</v>
      </c>
      <c r="C19" s="331" t="s">
        <v>621</v>
      </c>
      <c r="D19" s="323"/>
      <c r="E19" s="323">
        <v>12401</v>
      </c>
      <c r="F19" s="327"/>
      <c r="G19" s="327">
        <v>285</v>
      </c>
    </row>
    <row r="20" spans="2:7" ht="16.5" customHeight="1">
      <c r="B20" s="330" t="s">
        <v>14</v>
      </c>
      <c r="C20" s="331" t="s">
        <v>622</v>
      </c>
      <c r="D20" s="331">
        <v>611</v>
      </c>
      <c r="E20" s="323">
        <v>12402</v>
      </c>
      <c r="F20" s="332">
        <f>-Sheet1!D19/1000-Sheet1!D23/1000+3</f>
        <v>79.083</v>
      </c>
      <c r="G20" s="333">
        <v>975</v>
      </c>
    </row>
    <row r="21" spans="2:7" ht="16.5" customHeight="1">
      <c r="B21" s="330" t="s">
        <v>16</v>
      </c>
      <c r="C21" s="331" t="s">
        <v>423</v>
      </c>
      <c r="D21" s="323">
        <v>613</v>
      </c>
      <c r="E21" s="323">
        <v>12403</v>
      </c>
      <c r="F21" s="324">
        <v>0</v>
      </c>
      <c r="G21" s="324">
        <v>1310</v>
      </c>
    </row>
    <row r="22" spans="2:7" ht="16.5" customHeight="1">
      <c r="B22" s="330" t="s">
        <v>51</v>
      </c>
      <c r="C22" s="331" t="s">
        <v>426</v>
      </c>
      <c r="D22" s="331">
        <v>615</v>
      </c>
      <c r="E22" s="323">
        <v>12404</v>
      </c>
      <c r="F22" s="334">
        <f>-Sheet1!D18/1000</f>
        <v>42.98</v>
      </c>
      <c r="G22" s="334">
        <v>19</v>
      </c>
    </row>
    <row r="23" spans="2:7" ht="16.5" customHeight="1">
      <c r="B23" s="330" t="s">
        <v>58</v>
      </c>
      <c r="C23" s="331" t="s">
        <v>623</v>
      </c>
      <c r="D23" s="331">
        <v>616</v>
      </c>
      <c r="E23" s="323">
        <v>12405</v>
      </c>
      <c r="F23" s="324"/>
      <c r="G23" s="324"/>
    </row>
    <row r="24" spans="2:7" ht="16.5" customHeight="1">
      <c r="B24" s="330" t="s">
        <v>624</v>
      </c>
      <c r="C24" s="331" t="s">
        <v>625</v>
      </c>
      <c r="D24" s="331">
        <v>617</v>
      </c>
      <c r="E24" s="323">
        <v>12406</v>
      </c>
      <c r="F24" s="324"/>
      <c r="G24" s="324"/>
    </row>
    <row r="25" spans="2:7" ht="16.5" customHeight="1">
      <c r="B25" s="330" t="s">
        <v>626</v>
      </c>
      <c r="C25" s="323" t="s">
        <v>627</v>
      </c>
      <c r="D25" s="331">
        <v>618</v>
      </c>
      <c r="E25" s="323">
        <v>12407</v>
      </c>
      <c r="F25" s="324">
        <f>-Sheet1!D19/1000</f>
        <v>59.501</v>
      </c>
      <c r="G25" s="324">
        <v>1041</v>
      </c>
    </row>
    <row r="26" spans="2:7" ht="16.5" customHeight="1">
      <c r="B26" s="330" t="s">
        <v>628</v>
      </c>
      <c r="C26" s="323" t="s">
        <v>629</v>
      </c>
      <c r="D26" s="331">
        <v>623</v>
      </c>
      <c r="E26" s="323">
        <v>12408</v>
      </c>
      <c r="F26" s="324"/>
      <c r="G26" s="324">
        <v>0</v>
      </c>
    </row>
    <row r="27" spans="2:7" ht="16.5" customHeight="1">
      <c r="B27" s="330" t="s">
        <v>630</v>
      </c>
      <c r="C27" s="323" t="s">
        <v>631</v>
      </c>
      <c r="D27" s="331">
        <v>624</v>
      </c>
      <c r="E27" s="323">
        <v>12409</v>
      </c>
      <c r="F27" s="324">
        <f>+Sheet1!L20/1000</f>
        <v>8</v>
      </c>
      <c r="G27" s="324">
        <v>100</v>
      </c>
    </row>
    <row r="28" spans="2:7" ht="16.5" customHeight="1">
      <c r="B28" s="330" t="s">
        <v>632</v>
      </c>
      <c r="C28" s="323" t="s">
        <v>633</v>
      </c>
      <c r="D28" s="331">
        <v>625</v>
      </c>
      <c r="E28" s="323">
        <v>12410</v>
      </c>
      <c r="F28" s="324">
        <f>-Sheet1!D21/1000</f>
        <v>112.248</v>
      </c>
      <c r="G28" s="324">
        <v>85</v>
      </c>
    </row>
    <row r="29" spans="2:7" ht="16.5" customHeight="1">
      <c r="B29" s="330" t="s">
        <v>634</v>
      </c>
      <c r="C29" s="323" t="s">
        <v>635</v>
      </c>
      <c r="D29" s="331">
        <v>626</v>
      </c>
      <c r="E29" s="323">
        <v>12411</v>
      </c>
      <c r="F29" s="324">
        <f>-Sheet1!D22/1000</f>
        <v>150.46351</v>
      </c>
      <c r="G29" s="324">
        <v>127</v>
      </c>
    </row>
    <row r="30" spans="2:7" ht="16.5" customHeight="1">
      <c r="B30" s="335" t="s">
        <v>636</v>
      </c>
      <c r="C30" s="323" t="s">
        <v>637</v>
      </c>
      <c r="D30" s="331">
        <v>627</v>
      </c>
      <c r="E30" s="323">
        <v>12412</v>
      </c>
      <c r="F30" s="324"/>
      <c r="G30" s="324"/>
    </row>
    <row r="31" spans="2:7" ht="16.5" customHeight="1">
      <c r="B31" s="330"/>
      <c r="C31" s="336" t="s">
        <v>638</v>
      </c>
      <c r="D31" s="331">
        <v>6271</v>
      </c>
      <c r="E31" s="331">
        <v>124121</v>
      </c>
      <c r="F31" s="324"/>
      <c r="G31" s="324"/>
    </row>
    <row r="32" spans="2:7" ht="16.5" customHeight="1">
      <c r="B32" s="330"/>
      <c r="C32" s="336" t="s">
        <v>639</v>
      </c>
      <c r="D32" s="331">
        <v>6272</v>
      </c>
      <c r="E32" s="331">
        <v>124122</v>
      </c>
      <c r="F32" s="324"/>
      <c r="G32" s="324"/>
    </row>
    <row r="33" spans="2:7" ht="16.5" customHeight="1">
      <c r="B33" s="330" t="s">
        <v>640</v>
      </c>
      <c r="C33" s="323" t="s">
        <v>440</v>
      </c>
      <c r="D33" s="331">
        <v>628</v>
      </c>
      <c r="E33" s="331">
        <v>12413</v>
      </c>
      <c r="F33" s="324">
        <f>-(+Sheet1!D24+Sheet1!D25)/1000</f>
        <v>81.29252000000001</v>
      </c>
      <c r="G33" s="324">
        <v>113</v>
      </c>
    </row>
    <row r="34" spans="2:7" ht="16.5" customHeight="1">
      <c r="B34" s="328">
        <v>5</v>
      </c>
      <c r="C34" s="326" t="s">
        <v>641</v>
      </c>
      <c r="D34" s="337">
        <v>63</v>
      </c>
      <c r="E34" s="337">
        <v>12500</v>
      </c>
      <c r="F34" s="327">
        <f>+F37</f>
        <v>60.12</v>
      </c>
      <c r="G34" s="327">
        <f>+G37</f>
        <v>60</v>
      </c>
    </row>
    <row r="35" spans="2:7" ht="16.5" customHeight="1">
      <c r="B35" s="330" t="s">
        <v>12</v>
      </c>
      <c r="C35" s="323" t="s">
        <v>642</v>
      </c>
      <c r="D35" s="331">
        <v>632</v>
      </c>
      <c r="E35" s="331">
        <v>12501</v>
      </c>
      <c r="F35" s="324"/>
      <c r="G35" s="324"/>
    </row>
    <row r="36" spans="2:7" ht="16.5" customHeight="1">
      <c r="B36" s="330" t="s">
        <v>14</v>
      </c>
      <c r="C36" s="323" t="s">
        <v>643</v>
      </c>
      <c r="D36" s="331">
        <v>633</v>
      </c>
      <c r="E36" s="331">
        <v>12502</v>
      </c>
      <c r="F36" s="324"/>
      <c r="G36" s="324"/>
    </row>
    <row r="37" spans="2:7" ht="16.5" customHeight="1">
      <c r="B37" s="330" t="s">
        <v>16</v>
      </c>
      <c r="C37" s="323" t="s">
        <v>444</v>
      </c>
      <c r="D37" s="331">
        <v>634</v>
      </c>
      <c r="E37" s="331">
        <v>12503</v>
      </c>
      <c r="F37" s="324">
        <f>-Sheet1!D26/1000</f>
        <v>60.12</v>
      </c>
      <c r="G37" s="324">
        <v>60</v>
      </c>
    </row>
    <row r="38" spans="2:7" ht="16.5" customHeight="1">
      <c r="B38" s="330" t="s">
        <v>51</v>
      </c>
      <c r="C38" s="323" t="s">
        <v>644</v>
      </c>
      <c r="D38" s="331" t="s">
        <v>645</v>
      </c>
      <c r="E38" s="331">
        <v>12504</v>
      </c>
      <c r="F38" s="324"/>
      <c r="G38" s="324"/>
    </row>
    <row r="39" spans="2:7" ht="12.75" customHeight="1">
      <c r="B39" s="328" t="s">
        <v>646</v>
      </c>
      <c r="C39" s="329" t="s">
        <v>647</v>
      </c>
      <c r="D39" s="331"/>
      <c r="E39" s="331">
        <v>12600</v>
      </c>
      <c r="F39" s="327">
        <f>F18+F17+F14+F8+F34</f>
        <v>24886.637644</v>
      </c>
      <c r="G39" s="327">
        <f>G18+G17+G14+G8+G34</f>
        <v>33897.420999999995</v>
      </c>
    </row>
    <row r="40" spans="2:7" ht="16.5" customHeight="1">
      <c r="B40" s="338"/>
      <c r="C40" s="339" t="s">
        <v>648</v>
      </c>
      <c r="D40" s="340"/>
      <c r="E40" s="340"/>
      <c r="F40" s="341" t="s">
        <v>571</v>
      </c>
      <c r="G40" s="341" t="s">
        <v>571</v>
      </c>
    </row>
    <row r="41" spans="2:7" ht="16.5" customHeight="1">
      <c r="B41" s="342">
        <v>1</v>
      </c>
      <c r="C41" s="337" t="s">
        <v>649</v>
      </c>
      <c r="D41" s="337"/>
      <c r="E41" s="337">
        <v>14000</v>
      </c>
      <c r="F41" s="327">
        <v>7</v>
      </c>
      <c r="G41" s="327">
        <v>9.22</v>
      </c>
    </row>
    <row r="42" spans="2:7" ht="16.5" customHeight="1">
      <c r="B42" s="342">
        <v>2</v>
      </c>
      <c r="C42" s="337" t="s">
        <v>650</v>
      </c>
      <c r="D42" s="337"/>
      <c r="E42" s="337">
        <v>15000</v>
      </c>
      <c r="F42" s="327">
        <v>0</v>
      </c>
      <c r="G42" s="327">
        <v>0</v>
      </c>
    </row>
    <row r="43" spans="2:7" ht="16.5" customHeight="1">
      <c r="B43" s="343" t="s">
        <v>12</v>
      </c>
      <c r="C43" s="331" t="s">
        <v>651</v>
      </c>
      <c r="D43" s="337"/>
      <c r="E43" s="331">
        <v>15001</v>
      </c>
      <c r="F43" s="324">
        <v>0</v>
      </c>
      <c r="G43" s="324">
        <v>0</v>
      </c>
    </row>
    <row r="44" spans="2:9" ht="16.5" customHeight="1">
      <c r="B44" s="343"/>
      <c r="C44" s="344" t="s">
        <v>652</v>
      </c>
      <c r="D44" s="337"/>
      <c r="E44" s="331">
        <v>150011</v>
      </c>
      <c r="F44" s="332">
        <v>0</v>
      </c>
      <c r="G44" s="332">
        <v>0</v>
      </c>
      <c r="I44" s="345"/>
    </row>
    <row r="45" spans="2:7" ht="16.5" customHeight="1">
      <c r="B45" s="346" t="s">
        <v>14</v>
      </c>
      <c r="C45" s="331" t="s">
        <v>653</v>
      </c>
      <c r="D45" s="337"/>
      <c r="E45" s="331">
        <v>15002</v>
      </c>
      <c r="F45" s="327"/>
      <c r="G45" s="327" t="s">
        <v>654</v>
      </c>
    </row>
    <row r="46" spans="2:7" ht="13.5" thickBot="1">
      <c r="B46" s="313"/>
      <c r="C46" s="347" t="s">
        <v>655</v>
      </c>
      <c r="D46" s="348"/>
      <c r="E46" s="349">
        <v>150021</v>
      </c>
      <c r="F46" s="350">
        <f>-Sheet1!D29/1000</f>
        <v>53.1</v>
      </c>
      <c r="G46" s="350" t="s">
        <v>654</v>
      </c>
    </row>
    <row r="47" spans="2:7" ht="12.75">
      <c r="B47" s="351"/>
      <c r="C47" s="351"/>
      <c r="D47" s="351"/>
      <c r="E47" s="351"/>
      <c r="G47" s="352"/>
    </row>
    <row r="48" spans="1:7" ht="12.75">
      <c r="A48" s="351" t="s">
        <v>656</v>
      </c>
      <c r="B48" s="351"/>
      <c r="C48" s="351"/>
      <c r="D48" s="351"/>
      <c r="E48" s="351"/>
      <c r="G48" s="352"/>
    </row>
    <row r="49" spans="2:5" ht="12.75">
      <c r="B49" s="351"/>
      <c r="C49" s="351"/>
      <c r="D49" s="351"/>
      <c r="E49" s="351"/>
    </row>
    <row r="51" spans="6:7" ht="13.5">
      <c r="F51" s="398"/>
      <c r="G51" s="398"/>
    </row>
    <row r="52" spans="6:7" ht="12.75">
      <c r="F52" s="311" t="s">
        <v>593</v>
      </c>
      <c r="G52" s="311"/>
    </row>
    <row r="53" ht="15">
      <c r="G53" s="353"/>
    </row>
  </sheetData>
  <sheetProtection/>
  <mergeCells count="2">
    <mergeCell ref="B6:G6"/>
    <mergeCell ref="F51:G51"/>
  </mergeCells>
  <printOptions/>
  <pageMargins left="0.33" right="0.17" top="0.5" bottom="0.35" header="0.24" footer="0.24"/>
  <pageSetup horizontalDpi="600" verticalDpi="600" orientation="portrait" scale="77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H34">
      <selection activeCell="C23" sqref="C23"/>
    </sheetView>
  </sheetViews>
  <sheetFormatPr defaultColWidth="9.140625" defaultRowHeight="15"/>
  <cols>
    <col min="1" max="1" width="0" style="359" hidden="1" customWidth="1"/>
    <col min="2" max="2" width="32.57421875" style="359" hidden="1" customWidth="1"/>
    <col min="3" max="3" width="17.00390625" style="359" hidden="1" customWidth="1"/>
    <col min="4" max="7" width="0" style="359" hidden="1" customWidth="1"/>
    <col min="8" max="8" width="9.140625" style="359" customWidth="1"/>
    <col min="9" max="9" width="3.7109375" style="359" customWidth="1"/>
    <col min="10" max="10" width="10.8515625" style="359" customWidth="1"/>
    <col min="11" max="11" width="33.8515625" style="359" customWidth="1"/>
    <col min="12" max="12" width="23.8515625" style="359" customWidth="1"/>
    <col min="13" max="13" width="23.8515625" style="359" hidden="1" customWidth="1"/>
    <col min="14" max="16384" width="9.140625" style="359" customWidth="1"/>
  </cols>
  <sheetData>
    <row r="1" spans="1:11" ht="13.5">
      <c r="A1" s="358" t="s">
        <v>728</v>
      </c>
      <c r="B1" s="358" t="s">
        <v>729</v>
      </c>
      <c r="C1" s="358" t="s">
        <v>730</v>
      </c>
      <c r="J1" s="360" t="s">
        <v>564</v>
      </c>
      <c r="K1" s="360" t="s">
        <v>731</v>
      </c>
    </row>
    <row r="2" spans="2:11" ht="13.5">
      <c r="B2" s="358" t="s">
        <v>732</v>
      </c>
      <c r="C2" s="358" t="s">
        <v>732</v>
      </c>
      <c r="J2" s="361" t="s">
        <v>598</v>
      </c>
      <c r="K2" s="361" t="s">
        <v>733</v>
      </c>
    </row>
    <row r="3" spans="2:13" ht="13.5">
      <c r="B3" s="358"/>
      <c r="C3" s="358"/>
      <c r="J3" s="361"/>
      <c r="L3" s="358" t="s">
        <v>734</v>
      </c>
      <c r="M3" s="358" t="s">
        <v>734</v>
      </c>
    </row>
    <row r="4" spans="2:13" ht="12.75">
      <c r="B4" s="359" t="s">
        <v>735</v>
      </c>
      <c r="C4" s="359" t="s">
        <v>735</v>
      </c>
      <c r="I4" s="362"/>
      <c r="J4" s="362"/>
      <c r="K4" s="363" t="s">
        <v>736</v>
      </c>
      <c r="L4" s="363" t="s">
        <v>737</v>
      </c>
      <c r="M4" s="363" t="s">
        <v>737</v>
      </c>
    </row>
    <row r="5" spans="2:13" ht="12.75">
      <c r="B5" s="359" t="s">
        <v>738</v>
      </c>
      <c r="C5" s="359" t="s">
        <v>738</v>
      </c>
      <c r="I5" s="362">
        <v>1</v>
      </c>
      <c r="J5" s="363" t="s">
        <v>732</v>
      </c>
      <c r="K5" s="362" t="s">
        <v>735</v>
      </c>
      <c r="L5" s="364">
        <v>0</v>
      </c>
      <c r="M5" s="364">
        <v>0</v>
      </c>
    </row>
    <row r="6" spans="2:13" ht="12.75">
      <c r="B6" s="359" t="s">
        <v>739</v>
      </c>
      <c r="C6" s="359" t="s">
        <v>739</v>
      </c>
      <c r="I6" s="362">
        <v>2</v>
      </c>
      <c r="J6" s="363" t="s">
        <v>732</v>
      </c>
      <c r="K6" s="362" t="s">
        <v>740</v>
      </c>
      <c r="L6" s="364">
        <v>0</v>
      </c>
      <c r="M6" s="364">
        <v>0</v>
      </c>
    </row>
    <row r="7" spans="2:13" ht="12.75">
      <c r="B7" s="359" t="s">
        <v>741</v>
      </c>
      <c r="C7" s="359" t="s">
        <v>741</v>
      </c>
      <c r="I7" s="362">
        <v>3</v>
      </c>
      <c r="J7" s="363" t="s">
        <v>732</v>
      </c>
      <c r="K7" s="362" t="s">
        <v>742</v>
      </c>
      <c r="L7" s="364">
        <v>0</v>
      </c>
      <c r="M7" s="364">
        <v>0</v>
      </c>
    </row>
    <row r="8" spans="2:13" ht="12.75">
      <c r="B8" s="359" t="s">
        <v>743</v>
      </c>
      <c r="C8" s="359" t="s">
        <v>743</v>
      </c>
      <c r="I8" s="362">
        <v>4</v>
      </c>
      <c r="J8" s="363" t="s">
        <v>732</v>
      </c>
      <c r="K8" s="362" t="s">
        <v>741</v>
      </c>
      <c r="L8" s="364">
        <v>0</v>
      </c>
      <c r="M8" s="364">
        <v>0</v>
      </c>
    </row>
    <row r="9" spans="2:13" ht="12.75">
      <c r="B9" s="359" t="s">
        <v>744</v>
      </c>
      <c r="C9" s="359" t="s">
        <v>744</v>
      </c>
      <c r="I9" s="362">
        <v>5</v>
      </c>
      <c r="J9" s="363" t="s">
        <v>732</v>
      </c>
      <c r="K9" s="362" t="s">
        <v>743</v>
      </c>
      <c r="L9" s="364">
        <v>0</v>
      </c>
      <c r="M9" s="364">
        <v>0</v>
      </c>
    </row>
    <row r="10" spans="2:13" ht="12.75">
      <c r="B10" s="359" t="s">
        <v>745</v>
      </c>
      <c r="C10" s="359" t="s">
        <v>745</v>
      </c>
      <c r="I10" s="362">
        <v>6</v>
      </c>
      <c r="J10" s="363" t="s">
        <v>732</v>
      </c>
      <c r="K10" s="362" t="s">
        <v>744</v>
      </c>
      <c r="L10" s="364">
        <v>0</v>
      </c>
      <c r="M10" s="364">
        <v>0</v>
      </c>
    </row>
    <row r="11" spans="2:13" ht="12.75">
      <c r="B11" s="359" t="s">
        <v>746</v>
      </c>
      <c r="C11" s="359" t="s">
        <v>746</v>
      </c>
      <c r="I11" s="362">
        <v>7</v>
      </c>
      <c r="J11" s="363" t="s">
        <v>732</v>
      </c>
      <c r="K11" s="362" t="s">
        <v>747</v>
      </c>
      <c r="L11" s="364">
        <v>0</v>
      </c>
      <c r="M11" s="364">
        <v>0</v>
      </c>
    </row>
    <row r="12" spans="2:13" ht="12.75">
      <c r="B12" s="358" t="s">
        <v>748</v>
      </c>
      <c r="C12" s="358" t="s">
        <v>748</v>
      </c>
      <c r="I12" s="362">
        <v>8</v>
      </c>
      <c r="J12" s="363" t="s">
        <v>732</v>
      </c>
      <c r="K12" s="362" t="s">
        <v>746</v>
      </c>
      <c r="L12" s="364">
        <f>+PL!D7</f>
        <v>21643643.403</v>
      </c>
      <c r="M12" s="364">
        <v>0</v>
      </c>
    </row>
    <row r="13" spans="2:13" ht="12.75">
      <c r="B13" s="358"/>
      <c r="C13" s="358"/>
      <c r="I13" s="363" t="s">
        <v>40</v>
      </c>
      <c r="J13" s="363"/>
      <c r="K13" s="363" t="s">
        <v>749</v>
      </c>
      <c r="L13" s="365">
        <f>SUM(L5:L12)</f>
        <v>21643643.403</v>
      </c>
      <c r="M13" s="365">
        <f>SUM(M5:M12)</f>
        <v>0</v>
      </c>
    </row>
    <row r="14" spans="2:13" ht="12.75">
      <c r="B14" s="359" t="s">
        <v>750</v>
      </c>
      <c r="C14" s="359" t="s">
        <v>750</v>
      </c>
      <c r="I14" s="362">
        <v>9</v>
      </c>
      <c r="J14" s="363" t="s">
        <v>748</v>
      </c>
      <c r="K14" s="362" t="s">
        <v>751</v>
      </c>
      <c r="L14" s="364">
        <v>0</v>
      </c>
      <c r="M14" s="364">
        <v>0</v>
      </c>
    </row>
    <row r="15" spans="2:13" ht="12.75">
      <c r="B15" s="359" t="s">
        <v>752</v>
      </c>
      <c r="C15" s="359" t="s">
        <v>752</v>
      </c>
      <c r="I15" s="362">
        <v>10</v>
      </c>
      <c r="J15" s="363" t="s">
        <v>748</v>
      </c>
      <c r="K15" s="362" t="s">
        <v>752</v>
      </c>
      <c r="L15" s="364">
        <v>0</v>
      </c>
      <c r="M15" s="364">
        <v>0</v>
      </c>
    </row>
    <row r="16" spans="2:13" ht="12.75">
      <c r="B16" s="359" t="s">
        <v>753</v>
      </c>
      <c r="C16" s="359" t="s">
        <v>753</v>
      </c>
      <c r="I16" s="362">
        <v>11</v>
      </c>
      <c r="J16" s="363" t="s">
        <v>748</v>
      </c>
      <c r="K16" s="362" t="s">
        <v>753</v>
      </c>
      <c r="L16" s="364">
        <v>0</v>
      </c>
      <c r="M16" s="364">
        <v>0</v>
      </c>
    </row>
    <row r="17" spans="9:13" ht="12.75">
      <c r="I17" s="363" t="s">
        <v>64</v>
      </c>
      <c r="J17" s="363"/>
      <c r="K17" s="363" t="s">
        <v>754</v>
      </c>
      <c r="L17" s="365">
        <f>SUM(L14:L16)</f>
        <v>0</v>
      </c>
      <c r="M17" s="365">
        <f>SUM(M14:M16)</f>
        <v>0</v>
      </c>
    </row>
    <row r="18" spans="2:13" ht="12.75">
      <c r="B18" s="358" t="s">
        <v>755</v>
      </c>
      <c r="C18" s="358" t="s">
        <v>755</v>
      </c>
      <c r="I18" s="362">
        <v>12</v>
      </c>
      <c r="J18" s="363" t="s">
        <v>755</v>
      </c>
      <c r="K18" s="362" t="s">
        <v>756</v>
      </c>
      <c r="L18" s="364">
        <v>0</v>
      </c>
      <c r="M18" s="364">
        <v>0</v>
      </c>
    </row>
    <row r="19" spans="2:13" ht="12.75">
      <c r="B19" s="359" t="s">
        <v>745</v>
      </c>
      <c r="C19" s="359" t="s">
        <v>745</v>
      </c>
      <c r="I19" s="362">
        <v>13</v>
      </c>
      <c r="J19" s="363" t="s">
        <v>755</v>
      </c>
      <c r="K19" s="363" t="s">
        <v>757</v>
      </c>
      <c r="L19" s="364">
        <v>0</v>
      </c>
      <c r="M19" s="364">
        <v>0</v>
      </c>
    </row>
    <row r="20" spans="2:13" ht="12.75">
      <c r="B20" s="359" t="s">
        <v>758</v>
      </c>
      <c r="C20" s="359" t="s">
        <v>758</v>
      </c>
      <c r="I20" s="362">
        <v>14</v>
      </c>
      <c r="J20" s="363" t="s">
        <v>755</v>
      </c>
      <c r="K20" s="362" t="s">
        <v>759</v>
      </c>
      <c r="L20" s="364">
        <v>0</v>
      </c>
      <c r="M20" s="364">
        <v>0</v>
      </c>
    </row>
    <row r="21" spans="2:13" ht="12.75">
      <c r="B21" s="359" t="s">
        <v>759</v>
      </c>
      <c r="C21" s="359" t="s">
        <v>759</v>
      </c>
      <c r="I21" s="362">
        <v>15</v>
      </c>
      <c r="J21" s="363" t="s">
        <v>755</v>
      </c>
      <c r="K21" s="362" t="s">
        <v>760</v>
      </c>
      <c r="L21" s="364">
        <v>0</v>
      </c>
      <c r="M21" s="364">
        <v>0</v>
      </c>
    </row>
    <row r="22" spans="2:13" ht="12.75">
      <c r="B22" s="359" t="s">
        <v>760</v>
      </c>
      <c r="C22" s="359" t="s">
        <v>760</v>
      </c>
      <c r="I22" s="362">
        <v>16</v>
      </c>
      <c r="J22" s="363" t="s">
        <v>755</v>
      </c>
      <c r="K22" s="362" t="s">
        <v>761</v>
      </c>
      <c r="L22" s="364">
        <v>0</v>
      </c>
      <c r="M22" s="364">
        <v>0</v>
      </c>
    </row>
    <row r="23" spans="2:13" ht="12.75">
      <c r="B23" s="359" t="s">
        <v>762</v>
      </c>
      <c r="C23" s="359" t="s">
        <v>762</v>
      </c>
      <c r="I23" s="362">
        <v>17</v>
      </c>
      <c r="J23" s="363" t="s">
        <v>755</v>
      </c>
      <c r="K23" s="362" t="s">
        <v>763</v>
      </c>
      <c r="L23" s="364">
        <v>0</v>
      </c>
      <c r="M23" s="364">
        <v>0</v>
      </c>
    </row>
    <row r="24" spans="2:13" ht="12.75">
      <c r="B24" s="359" t="s">
        <v>763</v>
      </c>
      <c r="C24" s="359" t="s">
        <v>763</v>
      </c>
      <c r="I24" s="362">
        <v>18</v>
      </c>
      <c r="J24" s="363" t="s">
        <v>755</v>
      </c>
      <c r="K24" s="362" t="s">
        <v>764</v>
      </c>
      <c r="L24" s="364">
        <v>0</v>
      </c>
      <c r="M24" s="364">
        <v>0</v>
      </c>
    </row>
    <row r="25" spans="2:13" ht="12.75">
      <c r="B25" s="359" t="s">
        <v>765</v>
      </c>
      <c r="C25" s="359" t="s">
        <v>765</v>
      </c>
      <c r="I25" s="362">
        <v>19</v>
      </c>
      <c r="J25" s="363" t="s">
        <v>755</v>
      </c>
      <c r="K25" s="362" t="s">
        <v>766</v>
      </c>
      <c r="L25" s="364">
        <v>0</v>
      </c>
      <c r="M25" s="364">
        <v>0</v>
      </c>
    </row>
    <row r="26" spans="9:13" ht="12.75">
      <c r="I26" s="363" t="s">
        <v>111</v>
      </c>
      <c r="J26" s="363"/>
      <c r="K26" s="363" t="s">
        <v>767</v>
      </c>
      <c r="L26" s="364">
        <f>SUM(L18:L25)</f>
        <v>0</v>
      </c>
      <c r="M26" s="364">
        <f>SUM(M18:M25)</f>
        <v>0</v>
      </c>
    </row>
    <row r="27" spans="2:13" ht="12.75">
      <c r="B27" s="359" t="s">
        <v>766</v>
      </c>
      <c r="C27" s="359" t="s">
        <v>766</v>
      </c>
      <c r="I27" s="362">
        <v>20</v>
      </c>
      <c r="J27" s="363" t="s">
        <v>768</v>
      </c>
      <c r="K27" s="362" t="s">
        <v>769</v>
      </c>
      <c r="L27" s="364">
        <v>0</v>
      </c>
      <c r="M27" s="364">
        <v>0</v>
      </c>
    </row>
    <row r="28" spans="2:13" ht="12.75">
      <c r="B28" s="358" t="s">
        <v>768</v>
      </c>
      <c r="C28" s="358" t="s">
        <v>768</v>
      </c>
      <c r="I28" s="362">
        <v>21</v>
      </c>
      <c r="J28" s="363" t="s">
        <v>768</v>
      </c>
      <c r="K28" s="362" t="s">
        <v>770</v>
      </c>
      <c r="L28" s="364">
        <v>0</v>
      </c>
      <c r="M28" s="364">
        <v>0</v>
      </c>
    </row>
    <row r="29" spans="2:13" ht="12.75">
      <c r="B29" s="359" t="s">
        <v>771</v>
      </c>
      <c r="C29" s="359" t="s">
        <v>771</v>
      </c>
      <c r="I29" s="362">
        <v>22</v>
      </c>
      <c r="J29" s="363" t="s">
        <v>768</v>
      </c>
      <c r="K29" s="362" t="s">
        <v>772</v>
      </c>
      <c r="L29" s="364">
        <v>0</v>
      </c>
      <c r="M29" s="364">
        <v>0</v>
      </c>
    </row>
    <row r="30" spans="2:13" ht="12.75">
      <c r="B30" s="359" t="s">
        <v>770</v>
      </c>
      <c r="C30" s="359" t="s">
        <v>770</v>
      </c>
      <c r="I30" s="362">
        <v>23</v>
      </c>
      <c r="J30" s="363" t="s">
        <v>768</v>
      </c>
      <c r="K30" s="362" t="s">
        <v>773</v>
      </c>
      <c r="L30" s="364">
        <v>0</v>
      </c>
      <c r="M30" s="364">
        <v>0</v>
      </c>
    </row>
    <row r="31" spans="9:13" ht="12.75">
      <c r="I31" s="363" t="s">
        <v>774</v>
      </c>
      <c r="J31" s="363"/>
      <c r="K31" s="363" t="s">
        <v>775</v>
      </c>
      <c r="L31" s="364">
        <f>SUM(L27:L30)</f>
        <v>0</v>
      </c>
      <c r="M31" s="364">
        <f>SUM(M27:M30)</f>
        <v>0</v>
      </c>
    </row>
    <row r="32" spans="2:13" ht="12.75">
      <c r="B32" s="359" t="s">
        <v>772</v>
      </c>
      <c r="C32" s="359" t="s">
        <v>772</v>
      </c>
      <c r="I32" s="362">
        <v>24</v>
      </c>
      <c r="J32" s="363" t="s">
        <v>776</v>
      </c>
      <c r="K32" s="362" t="s">
        <v>777</v>
      </c>
      <c r="L32" s="364">
        <v>0</v>
      </c>
      <c r="M32" s="364">
        <v>0</v>
      </c>
    </row>
    <row r="33" spans="2:13" ht="12.75">
      <c r="B33" s="359" t="s">
        <v>773</v>
      </c>
      <c r="C33" s="359" t="s">
        <v>773</v>
      </c>
      <c r="I33" s="362">
        <v>25</v>
      </c>
      <c r="J33" s="363" t="s">
        <v>776</v>
      </c>
      <c r="K33" s="362" t="s">
        <v>778</v>
      </c>
      <c r="L33" s="364">
        <v>0</v>
      </c>
      <c r="M33" s="364">
        <v>0</v>
      </c>
    </row>
    <row r="34" spans="9:13" ht="12.75">
      <c r="I34" s="362">
        <v>26</v>
      </c>
      <c r="J34" s="363" t="s">
        <v>776</v>
      </c>
      <c r="K34" s="362" t="s">
        <v>779</v>
      </c>
      <c r="L34" s="364">
        <v>0</v>
      </c>
      <c r="M34" s="364">
        <v>0</v>
      </c>
    </row>
    <row r="35" spans="2:13" ht="12.75">
      <c r="B35" s="358" t="s">
        <v>776</v>
      </c>
      <c r="C35" s="358" t="s">
        <v>776</v>
      </c>
      <c r="I35" s="362">
        <v>27</v>
      </c>
      <c r="J35" s="363" t="s">
        <v>776</v>
      </c>
      <c r="K35" s="362" t="s">
        <v>780</v>
      </c>
      <c r="L35" s="364">
        <v>0</v>
      </c>
      <c r="M35" s="364">
        <v>0</v>
      </c>
    </row>
    <row r="36" spans="2:13" ht="12.75">
      <c r="B36" s="359" t="s">
        <v>777</v>
      </c>
      <c r="C36" s="359" t="s">
        <v>777</v>
      </c>
      <c r="I36" s="362">
        <v>28</v>
      </c>
      <c r="J36" s="363" t="s">
        <v>776</v>
      </c>
      <c r="K36" s="362" t="s">
        <v>781</v>
      </c>
      <c r="L36" s="364">
        <v>0</v>
      </c>
      <c r="M36" s="364">
        <v>0</v>
      </c>
    </row>
    <row r="37" spans="2:13" ht="12.75">
      <c r="B37" s="359" t="s">
        <v>778</v>
      </c>
      <c r="C37" s="359" t="s">
        <v>778</v>
      </c>
      <c r="I37" s="362">
        <v>29</v>
      </c>
      <c r="J37" s="363" t="s">
        <v>776</v>
      </c>
      <c r="K37" s="366" t="s">
        <v>782</v>
      </c>
      <c r="L37" s="364">
        <v>0</v>
      </c>
      <c r="M37" s="364">
        <v>0</v>
      </c>
    </row>
    <row r="38" spans="2:13" ht="12.75">
      <c r="B38" s="359" t="s">
        <v>779</v>
      </c>
      <c r="C38" s="359" t="s">
        <v>779</v>
      </c>
      <c r="I38" s="362">
        <v>30</v>
      </c>
      <c r="J38" s="363" t="s">
        <v>776</v>
      </c>
      <c r="K38" s="362" t="s">
        <v>783</v>
      </c>
      <c r="L38" s="364">
        <v>0</v>
      </c>
      <c r="M38" s="364">
        <v>0</v>
      </c>
    </row>
    <row r="39" spans="2:13" ht="12.75">
      <c r="B39" s="359" t="s">
        <v>780</v>
      </c>
      <c r="C39" s="359" t="s">
        <v>780</v>
      </c>
      <c r="I39" s="362">
        <v>31</v>
      </c>
      <c r="J39" s="363" t="s">
        <v>776</v>
      </c>
      <c r="K39" s="362" t="s">
        <v>784</v>
      </c>
      <c r="L39" s="364">
        <v>0</v>
      </c>
      <c r="M39" s="364">
        <v>0</v>
      </c>
    </row>
    <row r="40" spans="9:13" ht="12.75">
      <c r="I40" s="362">
        <v>32</v>
      </c>
      <c r="J40" s="363" t="s">
        <v>776</v>
      </c>
      <c r="K40" s="362" t="s">
        <v>785</v>
      </c>
      <c r="L40" s="364">
        <v>0</v>
      </c>
      <c r="M40" s="364">
        <v>0</v>
      </c>
    </row>
    <row r="41" spans="2:13" ht="12.75">
      <c r="B41" s="359" t="s">
        <v>781</v>
      </c>
      <c r="C41" s="359" t="s">
        <v>781</v>
      </c>
      <c r="I41" s="362">
        <v>33</v>
      </c>
      <c r="J41" s="363" t="s">
        <v>776</v>
      </c>
      <c r="K41" s="362" t="s">
        <v>786</v>
      </c>
      <c r="L41" s="364">
        <v>0</v>
      </c>
      <c r="M41" s="364">
        <v>0</v>
      </c>
    </row>
    <row r="42" spans="2:13" ht="12.75">
      <c r="B42" s="359" t="s">
        <v>782</v>
      </c>
      <c r="C42" s="359" t="s">
        <v>782</v>
      </c>
      <c r="I42" s="367">
        <v>34</v>
      </c>
      <c r="J42" s="363" t="s">
        <v>776</v>
      </c>
      <c r="K42" s="362" t="s">
        <v>787</v>
      </c>
      <c r="L42" s="364">
        <f>+PL!D8</f>
        <v>201802.9</v>
      </c>
      <c r="M42" s="364">
        <f>+'[4]PASH'!$D$27+'[4]PASH'!$D$28+'[4]PASH'!$D$30+'[4]PASH'!$D$29+'[4]PASH'!$D$31+'[4]PASH'!$D$33</f>
        <v>882750041.6200001</v>
      </c>
    </row>
    <row r="43" spans="2:13" ht="12.75">
      <c r="B43" s="359" t="s">
        <v>783</v>
      </c>
      <c r="C43" s="359" t="s">
        <v>783</v>
      </c>
      <c r="I43" s="363" t="s">
        <v>788</v>
      </c>
      <c r="J43" s="362"/>
      <c r="K43" s="363" t="s">
        <v>789</v>
      </c>
      <c r="L43" s="365">
        <f>SUM(L32:L42)</f>
        <v>201802.9</v>
      </c>
      <c r="M43" s="365">
        <f>SUM(M32:M42)</f>
        <v>882750041.6200001</v>
      </c>
    </row>
    <row r="44" spans="2:13" ht="12.75">
      <c r="B44" s="359" t="s">
        <v>784</v>
      </c>
      <c r="C44" s="359" t="s">
        <v>784</v>
      </c>
      <c r="I44" s="362"/>
      <c r="J44" s="362"/>
      <c r="K44" s="363" t="s">
        <v>790</v>
      </c>
      <c r="L44" s="365">
        <f>L43+L31+L26+L17+L13</f>
        <v>21845446.303</v>
      </c>
      <c r="M44" s="365">
        <f>M43+M31+M26+M17+M13</f>
        <v>882750041.6200001</v>
      </c>
    </row>
    <row r="45" spans="10:13" ht="12.75">
      <c r="J45" s="368" t="s">
        <v>791</v>
      </c>
      <c r="K45" s="369"/>
      <c r="L45" s="363" t="s">
        <v>792</v>
      </c>
      <c r="M45" s="363" t="s">
        <v>792</v>
      </c>
    </row>
    <row r="46" spans="10:13" ht="12.75">
      <c r="J46" s="370"/>
      <c r="K46" s="371"/>
      <c r="L46" s="371"/>
      <c r="M46" s="371"/>
    </row>
    <row r="47" spans="10:13" ht="12.75">
      <c r="J47" s="372" t="s">
        <v>793</v>
      </c>
      <c r="K47" s="372"/>
      <c r="L47" s="364">
        <v>0</v>
      </c>
      <c r="M47" s="364">
        <v>0</v>
      </c>
    </row>
    <row r="48" spans="10:13" ht="12.75">
      <c r="J48" s="362" t="s">
        <v>794</v>
      </c>
      <c r="K48" s="362"/>
      <c r="L48" s="364">
        <v>6</v>
      </c>
      <c r="M48" s="364">
        <v>0</v>
      </c>
    </row>
    <row r="49" spans="10:13" ht="12.75">
      <c r="J49" s="362" t="s">
        <v>795</v>
      </c>
      <c r="K49" s="362"/>
      <c r="L49" s="364">
        <v>1</v>
      </c>
      <c r="M49" s="364">
        <v>1</v>
      </c>
    </row>
    <row r="50" spans="10:13" ht="12.75">
      <c r="J50" s="362" t="s">
        <v>796</v>
      </c>
      <c r="K50" s="362"/>
      <c r="L50" s="364">
        <v>0</v>
      </c>
      <c r="M50" s="364">
        <v>0</v>
      </c>
    </row>
    <row r="51" spans="10:13" ht="12.75">
      <c r="J51" s="369" t="s">
        <v>797</v>
      </c>
      <c r="K51" s="369"/>
      <c r="L51" s="364"/>
      <c r="M51" s="364">
        <v>2</v>
      </c>
    </row>
    <row r="52" spans="10:13" ht="12.75">
      <c r="J52" s="373"/>
      <c r="K52" s="374" t="s">
        <v>46</v>
      </c>
      <c r="L52" s="375">
        <f>SUM(L47:L51)</f>
        <v>7</v>
      </c>
      <c r="M52" s="375">
        <f>SUM(M47:M51)</f>
        <v>3</v>
      </c>
    </row>
    <row r="53" spans="12:14" ht="13.5">
      <c r="L53" s="376" t="s">
        <v>799</v>
      </c>
      <c r="M53" s="376" t="s">
        <v>798</v>
      </c>
      <c r="N53" s="376"/>
    </row>
    <row r="54" spans="12:14" ht="12.75">
      <c r="L54" s="311" t="s">
        <v>593</v>
      </c>
      <c r="M54" s="311" t="s">
        <v>593</v>
      </c>
      <c r="N54" s="311"/>
    </row>
    <row r="55" ht="12.75">
      <c r="J55" s="358"/>
    </row>
    <row r="57" ht="12.75">
      <c r="J57" s="358"/>
    </row>
    <row r="58" spans="9:17" ht="12.75">
      <c r="I58" s="358"/>
      <c r="J58" s="358"/>
      <c r="K58" s="358"/>
      <c r="L58" s="358"/>
      <c r="M58" s="358"/>
      <c r="N58" s="358"/>
      <c r="O58" s="358"/>
      <c r="P58" s="358"/>
      <c r="Q58" s="358"/>
    </row>
    <row r="59" spans="9:17" ht="12.75">
      <c r="I59" s="358"/>
      <c r="J59" s="358"/>
      <c r="K59" s="358"/>
      <c r="L59" s="358"/>
      <c r="M59" s="358"/>
      <c r="N59" s="358"/>
      <c r="O59" s="358"/>
      <c r="P59" s="358"/>
      <c r="Q59" s="358"/>
    </row>
    <row r="60" spans="10:17" ht="12.75">
      <c r="J60" s="358"/>
      <c r="K60" s="358"/>
      <c r="L60" s="358"/>
      <c r="M60" s="358"/>
      <c r="N60" s="358"/>
      <c r="O60" s="358"/>
      <c r="P60" s="358"/>
      <c r="Q60" s="358"/>
    </row>
    <row r="61" spans="10:17" ht="12.75">
      <c r="J61" s="358"/>
      <c r="K61" s="358"/>
      <c r="L61" s="358"/>
      <c r="M61" s="358"/>
      <c r="N61" s="358"/>
      <c r="O61" s="358"/>
      <c r="P61" s="358"/>
      <c r="Q61" s="358"/>
    </row>
    <row r="62" spans="9:10" ht="12.75">
      <c r="I62" s="358"/>
      <c r="J62" s="3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35">
      <selection activeCell="C23" sqref="C23"/>
    </sheetView>
  </sheetViews>
  <sheetFormatPr defaultColWidth="9.140625" defaultRowHeight="15"/>
  <cols>
    <col min="1" max="1" width="8.8515625" style="88" customWidth="1"/>
    <col min="2" max="2" width="55.57421875" style="88" customWidth="1"/>
    <col min="3" max="3" width="13.57421875" style="88" bestFit="1" customWidth="1"/>
    <col min="4" max="4" width="16.28125" style="88" customWidth="1"/>
    <col min="5" max="5" width="1.57421875" style="88" hidden="1" customWidth="1"/>
    <col min="6" max="6" width="11.28125" style="88" bestFit="1" customWidth="1"/>
    <col min="7" max="16384" width="8.8515625" style="88" customWidth="1"/>
  </cols>
  <sheetData>
    <row r="1" spans="1:5" ht="14.25">
      <c r="A1" s="122"/>
      <c r="B1" s="123"/>
      <c r="C1" s="162" t="s">
        <v>284</v>
      </c>
      <c r="D1" s="162" t="s">
        <v>284</v>
      </c>
      <c r="E1" s="162"/>
    </row>
    <row r="2" spans="1:5" ht="14.25">
      <c r="A2" s="124"/>
      <c r="B2" s="402" t="s">
        <v>521</v>
      </c>
      <c r="C2" s="402"/>
      <c r="D2" s="402"/>
      <c r="E2" s="402"/>
    </row>
    <row r="3" spans="1:5" ht="14.25">
      <c r="A3" s="124"/>
      <c r="B3" s="125"/>
      <c r="C3" s="123"/>
      <c r="D3" s="123"/>
      <c r="E3" s="123"/>
    </row>
    <row r="4" spans="1:5" ht="14.25">
      <c r="A4" s="124"/>
      <c r="B4" s="126" t="s">
        <v>125</v>
      </c>
      <c r="C4" s="126"/>
      <c r="D4" s="403" t="s">
        <v>522</v>
      </c>
      <c r="E4" s="403"/>
    </row>
    <row r="5" spans="1:5" ht="14.25" customHeight="1">
      <c r="A5" s="151"/>
      <c r="B5" s="156"/>
      <c r="C5" s="404">
        <v>2013</v>
      </c>
      <c r="D5" s="404">
        <v>2012</v>
      </c>
      <c r="E5" s="405" t="s">
        <v>4</v>
      </c>
    </row>
    <row r="6" spans="1:5" ht="14.25">
      <c r="A6" s="151"/>
      <c r="B6" s="156"/>
      <c r="C6" s="404"/>
      <c r="D6" s="404"/>
      <c r="E6" s="405"/>
    </row>
    <row r="7" spans="1:5" ht="16.5" customHeight="1">
      <c r="A7" s="163" t="s">
        <v>38</v>
      </c>
      <c r="B7" s="164" t="s">
        <v>315</v>
      </c>
      <c r="C7" s="165"/>
      <c r="D7" s="165"/>
      <c r="E7" s="165"/>
    </row>
    <row r="8" spans="1:5" ht="16.5" customHeight="1">
      <c r="A8" s="166">
        <v>1</v>
      </c>
      <c r="B8" s="165" t="s">
        <v>314</v>
      </c>
      <c r="C8" s="167">
        <f>PL!D33</f>
        <v>-4914911.851000001</v>
      </c>
      <c r="D8" s="167">
        <v>-6717164.058000012</v>
      </c>
      <c r="E8" s="167">
        <f>PL!F33</f>
        <v>-559710</v>
      </c>
    </row>
    <row r="9" spans="1:5" ht="16.5" customHeight="1">
      <c r="A9" s="166"/>
      <c r="B9" s="165" t="s">
        <v>316</v>
      </c>
      <c r="C9" s="167"/>
      <c r="D9" s="167"/>
      <c r="E9" s="167"/>
    </row>
    <row r="10" spans="1:5" ht="16.5" customHeight="1">
      <c r="A10" s="166">
        <v>2</v>
      </c>
      <c r="B10" s="165" t="s">
        <v>313</v>
      </c>
      <c r="C10" s="157">
        <f>-PL!D17</f>
        <v>4302544</v>
      </c>
      <c r="D10" s="157">
        <v>5151297</v>
      </c>
      <c r="E10" s="157">
        <f>-PL!F17</f>
        <v>56826</v>
      </c>
    </row>
    <row r="11" spans="1:5" ht="16.5" customHeight="1">
      <c r="A11" s="166">
        <v>3</v>
      </c>
      <c r="B11" s="165" t="s">
        <v>312</v>
      </c>
      <c r="C11" s="157">
        <v>0</v>
      </c>
      <c r="D11" s="157">
        <v>0</v>
      </c>
      <c r="E11" s="157"/>
    </row>
    <row r="12" spans="1:5" ht="16.5" customHeight="1">
      <c r="A12" s="166">
        <v>4</v>
      </c>
      <c r="B12" s="165" t="s">
        <v>126</v>
      </c>
      <c r="C12" s="157"/>
      <c r="D12" s="157"/>
      <c r="E12" s="157"/>
    </row>
    <row r="13" spans="1:5" ht="16.5" customHeight="1">
      <c r="A13" s="166">
        <v>5</v>
      </c>
      <c r="B13" s="165" t="s">
        <v>311</v>
      </c>
      <c r="C13" s="157">
        <v>0</v>
      </c>
      <c r="D13" s="157">
        <v>0</v>
      </c>
      <c r="E13" s="157"/>
    </row>
    <row r="14" spans="1:5" ht="16.5" customHeight="1">
      <c r="A14" s="166">
        <v>6</v>
      </c>
      <c r="B14" s="165" t="s">
        <v>310</v>
      </c>
      <c r="C14" s="157">
        <v>0</v>
      </c>
      <c r="D14" s="157">
        <v>0</v>
      </c>
      <c r="E14" s="157"/>
    </row>
    <row r="15" spans="1:5" ht="27" customHeight="1">
      <c r="A15" s="166">
        <v>7</v>
      </c>
      <c r="B15" s="165" t="s">
        <v>317</v>
      </c>
      <c r="C15" s="157">
        <f>BSH!F11+BSH!F12-BSH!E11-BSH!E12</f>
        <v>-153005.6730000024</v>
      </c>
      <c r="D15" s="157">
        <v>-698223.0422799999</v>
      </c>
      <c r="E15" s="157">
        <v>-76263</v>
      </c>
    </row>
    <row r="16" spans="1:5" ht="16.5" customHeight="1">
      <c r="A16" s="166">
        <v>8</v>
      </c>
      <c r="B16" s="165" t="s">
        <v>309</v>
      </c>
      <c r="C16" s="157">
        <f>-(BSH!E22-BSH!F22)</f>
        <v>1117336.789999999</v>
      </c>
      <c r="D16" s="157">
        <v>-9111492.675999999</v>
      </c>
      <c r="E16" s="157">
        <v>-8064407</v>
      </c>
    </row>
    <row r="17" spans="1:5" ht="24.75" customHeight="1">
      <c r="A17" s="166">
        <v>9</v>
      </c>
      <c r="B17" s="165" t="s">
        <v>308</v>
      </c>
      <c r="C17" s="157">
        <f>BSH!E68+BSH!E70-BSH!F68-BSH!F70+BSH!E71-BSH!F71+BSH!E69-BSH!F69</f>
        <v>-2210376.7640000163</v>
      </c>
      <c r="D17" s="157">
        <v>7818550.043279998</v>
      </c>
      <c r="E17" s="157">
        <v>42591622</v>
      </c>
    </row>
    <row r="18" spans="1:5" ht="16.5" customHeight="1">
      <c r="A18" s="166">
        <v>10</v>
      </c>
      <c r="B18" s="165" t="s">
        <v>127</v>
      </c>
      <c r="C18" s="157"/>
      <c r="D18" s="157"/>
      <c r="E18" s="157">
        <v>0</v>
      </c>
    </row>
    <row r="19" spans="1:5" ht="16.5" customHeight="1">
      <c r="A19" s="168"/>
      <c r="B19" s="169" t="s">
        <v>307</v>
      </c>
      <c r="C19" s="170">
        <f>SUM(C8:C18)</f>
        <v>-1858413.4980000202</v>
      </c>
      <c r="D19" s="170">
        <v>-3557032.733000014</v>
      </c>
      <c r="E19" s="170">
        <f>SUM(E8:E18)</f>
        <v>33948068</v>
      </c>
    </row>
    <row r="20" spans="1:5" ht="16.5" customHeight="1">
      <c r="A20" s="166"/>
      <c r="B20" s="165" t="s">
        <v>306</v>
      </c>
      <c r="C20" s="157"/>
      <c r="D20" s="157"/>
      <c r="E20" s="157"/>
    </row>
    <row r="21" spans="1:5" ht="16.5" customHeight="1">
      <c r="A21" s="166"/>
      <c r="B21" s="165" t="s">
        <v>305</v>
      </c>
      <c r="C21" s="157"/>
      <c r="D21" s="157"/>
      <c r="E21" s="157"/>
    </row>
    <row r="22" spans="1:5" ht="16.5" customHeight="1">
      <c r="A22" s="168"/>
      <c r="B22" s="169" t="s">
        <v>304</v>
      </c>
      <c r="C22" s="171">
        <f>C19-C20-C21</f>
        <v>-1858413.4980000202</v>
      </c>
      <c r="D22" s="171">
        <v>-3557032.733000014</v>
      </c>
      <c r="E22" s="171">
        <f>E19-E20-E21</f>
        <v>33948068</v>
      </c>
    </row>
    <row r="23" spans="1:5" ht="16.5" customHeight="1">
      <c r="A23" s="163" t="s">
        <v>85</v>
      </c>
      <c r="B23" s="164" t="s">
        <v>303</v>
      </c>
      <c r="C23" s="157"/>
      <c r="D23" s="157"/>
      <c r="E23" s="157"/>
    </row>
    <row r="24" spans="1:5" ht="21.75" customHeight="1">
      <c r="A24" s="166">
        <v>1</v>
      </c>
      <c r="B24" s="200" t="s">
        <v>128</v>
      </c>
      <c r="C24" s="167"/>
      <c r="D24" s="167"/>
      <c r="E24" s="167"/>
    </row>
    <row r="25" spans="1:5" ht="16.5" customHeight="1">
      <c r="A25" s="166">
        <v>2</v>
      </c>
      <c r="B25" s="165" t="s">
        <v>302</v>
      </c>
      <c r="D25" s="167">
        <v>-1907313.5899999999</v>
      </c>
      <c r="E25" s="167">
        <v>-26909694</v>
      </c>
    </row>
    <row r="26" spans="1:5" ht="16.5" customHeight="1">
      <c r="A26" s="166">
        <v>3</v>
      </c>
      <c r="B26" s="165" t="s">
        <v>301</v>
      </c>
      <c r="C26" s="167">
        <f>BSH!F37+BSH!F38-BSH!E37-BSH!E38-C10</f>
        <v>-423360.00000000093</v>
      </c>
      <c r="D26" s="157"/>
      <c r="E26" s="157"/>
    </row>
    <row r="27" spans="1:5" ht="16.5" customHeight="1">
      <c r="A27" s="166">
        <v>4</v>
      </c>
      <c r="B27" s="165" t="s">
        <v>300</v>
      </c>
      <c r="C27" s="157">
        <f>-C13</f>
        <v>0</v>
      </c>
      <c r="D27" s="157">
        <v>0</v>
      </c>
      <c r="E27" s="157"/>
    </row>
    <row r="28" spans="1:5" ht="16.5" customHeight="1">
      <c r="A28" s="166">
        <v>5</v>
      </c>
      <c r="B28" s="165" t="s">
        <v>299</v>
      </c>
      <c r="C28" s="157"/>
      <c r="D28" s="157"/>
      <c r="E28" s="157"/>
    </row>
    <row r="29" spans="1:5" ht="16.5" customHeight="1">
      <c r="A29" s="168"/>
      <c r="B29" s="169" t="s">
        <v>298</v>
      </c>
      <c r="C29" s="171">
        <f>SUM(C24:C28)</f>
        <v>-423360.00000000093</v>
      </c>
      <c r="D29" s="171">
        <v>-1907313.5899999999</v>
      </c>
      <c r="E29" s="171">
        <f>SUM(E24:E28)</f>
        <v>-26909694</v>
      </c>
    </row>
    <row r="30" spans="1:5" ht="16.5" customHeight="1">
      <c r="A30" s="163" t="s">
        <v>129</v>
      </c>
      <c r="B30" s="173" t="s">
        <v>297</v>
      </c>
      <c r="C30" s="157"/>
      <c r="D30" s="157"/>
      <c r="E30" s="157"/>
    </row>
    <row r="31" spans="1:5" ht="16.5" customHeight="1">
      <c r="A31" s="166">
        <v>1</v>
      </c>
      <c r="B31" s="172" t="s">
        <v>296</v>
      </c>
      <c r="C31" s="157">
        <f>(BSH!E91-BSH!F91)</f>
        <v>9558335</v>
      </c>
      <c r="D31" s="157">
        <v>4534586</v>
      </c>
      <c r="E31" s="157">
        <v>100</v>
      </c>
    </row>
    <row r="32" spans="1:5" ht="16.5" customHeight="1">
      <c r="A32" s="166">
        <v>2</v>
      </c>
      <c r="B32" s="172" t="s">
        <v>295</v>
      </c>
      <c r="C32" s="157">
        <f>BSH!E83-BSH!F83</f>
        <v>0</v>
      </c>
      <c r="D32" s="157">
        <v>-4534586</v>
      </c>
      <c r="E32" s="157"/>
    </row>
    <row r="33" spans="1:5" ht="16.5" customHeight="1">
      <c r="A33" s="166">
        <v>3</v>
      </c>
      <c r="B33" s="172" t="s">
        <v>294</v>
      </c>
      <c r="C33" s="157">
        <f>BSH!E80-BSH!F80+BSH!E63-BSH!F63</f>
        <v>-7065308.549999999</v>
      </c>
      <c r="D33" s="157">
        <v>-1054170.3000000007</v>
      </c>
      <c r="E33" s="157"/>
    </row>
    <row r="34" spans="1:5" ht="16.5" customHeight="1">
      <c r="A34" s="166">
        <v>4</v>
      </c>
      <c r="B34" s="172" t="s">
        <v>293</v>
      </c>
      <c r="C34" s="157"/>
      <c r="D34" s="157"/>
      <c r="E34" s="157"/>
    </row>
    <row r="35" spans="1:5" ht="16.5" customHeight="1">
      <c r="A35" s="168"/>
      <c r="B35" s="174" t="s">
        <v>292</v>
      </c>
      <c r="C35" s="171">
        <f>SUM(C31:C34)</f>
        <v>2493026.450000001</v>
      </c>
      <c r="D35" s="171">
        <v>-1054170.3000000007</v>
      </c>
      <c r="E35" s="171">
        <f>SUM(E31:E34)</f>
        <v>100</v>
      </c>
    </row>
    <row r="36" spans="1:5" ht="16.5" customHeight="1">
      <c r="A36" s="163"/>
      <c r="B36" s="173" t="s">
        <v>289</v>
      </c>
      <c r="C36" s="175">
        <f>C35+C29+C22</f>
        <v>211252.95199998002</v>
      </c>
      <c r="D36" s="175">
        <v>-6518516.623000015</v>
      </c>
      <c r="E36" s="175">
        <f>E35+E29+E22</f>
        <v>7038474</v>
      </c>
    </row>
    <row r="37" spans="1:5" ht="16.5" customHeight="1">
      <c r="A37" s="166"/>
      <c r="B37" s="173" t="s">
        <v>290</v>
      </c>
      <c r="C37" s="175">
        <f>D38</f>
        <v>519957.3769999854</v>
      </c>
      <c r="D37" s="175">
        <v>7038474</v>
      </c>
      <c r="E37" s="175">
        <v>0</v>
      </c>
    </row>
    <row r="38" spans="1:8" ht="16.5" customHeight="1">
      <c r="A38" s="163"/>
      <c r="B38" s="173" t="s">
        <v>291</v>
      </c>
      <c r="C38" s="175">
        <f>C36+C37</f>
        <v>731210.3289999655</v>
      </c>
      <c r="D38" s="175">
        <v>519957.3769999854</v>
      </c>
      <c r="E38" s="175">
        <f>E36+E37</f>
        <v>7038474</v>
      </c>
      <c r="H38" s="118"/>
    </row>
    <row r="39" spans="3:5" ht="14.25">
      <c r="C39" s="94"/>
      <c r="D39" s="94"/>
      <c r="E39" s="94">
        <f>E38-BSH!G5</f>
        <v>0</v>
      </c>
    </row>
    <row r="40" spans="3:6" ht="14.25">
      <c r="C40" s="178">
        <f>C38-BSH!E5</f>
        <v>-0.42810003412887454</v>
      </c>
      <c r="D40" s="178">
        <f>D38-BSH!F5</f>
        <v>-0.25750001484993845</v>
      </c>
      <c r="E40" s="127"/>
      <c r="F40" s="127"/>
    </row>
    <row r="41" spans="3:4" ht="14.25">
      <c r="C41" s="128"/>
      <c r="D41" s="128"/>
    </row>
    <row r="42" spans="2:5" ht="14.25">
      <c r="B42" s="129" t="s">
        <v>287</v>
      </c>
      <c r="C42" s="129"/>
      <c r="D42" s="406" t="s">
        <v>286</v>
      </c>
      <c r="E42" s="406"/>
    </row>
    <row r="43" spans="2:4" ht="14.25">
      <c r="B43" s="130"/>
      <c r="C43" s="191"/>
      <c r="D43" s="131"/>
    </row>
    <row r="44" spans="2:5" ht="14.25">
      <c r="B44" s="129"/>
      <c r="C44" s="129"/>
      <c r="D44" s="407"/>
      <c r="E44" s="407"/>
    </row>
  </sheetData>
  <sheetProtection/>
  <mergeCells count="7">
    <mergeCell ref="B2:E2"/>
    <mergeCell ref="D4:E4"/>
    <mergeCell ref="D5:D6"/>
    <mergeCell ref="E5:E6"/>
    <mergeCell ref="D42:E42"/>
    <mergeCell ref="D44:E44"/>
    <mergeCell ref="C5:C6"/>
  </mergeCells>
  <printOptions/>
  <pageMargins left="0.39" right="0.7" top="0.21" bottom="0.2" header="0.2" footer="0.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69"/>
  <sheetViews>
    <sheetView zoomScalePageLayoutView="0" workbookViewId="0" topLeftCell="A57">
      <selection activeCell="C23" sqref="C23"/>
    </sheetView>
  </sheetViews>
  <sheetFormatPr defaultColWidth="9.140625" defaultRowHeight="15"/>
  <cols>
    <col min="2" max="2" width="46.28125" style="0" customWidth="1"/>
    <col min="3" max="3" width="18.00390625" style="0" customWidth="1"/>
    <col min="4" max="4" width="2.140625" style="0" customWidth="1"/>
    <col min="5" max="5" width="17.00390625" style="0" customWidth="1"/>
  </cols>
  <sheetData>
    <row r="3" spans="2:5" ht="14.25">
      <c r="B3" s="217" t="s">
        <v>523</v>
      </c>
      <c r="C3" s="218"/>
      <c r="D3" s="219"/>
      <c r="E3" s="218"/>
    </row>
    <row r="4" spans="2:5" ht="14.25">
      <c r="B4" s="220"/>
      <c r="C4" s="221" t="s">
        <v>527</v>
      </c>
      <c r="D4" s="219"/>
      <c r="E4" s="221" t="s">
        <v>524</v>
      </c>
    </row>
    <row r="5" spans="2:5" ht="14.25">
      <c r="B5" s="222"/>
      <c r="C5" s="223"/>
      <c r="D5" s="219"/>
      <c r="E5" s="223"/>
    </row>
    <row r="6" spans="2:5" ht="14.25">
      <c r="B6" s="224" t="s">
        <v>525</v>
      </c>
      <c r="C6" s="225">
        <f>+Sheet2!D34+Sheet2!D35+Sheet2!D36</f>
        <v>149325.91</v>
      </c>
      <c r="D6" s="219"/>
      <c r="E6" s="225">
        <v>29502</v>
      </c>
    </row>
    <row r="7" spans="2:5" ht="15" thickBot="1">
      <c r="B7" s="224" t="s">
        <v>526</v>
      </c>
      <c r="C7" s="227">
        <f>+Sheet2!D32+Sheet2!D33</f>
        <v>581884.8470999995</v>
      </c>
      <c r="D7" s="219"/>
      <c r="E7" s="227">
        <v>490456</v>
      </c>
    </row>
    <row r="8" spans="2:5" ht="15" thickBot="1">
      <c r="B8" s="228" t="s">
        <v>46</v>
      </c>
      <c r="C8" s="226">
        <f>SUM(C6:C7)</f>
        <v>731210.7570999996</v>
      </c>
      <c r="D8" s="219"/>
      <c r="E8" s="226">
        <f>SUM(E6:E7)</f>
        <v>519958</v>
      </c>
    </row>
    <row r="9" spans="3:5" ht="14.25">
      <c r="C9" s="229">
        <f>+C8-BSH!E5</f>
        <v>0</v>
      </c>
      <c r="D9" s="229"/>
      <c r="E9" s="229">
        <f>+E8-BSH!F5</f>
        <v>0.3654999997233972</v>
      </c>
    </row>
    <row r="11" spans="2:5" ht="14.25">
      <c r="B11" s="230" t="s">
        <v>528</v>
      </c>
      <c r="C11" s="221" t="s">
        <v>527</v>
      </c>
      <c r="D11" s="219"/>
      <c r="E11" s="221" t="s">
        <v>524</v>
      </c>
    </row>
    <row r="12" spans="2:5" ht="14.25">
      <c r="B12" s="230"/>
      <c r="C12" s="230"/>
      <c r="D12" s="230"/>
      <c r="E12" s="230"/>
    </row>
    <row r="13" spans="2:5" ht="14.25">
      <c r="B13" s="230" t="s">
        <v>529</v>
      </c>
      <c r="C13" s="231">
        <f>+BSH!E11</f>
        <v>75310.6100000023</v>
      </c>
      <c r="D13" s="231"/>
      <c r="E13" s="231">
        <v>6719</v>
      </c>
    </row>
    <row r="14" spans="2:5" ht="14.25">
      <c r="B14" s="230" t="s">
        <v>530</v>
      </c>
      <c r="C14" s="231">
        <v>0</v>
      </c>
      <c r="D14" s="231"/>
      <c r="E14" s="231">
        <v>50362</v>
      </c>
    </row>
    <row r="15" spans="2:5" ht="14.25">
      <c r="B15" s="230" t="s">
        <v>531</v>
      </c>
      <c r="C15" s="231">
        <f>+BSH!E12-50000</f>
        <v>802181.10528</v>
      </c>
      <c r="D15" s="231"/>
      <c r="E15" s="231">
        <v>717406</v>
      </c>
    </row>
    <row r="16" spans="2:5" s="203" customFormat="1" ht="15" thickBot="1">
      <c r="B16" s="230" t="s">
        <v>532</v>
      </c>
      <c r="C16" s="231">
        <v>50000</v>
      </c>
      <c r="D16" s="231"/>
      <c r="E16" s="231">
        <v>0</v>
      </c>
    </row>
    <row r="17" spans="2:5" ht="15" thickBot="1">
      <c r="B17" s="228" t="s">
        <v>46</v>
      </c>
      <c r="C17" s="226">
        <f>SUM(C13:C16)</f>
        <v>927491.7152800023</v>
      </c>
      <c r="D17" s="219"/>
      <c r="E17" s="226">
        <f>SUM(E13:E16)</f>
        <v>774487</v>
      </c>
    </row>
    <row r="18" spans="2:5" ht="14.25">
      <c r="B18" s="203" t="s">
        <v>46</v>
      </c>
      <c r="C18" s="229">
        <f>+C17-BSH!E12-BSH!E11</f>
        <v>0</v>
      </c>
      <c r="D18" s="229"/>
      <c r="E18" s="229">
        <f>+BSH!F11+BSH!F12-E17</f>
        <v>-0.9577200000640005</v>
      </c>
    </row>
    <row r="19" spans="3:5" ht="14.25">
      <c r="C19" s="229"/>
      <c r="D19" s="229"/>
      <c r="E19" s="229"/>
    </row>
    <row r="20" spans="3:5" ht="14.25">
      <c r="C20" s="229"/>
      <c r="D20" s="229"/>
      <c r="E20" s="229"/>
    </row>
    <row r="21" spans="2:5" ht="14.25">
      <c r="B21" s="232" t="s">
        <v>53</v>
      </c>
      <c r="C21" s="221" t="s">
        <v>527</v>
      </c>
      <c r="D21" s="219"/>
      <c r="E21" s="221" t="s">
        <v>524</v>
      </c>
    </row>
    <row r="23" spans="2:5" ht="15" thickBot="1">
      <c r="B23" s="230" t="s">
        <v>533</v>
      </c>
      <c r="C23" s="231">
        <f>+BSH!E17</f>
        <v>0</v>
      </c>
      <c r="D23" s="231"/>
      <c r="E23" s="231">
        <v>17175900</v>
      </c>
    </row>
    <row r="24" spans="2:5" ht="15" thickBot="1">
      <c r="B24" s="228" t="s">
        <v>46</v>
      </c>
      <c r="C24" s="226">
        <f>SUM(C20:C23)</f>
        <v>0</v>
      </c>
      <c r="D24" s="219"/>
      <c r="E24" s="226">
        <f>SUM(E20:E23)</f>
        <v>17175900</v>
      </c>
    </row>
    <row r="27" spans="2:5" ht="14.25">
      <c r="B27" s="232" t="s">
        <v>89</v>
      </c>
      <c r="C27" s="221" t="s">
        <v>527</v>
      </c>
      <c r="D27" s="219"/>
      <c r="E27" s="221" t="s">
        <v>524</v>
      </c>
    </row>
    <row r="28" spans="2:5" ht="14.25">
      <c r="B28" s="203"/>
      <c r="C28" s="203"/>
      <c r="D28" s="203"/>
      <c r="E28" s="203"/>
    </row>
    <row r="29" spans="2:5" ht="15" thickBot="1">
      <c r="B29" s="230" t="s">
        <v>545</v>
      </c>
      <c r="C29" s="231">
        <f>+BSH!E63</f>
        <v>4726142</v>
      </c>
      <c r="D29" s="231"/>
      <c r="E29" s="231">
        <v>2755688</v>
      </c>
    </row>
    <row r="30" spans="2:5" ht="15" thickBot="1">
      <c r="B30" s="228" t="s">
        <v>46</v>
      </c>
      <c r="C30" s="226">
        <f>SUM(C26:C29)</f>
        <v>4726142</v>
      </c>
      <c r="D30" s="219"/>
      <c r="E30" s="226">
        <f>SUM(E26:E29)</f>
        <v>2755688</v>
      </c>
    </row>
    <row r="34" spans="2:5" ht="14.25">
      <c r="B34" s="232" t="s">
        <v>546</v>
      </c>
      <c r="C34" s="221" t="s">
        <v>527</v>
      </c>
      <c r="D34" s="219"/>
      <c r="E34" s="221" t="s">
        <v>524</v>
      </c>
    </row>
    <row r="36" spans="2:5" ht="14.25">
      <c r="B36" s="230" t="s">
        <v>547</v>
      </c>
      <c r="C36" s="231">
        <f>+BSH!E68</f>
        <v>23920884.32327998</v>
      </c>
      <c r="D36" s="231"/>
      <c r="E36" s="231">
        <v>27776111</v>
      </c>
    </row>
    <row r="37" spans="2:5" s="203" customFormat="1" ht="14.25">
      <c r="B37" s="230" t="s">
        <v>550</v>
      </c>
      <c r="C37" s="231">
        <f>+BSH!E69</f>
        <v>53505</v>
      </c>
      <c r="D37" s="231"/>
      <c r="E37" s="231"/>
    </row>
    <row r="38" spans="2:5" ht="14.25">
      <c r="B38" s="230" t="s">
        <v>548</v>
      </c>
      <c r="C38" s="231">
        <f>-Sheet2!D13</f>
        <v>5607</v>
      </c>
      <c r="D38" s="231"/>
      <c r="E38" s="231">
        <v>31290</v>
      </c>
    </row>
    <row r="39" spans="2:5" ht="15" thickBot="1">
      <c r="B39" s="230" t="s">
        <v>549</v>
      </c>
      <c r="C39" s="231">
        <f>-Sheet2!D12</f>
        <v>57198</v>
      </c>
      <c r="D39" s="231"/>
      <c r="E39" s="231">
        <v>98286</v>
      </c>
    </row>
    <row r="40" spans="2:5" ht="15" thickBot="1">
      <c r="B40" s="228" t="s">
        <v>46</v>
      </c>
      <c r="C40" s="226">
        <f>SUM(C36:C39)</f>
        <v>24037194.32327998</v>
      </c>
      <c r="D40" s="219"/>
      <c r="E40" s="226">
        <f>SUM(E36:E39)</f>
        <v>27905687</v>
      </c>
    </row>
    <row r="41" ht="14.25">
      <c r="C41" s="216">
        <f>+C40-BSH!E68-BSH!E69-BSH!E70</f>
        <v>0</v>
      </c>
    </row>
    <row r="43" spans="2:5" ht="14.25">
      <c r="B43" s="232" t="s">
        <v>551</v>
      </c>
      <c r="C43" s="221" t="s">
        <v>527</v>
      </c>
      <c r="D43" s="219"/>
      <c r="E43" s="221" t="s">
        <v>524</v>
      </c>
    </row>
    <row r="44" spans="2:5" ht="14.25">
      <c r="B44" s="203"/>
      <c r="C44" s="203"/>
      <c r="D44" s="203"/>
      <c r="E44" s="203"/>
    </row>
    <row r="45" spans="2:5" ht="15" thickBot="1">
      <c r="B45" s="230" t="s">
        <v>552</v>
      </c>
      <c r="C45" s="231">
        <f>+BSH!E80</f>
        <v>5124279.15</v>
      </c>
      <c r="D45" s="231"/>
      <c r="E45" s="231">
        <v>14160042</v>
      </c>
    </row>
    <row r="46" spans="2:5" ht="15" thickBot="1">
      <c r="B46" s="228" t="s">
        <v>46</v>
      </c>
      <c r="C46" s="226">
        <f>SUM(C45:C45)</f>
        <v>5124279.15</v>
      </c>
      <c r="D46" s="219"/>
      <c r="E46" s="226">
        <f>SUM(E45:E45)</f>
        <v>14160042</v>
      </c>
    </row>
    <row r="49" spans="2:5" ht="14.25">
      <c r="B49" s="232" t="s">
        <v>553</v>
      </c>
      <c r="C49" s="221" t="s">
        <v>527</v>
      </c>
      <c r="D49" s="219"/>
      <c r="E49" s="221" t="s">
        <v>524</v>
      </c>
    </row>
    <row r="50" spans="2:5" ht="14.25">
      <c r="B50" s="230"/>
      <c r="C50" s="230"/>
      <c r="D50" s="230"/>
      <c r="E50" s="230"/>
    </row>
    <row r="51" spans="2:5" s="203" customFormat="1" ht="14.25">
      <c r="B51" s="230" t="s">
        <v>554</v>
      </c>
      <c r="C51" s="231">
        <f>+Sheet1!D2</f>
        <v>21581836.383</v>
      </c>
      <c r="D51" s="230"/>
      <c r="E51" s="231">
        <v>28327190</v>
      </c>
    </row>
    <row r="52" spans="2:5" ht="15" thickBot="1">
      <c r="B52" s="230" t="s">
        <v>397</v>
      </c>
      <c r="C52" s="231">
        <f>+SUM(Sheet1!D3:D11)</f>
        <v>328024.16</v>
      </c>
      <c r="D52" s="231"/>
      <c r="E52" s="231">
        <v>543710</v>
      </c>
    </row>
    <row r="53" spans="2:5" ht="15" thickBot="1">
      <c r="B53" s="228" t="s">
        <v>46</v>
      </c>
      <c r="C53" s="226">
        <f>SUM(C51:C52)</f>
        <v>21909860.543</v>
      </c>
      <c r="D53" s="219"/>
      <c r="E53" s="226">
        <f>SUM(E51:E52)</f>
        <v>28870900</v>
      </c>
    </row>
    <row r="56" spans="2:5" ht="14.25">
      <c r="B56" s="232" t="s">
        <v>555</v>
      </c>
      <c r="C56" s="221" t="s">
        <v>527</v>
      </c>
      <c r="D56" s="219"/>
      <c r="E56" s="221" t="s">
        <v>524</v>
      </c>
    </row>
    <row r="57" spans="2:5" ht="14.25">
      <c r="B57" s="230"/>
      <c r="C57" s="230"/>
      <c r="D57" s="230"/>
      <c r="E57" s="230"/>
    </row>
    <row r="58" spans="2:5" ht="14.25">
      <c r="B58" s="230" t="s">
        <v>556</v>
      </c>
      <c r="C58" s="231">
        <f>+PL!D24</f>
        <v>-1140354.39</v>
      </c>
      <c r="D58" s="230"/>
      <c r="E58" s="231">
        <v>-1465283</v>
      </c>
    </row>
    <row r="59" spans="2:5" ht="15" thickBot="1">
      <c r="B59" s="230" t="s">
        <v>557</v>
      </c>
      <c r="C59" s="231">
        <f>+PL!D25</f>
        <v>-81160.08000000002</v>
      </c>
      <c r="D59" s="231"/>
      <c r="E59" s="231">
        <v>-225003</v>
      </c>
    </row>
    <row r="60" spans="2:5" ht="15" thickBot="1">
      <c r="B60" s="228" t="s">
        <v>46</v>
      </c>
      <c r="C60" s="226">
        <f>SUM(C58:C59)</f>
        <v>-1221514.47</v>
      </c>
      <c r="D60" s="219"/>
      <c r="E60" s="226">
        <f>SUM(E58:E59)</f>
        <v>-1690286</v>
      </c>
    </row>
    <row r="63" spans="2:5" ht="14.25">
      <c r="B63" s="232" t="s">
        <v>558</v>
      </c>
      <c r="C63" s="221" t="s">
        <v>527</v>
      </c>
      <c r="D63" s="219"/>
      <c r="E63" s="221" t="s">
        <v>524</v>
      </c>
    </row>
    <row r="64" spans="2:5" ht="14.25">
      <c r="B64" s="230"/>
      <c r="C64" s="230"/>
      <c r="D64" s="230"/>
      <c r="E64" s="230"/>
    </row>
    <row r="65" spans="2:5" ht="14.25">
      <c r="B65" s="230" t="s">
        <v>559</v>
      </c>
      <c r="C65" s="231">
        <f>+PL!D33</f>
        <v>-4914911.851000001</v>
      </c>
      <c r="D65" s="230"/>
      <c r="E65" s="231">
        <v>-6717164</v>
      </c>
    </row>
    <row r="66" spans="2:5" s="203" customFormat="1" ht="15" thickBot="1">
      <c r="B66" s="230" t="s">
        <v>560</v>
      </c>
      <c r="C66" s="231">
        <f>+Sheet3!J32</f>
        <v>136338</v>
      </c>
      <c r="D66" s="230"/>
      <c r="E66" s="231">
        <v>1416228</v>
      </c>
    </row>
    <row r="67" spans="2:5" s="203" customFormat="1" ht="15" thickBot="1">
      <c r="B67" s="230" t="s">
        <v>561</v>
      </c>
      <c r="C67" s="226">
        <f>SUM(C65:C66)</f>
        <v>-4778573.851000001</v>
      </c>
      <c r="D67" s="219"/>
      <c r="E67" s="226">
        <f>SUM(E65:E66)</f>
        <v>-5300936</v>
      </c>
    </row>
    <row r="68" spans="2:5" s="203" customFormat="1" ht="15" thickBot="1">
      <c r="B68" s="230" t="s">
        <v>562</v>
      </c>
      <c r="C68" s="231">
        <v>0</v>
      </c>
      <c r="D68" s="230"/>
      <c r="E68" s="231">
        <v>0</v>
      </c>
    </row>
    <row r="69" spans="2:5" ht="15" thickBot="1">
      <c r="B69" s="228" t="s">
        <v>563</v>
      </c>
      <c r="C69" s="226">
        <f>SUM(C67:C68)</f>
        <v>-4778573.851000001</v>
      </c>
      <c r="D69" s="219"/>
      <c r="E69" s="226">
        <f>SUM(E67:E68)</f>
        <v>-5300936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5.7109375" style="0" bestFit="1" customWidth="1"/>
    <col min="2" max="2" width="16.28125" style="0" customWidth="1"/>
    <col min="3" max="3" width="15.421875" style="0" customWidth="1"/>
    <col min="4" max="4" width="15.28125" style="0" customWidth="1"/>
    <col min="5" max="5" width="13.28125" style="0" customWidth="1"/>
    <col min="6" max="6" width="15.28125" style="0" bestFit="1" customWidth="1"/>
    <col min="7" max="7" width="20.57421875" style="0" customWidth="1"/>
    <col min="9" max="9" width="12.140625" style="0" bestFit="1" customWidth="1"/>
  </cols>
  <sheetData>
    <row r="1" spans="1:4" ht="18">
      <c r="A1" s="13" t="s">
        <v>285</v>
      </c>
      <c r="B1" s="14"/>
      <c r="C1" s="14"/>
      <c r="D1" s="14"/>
    </row>
    <row r="2" spans="1:7" ht="15">
      <c r="A2" s="408" t="s">
        <v>520</v>
      </c>
      <c r="B2" s="408"/>
      <c r="C2" s="408"/>
      <c r="D2" s="408"/>
      <c r="E2" s="408"/>
      <c r="F2" s="408"/>
      <c r="G2" s="15"/>
    </row>
    <row r="3" spans="1:7" ht="15">
      <c r="A3" s="409" t="s">
        <v>130</v>
      </c>
      <c r="B3" s="409"/>
      <c r="C3" s="15"/>
      <c r="D3" s="15"/>
      <c r="E3" s="15"/>
      <c r="F3" s="15"/>
      <c r="G3" s="15"/>
    </row>
    <row r="4" spans="1:7" ht="15">
      <c r="A4" s="410"/>
      <c r="B4" s="410"/>
      <c r="C4" s="410"/>
      <c r="D4" s="410"/>
      <c r="E4" s="410"/>
      <c r="F4" s="16"/>
      <c r="G4" s="15"/>
    </row>
    <row r="5" spans="1:7" ht="15">
      <c r="A5" s="15"/>
      <c r="B5" s="15"/>
      <c r="C5" s="15"/>
      <c r="D5" s="15"/>
      <c r="E5" s="15"/>
      <c r="F5" s="14" t="s">
        <v>131</v>
      </c>
      <c r="G5" s="14"/>
    </row>
    <row r="6" spans="1:7" ht="54" customHeight="1">
      <c r="A6" s="5"/>
      <c r="B6" s="17" t="s">
        <v>132</v>
      </c>
      <c r="C6" s="17" t="s">
        <v>133</v>
      </c>
      <c r="D6" s="17" t="s">
        <v>134</v>
      </c>
      <c r="E6" s="18" t="s">
        <v>135</v>
      </c>
      <c r="F6" s="18" t="s">
        <v>136</v>
      </c>
      <c r="G6" s="18" t="s">
        <v>137</v>
      </c>
    </row>
    <row r="7" spans="1:9" ht="23.25" customHeight="1">
      <c r="A7" s="19" t="s">
        <v>144</v>
      </c>
      <c r="B7" s="2">
        <v>100</v>
      </c>
      <c r="C7" s="5"/>
      <c r="D7" s="5"/>
      <c r="E7" s="5"/>
      <c r="F7" s="2">
        <f>BSH!G98</f>
        <v>-559710</v>
      </c>
      <c r="G7" s="2">
        <f>SUM(B7:F7)</f>
        <v>-559610</v>
      </c>
      <c r="I7" s="28">
        <f>G7-BSH!G99</f>
        <v>0</v>
      </c>
    </row>
    <row r="8" spans="1:9" ht="23.25" customHeight="1" hidden="1">
      <c r="A8" s="20" t="s">
        <v>138</v>
      </c>
      <c r="B8" s="3"/>
      <c r="C8" s="4"/>
      <c r="D8" s="4"/>
      <c r="E8" s="4"/>
      <c r="F8" s="21"/>
      <c r="G8" s="2">
        <f aca="true" t="shared" si="0" ref="G8:G13">SUM(B8:F8)</f>
        <v>0</v>
      </c>
      <c r="I8" s="28"/>
    </row>
    <row r="9" spans="1:9" ht="23.25" customHeight="1" hidden="1">
      <c r="A9" s="19" t="s">
        <v>139</v>
      </c>
      <c r="B9" s="2"/>
      <c r="C9" s="5"/>
      <c r="D9" s="5"/>
      <c r="E9" s="5"/>
      <c r="F9" s="2"/>
      <c r="G9" s="2">
        <f t="shared" si="0"/>
        <v>0</v>
      </c>
      <c r="I9" s="28"/>
    </row>
    <row r="10" spans="1:9" ht="23.25" customHeight="1">
      <c r="A10" s="20" t="s">
        <v>140</v>
      </c>
      <c r="B10" s="22"/>
      <c r="C10" s="23"/>
      <c r="D10" s="23"/>
      <c r="E10" s="23"/>
      <c r="F10" s="22">
        <f>BSH!F98</f>
        <v>-6717164.05500002</v>
      </c>
      <c r="G10" s="2">
        <f t="shared" si="0"/>
        <v>-6717164.05500002</v>
      </c>
      <c r="I10" s="28"/>
    </row>
    <row r="11" spans="1:9" ht="23.25" customHeight="1">
      <c r="A11" s="1" t="s">
        <v>141</v>
      </c>
      <c r="B11" s="23"/>
      <c r="C11" s="23"/>
      <c r="D11" s="23"/>
      <c r="E11" s="23"/>
      <c r="F11" s="4"/>
      <c r="G11" s="2"/>
      <c r="I11" s="28"/>
    </row>
    <row r="12" spans="1:9" ht="23.25" customHeight="1">
      <c r="A12" s="1" t="s">
        <v>142</v>
      </c>
      <c r="B12" s="22">
        <v>4534586</v>
      </c>
      <c r="C12" s="23"/>
      <c r="D12" s="23"/>
      <c r="E12" s="23"/>
      <c r="F12" s="23"/>
      <c r="G12" s="2">
        <f t="shared" si="0"/>
        <v>4534586</v>
      </c>
      <c r="I12" s="28"/>
    </row>
    <row r="13" spans="1:9" ht="23.25" customHeight="1">
      <c r="A13" s="1" t="s">
        <v>143</v>
      </c>
      <c r="B13" s="3"/>
      <c r="C13" s="3"/>
      <c r="D13" s="3"/>
      <c r="E13" s="3"/>
      <c r="F13" s="24"/>
      <c r="G13" s="2">
        <f t="shared" si="0"/>
        <v>0</v>
      </c>
      <c r="I13" s="28"/>
    </row>
    <row r="14" spans="1:9" ht="23.25" customHeight="1">
      <c r="A14" s="19" t="s">
        <v>321</v>
      </c>
      <c r="B14" s="2">
        <f aca="true" t="shared" si="1" ref="B14:G14">SUM(B7:B13)</f>
        <v>4534686</v>
      </c>
      <c r="C14" s="2">
        <f t="shared" si="1"/>
        <v>0</v>
      </c>
      <c r="D14" s="2">
        <f t="shared" si="1"/>
        <v>0</v>
      </c>
      <c r="E14" s="2">
        <f t="shared" si="1"/>
        <v>0</v>
      </c>
      <c r="F14" s="2">
        <f t="shared" si="1"/>
        <v>-7276874.05500002</v>
      </c>
      <c r="G14" s="2">
        <f t="shared" si="1"/>
        <v>-2742188.05500002</v>
      </c>
      <c r="I14" s="139"/>
    </row>
    <row r="15" spans="1:9" s="203" customFormat="1" ht="23.25" customHeight="1" hidden="1">
      <c r="A15" s="20" t="s">
        <v>138</v>
      </c>
      <c r="B15" s="3"/>
      <c r="C15" s="4"/>
      <c r="D15" s="4"/>
      <c r="E15" s="4"/>
      <c r="F15" s="21"/>
      <c r="G15" s="2">
        <f aca="true" t="shared" si="2" ref="G15:G20">SUM(B15:F15)</f>
        <v>0</v>
      </c>
      <c r="I15" s="194"/>
    </row>
    <row r="16" spans="1:9" s="203" customFormat="1" ht="23.25" customHeight="1" hidden="1">
      <c r="A16" s="19" t="s">
        <v>139</v>
      </c>
      <c r="B16" s="2"/>
      <c r="C16" s="5"/>
      <c r="D16" s="5"/>
      <c r="E16" s="5"/>
      <c r="F16" s="2"/>
      <c r="G16" s="2">
        <f t="shared" si="2"/>
        <v>0</v>
      </c>
      <c r="I16" s="194"/>
    </row>
    <row r="17" spans="1:9" s="203" customFormat="1" ht="23.25" customHeight="1">
      <c r="A17" s="20" t="s">
        <v>140</v>
      </c>
      <c r="B17" s="22"/>
      <c r="C17" s="23"/>
      <c r="D17" s="23"/>
      <c r="E17" s="23"/>
      <c r="F17" s="22">
        <f>+PL!D29</f>
        <v>-4914911.851000001</v>
      </c>
      <c r="G17" s="2">
        <f t="shared" si="2"/>
        <v>-4914911.851000001</v>
      </c>
      <c r="I17" s="194"/>
    </row>
    <row r="18" spans="1:9" s="203" customFormat="1" ht="23.25" customHeight="1">
      <c r="A18" s="1" t="s">
        <v>141</v>
      </c>
      <c r="C18" s="23"/>
      <c r="D18" s="23"/>
      <c r="E18" s="23"/>
      <c r="F18" s="4"/>
      <c r="G18" s="2">
        <f t="shared" si="2"/>
        <v>0</v>
      </c>
      <c r="I18" s="194"/>
    </row>
    <row r="19" spans="1:9" s="203" customFormat="1" ht="23.25" customHeight="1">
      <c r="A19" s="1" t="s">
        <v>142</v>
      </c>
      <c r="B19" s="22">
        <f>+BSH!E91-BSH!F91</f>
        <v>9558335</v>
      </c>
      <c r="C19" s="23"/>
      <c r="D19" s="23"/>
      <c r="E19" s="23"/>
      <c r="F19" s="23"/>
      <c r="G19" s="2">
        <f t="shared" si="2"/>
        <v>9558335</v>
      </c>
      <c r="I19" s="194"/>
    </row>
    <row r="20" spans="1:9" s="203" customFormat="1" ht="23.25" customHeight="1">
      <c r="A20" s="1" t="s">
        <v>143</v>
      </c>
      <c r="B20" s="3"/>
      <c r="C20" s="3"/>
      <c r="D20" s="3"/>
      <c r="E20" s="3"/>
      <c r="F20" s="24"/>
      <c r="G20" s="2">
        <f t="shared" si="2"/>
        <v>0</v>
      </c>
      <c r="I20" s="194"/>
    </row>
    <row r="21" spans="1:9" s="203" customFormat="1" ht="23.25" customHeight="1">
      <c r="A21" s="19" t="s">
        <v>519</v>
      </c>
      <c r="B21" s="2">
        <f aca="true" t="shared" si="3" ref="B21:G21">SUM(B14:B20)</f>
        <v>14093021</v>
      </c>
      <c r="C21" s="2">
        <f t="shared" si="3"/>
        <v>0</v>
      </c>
      <c r="D21" s="2">
        <f t="shared" si="3"/>
        <v>0</v>
      </c>
      <c r="E21" s="2">
        <f t="shared" si="3"/>
        <v>0</v>
      </c>
      <c r="F21" s="2">
        <f t="shared" si="3"/>
        <v>-12191785.906000022</v>
      </c>
      <c r="G21" s="2">
        <f t="shared" si="3"/>
        <v>1901235.093999979</v>
      </c>
      <c r="H21" s="216">
        <f>+G21-BSH!E99</f>
        <v>-0.37500002048909664</v>
      </c>
      <c r="I21" s="194"/>
    </row>
  </sheetData>
  <sheetProtection/>
  <mergeCells count="3">
    <mergeCell ref="A2:F2"/>
    <mergeCell ref="A3:B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a.mihali</dc:creator>
  <cp:keywords/>
  <dc:description/>
  <cp:lastModifiedBy>a.mihali</cp:lastModifiedBy>
  <cp:lastPrinted>2014-03-31T07:35:13Z</cp:lastPrinted>
  <dcterms:created xsi:type="dcterms:W3CDTF">2012-02-24T09:39:13Z</dcterms:created>
  <dcterms:modified xsi:type="dcterms:W3CDTF">2014-07-11T08:16:02Z</dcterms:modified>
  <cp:category/>
  <cp:version/>
  <cp:contentType/>
  <cp:contentStatus/>
</cp:coreProperties>
</file>