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485" tabRatio="751" firstSheet="2" activeTab="2"/>
  </bookViews>
  <sheets>
    <sheet name="PL pa shpenzime te panjohura" sheetId="1" state="hidden" r:id="rId1"/>
    <sheet name="PL" sheetId="2" state="hidden" r:id="rId2"/>
    <sheet name="BSH" sheetId="3" r:id="rId3"/>
    <sheet name="CF" sheetId="4" state="hidden" r:id="rId4"/>
    <sheet name="Levizja e kapitalit" sheetId="5" state="hidden" r:id="rId5"/>
    <sheet name="Aktivi" sheetId="6" state="hidden" r:id="rId6"/>
    <sheet name="2010" sheetId="7" state="hidden" r:id="rId7"/>
    <sheet name="Pasivi" sheetId="8" state="hidden" r:id="rId8"/>
    <sheet name="Aktive afat gjata materiale" sheetId="9" state="hidden" r:id="rId9"/>
    <sheet name="Aneks statistikor 1" sheetId="10" state="hidden" r:id="rId10"/>
    <sheet name="Inve automjet" sheetId="11" state="hidden" r:id="rId11"/>
    <sheet name="Sheet1" sheetId="12" state="hidden" r:id="rId12"/>
  </sheets>
  <definedNames>
    <definedName name="_xlnm.Print_Area" localSheetId="2">'BSH'!$A$62:$E$121</definedName>
  </definedNames>
  <calcPr fullCalcOnLoad="1"/>
</workbook>
</file>

<file path=xl/comments3.xml><?xml version="1.0" encoding="utf-8"?>
<comments xmlns="http://schemas.openxmlformats.org/spreadsheetml/2006/main">
  <authors>
    <author>a.mihali</author>
  </authors>
  <commentList>
    <comment ref="B153" authorId="0">
      <text>
        <r>
          <rPr>
            <b/>
            <sz val="8"/>
            <rFont val="Tahoma"/>
            <family val="2"/>
          </rPr>
          <t>a.mihali:</t>
        </r>
        <r>
          <rPr>
            <sz val="8"/>
            <rFont val="Tahoma"/>
            <family val="2"/>
          </rPr>
          <t xml:space="preserve">
Parapagim Dashamir Petrela per tokn TLP
</t>
        </r>
      </text>
    </comment>
  </commentList>
</comments>
</file>

<file path=xl/sharedStrings.xml><?xml version="1.0" encoding="utf-8"?>
<sst xmlns="http://schemas.openxmlformats.org/spreadsheetml/2006/main" count="905" uniqueCount="523">
  <si>
    <t>Tirana Logistic Park shpk</t>
  </si>
  <si>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</si>
  <si>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</si>
  <si>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</si>
  <si>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</si>
  <si>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</si>
  <si>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</si>
  <si>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</si>
  <si>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</si>
  <si>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</si>
  <si>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</si>
  <si>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</si>
  <si>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</si>
  <si>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</si>
  <si>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</si>
  <si>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</si>
  <si>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</si>
  <si>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</si>
  <si>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</si>
  <si>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</si>
  <si>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</si>
  <si>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</si>
  <si>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</si>
  <si>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</si>
  <si>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</si>
  <si>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</si>
  <si>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</si>
  <si>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</si>
  <si>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</si>
  <si>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</si>
  <si>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</si>
  <si>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</si>
  <si>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</si>
  <si>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</si>
  <si>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</si>
  <si>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</si>
  <si>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</si>
  <si>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</si>
  <si>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</si>
  <si>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</si>
  <si>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</si>
  <si>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</si>
  <si>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</si>
  <si>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</si>
  <si>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</si>
  <si>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</si>
  <si>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</si>
  <si>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</si>
  <si>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</si>
  <si>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</si>
  <si>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</si>
  <si>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</si>
  <si>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</si>
  <si>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</si>
  <si>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</si>
  <si>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</si>
  <si>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</si>
  <si>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</si>
  <si>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</si>
  <si>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</si>
  <si>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</t>
  </si>
  <si>
    <t>Mallra per rishitje</t>
  </si>
  <si>
    <t>e)</t>
  </si>
  <si>
    <t xml:space="preserve">Parapagesa 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</si>
  <si>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</si>
  <si>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</si>
  <si>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</si>
  <si>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</si>
  <si>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</si>
  <si>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</si>
  <si>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</si>
  <si>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</si>
  <si>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</si>
  <si>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</si>
  <si>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</si>
  <si>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</si>
  <si>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</si>
  <si>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</si>
  <si>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</si>
  <si>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</si>
  <si>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</si>
  <si>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</si>
  <si>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</si>
  <si>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</si>
  <si>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</si>
  <si>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</si>
  <si>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</si>
  <si>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</si>
  <si>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</si>
  <si>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</si>
  <si>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</si>
  <si>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</si>
  <si>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</si>
  <si>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</si>
  <si>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</si>
  <si>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</si>
  <si>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</si>
  <si>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</si>
  <si>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</si>
  <si>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</si>
  <si>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</si>
  <si>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</si>
  <si>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</si>
  <si>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</si>
  <si>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</si>
  <si>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</si>
  <si>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</si>
  <si>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</si>
  <si>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</si>
  <si>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</si>
  <si>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</si>
  <si>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</si>
  <si>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</si>
  <si>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</si>
  <si>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</si>
  <si>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</si>
  <si>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</si>
  <si>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</si>
  <si>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</si>
  <si>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</si>
  <si>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</si>
  <si>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</si>
  <si>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</si>
  <si>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</si>
  <si>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</si>
  <si>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</si>
  <si>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</si>
  <si>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</si>
  <si>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</si>
  <si>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Sipas metodës indirekte</t>
  </si>
  <si>
    <t>Shenime Note</t>
  </si>
  <si>
    <t>Fluksi parave nga veprimtaritë e shfrytëzimit- Cash flows from operating activities</t>
  </si>
  <si>
    <t xml:space="preserve">Fitimi para tatimit .Profit before taxation. </t>
  </si>
  <si>
    <t>Rregullimet për : -Adjustments for:</t>
  </si>
  <si>
    <t xml:space="preserve"> Amortizimin - Depreciation of property, plant and equipment</t>
  </si>
  <si>
    <t xml:space="preserve"> Humbjet (fitimet) nga këmbimet valutore -Exchange rate fluctuations on cash held</t>
  </si>
  <si>
    <t>Të ardhura nga investimet</t>
  </si>
  <si>
    <t>Të ardhura nga interesat -Income interest</t>
  </si>
  <si>
    <t>Shpenzime për interesa - Interest expense</t>
  </si>
  <si>
    <t xml:space="preserve">Rritje / rënie në tepricën  e kerkesave te arketueshme nga aktiviteti, si dhe kerkesave te arketueshme te tjera - Increase /   decrease  in clients and debitors </t>
  </si>
  <si>
    <t>Rritje / rënie ne tepricën inventarit - Increase / decrease   in inventories</t>
  </si>
  <si>
    <t>Rritje / rënie në tepricën detyrimeve, për t`u paguar nga aktiviteti  - Increase / decrease in suppliers and creditors</t>
  </si>
  <si>
    <t>Paratë e perftuara nga aktivitetet</t>
  </si>
  <si>
    <t xml:space="preserve"> Paraja nga aktivitetet e shfrytezimit - Cash flows from operating activities</t>
  </si>
  <si>
    <t>Interesi i paguar - Interest paid</t>
  </si>
  <si>
    <t>Tatim fitimi i paguar- Taxtion paid</t>
  </si>
  <si>
    <t>Paraja neto nga aktivitetet e shfrytezimit - Net cash flows from operating activities</t>
  </si>
  <si>
    <t>Fluksi i parave  nga veprimtarite e investuese -  Cash flows from investing activities</t>
  </si>
  <si>
    <t>Blerja e shoqërisë së kontrolluar X minus paratë e arkëtuara</t>
  </si>
  <si>
    <t>Blerja e  aktiveve afatgjata materiale -Payments for the acquisition of property, plant and equipment</t>
  </si>
  <si>
    <t>Të ardhura nga shitja e paisjeve - Receipts from sale of property, plant and equipment</t>
  </si>
  <si>
    <t>Interesi i arkëtuar - Interest received</t>
  </si>
  <si>
    <t>Dividendët e arkëtuar - Dividends received</t>
  </si>
  <si>
    <t>Paraja  neto,  e perdorur ne aktivitetet e investuese -  Net cash flows used in investing activities</t>
  </si>
  <si>
    <t>C</t>
  </si>
  <si>
    <t>Fluksi i parave nga veprimtarite e financiare-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</si>
  <si>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</si>
  <si>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</si>
  <si>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</si>
  <si>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</si>
  <si>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perdorur ne aktivitetet financiare - Net cash flows used in financing activities</t>
  </si>
  <si>
    <t>Rritja / renia  neto e mjeteve monetare - Net (decrease) / increase in cash</t>
  </si>
  <si>
    <t>Mjete monetare ne fillim te periudhes kontabel - Cash  the beginning of the year</t>
  </si>
  <si>
    <t>Mjete monetare ne fund te periudhes kontabel - Cash  at the end of the year</t>
  </si>
  <si>
    <t>b) ne një pasqyrë të  pakonsoliduar</t>
  </si>
  <si>
    <t xml:space="preserve"> Ne leke</t>
  </si>
  <si>
    <t xml:space="preserve">Kapitali aksionar </t>
  </si>
  <si>
    <t xml:space="preserve"> Primi i aksionit  </t>
  </si>
  <si>
    <t xml:space="preserve">Aksione të thesarit </t>
  </si>
  <si>
    <t xml:space="preserve">  Rezerva  statusore dhe ligjore   </t>
  </si>
  <si>
    <t xml:space="preserve">Fitim i pashpërndarë </t>
  </si>
  <si>
    <t xml:space="preserve"> Totali i Kapitaleve të veta</t>
  </si>
  <si>
    <t>Efekti i ndryshimeve në  politikat kontabël</t>
  </si>
  <si>
    <t>Pozicioni i rregulluar</t>
  </si>
  <si>
    <t xml:space="preserve">Fitimi  neto i vitit financiar </t>
  </si>
  <si>
    <t xml:space="preserve">Rritje e rezervës kapitalit </t>
  </si>
  <si>
    <t>Emetimi i aksioneve</t>
  </si>
  <si>
    <t xml:space="preserve">Dividendët e paguar </t>
  </si>
  <si>
    <t xml:space="preserve">Pozicioni më 31 dhjetor 2011 </t>
  </si>
  <si>
    <t>2.  Pasqyra e të ardhurave dhe shpenzimeve. Periudha 1 Janar - 31 Dhjetor 2011</t>
  </si>
  <si>
    <t>Aktiv</t>
  </si>
  <si>
    <t>Fitim humbja e pash</t>
  </si>
  <si>
    <t>Humbje/fitim</t>
  </si>
  <si>
    <t>Furnitore per mallra</t>
  </si>
  <si>
    <t>TAP</t>
  </si>
  <si>
    <t>Tatim fitim I parapaguar</t>
  </si>
  <si>
    <t>Qera financiar/ leasing</t>
  </si>
  <si>
    <t>Shpenzime te periudhave te ardhshme</t>
  </si>
  <si>
    <t>Mjete Transporti</t>
  </si>
  <si>
    <t>Amortizimi per mjete transp</t>
  </si>
  <si>
    <t>Aktive afat gjata jomateriale ne proces</t>
  </si>
  <si>
    <t>Pajisje informative</t>
  </si>
  <si>
    <t>Pajisje informatike</t>
  </si>
  <si>
    <t>Paga dhe shperblime</t>
  </si>
  <si>
    <t>Sigurime shoqerore dhe shendetesore</t>
  </si>
  <si>
    <t>Shteti TVSH e zbritshme</t>
  </si>
  <si>
    <t>Te drejta dhe detyrime ndaj ortakeve dhe aksionereve</t>
  </si>
  <si>
    <t>Debitore te tjere</t>
  </si>
  <si>
    <t>Furnitore fatura te pamberritura</t>
  </si>
  <si>
    <t>Vlera monetare ne lek</t>
  </si>
  <si>
    <t>Vlera monetare ne Euro</t>
  </si>
  <si>
    <t>Fitim nga kembimet valutore</t>
  </si>
  <si>
    <t>Te ardhura nga interesat</t>
  </si>
  <si>
    <t>Shpenzime noteriale dhe ligjore</t>
  </si>
  <si>
    <t>Qera</t>
  </si>
  <si>
    <t>Shpenzime te tjera per sherbime</t>
  </si>
  <si>
    <t>Shpenzime postare dhe telekomunikacion</t>
  </si>
  <si>
    <t>Per sigurim dhe taksa</t>
  </si>
  <si>
    <t>Per karburant</t>
  </si>
  <si>
    <t>Shpenzime per sherbime bankare</t>
  </si>
  <si>
    <t>Taksa dhe tarifa vendore</t>
  </si>
  <si>
    <t>Paga dhe shperblime te personelit</t>
  </si>
  <si>
    <t>Shpenzime te tjera</t>
  </si>
  <si>
    <t>Humbje nga kembimet dhe perkthimet valutore</t>
  </si>
  <si>
    <t>Shpenzime per interesa</t>
  </si>
  <si>
    <t>Amortizimi mjete transporti</t>
  </si>
  <si>
    <t>Amortizimi pajisje zyre</t>
  </si>
  <si>
    <t>Mjete Monetare</t>
  </si>
  <si>
    <t>31.12.2011</t>
  </si>
  <si>
    <t>31.12.2010</t>
  </si>
  <si>
    <t>I. Para ne dore</t>
  </si>
  <si>
    <t>Ne monedhe vendase</t>
  </si>
  <si>
    <t>II. Llogari ne banke</t>
  </si>
  <si>
    <t>Ne monedhe te huaj</t>
  </si>
  <si>
    <t>Depozite afatshkurter</t>
  </si>
  <si>
    <t>Total mjete monetare (I+II)</t>
  </si>
  <si>
    <t>PERSHKRIMLLOG1</t>
  </si>
  <si>
    <t>KODPK</t>
  </si>
  <si>
    <t>PERSHKRIM</t>
  </si>
  <si>
    <t>AKTIVPASIV</t>
  </si>
  <si>
    <t>MBARTURMV</t>
  </si>
  <si>
    <t>DATEDOK</t>
  </si>
  <si>
    <t>KMON</t>
  </si>
  <si>
    <t>KODDT</t>
  </si>
  <si>
    <t>DB</t>
  </si>
  <si>
    <t>KR</t>
  </si>
  <si>
    <t>TREGDK</t>
  </si>
  <si>
    <t>DBKRMB</t>
  </si>
  <si>
    <t>DBKRMV2</t>
  </si>
  <si>
    <t>Kapital i paguar</t>
  </si>
  <si>
    <t>P</t>
  </si>
  <si>
    <t>01/01/2010</t>
  </si>
  <si>
    <t>101....</t>
  </si>
  <si>
    <t>K</t>
  </si>
  <si>
    <t>Fitim/Humbja e pashperndare</t>
  </si>
  <si>
    <t>108....</t>
  </si>
  <si>
    <t>D</t>
  </si>
  <si>
    <t>121Z</t>
  </si>
  <si>
    <t xml:space="preserve">HUMBJE/FITIM </t>
  </si>
  <si>
    <t>12/03/2012</t>
  </si>
  <si>
    <t>31/12/2010</t>
  </si>
  <si>
    <t>421....</t>
  </si>
  <si>
    <t>Sigurime shoqerore dhe shendetsore</t>
  </si>
  <si>
    <t>431....</t>
  </si>
  <si>
    <t>Kreditore te tjere</t>
  </si>
  <si>
    <t>466..KR001..</t>
  </si>
  <si>
    <t>01/10/2010</t>
  </si>
  <si>
    <t>2182...M01.</t>
  </si>
  <si>
    <t>Aktive afatgjate jomateriale ne proces</t>
  </si>
  <si>
    <t>30/12/2010</t>
  </si>
  <si>
    <t>232....</t>
  </si>
  <si>
    <t>EUR</t>
  </si>
  <si>
    <t>401....EUR</t>
  </si>
  <si>
    <t xml:space="preserve">Parapagimet </t>
  </si>
  <si>
    <t>06/09/2010</t>
  </si>
  <si>
    <t>419....</t>
  </si>
  <si>
    <t>Tatim mbi te ardhurat personale</t>
  </si>
  <si>
    <t>442....</t>
  </si>
  <si>
    <t>Tatim mbi fitimin</t>
  </si>
  <si>
    <t>444....</t>
  </si>
  <si>
    <t>4456....</t>
  </si>
  <si>
    <t>24/12/2010</t>
  </si>
  <si>
    <t>455..ICT3..EUR</t>
  </si>
  <si>
    <t>5121.001...</t>
  </si>
  <si>
    <t>30/11/2010</t>
  </si>
  <si>
    <t>5122..ICT3..EUR</t>
  </si>
  <si>
    <t>Vlera monetare ne EURO</t>
  </si>
  <si>
    <t>22/01/2010</t>
  </si>
  <si>
    <t>5312.001...EUR</t>
  </si>
  <si>
    <t>Xhirime te brendshme banka</t>
  </si>
  <si>
    <t>581....</t>
  </si>
  <si>
    <t>Tatim Fitimi</t>
  </si>
  <si>
    <t>TVSH ne blerje</t>
  </si>
  <si>
    <t>Total Llogari / Kërkesa të tjera të arkëtueshme</t>
  </si>
  <si>
    <t>Total</t>
  </si>
  <si>
    <t>Pajisje Informatike</t>
  </si>
  <si>
    <t>Balance ne 01 Janar 2011</t>
  </si>
  <si>
    <t>Shtesa</t>
  </si>
  <si>
    <t>Pakesime</t>
  </si>
  <si>
    <t>Amortizimi</t>
  </si>
  <si>
    <t>Ndryshimi i vitit</t>
  </si>
  <si>
    <t>Balanca ne 01 Janar 2011</t>
  </si>
  <si>
    <t>Vlera e mbetur ne 31 Dhjetor 2011</t>
  </si>
  <si>
    <t>Aktive Afatgjata Materiale</t>
  </si>
  <si>
    <t>Balanca ne 31 Dhjetor 2011</t>
  </si>
  <si>
    <t>Studio Grafike tartari</t>
  </si>
  <si>
    <t>Edlira Hyseni</t>
  </si>
  <si>
    <t>ADC Studio</t>
  </si>
  <si>
    <t>Canon</t>
  </si>
  <si>
    <t>Ruko Sako</t>
  </si>
  <si>
    <t>Neptun</t>
  </si>
  <si>
    <t>Mane TCI</t>
  </si>
  <si>
    <t>Balfin</t>
  </si>
  <si>
    <t>Mimoza Sadushaj</t>
  </si>
  <si>
    <t>Atlantik Sh.a</t>
  </si>
  <si>
    <t>Plus Communication</t>
  </si>
  <si>
    <t>Kuid shpk</t>
  </si>
  <si>
    <t>Tirana Auditing 1</t>
  </si>
  <si>
    <t>Sonila Bejtja</t>
  </si>
  <si>
    <t>Total Te pagueshme ndaj furnitorëve</t>
  </si>
  <si>
    <t>Qera Financiare</t>
  </si>
  <si>
    <t>Total Huamarrje të tjera afatgjata</t>
  </si>
  <si>
    <t>Detyrime ndaj aksionereve</t>
  </si>
  <si>
    <t>Shpenzime ligjore</t>
  </si>
  <si>
    <t>Shpenzime sherbimi</t>
  </si>
  <si>
    <t>Taksa Vendore</t>
  </si>
  <si>
    <t>Pagat e personelit</t>
  </si>
  <si>
    <t>Sigurimet Shoqerore</t>
  </si>
  <si>
    <t>Shpenzime pritje ,dhurata</t>
  </si>
  <si>
    <t>Penalitete</t>
  </si>
  <si>
    <t>Humbje nga konvertimi</t>
  </si>
  <si>
    <t>Te Ardhurat</t>
  </si>
  <si>
    <t>Total te Ardhurat</t>
  </si>
  <si>
    <t>Shpenzimet</t>
  </si>
  <si>
    <t>Totali Shpenzimeve</t>
  </si>
  <si>
    <t>Shpenzime Qeraje</t>
  </si>
  <si>
    <t>Shpenzime postare dhe telekomunikacioni</t>
  </si>
  <si>
    <t>Shpenzime per karburant</t>
  </si>
  <si>
    <t>Shpenzime per sigurime</t>
  </si>
  <si>
    <t>Shpenzime per interesa dhe sherbime bankare</t>
  </si>
  <si>
    <t>SHOQERIA</t>
  </si>
  <si>
    <t xml:space="preserve">NIPT </t>
  </si>
  <si>
    <t>Nr</t>
  </si>
  <si>
    <t>Emertimi</t>
  </si>
  <si>
    <t>Sasia</t>
  </si>
  <si>
    <t>Gjendje</t>
  </si>
  <si>
    <t>Mjete transporti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</si>
  <si>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</si>
  <si>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</si>
  <si>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</si>
  <si>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</si>
  <si>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</si>
  <si>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</si>
  <si>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</si>
  <si>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</si>
  <si>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</si>
  <si>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</si>
  <si>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</si>
  <si>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</si>
  <si>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</si>
  <si>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</si>
  <si>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</si>
  <si>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</si>
  <si>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</si>
  <si>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</si>
  <si>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</si>
  <si>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</si>
  <si>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</si>
  <si>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</si>
  <si>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</si>
  <si>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</si>
  <si>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</si>
  <si>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</si>
  <si>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</si>
  <si>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</si>
  <si>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</si>
  <si>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</si>
  <si>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</si>
  <si>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</si>
  <si>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</si>
  <si>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</si>
  <si>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</si>
  <si>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</si>
  <si>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</si>
  <si>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</si>
  <si>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</si>
  <si>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</si>
  <si>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</si>
  <si>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</si>
  <si>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</si>
  <si>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</si>
  <si>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</si>
  <si>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</si>
  <si>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</si>
  <si>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</si>
  <si>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</si>
  <si>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</si>
  <si>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</si>
  <si>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</si>
  <si>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</si>
  <si>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</si>
  <si>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</si>
  <si>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</si>
  <si>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</si>
  <si>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</si>
  <si>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</si>
  <si>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</si>
  <si>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</si>
  <si>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</si>
  <si>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</si>
  <si>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</si>
  <si>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</si>
  <si>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</si>
  <si>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</si>
  <si>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</si>
  <si>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</si>
  <si>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</si>
  <si>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</si>
  <si>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</si>
  <si>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</si>
  <si>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</si>
  <si>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</si>
  <si>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</si>
  <si>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</si>
  <si>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</si>
  <si>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</si>
  <si>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</si>
  <si>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</si>
  <si>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</si>
  <si>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</si>
  <si>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</si>
  <si>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</si>
  <si>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</si>
  <si>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</si>
  <si>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</si>
  <si>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</si>
  <si>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</si>
  <si>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</si>
  <si>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</si>
  <si>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</si>
  <si>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</si>
  <si>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</si>
  <si>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</si>
  <si>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</si>
  <si>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</si>
  <si>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</si>
  <si>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</si>
  <si>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</si>
  <si>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</si>
  <si>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</si>
  <si>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</si>
  <si>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</si>
  <si>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</si>
  <si>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</si>
  <si>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</si>
  <si>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</si>
  <si>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</si>
  <si>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</si>
  <si>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</si>
  <si>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</si>
  <si>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</si>
  <si>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</si>
  <si>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</si>
  <si>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</si>
  <si>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</si>
  <si>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</si>
  <si>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</si>
  <si>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</si>
  <si>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</si>
  <si>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</si>
  <si>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</si>
  <si>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</si>
  <si>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</si>
  <si>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</si>
  <si>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</si>
  <si>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</si>
  <si>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</si>
  <si>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</si>
  <si>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</si>
  <si>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</si>
  <si>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</si>
  <si>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</si>
  <si>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</si>
  <si>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</si>
  <si>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</si>
  <si>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</si>
  <si>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</si>
  <si>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</si>
  <si>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</si>
  <si>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</si>
  <si>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</si>
  <si>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</si>
  <si>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</si>
  <si>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</si>
  <si>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</si>
  <si>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Tirana Logistic Park</t>
  </si>
  <si>
    <t>K81715012B</t>
  </si>
  <si>
    <t>Viti 2011</t>
  </si>
  <si>
    <t>Subjekti</t>
  </si>
  <si>
    <t>NIPT</t>
  </si>
  <si>
    <t>Nr.</t>
  </si>
  <si>
    <t>etj</t>
  </si>
  <si>
    <t>Lloji automjetit</t>
  </si>
  <si>
    <t>Kapaciteti</t>
  </si>
  <si>
    <t>Targa</t>
  </si>
  <si>
    <t>Vlera</t>
  </si>
  <si>
    <t>AA860AU</t>
  </si>
  <si>
    <t>Autoveture</t>
  </si>
  <si>
    <t>4+1</t>
  </si>
  <si>
    <t>Alket Hajdini</t>
  </si>
  <si>
    <t>Pasqyrat Financiare lexohen se bashku me shenimet shpjeguese 1-3.0</t>
  </si>
  <si>
    <t>Në Lekë</t>
  </si>
  <si>
    <t>Te Ushtirmit</t>
  </si>
  <si>
    <t>Tatimore</t>
  </si>
  <si>
    <t>Te ardhura</t>
  </si>
  <si>
    <t>Shpenzimet e pazbritshme</t>
  </si>
  <si>
    <t>Rezultati</t>
  </si>
  <si>
    <t>Humbja</t>
  </si>
  <si>
    <t>Fitimi</t>
  </si>
  <si>
    <t>Fitimi I tatueshem</t>
  </si>
  <si>
    <t>Humbja e mbartur</t>
  </si>
  <si>
    <t>Shpenzime per pritje dhe dhurata</t>
  </si>
  <si>
    <t>Te ardhura te tjera</t>
  </si>
  <si>
    <t>2.  Pasqyra e të ardhurave dhe shpenzimeve. Periudha 1 Janar - 31 Dhjetor 2012</t>
  </si>
  <si>
    <t>4.PASQYRA E NDRYSHIMEVE NË KAPITAL PËR VITIN QË MBYLLET MË  31 DHJETOR 2012.</t>
  </si>
  <si>
    <t xml:space="preserve">Pozicioni më 31 dhjetor 2012 </t>
  </si>
  <si>
    <t>Ervin Kajno</t>
  </si>
  <si>
    <t>Bilanci Kontabël  31 Dhjetor  2012</t>
  </si>
  <si>
    <t xml:space="preserve">   3.b.  Pasqyra e  fluksit te parasë për vitin ushtrimor te mbyllur me 31 Dhjetor 2012.</t>
  </si>
  <si>
    <t>Aktivet Afatgjata Materiale  me vlere fillestare   2012</t>
  </si>
  <si>
    <t>Vlera Kontabel Neto e A.A.Materiale  2012</t>
  </si>
  <si>
    <t>Amortizimi A.A.Materiale   2012</t>
  </si>
  <si>
    <t>Viti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</si>
</sst>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.00_L_e_k_-;\-* #,##0.00_L_e_k_-;_-* &quot;-&quot;??_L_e_k_-;_-@_-"/>
    <numFmt numFmtId="167" formatCode="_-* #,##0_L_e_k_-;\-* #,##0_L_e_k_-;_-* &quot;-&quot;??_L_e_k_-;_-@_-"/>
    <numFmt numFmtId="168" formatCode="_(* #,##0.0_);_(* \(#,##0.0\);_(* &quot;-&quot;??_);_(@_)"/>
    <numFmt numFmtId="169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sz val="8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9"/>
      <color indexed="8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10"/>
      <name val="Book Antiqua"/>
      <family val="1"/>
    </font>
    <font>
      <sz val="8"/>
      <color indexed="8"/>
      <name val="Book Antiqua"/>
      <family val="1"/>
    </font>
    <font>
      <sz val="6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Book Antiqua"/>
      <family val="1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8"/>
      <color theme="1"/>
      <name val="Book Antiqua"/>
      <family val="1"/>
    </font>
    <font>
      <sz val="8"/>
      <color rgb="FFFF0000"/>
      <name val="Book Antiqua"/>
      <family val="1"/>
    </font>
    <font>
      <b/>
      <sz val="8"/>
      <color theme="1"/>
      <name val="Book Antiqua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4" fontId="2" fillId="0" borderId="10" xfId="42" applyNumberFormat="1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3" fontId="10" fillId="0" borderId="10" xfId="0" applyNumberFormat="1" applyFont="1" applyBorder="1" applyAlignment="1">
      <alignment wrapText="1"/>
    </xf>
    <xf numFmtId="0" fontId="10" fillId="33" borderId="11" xfId="0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wrapText="1"/>
    </xf>
    <xf numFmtId="165" fontId="6" fillId="33" borderId="10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wrapText="1"/>
    </xf>
    <xf numFmtId="3" fontId="86" fillId="0" borderId="10" xfId="0" applyNumberFormat="1" applyFont="1" applyBorder="1" applyAlignment="1">
      <alignment wrapText="1"/>
    </xf>
    <xf numFmtId="0" fontId="12" fillId="33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3" fontId="87" fillId="0" borderId="10" xfId="0" applyNumberFormat="1" applyFont="1" applyBorder="1" applyAlignment="1">
      <alignment horizontal="right" wrapText="1"/>
    </xf>
    <xf numFmtId="0" fontId="6" fillId="33" borderId="11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wrapText="1"/>
    </xf>
    <xf numFmtId="3" fontId="12" fillId="33" borderId="10" xfId="0" applyNumberFormat="1" applyFont="1" applyFill="1" applyBorder="1" applyAlignment="1">
      <alignment wrapText="1"/>
    </xf>
    <xf numFmtId="3" fontId="87" fillId="0" borderId="10" xfId="0" applyNumberFormat="1" applyFont="1" applyBorder="1" applyAlignment="1">
      <alignment wrapText="1"/>
    </xf>
    <xf numFmtId="3" fontId="6" fillId="33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0" fillId="0" borderId="13" xfId="0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0" fillId="33" borderId="10" xfId="0" applyNumberFormat="1" applyFont="1" applyFill="1" applyBorder="1" applyAlignment="1">
      <alignment wrapText="1"/>
    </xf>
    <xf numFmtId="165" fontId="6" fillId="0" borderId="10" xfId="42" applyNumberFormat="1" applyFont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3" fontId="6" fillId="33" borderId="15" xfId="0" applyNumberFormat="1" applyFont="1" applyFill="1" applyBorder="1" applyAlignment="1">
      <alignment wrapText="1"/>
    </xf>
    <xf numFmtId="3" fontId="6" fillId="33" borderId="15" xfId="0" applyNumberFormat="1" applyFont="1" applyFill="1" applyBorder="1" applyAlignment="1">
      <alignment horizontal="center" wrapText="1"/>
    </xf>
    <xf numFmtId="3" fontId="5" fillId="0" borderId="0" xfId="0" applyNumberFormat="1" applyFont="1" applyAlignment="1">
      <alignment wrapText="1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16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88" fillId="0" borderId="10" xfId="42" applyNumberFormat="1" applyFont="1" applyBorder="1" applyAlignment="1">
      <alignment wrapText="1"/>
    </xf>
    <xf numFmtId="164" fontId="14" fillId="0" borderId="10" xfId="42" applyNumberFormat="1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164" fontId="14" fillId="0" borderId="10" xfId="42" applyNumberFormat="1" applyFont="1" applyBorder="1" applyAlignment="1">
      <alignment/>
    </xf>
    <xf numFmtId="164" fontId="10" fillId="0" borderId="10" xfId="42" applyNumberFormat="1" applyFont="1" applyBorder="1" applyAlignment="1">
      <alignment wrapText="1"/>
    </xf>
    <xf numFmtId="164" fontId="89" fillId="0" borderId="10" xfId="42" applyNumberFormat="1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wrapText="1"/>
    </xf>
    <xf numFmtId="3" fontId="7" fillId="34" borderId="10" xfId="0" applyNumberFormat="1" applyFont="1" applyFill="1" applyBorder="1" applyAlignment="1">
      <alignment/>
    </xf>
    <xf numFmtId="164" fontId="14" fillId="34" borderId="10" xfId="42" applyNumberFormat="1" applyFont="1" applyFill="1" applyBorder="1" applyAlignment="1">
      <alignment/>
    </xf>
    <xf numFmtId="164" fontId="7" fillId="34" borderId="10" xfId="42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164" fontId="7" fillId="0" borderId="10" xfId="42" applyNumberFormat="1" applyFont="1" applyBorder="1" applyAlignment="1">
      <alignment/>
    </xf>
    <xf numFmtId="164" fontId="90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0" fontId="57" fillId="35" borderId="16" xfId="0" applyFont="1" applyFill="1" applyBorder="1" applyAlignment="1">
      <alignment horizontal="right"/>
    </xf>
    <xf numFmtId="0" fontId="58" fillId="35" borderId="16" xfId="0" applyFont="1" applyFill="1" applyBorder="1" applyAlignment="1">
      <alignment horizontal="right"/>
    </xf>
    <xf numFmtId="0" fontId="57" fillId="35" borderId="16" xfId="0" applyFont="1" applyFill="1" applyBorder="1" applyAlignment="1">
      <alignment/>
    </xf>
    <xf numFmtId="0" fontId="57" fillId="36" borderId="16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24" fillId="3" borderId="0" xfId="42" applyNumberFormat="1" applyFont="1" applyFill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37" fontId="59" fillId="35" borderId="16" xfId="42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3" fontId="16" fillId="33" borderId="10" xfId="0" applyNumberFormat="1" applyFont="1" applyFill="1" applyBorder="1" applyAlignment="1">
      <alignment wrapText="1"/>
    </xf>
    <xf numFmtId="0" fontId="25" fillId="35" borderId="16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64" fontId="0" fillId="36" borderId="0" xfId="42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42" applyNumberFormat="1" applyFont="1" applyAlignment="1">
      <alignment/>
    </xf>
    <xf numFmtId="0" fontId="91" fillId="0" borderId="17" xfId="0" applyFont="1" applyBorder="1" applyAlignment="1">
      <alignment/>
    </xf>
    <xf numFmtId="0" fontId="84" fillId="0" borderId="0" xfId="0" applyFont="1" applyAlignment="1">
      <alignment/>
    </xf>
    <xf numFmtId="0" fontId="93" fillId="0" borderId="18" xfId="0" applyFont="1" applyBorder="1" applyAlignment="1">
      <alignment/>
    </xf>
    <xf numFmtId="164" fontId="93" fillId="0" borderId="0" xfId="42" applyNumberFormat="1" applyFont="1" applyAlignment="1">
      <alignment/>
    </xf>
    <xf numFmtId="164" fontId="94" fillId="0" borderId="0" xfId="42" applyNumberFormat="1" applyFont="1" applyAlignment="1">
      <alignment/>
    </xf>
    <xf numFmtId="164" fontId="94" fillId="0" borderId="17" xfId="42" applyNumberFormat="1" applyFont="1" applyBorder="1" applyAlignment="1">
      <alignment/>
    </xf>
    <xf numFmtId="0" fontId="93" fillId="0" borderId="0" xfId="0" applyFont="1" applyAlignment="1">
      <alignment/>
    </xf>
    <xf numFmtId="164" fontId="94" fillId="0" borderId="0" xfId="0" applyNumberFormat="1" applyFont="1" applyAlignment="1">
      <alignment/>
    </xf>
    <xf numFmtId="0" fontId="92" fillId="0" borderId="17" xfId="0" applyFont="1" applyBorder="1" applyAlignment="1">
      <alignment/>
    </xf>
    <xf numFmtId="164" fontId="93" fillId="0" borderId="17" xfId="42" applyNumberFormat="1" applyFont="1" applyBorder="1" applyAlignment="1">
      <alignment/>
    </xf>
    <xf numFmtId="0" fontId="93" fillId="0" borderId="18" xfId="0" applyFont="1" applyBorder="1" applyAlignment="1">
      <alignment horizontal="center" vertical="center" wrapText="1"/>
    </xf>
    <xf numFmtId="0" fontId="91" fillId="0" borderId="0" xfId="0" applyFont="1" applyAlignment="1">
      <alignment wrapText="1"/>
    </xf>
    <xf numFmtId="164" fontId="93" fillId="0" borderId="0" xfId="0" applyNumberFormat="1" applyFont="1" applyAlignment="1">
      <alignment/>
    </xf>
    <xf numFmtId="0" fontId="93" fillId="0" borderId="18" xfId="0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/>
    </xf>
    <xf numFmtId="164" fontId="62" fillId="0" borderId="20" xfId="42" applyNumberFormat="1" applyFont="1" applyFill="1" applyBorder="1" applyAlignment="1">
      <alignment/>
    </xf>
    <xf numFmtId="164" fontId="62" fillId="0" borderId="21" xfId="42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164" fontId="57" fillId="0" borderId="20" xfId="42" applyNumberFormat="1" applyFont="1" applyFill="1" applyBorder="1" applyAlignment="1">
      <alignment/>
    </xf>
    <xf numFmtId="164" fontId="57" fillId="0" borderId="21" xfId="42" applyNumberFormat="1" applyFont="1" applyFill="1" applyBorder="1" applyAlignment="1">
      <alignment/>
    </xf>
    <xf numFmtId="164" fontId="62" fillId="0" borderId="22" xfId="42" applyNumberFormat="1" applyFont="1" applyFill="1" applyBorder="1" applyAlignment="1">
      <alignment/>
    </xf>
    <xf numFmtId="164" fontId="62" fillId="0" borderId="23" xfId="42" applyNumberFormat="1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7" xfId="0" applyFont="1" applyBorder="1" applyAlignment="1">
      <alignment vertical="center"/>
    </xf>
    <xf numFmtId="0" fontId="92" fillId="0" borderId="0" xfId="0" applyFont="1" applyAlignment="1">
      <alignment wrapText="1"/>
    </xf>
    <xf numFmtId="0" fontId="6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164" fontId="57" fillId="0" borderId="10" xfId="42" applyNumberFormat="1" applyFont="1" applyFill="1" applyBorder="1" applyAlignment="1">
      <alignment/>
    </xf>
    <xf numFmtId="164" fontId="62" fillId="0" borderId="10" xfId="42" applyNumberFormat="1" applyFont="1" applyFill="1" applyBorder="1" applyAlignment="1">
      <alignment/>
    </xf>
    <xf numFmtId="164" fontId="57" fillId="0" borderId="24" xfId="42" applyNumberFormat="1" applyFont="1" applyFill="1" applyBorder="1" applyAlignment="1">
      <alignment/>
    </xf>
    <xf numFmtId="164" fontId="62" fillId="0" borderId="10" xfId="42" applyNumberFormat="1" applyFont="1" applyFill="1" applyBorder="1" applyAlignment="1">
      <alignment horizontal="left"/>
    </xf>
    <xf numFmtId="0" fontId="9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4" fillId="0" borderId="17" xfId="0" applyFont="1" applyBorder="1" applyAlignment="1">
      <alignment horizontal="center" vertical="center"/>
    </xf>
    <xf numFmtId="164" fontId="57" fillId="0" borderId="25" xfId="42" applyNumberFormat="1" applyFont="1" applyFill="1" applyBorder="1" applyAlignment="1">
      <alignment/>
    </xf>
    <xf numFmtId="0" fontId="63" fillId="0" borderId="17" xfId="0" applyFont="1" applyFill="1" applyBorder="1" applyAlignment="1">
      <alignment horizontal="center" vertical="center"/>
    </xf>
    <xf numFmtId="164" fontId="57" fillId="0" borderId="25" xfId="42" applyNumberFormat="1" applyFont="1" applyFill="1" applyBorder="1" applyAlignment="1">
      <alignment horizontal="left"/>
    </xf>
    <xf numFmtId="0" fontId="94" fillId="0" borderId="18" xfId="0" applyFont="1" applyBorder="1" applyAlignment="1">
      <alignment horizontal="left" vertical="center" wrapText="1"/>
    </xf>
    <xf numFmtId="0" fontId="94" fillId="0" borderId="18" xfId="0" applyFont="1" applyBorder="1" applyAlignment="1">
      <alignment vertical="center"/>
    </xf>
    <xf numFmtId="3" fontId="93" fillId="0" borderId="0" xfId="0" applyNumberFormat="1" applyFont="1" applyAlignment="1">
      <alignment/>
    </xf>
    <xf numFmtId="0" fontId="94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43" fontId="93" fillId="0" borderId="0" xfId="42" applyFont="1" applyBorder="1" applyAlignment="1">
      <alignment vertical="center"/>
    </xf>
    <xf numFmtId="164" fontId="94" fillId="0" borderId="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164" fontId="84" fillId="0" borderId="0" xfId="0" applyNumberFormat="1" applyFont="1" applyAlignment="1">
      <alignment/>
    </xf>
    <xf numFmtId="43" fontId="84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26" xfId="0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/>
    </xf>
    <xf numFmtId="3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24" fillId="0" borderId="26" xfId="44" applyNumberFormat="1" applyBorder="1" applyAlignment="1">
      <alignment/>
    </xf>
    <xf numFmtId="0" fontId="24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8" xfId="0" applyFont="1" applyBorder="1" applyAlignment="1">
      <alignment horizontal="center" vertical="center"/>
    </xf>
    <xf numFmtId="3" fontId="31" fillId="0" borderId="28" xfId="44" applyNumberFormat="1" applyFont="1" applyBorder="1" applyAlignment="1">
      <alignment vertical="center"/>
    </xf>
    <xf numFmtId="3" fontId="31" fillId="0" borderId="29" xfId="44" applyNumberFormat="1" applyFont="1" applyBorder="1" applyAlignment="1">
      <alignment vertical="center"/>
    </xf>
    <xf numFmtId="167" fontId="24" fillId="0" borderId="10" xfId="42" applyNumberFormat="1" applyFont="1" applyBorder="1" applyAlignment="1">
      <alignment/>
    </xf>
    <xf numFmtId="1" fontId="0" fillId="0" borderId="0" xfId="0" applyNumberFormat="1" applyAlignment="1">
      <alignment/>
    </xf>
    <xf numFmtId="3" fontId="24" fillId="0" borderId="0" xfId="44" applyNumberFormat="1" applyFill="1" applyBorder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2" fontId="34" fillId="0" borderId="0" xfId="58" applyNumberFormat="1" applyFont="1" applyBorder="1" applyAlignment="1">
      <alignment wrapText="1"/>
      <protection/>
    </xf>
    <xf numFmtId="0" fontId="25" fillId="0" borderId="26" xfId="58" applyFont="1" applyBorder="1" applyAlignment="1">
      <alignment horizontal="center"/>
      <protection/>
    </xf>
    <xf numFmtId="2" fontId="35" fillId="0" borderId="21" xfId="58" applyNumberFormat="1" applyFont="1" applyBorder="1" applyAlignment="1">
      <alignment horizontal="center" wrapText="1"/>
      <protection/>
    </xf>
    <xf numFmtId="0" fontId="36" fillId="0" borderId="20" xfId="58" applyFont="1" applyBorder="1" applyAlignment="1">
      <alignment horizontal="center" vertical="center" wrapText="1"/>
      <protection/>
    </xf>
    <xf numFmtId="0" fontId="25" fillId="0" borderId="30" xfId="58" applyFont="1" applyBorder="1" applyAlignment="1">
      <alignment horizontal="center"/>
      <protection/>
    </xf>
    <xf numFmtId="0" fontId="25" fillId="0" borderId="31" xfId="58" applyFont="1" applyBorder="1" applyAlignment="1">
      <alignment horizontal="left" wrapText="1"/>
      <protection/>
    </xf>
    <xf numFmtId="0" fontId="25" fillId="0" borderId="31" xfId="58" applyFont="1" applyBorder="1" applyAlignment="1">
      <alignment horizontal="left"/>
      <protection/>
    </xf>
    <xf numFmtId="0" fontId="25" fillId="0" borderId="32" xfId="58" applyFont="1" applyBorder="1" applyAlignment="1">
      <alignment horizontal="left"/>
      <protection/>
    </xf>
    <xf numFmtId="0" fontId="24" fillId="0" borderId="33" xfId="58" applyFont="1" applyBorder="1" applyAlignment="1">
      <alignment horizontal="center"/>
      <protection/>
    </xf>
    <xf numFmtId="0" fontId="24" fillId="0" borderId="19" xfId="58" applyFont="1" applyBorder="1" applyAlignment="1">
      <alignment horizontal="left" wrapText="1"/>
      <protection/>
    </xf>
    <xf numFmtId="0" fontId="25" fillId="0" borderId="10" xfId="58" applyFont="1" applyBorder="1" applyAlignment="1">
      <alignment horizontal="left"/>
      <protection/>
    </xf>
    <xf numFmtId="0" fontId="25" fillId="0" borderId="12" xfId="58" applyFont="1" applyBorder="1" applyAlignment="1">
      <alignment horizontal="left"/>
      <protection/>
    </xf>
    <xf numFmtId="0" fontId="24" fillId="0" borderId="34" xfId="58" applyFont="1" applyBorder="1" applyAlignment="1">
      <alignment horizontal="center"/>
      <protection/>
    </xf>
    <xf numFmtId="0" fontId="31" fillId="0" borderId="19" xfId="58" applyFont="1" applyBorder="1" applyAlignment="1">
      <alignment horizontal="left" wrapText="1"/>
      <protection/>
    </xf>
    <xf numFmtId="0" fontId="25" fillId="0" borderId="11" xfId="58" applyFont="1" applyBorder="1" applyAlignment="1">
      <alignment horizontal="center"/>
      <protection/>
    </xf>
    <xf numFmtId="0" fontId="25" fillId="0" borderId="19" xfId="58" applyFont="1" applyBorder="1" applyAlignment="1">
      <alignment horizontal="left" wrapText="1"/>
      <protection/>
    </xf>
    <xf numFmtId="0" fontId="24" fillId="0" borderId="24" xfId="58" applyFont="1" applyBorder="1" applyAlignment="1">
      <alignment horizontal="left" wrapText="1"/>
      <protection/>
    </xf>
    <xf numFmtId="0" fontId="24" fillId="0" borderId="35" xfId="58" applyFont="1" applyBorder="1" applyAlignment="1">
      <alignment horizontal="center"/>
      <protection/>
    </xf>
    <xf numFmtId="0" fontId="24" fillId="0" borderId="36" xfId="58" applyFont="1" applyBorder="1" applyAlignment="1">
      <alignment horizontal="left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5" fillId="0" borderId="34" xfId="58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wrapText="1"/>
      <protection/>
    </xf>
    <xf numFmtId="0" fontId="25" fillId="0" borderId="33" xfId="58" applyFont="1" applyBorder="1" applyAlignment="1">
      <alignment horizontal="center"/>
      <protection/>
    </xf>
    <xf numFmtId="0" fontId="26" fillId="0" borderId="10" xfId="58" applyFont="1" applyBorder="1" applyAlignment="1">
      <alignment horizontal="left" wrapText="1"/>
      <protection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5" fillId="0" borderId="34" xfId="58" applyFont="1" applyBorder="1" applyAlignment="1">
      <alignment horizontal="center"/>
      <protection/>
    </xf>
    <xf numFmtId="0" fontId="25" fillId="0" borderId="10" xfId="58" applyFont="1" applyBorder="1" applyAlignment="1">
      <alignment horizontal="left" wrapText="1"/>
      <protection/>
    </xf>
    <xf numFmtId="0" fontId="25" fillId="0" borderId="35" xfId="58" applyFont="1" applyBorder="1" applyAlignment="1">
      <alignment horizontal="center"/>
      <protection/>
    </xf>
    <xf numFmtId="0" fontId="25" fillId="0" borderId="24" xfId="58" applyFont="1" applyBorder="1" applyAlignment="1">
      <alignment horizontal="left" wrapText="1"/>
      <protection/>
    </xf>
    <xf numFmtId="0" fontId="25" fillId="0" borderId="14" xfId="58" applyFont="1" applyBorder="1" applyAlignment="1">
      <alignment horizontal="center"/>
      <protection/>
    </xf>
    <xf numFmtId="0" fontId="25" fillId="0" borderId="15" xfId="58" applyFont="1" applyBorder="1" applyAlignment="1">
      <alignment horizontal="left" wrapText="1"/>
      <protection/>
    </xf>
    <xf numFmtId="0" fontId="25" fillId="0" borderId="15" xfId="58" applyFont="1" applyBorder="1" applyAlignment="1">
      <alignment horizontal="left"/>
      <protection/>
    </xf>
    <xf numFmtId="0" fontId="25" fillId="0" borderId="37" xfId="58" applyFont="1" applyBorder="1" applyAlignment="1">
      <alignment horizontal="left"/>
      <protection/>
    </xf>
    <xf numFmtId="0" fontId="25" fillId="0" borderId="0" xfId="58" applyFont="1" applyBorder="1" applyAlignment="1">
      <alignment horizontal="center"/>
      <protection/>
    </xf>
    <xf numFmtId="0" fontId="25" fillId="0" borderId="0" xfId="58" applyFont="1" applyBorder="1" applyAlignment="1">
      <alignment horizontal="left" wrapText="1"/>
      <protection/>
    </xf>
    <xf numFmtId="0" fontId="25" fillId="0" borderId="0" xfId="58" applyFont="1" applyBorder="1" applyAlignment="1">
      <alignment horizontal="left"/>
      <protection/>
    </xf>
    <xf numFmtId="164" fontId="95" fillId="0" borderId="0" xfId="42" applyNumberFormat="1" applyFont="1" applyAlignment="1">
      <alignment/>
    </xf>
    <xf numFmtId="0" fontId="30" fillId="0" borderId="26" xfId="58" applyFont="1" applyBorder="1">
      <alignment/>
      <protection/>
    </xf>
    <xf numFmtId="2" fontId="35" fillId="0" borderId="26" xfId="58" applyNumberFormat="1" applyFont="1" applyBorder="1" applyAlignment="1">
      <alignment horizontal="center" wrapText="1"/>
      <protection/>
    </xf>
    <xf numFmtId="0" fontId="36" fillId="0" borderId="26" xfId="58" applyFont="1" applyBorder="1" applyAlignment="1">
      <alignment horizontal="center" vertical="center" wrapText="1"/>
      <protection/>
    </xf>
    <xf numFmtId="0" fontId="36" fillId="0" borderId="38" xfId="58" applyFont="1" applyBorder="1" applyAlignment="1">
      <alignment horizontal="center"/>
      <protection/>
    </xf>
    <xf numFmtId="0" fontId="36" fillId="0" borderId="31" xfId="58" applyFont="1" applyBorder="1" applyAlignment="1">
      <alignment horizontal="left"/>
      <protection/>
    </xf>
    <xf numFmtId="0" fontId="36" fillId="0" borderId="32" xfId="58" applyFont="1" applyBorder="1" applyAlignment="1">
      <alignment horizontal="left"/>
      <protection/>
    </xf>
    <xf numFmtId="0" fontId="30" fillId="0" borderId="11" xfId="58" applyFont="1" applyBorder="1" applyAlignment="1">
      <alignment horizontal="left"/>
      <protection/>
    </xf>
    <xf numFmtId="0" fontId="36" fillId="0" borderId="12" xfId="58" applyFont="1" applyBorder="1" applyAlignment="1">
      <alignment horizontal="left"/>
      <protection/>
    </xf>
    <xf numFmtId="0" fontId="36" fillId="0" borderId="11" xfId="58" applyFont="1" applyBorder="1" applyAlignment="1">
      <alignment horizontal="center"/>
      <protection/>
    </xf>
    <xf numFmtId="164" fontId="36" fillId="0" borderId="10" xfId="42" applyNumberFormat="1" applyFont="1" applyBorder="1" applyAlignment="1">
      <alignment horizontal="left"/>
    </xf>
    <xf numFmtId="164" fontId="36" fillId="0" borderId="12" xfId="42" applyNumberFormat="1" applyFont="1" applyBorder="1" applyAlignment="1">
      <alignment horizontal="left"/>
    </xf>
    <xf numFmtId="0" fontId="30" fillId="0" borderId="11" xfId="58" applyFont="1" applyBorder="1" applyAlignment="1">
      <alignment horizontal="center"/>
      <protection/>
    </xf>
    <xf numFmtId="164" fontId="30" fillId="0" borderId="10" xfId="42" applyNumberFormat="1" applyFont="1" applyBorder="1" applyAlignment="1">
      <alignment horizontal="left"/>
    </xf>
    <xf numFmtId="164" fontId="36" fillId="0" borderId="10" xfId="42" applyNumberFormat="1" applyFont="1" applyBorder="1" applyAlignment="1">
      <alignment horizontal="right"/>
    </xf>
    <xf numFmtId="164" fontId="36" fillId="0" borderId="10" xfId="42" applyNumberFormat="1" applyFont="1" applyBorder="1" applyAlignment="1">
      <alignment horizontal="left" wrapText="1"/>
    </xf>
    <xf numFmtId="164" fontId="36" fillId="0" borderId="12" xfId="42" applyNumberFormat="1" applyFont="1" applyBorder="1" applyAlignment="1">
      <alignment horizontal="left" wrapText="1"/>
    </xf>
    <xf numFmtId="0" fontId="30" fillId="0" borderId="11" xfId="58" applyFont="1" applyFill="1" applyBorder="1" applyAlignment="1">
      <alignment horizontal="center"/>
      <protection/>
    </xf>
    <xf numFmtId="164" fontId="36" fillId="0" borderId="10" xfId="58" applyNumberFormat="1" applyFont="1" applyBorder="1" applyAlignment="1">
      <alignment horizontal="left"/>
      <protection/>
    </xf>
    <xf numFmtId="0" fontId="30" fillId="0" borderId="39" xfId="0" applyFont="1" applyBorder="1" applyAlignment="1">
      <alignment/>
    </xf>
    <xf numFmtId="0" fontId="3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6" fillId="0" borderId="24" xfId="58" applyFont="1" applyBorder="1" applyAlignment="1">
      <alignment horizontal="center" vertical="center" wrapText="1"/>
      <protection/>
    </xf>
    <xf numFmtId="0" fontId="36" fillId="0" borderId="40" xfId="58" applyFont="1" applyBorder="1" applyAlignment="1">
      <alignment horizontal="center" vertical="center" wrapText="1"/>
      <protection/>
    </xf>
    <xf numFmtId="0" fontId="36" fillId="0" borderId="11" xfId="58" applyFont="1" applyBorder="1">
      <alignment/>
      <protection/>
    </xf>
    <xf numFmtId="0" fontId="30" fillId="0" borderId="11" xfId="0" applyFont="1" applyBorder="1" applyAlignment="1">
      <alignment/>
    </xf>
    <xf numFmtId="0" fontId="30" fillId="0" borderId="11" xfId="58" applyFont="1" applyBorder="1">
      <alignment/>
      <protection/>
    </xf>
    <xf numFmtId="0" fontId="30" fillId="0" borderId="14" xfId="58" applyFont="1" applyBorder="1">
      <alignment/>
      <protection/>
    </xf>
    <xf numFmtId="0" fontId="36" fillId="0" borderId="15" xfId="58" applyFont="1" applyBorder="1" applyAlignment="1">
      <alignment horizontal="left"/>
      <protection/>
    </xf>
    <xf numFmtId="0" fontId="30" fillId="0" borderId="15" xfId="58" applyFont="1" applyBorder="1" applyAlignment="1">
      <alignment horizontal="left"/>
      <protection/>
    </xf>
    <xf numFmtId="0" fontId="36" fillId="0" borderId="37" xfId="58" applyFont="1" applyBorder="1" applyAlignment="1">
      <alignment horizontal="left"/>
      <protection/>
    </xf>
    <xf numFmtId="0" fontId="32" fillId="0" borderId="0" xfId="58" applyFont="1" applyBorder="1" applyAlignment="1">
      <alignment horizontal="left"/>
      <protection/>
    </xf>
    <xf numFmtId="0" fontId="24" fillId="0" borderId="10" xfId="0" applyFont="1" applyBorder="1" applyAlignment="1">
      <alignment/>
    </xf>
    <xf numFmtId="0" fontId="24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25" fillId="0" borderId="41" xfId="0" applyFont="1" applyBorder="1" applyAlignment="1">
      <alignment/>
    </xf>
    <xf numFmtId="0" fontId="25" fillId="0" borderId="19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4" fontId="24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26" xfId="42" applyNumberFormat="1" applyFont="1" applyBorder="1" applyAlignment="1">
      <alignment horizontal="center"/>
    </xf>
    <xf numFmtId="164" fontId="24" fillId="0" borderId="26" xfId="42" applyNumberFormat="1" applyFont="1" applyBorder="1" applyAlignment="1">
      <alignment/>
    </xf>
    <xf numFmtId="164" fontId="24" fillId="0" borderId="10" xfId="42" applyNumberFormat="1" applyFont="1" applyBorder="1" applyAlignment="1">
      <alignment/>
    </xf>
    <xf numFmtId="0" fontId="36" fillId="0" borderId="10" xfId="58" applyFont="1" applyBorder="1" applyAlignment="1">
      <alignment horizontal="left"/>
      <protection/>
    </xf>
    <xf numFmtId="0" fontId="30" fillId="0" borderId="10" xfId="58" applyFont="1" applyBorder="1" applyAlignment="1">
      <alignment horizontal="left"/>
      <protection/>
    </xf>
    <xf numFmtId="0" fontId="30" fillId="0" borderId="10" xfId="59" applyFont="1" applyFill="1" applyBorder="1" applyAlignment="1">
      <alignment horizontal="left" wrapText="1"/>
      <protection/>
    </xf>
    <xf numFmtId="0" fontId="36" fillId="0" borderId="10" xfId="58" applyFont="1" applyBorder="1" applyAlignment="1">
      <alignment horizontal="left" wrapText="1"/>
      <protection/>
    </xf>
    <xf numFmtId="0" fontId="30" fillId="0" borderId="10" xfId="58" applyFont="1" applyBorder="1" applyAlignment="1">
      <alignment horizontal="left" wrapText="1"/>
      <protection/>
    </xf>
    <xf numFmtId="0" fontId="36" fillId="0" borderId="31" xfId="58" applyFont="1" applyBorder="1" applyAlignment="1">
      <alignment horizontal="left" wrapText="1"/>
      <protection/>
    </xf>
    <xf numFmtId="0" fontId="96" fillId="0" borderId="0" xfId="0" applyFont="1" applyAlignment="1">
      <alignment/>
    </xf>
    <xf numFmtId="164" fontId="36" fillId="0" borderId="12" xfId="42" applyNumberFormat="1" applyFont="1" applyBorder="1" applyAlignment="1">
      <alignment horizontal="right"/>
    </xf>
    <xf numFmtId="164" fontId="36" fillId="0" borderId="12" xfId="58" applyNumberFormat="1" applyFont="1" applyBorder="1" applyAlignment="1">
      <alignment horizontal="left"/>
      <protection/>
    </xf>
    <xf numFmtId="0" fontId="36" fillId="0" borderId="10" xfId="58" applyFont="1" applyBorder="1" applyAlignment="1">
      <alignment horizontal="right"/>
      <protection/>
    </xf>
    <xf numFmtId="0" fontId="36" fillId="0" borderId="12" xfId="58" applyFont="1" applyBorder="1" applyAlignment="1">
      <alignment horizontal="right"/>
      <protection/>
    </xf>
    <xf numFmtId="0" fontId="32" fillId="0" borderId="0" xfId="0" applyFont="1" applyAlignment="1">
      <alignment/>
    </xf>
    <xf numFmtId="0" fontId="84" fillId="0" borderId="0" xfId="0" applyFont="1" applyAlignment="1">
      <alignment/>
    </xf>
    <xf numFmtId="0" fontId="9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wrapText="1"/>
    </xf>
    <xf numFmtId="3" fontId="9" fillId="0" borderId="43" xfId="0" applyNumberFormat="1" applyFont="1" applyBorder="1" applyAlignment="1">
      <alignment wrapText="1"/>
    </xf>
    <xf numFmtId="3" fontId="6" fillId="0" borderId="43" xfId="0" applyNumberFormat="1" applyFont="1" applyBorder="1" applyAlignment="1">
      <alignment horizontal="center" wrapText="1"/>
    </xf>
    <xf numFmtId="3" fontId="10" fillId="0" borderId="43" xfId="0" applyNumberFormat="1" applyFont="1" applyBorder="1" applyAlignment="1">
      <alignment wrapText="1"/>
    </xf>
    <xf numFmtId="3" fontId="10" fillId="0" borderId="12" xfId="0" applyNumberFormat="1" applyFont="1" applyBorder="1" applyAlignment="1">
      <alignment wrapText="1"/>
    </xf>
    <xf numFmtId="3" fontId="6" fillId="33" borderId="12" xfId="0" applyNumberFormat="1" applyFont="1" applyFill="1" applyBorder="1" applyAlignment="1">
      <alignment wrapText="1"/>
    </xf>
    <xf numFmtId="3" fontId="86" fillId="0" borderId="12" xfId="0" applyNumberFormat="1" applyFont="1" applyBorder="1" applyAlignment="1">
      <alignment wrapText="1"/>
    </xf>
    <xf numFmtId="3" fontId="87" fillId="0" borderId="12" xfId="0" applyNumberFormat="1" applyFont="1" applyBorder="1" applyAlignment="1">
      <alignment horizontal="right" wrapText="1"/>
    </xf>
    <xf numFmtId="3" fontId="12" fillId="33" borderId="12" xfId="0" applyNumberFormat="1" applyFont="1" applyFill="1" applyBorder="1" applyAlignment="1">
      <alignment wrapText="1"/>
    </xf>
    <xf numFmtId="3" fontId="87" fillId="0" borderId="12" xfId="0" applyNumberFormat="1" applyFont="1" applyBorder="1" applyAlignment="1">
      <alignment wrapText="1"/>
    </xf>
    <xf numFmtId="3" fontId="8" fillId="33" borderId="15" xfId="0" applyNumberFormat="1" applyFont="1" applyFill="1" applyBorder="1" applyAlignment="1">
      <alignment wrapText="1"/>
    </xf>
    <xf numFmtId="3" fontId="6" fillId="33" borderId="37" xfId="0" applyNumberFormat="1" applyFont="1" applyFill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5" xfId="0" applyFont="1" applyBorder="1" applyAlignment="1">
      <alignment horizontal="center" wrapText="1"/>
    </xf>
    <xf numFmtId="3" fontId="6" fillId="0" borderId="2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164" fontId="0" fillId="0" borderId="0" xfId="42" applyNumberFormat="1" applyFont="1" applyAlignment="1">
      <alignment/>
    </xf>
    <xf numFmtId="164" fontId="84" fillId="0" borderId="0" xfId="42" applyNumberFormat="1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7" fillId="35" borderId="0" xfId="0" applyFont="1" applyFill="1" applyBorder="1" applyAlignment="1">
      <alignment/>
    </xf>
    <xf numFmtId="164" fontId="59" fillId="35" borderId="16" xfId="42" applyNumberFormat="1" applyFont="1" applyFill="1" applyBorder="1" applyAlignment="1">
      <alignment/>
    </xf>
    <xf numFmtId="164" fontId="85" fillId="0" borderId="0" xfId="42" applyNumberFormat="1" applyFont="1" applyAlignment="1">
      <alignment/>
    </xf>
    <xf numFmtId="1" fontId="35" fillId="0" borderId="21" xfId="58" applyNumberFormat="1" applyFont="1" applyBorder="1" applyAlignment="1">
      <alignment horizontal="center" wrapText="1"/>
      <protection/>
    </xf>
    <xf numFmtId="1" fontId="35" fillId="0" borderId="26" xfId="58" applyNumberFormat="1" applyFont="1" applyBorder="1" applyAlignment="1">
      <alignment horizontal="center" wrapText="1"/>
      <protection/>
    </xf>
    <xf numFmtId="3" fontId="85" fillId="0" borderId="0" xfId="0" applyNumberFormat="1" applyFont="1" applyAlignment="1">
      <alignment/>
    </xf>
    <xf numFmtId="164" fontId="88" fillId="0" borderId="10" xfId="42" applyNumberFormat="1" applyFont="1" applyBorder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164" fontId="67" fillId="0" borderId="0" xfId="42" applyNumberFormat="1" applyFont="1" applyAlignment="1">
      <alignment/>
    </xf>
    <xf numFmtId="164" fontId="88" fillId="0" borderId="10" xfId="42" applyNumberFormat="1" applyFont="1" applyFill="1" applyBorder="1" applyAlignment="1">
      <alignment/>
    </xf>
    <xf numFmtId="3" fontId="88" fillId="0" borderId="10" xfId="0" applyNumberFormat="1" applyFont="1" applyBorder="1" applyAlignment="1">
      <alignment wrapText="1"/>
    </xf>
    <xf numFmtId="3" fontId="88" fillId="0" borderId="10" xfId="0" applyNumberFormat="1" applyFont="1" applyBorder="1" applyAlignment="1">
      <alignment/>
    </xf>
    <xf numFmtId="164" fontId="88" fillId="34" borderId="10" xfId="42" applyNumberFormat="1" applyFont="1" applyFill="1" applyBorder="1" applyAlignment="1">
      <alignment/>
    </xf>
    <xf numFmtId="164" fontId="90" fillId="34" borderId="10" xfId="42" applyNumberFormat="1" applyFont="1" applyFill="1" applyBorder="1" applyAlignment="1">
      <alignment/>
    </xf>
    <xf numFmtId="164" fontId="86" fillId="0" borderId="10" xfId="42" applyNumberFormat="1" applyFont="1" applyBorder="1" applyAlignment="1">
      <alignment wrapText="1"/>
    </xf>
    <xf numFmtId="0" fontId="88" fillId="0" borderId="10" xfId="0" applyFont="1" applyBorder="1" applyAlignment="1">
      <alignment/>
    </xf>
    <xf numFmtId="3" fontId="6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0" fontId="6" fillId="0" borderId="3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6" fillId="0" borderId="32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3" fontId="7" fillId="0" borderId="26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18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10" xfId="58" applyFont="1" applyBorder="1" applyAlignment="1">
      <alignment horizontal="left"/>
      <protection/>
    </xf>
    <xf numFmtId="0" fontId="30" fillId="0" borderId="10" xfId="58" applyFont="1" applyBorder="1" applyAlignment="1">
      <alignment horizontal="left"/>
      <protection/>
    </xf>
    <xf numFmtId="0" fontId="37" fillId="0" borderId="10" xfId="58" applyFont="1" applyBorder="1" applyAlignment="1">
      <alignment horizontal="left"/>
      <protection/>
    </xf>
    <xf numFmtId="0" fontId="36" fillId="0" borderId="10" xfId="58" applyFont="1" applyBorder="1" applyAlignment="1">
      <alignment horizontal="left" wrapText="1"/>
      <protection/>
    </xf>
    <xf numFmtId="0" fontId="30" fillId="0" borderId="10" xfId="59" applyFont="1" applyFill="1" applyBorder="1" applyAlignment="1">
      <alignment horizontal="left" wrapText="1"/>
      <protection/>
    </xf>
    <xf numFmtId="0" fontId="37" fillId="0" borderId="10" xfId="59" applyFont="1" applyFill="1" applyBorder="1" applyAlignment="1">
      <alignment horizontal="left" wrapText="1"/>
      <protection/>
    </xf>
    <xf numFmtId="0" fontId="37" fillId="0" borderId="15" xfId="58" applyFont="1" applyBorder="1" applyAlignment="1">
      <alignment horizontal="left"/>
      <protection/>
    </xf>
    <xf numFmtId="0" fontId="36" fillId="0" borderId="10" xfId="59" applyFont="1" applyFill="1" applyBorder="1" applyAlignment="1">
      <alignment horizontal="left" wrapText="1"/>
      <protection/>
    </xf>
    <xf numFmtId="0" fontId="30" fillId="0" borderId="10" xfId="58" applyFont="1" applyBorder="1" applyAlignment="1">
      <alignment horizontal="left" wrapText="1"/>
      <protection/>
    </xf>
    <xf numFmtId="0" fontId="25" fillId="0" borderId="19" xfId="58" applyFont="1" applyBorder="1" applyAlignment="1">
      <alignment horizontal="left" wrapText="1"/>
      <protection/>
    </xf>
    <xf numFmtId="0" fontId="25" fillId="0" borderId="10" xfId="58" applyFont="1" applyBorder="1" applyAlignment="1">
      <alignment horizontal="left" wrapText="1"/>
      <protection/>
    </xf>
    <xf numFmtId="0" fontId="25" fillId="0" borderId="15" xfId="58" applyFont="1" applyBorder="1" applyAlignment="1">
      <alignment horizontal="left" wrapText="1"/>
      <protection/>
    </xf>
    <xf numFmtId="2" fontId="25" fillId="0" borderId="41" xfId="58" applyNumberFormat="1" applyFont="1" applyBorder="1" applyAlignment="1">
      <alignment horizontal="center" wrapText="1"/>
      <protection/>
    </xf>
    <xf numFmtId="2" fontId="25" fillId="0" borderId="44" xfId="58" applyNumberFormat="1" applyFont="1" applyBorder="1" applyAlignment="1">
      <alignment horizontal="center" wrapText="1"/>
      <protection/>
    </xf>
    <xf numFmtId="2" fontId="25" fillId="0" borderId="19" xfId="58" applyNumberFormat="1" applyFont="1" applyBorder="1" applyAlignment="1">
      <alignment horizontal="center" wrapText="1"/>
      <protection/>
    </xf>
    <xf numFmtId="0" fontId="35" fillId="0" borderId="45" xfId="58" applyFont="1" applyBorder="1" applyAlignment="1">
      <alignment horizontal="center" wrapText="1"/>
      <protection/>
    </xf>
    <xf numFmtId="0" fontId="35" fillId="0" borderId="46" xfId="58" applyFont="1" applyBorder="1" applyAlignment="1">
      <alignment horizontal="center" wrapText="1"/>
      <protection/>
    </xf>
    <xf numFmtId="0" fontId="35" fillId="0" borderId="47" xfId="58" applyFont="1" applyBorder="1" applyAlignment="1">
      <alignment horizontal="center" wrapText="1"/>
      <protection/>
    </xf>
    <xf numFmtId="0" fontId="36" fillId="0" borderId="48" xfId="58" applyFont="1" applyBorder="1" applyAlignment="1">
      <alignment horizontal="left" wrapText="1"/>
      <protection/>
    </xf>
    <xf numFmtId="0" fontId="36" fillId="0" borderId="31" xfId="58" applyFont="1" applyBorder="1" applyAlignment="1">
      <alignment horizontal="left" wrapText="1"/>
      <protection/>
    </xf>
    <xf numFmtId="0" fontId="25" fillId="0" borderId="44" xfId="58" applyFont="1" applyBorder="1" applyAlignment="1">
      <alignment horizontal="left" wrapText="1"/>
      <protection/>
    </xf>
    <xf numFmtId="0" fontId="24" fillId="0" borderId="44" xfId="58" applyFont="1" applyBorder="1" applyAlignment="1">
      <alignment horizontal="left" wrapText="1"/>
      <protection/>
    </xf>
    <xf numFmtId="0" fontId="24" fillId="0" borderId="19" xfId="58" applyFont="1" applyBorder="1" applyAlignment="1">
      <alignment horizontal="left" wrapText="1"/>
      <protection/>
    </xf>
    <xf numFmtId="0" fontId="24" fillId="0" borderId="44" xfId="58" applyFont="1" applyBorder="1" applyAlignment="1">
      <alignment horizontal="center" wrapText="1"/>
      <protection/>
    </xf>
    <xf numFmtId="0" fontId="24" fillId="0" borderId="19" xfId="58" applyFont="1" applyBorder="1" applyAlignment="1">
      <alignment horizontal="center" wrapText="1"/>
      <protection/>
    </xf>
    <xf numFmtId="0" fontId="31" fillId="0" borderId="19" xfId="58" applyFont="1" applyBorder="1" applyAlignment="1">
      <alignment horizontal="left" wrapText="1"/>
      <protection/>
    </xf>
    <xf numFmtId="0" fontId="31" fillId="0" borderId="10" xfId="58" applyFont="1" applyBorder="1" applyAlignment="1">
      <alignment horizontal="left" wrapText="1"/>
      <protection/>
    </xf>
    <xf numFmtId="2" fontId="35" fillId="0" borderId="0" xfId="58" applyNumberFormat="1" applyFont="1" applyBorder="1" applyAlignment="1">
      <alignment horizontal="center" wrapText="1"/>
      <protection/>
    </xf>
    <xf numFmtId="2" fontId="35" fillId="0" borderId="21" xfId="58" applyNumberFormat="1" applyFont="1" applyBorder="1" applyAlignment="1">
      <alignment horizontal="center" wrapText="1"/>
      <protection/>
    </xf>
    <xf numFmtId="0" fontId="25" fillId="0" borderId="48" xfId="58" applyFont="1" applyBorder="1" applyAlignment="1">
      <alignment horizontal="left" wrapText="1"/>
      <protection/>
    </xf>
    <xf numFmtId="0" fontId="25" fillId="0" borderId="31" xfId="58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52">
      <selection activeCell="B67" sqref="B67"/>
    </sheetView>
  </sheetViews>
  <sheetFormatPr defaultColWidth="9.140625" defaultRowHeight="15"/>
  <cols>
    <col min="1" max="1" width="5.00390625" style="111" bestFit="1" customWidth="1"/>
    <col min="2" max="2" width="58.28125" style="111" customWidth="1"/>
    <col min="3" max="3" width="14.57421875" style="111" customWidth="1"/>
    <col min="4" max="4" width="16.7109375" style="111" customWidth="1"/>
    <col min="5" max="5" width="17.140625" style="111" customWidth="1"/>
    <col min="6" max="16384" width="9.140625" style="111" customWidth="1"/>
  </cols>
  <sheetData>
    <row r="1" spans="1:5" ht="16.5">
      <c r="A1" s="347" t="s">
        <v>0</v>
      </c>
      <c r="B1" s="347"/>
      <c r="C1" s="347"/>
      <c r="D1" s="347"/>
      <c r="E1" s="347"/>
    </row>
    <row r="2" spans="1:5" ht="16.5">
      <c r="A2" s="348" t="s">
        <v>179</v>
      </c>
      <c r="B2" s="348"/>
      <c r="C2" s="348"/>
      <c r="D2" s="348"/>
      <c r="E2" s="2" t="s">
        <v>1</v>
      </c>
    </row>
    <row r="3" spans="1:5" ht="16.5">
      <c r="A3" s="3"/>
      <c r="B3" s="3"/>
      <c r="C3" s="3"/>
      <c r="D3" s="3"/>
      <c r="E3" s="2"/>
    </row>
    <row r="4" spans="1:5" ht="15">
      <c r="A4" s="349" t="s">
        <v>2</v>
      </c>
      <c r="B4" s="349" t="s">
        <v>3</v>
      </c>
      <c r="C4" s="351" t="s">
        <v>4</v>
      </c>
      <c r="D4" s="351" t="s">
        <v>5</v>
      </c>
      <c r="E4" s="351" t="s">
        <v>6</v>
      </c>
    </row>
    <row r="5" spans="1:5" ht="15">
      <c r="A5" s="350"/>
      <c r="B5" s="350"/>
      <c r="C5" s="351"/>
      <c r="D5" s="351"/>
      <c r="E5" s="351"/>
    </row>
    <row r="6" spans="1:5" ht="16.5">
      <c r="A6" s="4">
        <v>1</v>
      </c>
      <c r="B6" s="293" t="s">
        <v>7</v>
      </c>
      <c r="C6" s="4"/>
      <c r="D6" s="6">
        <f>SUMIF($F$42:$F$59,$B6,$D$42:$D$59)</f>
        <v>0</v>
      </c>
      <c r="E6" s="6">
        <v>0</v>
      </c>
    </row>
    <row r="7" spans="1:5" ht="16.5">
      <c r="A7" s="4">
        <v>2</v>
      </c>
      <c r="B7" s="293" t="s">
        <v>8</v>
      </c>
      <c r="C7" s="4"/>
      <c r="D7" s="7">
        <f aca="true" t="shared" si="0" ref="D7:D30">SUMIF($F$42:$F$59,$B7,$D$42:$D$59)</f>
        <v>0</v>
      </c>
      <c r="E7" s="7">
        <v>0</v>
      </c>
    </row>
    <row r="8" spans="1:5" ht="16.5">
      <c r="A8" s="4">
        <v>3</v>
      </c>
      <c r="B8" s="293" t="s">
        <v>9</v>
      </c>
      <c r="C8" s="8"/>
      <c r="D8" s="9">
        <f t="shared" si="0"/>
        <v>0</v>
      </c>
      <c r="E8" s="9">
        <v>0</v>
      </c>
    </row>
    <row r="9" spans="1:5" ht="31.5">
      <c r="A9" s="4">
        <v>4</v>
      </c>
      <c r="B9" s="293" t="s">
        <v>10</v>
      </c>
      <c r="C9" s="8"/>
      <c r="D9" s="8">
        <f t="shared" si="0"/>
        <v>0</v>
      </c>
      <c r="E9" s="8">
        <v>0</v>
      </c>
    </row>
    <row r="10" spans="1:5" ht="16.5">
      <c r="A10" s="4">
        <v>5</v>
      </c>
      <c r="B10" s="293" t="s">
        <v>11</v>
      </c>
      <c r="C10" s="8"/>
      <c r="D10" s="7">
        <f t="shared" si="0"/>
        <v>0</v>
      </c>
      <c r="E10" s="7">
        <v>0</v>
      </c>
    </row>
    <row r="11" spans="1:5" ht="16.5">
      <c r="A11" s="4">
        <v>6</v>
      </c>
      <c r="B11" s="293" t="s">
        <v>12</v>
      </c>
      <c r="C11" s="8"/>
      <c r="D11" s="6">
        <f t="shared" si="0"/>
        <v>-4819245.440000001</v>
      </c>
      <c r="E11" s="6">
        <v>-533992</v>
      </c>
    </row>
    <row r="12" spans="1:5" ht="16.5">
      <c r="A12" s="4">
        <v>7</v>
      </c>
      <c r="B12" s="293" t="s">
        <v>13</v>
      </c>
      <c r="C12" s="8"/>
      <c r="D12" s="6">
        <f>SUM(D13:D15)</f>
        <v>-1850799</v>
      </c>
      <c r="E12" s="6">
        <v>-1545021</v>
      </c>
    </row>
    <row r="13" spans="1:5" ht="15.75">
      <c r="A13" s="10" t="s">
        <v>14</v>
      </c>
      <c r="B13" s="294" t="s">
        <v>15</v>
      </c>
      <c r="C13" s="8"/>
      <c r="D13" s="7">
        <f t="shared" si="0"/>
        <v>-1678653</v>
      </c>
      <c r="E13" s="7">
        <v>-1448459</v>
      </c>
    </row>
    <row r="14" spans="1:5" ht="15.75">
      <c r="A14" s="10" t="s">
        <v>16</v>
      </c>
      <c r="B14" s="294" t="s">
        <v>17</v>
      </c>
      <c r="C14" s="8"/>
      <c r="D14" s="7">
        <f t="shared" si="0"/>
        <v>-172146</v>
      </c>
      <c r="E14" s="7">
        <v>-96562</v>
      </c>
    </row>
    <row r="15" spans="1:5" ht="15.75">
      <c r="A15" s="10" t="s">
        <v>18</v>
      </c>
      <c r="B15" s="294" t="s">
        <v>19</v>
      </c>
      <c r="C15" s="8"/>
      <c r="D15" s="8"/>
      <c r="E15" s="8"/>
    </row>
    <row r="16" spans="1:5" ht="16.5">
      <c r="A16" s="4">
        <v>8</v>
      </c>
      <c r="B16" s="293" t="s">
        <v>20</v>
      </c>
      <c r="C16" s="8"/>
      <c r="D16" s="7">
        <f t="shared" si="0"/>
        <v>-183339</v>
      </c>
      <c r="E16" s="8">
        <v>0</v>
      </c>
    </row>
    <row r="17" spans="1:5" ht="16.5">
      <c r="A17" s="11"/>
      <c r="B17" s="295" t="s">
        <v>21</v>
      </c>
      <c r="C17" s="12"/>
      <c r="D17" s="13">
        <f>D6+D7+D8+D9+D10+D11+D12+D16</f>
        <v>-6853383.440000001</v>
      </c>
      <c r="E17" s="13">
        <v>-2079013</v>
      </c>
    </row>
    <row r="18" spans="1:5" ht="15.75">
      <c r="A18" s="10"/>
      <c r="B18" s="293"/>
      <c r="C18" s="8"/>
      <c r="D18" s="8"/>
      <c r="E18" s="8"/>
    </row>
    <row r="19" spans="1:5" ht="31.5">
      <c r="A19" s="4">
        <v>1</v>
      </c>
      <c r="B19" s="293" t="s">
        <v>22</v>
      </c>
      <c r="C19" s="8"/>
      <c r="D19" s="8">
        <f t="shared" si="0"/>
        <v>0</v>
      </c>
      <c r="E19" s="8">
        <v>0</v>
      </c>
    </row>
    <row r="20" spans="1:5" ht="16.5">
      <c r="A20" s="4">
        <v>2</v>
      </c>
      <c r="B20" s="293" t="s">
        <v>23</v>
      </c>
      <c r="C20" s="8"/>
      <c r="D20" s="8">
        <f t="shared" si="0"/>
        <v>0</v>
      </c>
      <c r="E20" s="8">
        <v>0</v>
      </c>
    </row>
    <row r="21" spans="1:5" ht="16.5">
      <c r="A21" s="4">
        <v>3</v>
      </c>
      <c r="B21" s="293" t="s">
        <v>24</v>
      </c>
      <c r="C21" s="8"/>
      <c r="D21" s="6">
        <f>SUM(D22:D25)</f>
        <v>104458.01999999999</v>
      </c>
      <c r="E21" s="6">
        <v>-116307.13999999998</v>
      </c>
    </row>
    <row r="22" spans="1:5" ht="31.5">
      <c r="A22" s="10" t="s">
        <v>25</v>
      </c>
      <c r="B22" s="294" t="s">
        <v>26</v>
      </c>
      <c r="C22" s="8"/>
      <c r="D22" s="8">
        <f t="shared" si="0"/>
        <v>0</v>
      </c>
      <c r="E22" s="8">
        <v>0</v>
      </c>
    </row>
    <row r="23" spans="1:5" ht="15.75">
      <c r="A23" s="10" t="s">
        <v>27</v>
      </c>
      <c r="B23" s="294" t="s">
        <v>28</v>
      </c>
      <c r="C23" s="8"/>
      <c r="D23" s="14">
        <f t="shared" si="0"/>
        <v>-55172.530000000006</v>
      </c>
      <c r="E23" s="14">
        <v>421.66</v>
      </c>
    </row>
    <row r="24" spans="1:5" ht="15.75">
      <c r="A24" s="10" t="s">
        <v>29</v>
      </c>
      <c r="B24" s="294" t="s">
        <v>30</v>
      </c>
      <c r="C24" s="8"/>
      <c r="D24" s="14">
        <f t="shared" si="0"/>
        <v>167112.55</v>
      </c>
      <c r="E24" s="14">
        <v>-116728.79999999999</v>
      </c>
    </row>
    <row r="25" spans="1:5" ht="15.75">
      <c r="A25" s="10" t="s">
        <v>31</v>
      </c>
      <c r="B25" s="294" t="s">
        <v>32</v>
      </c>
      <c r="C25" s="8"/>
      <c r="D25" s="14">
        <f t="shared" si="0"/>
        <v>-7482</v>
      </c>
      <c r="E25" s="14">
        <v>0</v>
      </c>
    </row>
    <row r="26" spans="1:5" ht="16.5">
      <c r="A26" s="4"/>
      <c r="B26" s="293" t="s">
        <v>33</v>
      </c>
      <c r="C26" s="8"/>
      <c r="D26" s="9">
        <f t="shared" si="0"/>
        <v>0</v>
      </c>
      <c r="E26" s="9">
        <v>0</v>
      </c>
    </row>
    <row r="27" spans="1:5" ht="15.75">
      <c r="A27" s="10"/>
      <c r="B27" s="293"/>
      <c r="C27" s="8"/>
      <c r="D27" s="8"/>
      <c r="E27" s="8"/>
    </row>
    <row r="28" spans="1:5" ht="16.5">
      <c r="A28" s="11"/>
      <c r="B28" s="295" t="s">
        <v>34</v>
      </c>
      <c r="C28" s="12"/>
      <c r="D28" s="13">
        <f>D17+D19+D20+D21+D26</f>
        <v>-6748925.420000002</v>
      </c>
      <c r="E28" s="13">
        <v>-2195320.14</v>
      </c>
    </row>
    <row r="29" spans="1:5" ht="15.75">
      <c r="A29" s="10"/>
      <c r="B29" s="293"/>
      <c r="C29" s="8"/>
      <c r="D29" s="8"/>
      <c r="E29" s="8"/>
    </row>
    <row r="30" spans="1:5" ht="15.75">
      <c r="A30" s="10"/>
      <c r="B30" s="293" t="s">
        <v>35</v>
      </c>
      <c r="C30" s="8"/>
      <c r="D30" s="8">
        <f t="shared" si="0"/>
        <v>0</v>
      </c>
      <c r="E30" s="8">
        <v>0</v>
      </c>
    </row>
    <row r="31" spans="1:5" ht="15.75">
      <c r="A31" s="10"/>
      <c r="B31" s="293"/>
      <c r="C31" s="8"/>
      <c r="D31" s="8"/>
      <c r="E31" s="8"/>
    </row>
    <row r="32" spans="1:5" ht="16.5">
      <c r="A32" s="11"/>
      <c r="B32" s="295" t="s">
        <v>36</v>
      </c>
      <c r="C32" s="12"/>
      <c r="D32" s="13">
        <f>D28+D30</f>
        <v>-6748925.420000002</v>
      </c>
      <c r="E32" s="13">
        <f>E28+E30</f>
        <v>-2195320.14</v>
      </c>
    </row>
    <row r="33" spans="1:5" ht="19.5" customHeight="1">
      <c r="A33" s="10"/>
      <c r="B33" s="293"/>
      <c r="C33" s="8"/>
      <c r="D33" s="8"/>
      <c r="E33" s="8"/>
    </row>
    <row r="34" spans="1:5" ht="19.5" customHeight="1">
      <c r="A34" s="10"/>
      <c r="B34" s="293" t="s">
        <v>37</v>
      </c>
      <c r="C34" s="8"/>
      <c r="D34" s="8"/>
      <c r="E34" s="8"/>
    </row>
    <row r="35" spans="1:5" ht="19.5" customHeight="1">
      <c r="A35" s="10"/>
      <c r="B35" s="293" t="s">
        <v>38</v>
      </c>
      <c r="C35" s="8"/>
      <c r="D35" s="8"/>
      <c r="E35" s="8"/>
    </row>
    <row r="36" spans="1:5" ht="19.5" customHeight="1">
      <c r="A36" s="10"/>
      <c r="B36" s="293"/>
      <c r="C36" s="8"/>
      <c r="D36" s="8"/>
      <c r="E36" s="8"/>
    </row>
    <row r="37" spans="1:5" ht="15.75">
      <c r="A37" s="1"/>
      <c r="B37" s="344" t="s">
        <v>39</v>
      </c>
      <c r="C37" s="344"/>
      <c r="D37" s="344"/>
      <c r="E37" s="1"/>
    </row>
    <row r="38" spans="3:6" ht="15.75">
      <c r="C38" s="345" t="s">
        <v>343</v>
      </c>
      <c r="D38" s="345"/>
      <c r="E38" s="345"/>
      <c r="F38" s="290"/>
    </row>
    <row r="39" spans="3:6" ht="14.25" customHeight="1">
      <c r="C39" s="346" t="s">
        <v>499</v>
      </c>
      <c r="D39" s="346"/>
      <c r="E39" s="346"/>
      <c r="F39" s="292"/>
    </row>
    <row r="42" spans="2:6" ht="15">
      <c r="B42" s="106">
        <v>767</v>
      </c>
      <c r="C42" s="111" t="s">
        <v>202</v>
      </c>
      <c r="D42" s="113">
        <v>106.34</v>
      </c>
      <c r="F42" s="111" t="s">
        <v>28</v>
      </c>
    </row>
    <row r="43" spans="2:6" ht="15">
      <c r="B43" s="106">
        <v>766</v>
      </c>
      <c r="C43" s="111" t="s">
        <v>201</v>
      </c>
      <c r="D43" s="165">
        <v>333556.04</v>
      </c>
      <c r="F43" s="111" t="s">
        <v>30</v>
      </c>
    </row>
    <row r="44" spans="2:4" ht="15">
      <c r="B44" s="106"/>
      <c r="D44" s="113"/>
    </row>
    <row r="45" spans="2:6" ht="15">
      <c r="B45" s="106">
        <v>611</v>
      </c>
      <c r="C45" s="111" t="s">
        <v>203</v>
      </c>
      <c r="D45" s="113">
        <v>-34767.1</v>
      </c>
      <c r="F45" s="111" t="s">
        <v>12</v>
      </c>
    </row>
    <row r="46" spans="2:6" ht="15">
      <c r="B46" s="106">
        <v>613</v>
      </c>
      <c r="C46" s="111" t="s">
        <v>204</v>
      </c>
      <c r="D46" s="113">
        <v>-183146.6</v>
      </c>
      <c r="F46" s="111" t="s">
        <v>12</v>
      </c>
    </row>
    <row r="47" spans="2:6" ht="15">
      <c r="B47" s="106">
        <v>618</v>
      </c>
      <c r="C47" s="111" t="s">
        <v>205</v>
      </c>
      <c r="D47" s="110">
        <f>-4526179.4+37500</f>
        <v>-4488679.4</v>
      </c>
      <c r="F47" s="111" t="s">
        <v>12</v>
      </c>
    </row>
    <row r="48" spans="2:6" ht="15">
      <c r="B48" s="106">
        <v>626</v>
      </c>
      <c r="C48" s="111" t="s">
        <v>206</v>
      </c>
      <c r="D48" s="113">
        <v>-48990.44</v>
      </c>
      <c r="F48" s="111" t="s">
        <v>12</v>
      </c>
    </row>
    <row r="49" spans="2:6" ht="15">
      <c r="B49" s="106">
        <v>6273</v>
      </c>
      <c r="C49" s="111" t="s">
        <v>207</v>
      </c>
      <c r="D49" s="113">
        <v>-40141.9</v>
      </c>
      <c r="F49" s="111" t="s">
        <v>12</v>
      </c>
    </row>
    <row r="50" spans="2:6" ht="15">
      <c r="B50" s="106">
        <v>6276</v>
      </c>
      <c r="C50" s="111" t="s">
        <v>208</v>
      </c>
      <c r="D50" s="110">
        <f>-60312+60312</f>
        <v>0</v>
      </c>
      <c r="F50" s="111" t="s">
        <v>12</v>
      </c>
    </row>
    <row r="51" spans="2:6" ht="15">
      <c r="B51" s="106">
        <v>628</v>
      </c>
      <c r="C51" s="111" t="s">
        <v>209</v>
      </c>
      <c r="D51" s="113">
        <v>-7482</v>
      </c>
      <c r="F51" s="111" t="s">
        <v>32</v>
      </c>
    </row>
    <row r="52" spans="2:6" ht="15">
      <c r="B52" s="106">
        <v>634</v>
      </c>
      <c r="C52" s="111" t="s">
        <v>210</v>
      </c>
      <c r="D52" s="113">
        <v>-22120</v>
      </c>
      <c r="F52" s="111" t="s">
        <v>12</v>
      </c>
    </row>
    <row r="53" spans="2:6" ht="15">
      <c r="B53" s="106">
        <v>641</v>
      </c>
      <c r="C53" s="111" t="s">
        <v>211</v>
      </c>
      <c r="D53" s="113">
        <v>-1678653</v>
      </c>
      <c r="F53" s="111" t="s">
        <v>15</v>
      </c>
    </row>
    <row r="54" spans="2:6" ht="15">
      <c r="B54" s="106">
        <v>644</v>
      </c>
      <c r="C54" s="111" t="s">
        <v>194</v>
      </c>
      <c r="D54" s="113">
        <v>-172146</v>
      </c>
      <c r="F54" s="111" t="s">
        <v>17</v>
      </c>
    </row>
    <row r="55" spans="2:6" ht="15">
      <c r="B55" s="106">
        <v>658</v>
      </c>
      <c r="C55" s="111" t="s">
        <v>212</v>
      </c>
      <c r="D55" s="110">
        <f>-170067+168667</f>
        <v>-1400</v>
      </c>
      <c r="F55" s="111" t="s">
        <v>12</v>
      </c>
    </row>
    <row r="56" spans="2:6" ht="15">
      <c r="B56" s="106">
        <v>667</v>
      </c>
      <c r="C56" s="111" t="s">
        <v>214</v>
      </c>
      <c r="D56" s="113">
        <v>-55278.87</v>
      </c>
      <c r="F56" s="111" t="s">
        <v>28</v>
      </c>
    </row>
    <row r="57" spans="2:6" ht="15">
      <c r="B57" s="106">
        <v>669</v>
      </c>
      <c r="C57" s="111" t="s">
        <v>213</v>
      </c>
      <c r="D57" s="113">
        <f>-166442.69-0.8</f>
        <v>-166443.49</v>
      </c>
      <c r="F57" s="111" t="s">
        <v>30</v>
      </c>
    </row>
    <row r="58" spans="2:6" ht="15">
      <c r="B58" s="106">
        <v>6815</v>
      </c>
      <c r="C58" s="111" t="s">
        <v>215</v>
      </c>
      <c r="D58" s="113">
        <v>-170151</v>
      </c>
      <c r="F58" s="111" t="s">
        <v>20</v>
      </c>
    </row>
    <row r="59" spans="2:6" ht="15">
      <c r="B59" s="106">
        <v>6818</v>
      </c>
      <c r="C59" s="111" t="s">
        <v>216</v>
      </c>
      <c r="D59" s="113">
        <v>-13188</v>
      </c>
      <c r="F59" s="111" t="s">
        <v>20</v>
      </c>
    </row>
    <row r="60" ht="15">
      <c r="D60" s="164">
        <f>SUM(D42:D59)</f>
        <v>-6748925.420000002</v>
      </c>
    </row>
    <row r="63" ht="15">
      <c r="D63" s="101"/>
    </row>
    <row r="64" spans="3:4" ht="15">
      <c r="C64" s="111" t="s">
        <v>502</v>
      </c>
      <c r="D64" s="101" t="s">
        <v>503</v>
      </c>
    </row>
    <row r="65" spans="2:4" ht="15">
      <c r="B65" s="111" t="s">
        <v>504</v>
      </c>
      <c r="C65" s="113">
        <f>D42+D43</f>
        <v>333662.38</v>
      </c>
      <c r="D65" s="101"/>
    </row>
    <row r="66" spans="2:3" ht="15">
      <c r="B66" s="111" t="s">
        <v>323</v>
      </c>
      <c r="C66" s="113">
        <f>-SUM(PL!E47:E62)</f>
        <v>7349066.800000002</v>
      </c>
    </row>
    <row r="67" spans="2:3" ht="15">
      <c r="B67" s="111" t="s">
        <v>505</v>
      </c>
      <c r="C67" s="113">
        <f>168667+60312+37500</f>
        <v>266479</v>
      </c>
    </row>
    <row r="68" spans="2:3" ht="15">
      <c r="B68" s="111" t="s">
        <v>506</v>
      </c>
      <c r="C68" s="101"/>
    </row>
    <row r="69" ht="15">
      <c r="B69" s="111" t="s">
        <v>507</v>
      </c>
    </row>
    <row r="70" ht="15">
      <c r="B70" s="111" t="s">
        <v>508</v>
      </c>
    </row>
    <row r="71" spans="2:4" ht="15">
      <c r="B71" s="111" t="s">
        <v>510</v>
      </c>
      <c r="D71" s="107">
        <f>-BSH!E112</f>
        <v>3061948.73</v>
      </c>
    </row>
    <row r="72" ht="15">
      <c r="B72" s="111" t="s">
        <v>509</v>
      </c>
    </row>
  </sheetData>
  <sheetProtection/>
  <mergeCells count="10">
    <mergeCell ref="B37:D37"/>
    <mergeCell ref="C38:E38"/>
    <mergeCell ref="C39:E39"/>
    <mergeCell ref="A1:E1"/>
    <mergeCell ref="A2:D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6"/>
  <sheetViews>
    <sheetView view="pageBreakPreview" zoomScale="90" zoomScaleSheetLayoutView="90" zoomScalePageLayoutView="0" workbookViewId="0" topLeftCell="A28">
      <selection activeCell="A43" sqref="A43:IV65"/>
    </sheetView>
  </sheetViews>
  <sheetFormatPr defaultColWidth="9.140625" defaultRowHeight="15"/>
  <cols>
    <col min="1" max="1" width="2.8515625" style="111" customWidth="1"/>
    <col min="2" max="2" width="13.00390625" style="111" customWidth="1"/>
    <col min="3" max="3" width="11.28125" style="111" customWidth="1"/>
    <col min="4" max="4" width="33.8515625" style="111" bestFit="1" customWidth="1"/>
    <col min="5" max="5" width="24.28125" style="111" bestFit="1" customWidth="1"/>
    <col min="6" max="6" width="3.421875" style="111" customWidth="1"/>
    <col min="7" max="7" width="10.8515625" style="111" customWidth="1"/>
    <col min="8" max="8" width="10.00390625" style="111" customWidth="1"/>
    <col min="9" max="9" width="12.140625" style="111" bestFit="1" customWidth="1"/>
    <col min="10" max="10" width="15.421875" style="111" customWidth="1"/>
    <col min="11" max="11" width="14.57421875" style="111" hidden="1" customWidth="1"/>
    <col min="12" max="12" width="4.7109375" style="111" customWidth="1"/>
    <col min="13" max="14" width="11.28125" style="111" hidden="1" customWidth="1"/>
    <col min="15" max="15" width="10.28125" style="111" hidden="1" customWidth="1"/>
    <col min="16" max="16" width="53.421875" style="111" customWidth="1"/>
    <col min="17" max="16384" width="9.140625" style="111" customWidth="1"/>
  </cols>
  <sheetData>
    <row r="1" spans="1:11" ht="15">
      <c r="A1" s="186"/>
      <c r="B1" s="166" t="s">
        <v>330</v>
      </c>
      <c r="C1" s="167" t="s">
        <v>485</v>
      </c>
      <c r="D1" s="187"/>
      <c r="E1" s="186"/>
      <c r="F1" s="186"/>
      <c r="G1" s="186"/>
      <c r="H1" s="186"/>
      <c r="I1" s="186"/>
      <c r="J1" s="186"/>
      <c r="K1" s="186"/>
    </row>
    <row r="2" spans="1:11" ht="15">
      <c r="A2" s="186"/>
      <c r="B2" s="166" t="s">
        <v>331</v>
      </c>
      <c r="C2" s="167" t="s">
        <v>486</v>
      </c>
      <c r="D2" s="187"/>
      <c r="E2" s="186"/>
      <c r="F2" s="186"/>
      <c r="G2" s="186"/>
      <c r="H2" s="186"/>
      <c r="I2" s="186"/>
      <c r="J2" s="186"/>
      <c r="K2" s="186"/>
    </row>
    <row r="3" spans="1:11" ht="15">
      <c r="A3" s="186"/>
      <c r="B3" s="188"/>
      <c r="C3" s="186"/>
      <c r="D3" s="186"/>
      <c r="E3" s="186"/>
      <c r="F3" s="186"/>
      <c r="G3" s="186"/>
      <c r="H3" s="186"/>
      <c r="I3" s="186"/>
      <c r="J3" s="188" t="s">
        <v>344</v>
      </c>
      <c r="K3" s="186"/>
    </row>
    <row r="4" spans="1:11" ht="15">
      <c r="A4" s="186"/>
      <c r="B4" s="188"/>
      <c r="C4" s="186"/>
      <c r="D4" s="186"/>
      <c r="E4" s="186"/>
      <c r="F4" s="186"/>
      <c r="G4" s="186"/>
      <c r="H4" s="186"/>
      <c r="I4" s="186"/>
      <c r="J4" s="186"/>
      <c r="K4" s="186"/>
    </row>
    <row r="5" spans="1:16" ht="15">
      <c r="A5" s="189"/>
      <c r="B5" s="189"/>
      <c r="C5" s="189"/>
      <c r="D5" s="189"/>
      <c r="E5" s="189"/>
      <c r="F5" s="189"/>
      <c r="G5" s="189"/>
      <c r="H5" s="189"/>
      <c r="I5" s="189"/>
      <c r="J5" s="190"/>
      <c r="K5" s="191" t="s">
        <v>501</v>
      </c>
      <c r="L5" s="150"/>
      <c r="M5" s="150"/>
      <c r="N5" s="150"/>
      <c r="O5" s="150"/>
      <c r="P5" s="150"/>
    </row>
    <row r="6" spans="1:16" ht="15.75" customHeight="1">
      <c r="A6" s="391" t="s">
        <v>345</v>
      </c>
      <c r="B6" s="392"/>
      <c r="C6" s="392"/>
      <c r="D6" s="392"/>
      <c r="E6" s="392"/>
      <c r="F6" s="392"/>
      <c r="G6" s="392"/>
      <c r="H6" s="392"/>
      <c r="I6" s="392"/>
      <c r="J6" s="392"/>
      <c r="K6" s="393"/>
      <c r="L6" s="192"/>
      <c r="M6" s="192"/>
      <c r="N6" s="192"/>
      <c r="O6" s="192"/>
      <c r="P6" s="192"/>
    </row>
    <row r="7" spans="1:11" ht="26.25" customHeight="1" thickBot="1">
      <c r="A7" s="193"/>
      <c r="B7" s="406" t="s">
        <v>346</v>
      </c>
      <c r="C7" s="406"/>
      <c r="D7" s="406"/>
      <c r="E7" s="406"/>
      <c r="F7" s="407"/>
      <c r="G7" s="194" t="s">
        <v>347</v>
      </c>
      <c r="H7" s="194" t="s">
        <v>348</v>
      </c>
      <c r="I7" s="329">
        <v>2012</v>
      </c>
      <c r="J7" s="195">
        <v>2011</v>
      </c>
      <c r="K7" s="195">
        <v>2010</v>
      </c>
    </row>
    <row r="8" spans="1:11" ht="16.5" customHeight="1">
      <c r="A8" s="196">
        <v>1</v>
      </c>
      <c r="B8" s="408" t="s">
        <v>350</v>
      </c>
      <c r="C8" s="409"/>
      <c r="D8" s="409"/>
      <c r="E8" s="409"/>
      <c r="F8" s="409"/>
      <c r="G8" s="197">
        <v>70</v>
      </c>
      <c r="H8" s="197">
        <v>11100</v>
      </c>
      <c r="I8" s="197"/>
      <c r="J8" s="198"/>
      <c r="K8" s="199"/>
    </row>
    <row r="9" spans="1:11" ht="16.5" customHeight="1">
      <c r="A9" s="200" t="s">
        <v>14</v>
      </c>
      <c r="B9" s="400" t="s">
        <v>351</v>
      </c>
      <c r="C9" s="400"/>
      <c r="D9" s="400"/>
      <c r="E9" s="400"/>
      <c r="F9" s="401"/>
      <c r="G9" s="201" t="s">
        <v>352</v>
      </c>
      <c r="H9" s="201">
        <v>11101</v>
      </c>
      <c r="I9" s="201"/>
      <c r="J9" s="202"/>
      <c r="K9" s="203"/>
    </row>
    <row r="10" spans="1:11" ht="16.5" customHeight="1">
      <c r="A10" s="204" t="s">
        <v>353</v>
      </c>
      <c r="B10" s="400" t="s">
        <v>354</v>
      </c>
      <c r="C10" s="400"/>
      <c r="D10" s="400"/>
      <c r="E10" s="400"/>
      <c r="F10" s="401"/>
      <c r="G10" s="201">
        <v>704</v>
      </c>
      <c r="H10" s="201">
        <v>11102</v>
      </c>
      <c r="I10" s="201"/>
      <c r="J10" s="202"/>
      <c r="K10" s="203"/>
    </row>
    <row r="11" spans="1:11" ht="16.5" customHeight="1">
      <c r="A11" s="204" t="s">
        <v>355</v>
      </c>
      <c r="B11" s="400" t="s">
        <v>356</v>
      </c>
      <c r="C11" s="400"/>
      <c r="D11" s="400"/>
      <c r="E11" s="400"/>
      <c r="F11" s="401"/>
      <c r="G11" s="205">
        <v>705</v>
      </c>
      <c r="H11" s="201">
        <v>11103</v>
      </c>
      <c r="I11" s="201"/>
      <c r="J11" s="202"/>
      <c r="K11" s="203"/>
    </row>
    <row r="12" spans="1:11" ht="16.5" customHeight="1">
      <c r="A12" s="206">
        <v>2</v>
      </c>
      <c r="B12" s="399" t="s">
        <v>357</v>
      </c>
      <c r="C12" s="399"/>
      <c r="D12" s="399"/>
      <c r="E12" s="399"/>
      <c r="F12" s="388"/>
      <c r="G12" s="207">
        <v>708</v>
      </c>
      <c r="H12" s="208">
        <v>11104</v>
      </c>
      <c r="I12" s="208"/>
      <c r="J12" s="202"/>
      <c r="K12" s="203"/>
    </row>
    <row r="13" spans="1:11" ht="16.5" customHeight="1">
      <c r="A13" s="209" t="s">
        <v>14</v>
      </c>
      <c r="B13" s="400" t="s">
        <v>358</v>
      </c>
      <c r="C13" s="400"/>
      <c r="D13" s="400"/>
      <c r="E13" s="400"/>
      <c r="F13" s="401"/>
      <c r="G13" s="201">
        <v>7081</v>
      </c>
      <c r="H13" s="210">
        <v>111041</v>
      </c>
      <c r="I13" s="210"/>
      <c r="J13" s="202"/>
      <c r="K13" s="203"/>
    </row>
    <row r="14" spans="1:11" ht="16.5" customHeight="1">
      <c r="A14" s="209" t="s">
        <v>16</v>
      </c>
      <c r="B14" s="400" t="s">
        <v>359</v>
      </c>
      <c r="C14" s="400"/>
      <c r="D14" s="400"/>
      <c r="E14" s="400"/>
      <c r="F14" s="401"/>
      <c r="G14" s="201">
        <v>7082</v>
      </c>
      <c r="H14" s="210">
        <v>111042</v>
      </c>
      <c r="I14" s="210"/>
      <c r="J14" s="202"/>
      <c r="K14" s="203"/>
    </row>
    <row r="15" spans="1:11" ht="16.5" customHeight="1">
      <c r="A15" s="209" t="s">
        <v>18</v>
      </c>
      <c r="B15" s="400" t="s">
        <v>360</v>
      </c>
      <c r="C15" s="400"/>
      <c r="D15" s="400"/>
      <c r="E15" s="400"/>
      <c r="F15" s="401"/>
      <c r="G15" s="201">
        <v>7083</v>
      </c>
      <c r="H15" s="210">
        <v>111043</v>
      </c>
      <c r="I15" s="210"/>
      <c r="J15" s="202"/>
      <c r="K15" s="203"/>
    </row>
    <row r="16" spans="1:11" ht="29.25" customHeight="1">
      <c r="A16" s="211">
        <v>3</v>
      </c>
      <c r="B16" s="399" t="s">
        <v>361</v>
      </c>
      <c r="C16" s="399"/>
      <c r="D16" s="399"/>
      <c r="E16" s="399"/>
      <c r="F16" s="388"/>
      <c r="G16" s="207">
        <v>71</v>
      </c>
      <c r="H16" s="208">
        <v>11201</v>
      </c>
      <c r="I16" s="208"/>
      <c r="J16" s="202"/>
      <c r="K16" s="203"/>
    </row>
    <row r="17" spans="1:11" ht="16.5" customHeight="1">
      <c r="A17" s="212"/>
      <c r="B17" s="402" t="s">
        <v>362</v>
      </c>
      <c r="C17" s="402"/>
      <c r="D17" s="402"/>
      <c r="E17" s="402"/>
      <c r="F17" s="403"/>
      <c r="G17" s="213"/>
      <c r="H17" s="201">
        <v>112011</v>
      </c>
      <c r="I17" s="201"/>
      <c r="J17" s="202"/>
      <c r="K17" s="203"/>
    </row>
    <row r="18" spans="1:11" ht="16.5" customHeight="1">
      <c r="A18" s="212"/>
      <c r="B18" s="402" t="s">
        <v>363</v>
      </c>
      <c r="C18" s="402"/>
      <c r="D18" s="402"/>
      <c r="E18" s="402"/>
      <c r="F18" s="403"/>
      <c r="G18" s="213"/>
      <c r="H18" s="201">
        <v>112012</v>
      </c>
      <c r="I18" s="201"/>
      <c r="J18" s="202"/>
      <c r="K18" s="203"/>
    </row>
    <row r="19" spans="1:11" ht="16.5" customHeight="1">
      <c r="A19" s="214">
        <v>4</v>
      </c>
      <c r="B19" s="399" t="s">
        <v>364</v>
      </c>
      <c r="C19" s="399"/>
      <c r="D19" s="399"/>
      <c r="E19" s="399"/>
      <c r="F19" s="388"/>
      <c r="G19" s="215">
        <v>72</v>
      </c>
      <c r="H19" s="216">
        <v>11300</v>
      </c>
      <c r="I19" s="216"/>
      <c r="J19" s="202"/>
      <c r="K19" s="203"/>
    </row>
    <row r="20" spans="1:11" ht="16.5" customHeight="1">
      <c r="A20" s="204"/>
      <c r="B20" s="404" t="s">
        <v>365</v>
      </c>
      <c r="C20" s="405"/>
      <c r="D20" s="405"/>
      <c r="E20" s="405"/>
      <c r="F20" s="405"/>
      <c r="G20" s="217"/>
      <c r="H20" s="218">
        <v>11301</v>
      </c>
      <c r="I20" s="218"/>
      <c r="J20" s="202"/>
      <c r="K20" s="203"/>
    </row>
    <row r="21" spans="1:11" ht="16.5" customHeight="1">
      <c r="A21" s="219">
        <v>5</v>
      </c>
      <c r="B21" s="388" t="s">
        <v>366</v>
      </c>
      <c r="C21" s="389"/>
      <c r="D21" s="389"/>
      <c r="E21" s="389"/>
      <c r="F21" s="389"/>
      <c r="G21" s="220">
        <v>73</v>
      </c>
      <c r="H21" s="220">
        <v>11400</v>
      </c>
      <c r="I21" s="220"/>
      <c r="J21" s="202"/>
      <c r="K21" s="203"/>
    </row>
    <row r="22" spans="1:11" ht="16.5" customHeight="1">
      <c r="A22" s="221">
        <v>6</v>
      </c>
      <c r="B22" s="388" t="s">
        <v>367</v>
      </c>
      <c r="C22" s="389"/>
      <c r="D22" s="389"/>
      <c r="E22" s="389"/>
      <c r="F22" s="389"/>
      <c r="G22" s="220">
        <v>75</v>
      </c>
      <c r="H22" s="222">
        <v>11500</v>
      </c>
      <c r="I22" s="222"/>
      <c r="J22" s="202"/>
      <c r="K22" s="203"/>
    </row>
    <row r="23" spans="1:11" ht="16.5" customHeight="1">
      <c r="A23" s="219">
        <v>7</v>
      </c>
      <c r="B23" s="399" t="s">
        <v>368</v>
      </c>
      <c r="C23" s="399"/>
      <c r="D23" s="399"/>
      <c r="E23" s="399"/>
      <c r="F23" s="388"/>
      <c r="G23" s="207">
        <v>77</v>
      </c>
      <c r="H23" s="207">
        <v>11600</v>
      </c>
      <c r="I23" s="207"/>
      <c r="J23" s="202"/>
      <c r="K23" s="203"/>
    </row>
    <row r="24" spans="1:11" ht="16.5" customHeight="1" thickBot="1">
      <c r="A24" s="223" t="s">
        <v>369</v>
      </c>
      <c r="B24" s="390" t="s">
        <v>370</v>
      </c>
      <c r="C24" s="390"/>
      <c r="D24" s="390"/>
      <c r="E24" s="390"/>
      <c r="F24" s="390"/>
      <c r="G24" s="224"/>
      <c r="H24" s="224">
        <v>11800</v>
      </c>
      <c r="I24" s="224"/>
      <c r="J24" s="225"/>
      <c r="K24" s="226"/>
    </row>
    <row r="25" spans="1:11" ht="16.5" customHeight="1">
      <c r="A25" s="227"/>
      <c r="B25" s="228"/>
      <c r="C25" s="228"/>
      <c r="D25" s="228"/>
      <c r="E25" s="228"/>
      <c r="F25" s="228"/>
      <c r="G25" s="228"/>
      <c r="H25" s="228"/>
      <c r="I25" s="228"/>
      <c r="J25" s="229"/>
      <c r="K25" s="229"/>
    </row>
    <row r="26" spans="1:11" ht="16.5" customHeight="1">
      <c r="A26" s="227"/>
      <c r="B26" s="228"/>
      <c r="C26" s="228"/>
      <c r="D26" s="228"/>
      <c r="E26" s="228"/>
      <c r="F26" s="228"/>
      <c r="G26" s="228"/>
      <c r="H26" s="228"/>
      <c r="I26" s="228"/>
      <c r="J26" s="229"/>
      <c r="K26" s="229"/>
    </row>
    <row r="27" spans="1:11" ht="16.5" customHeight="1">
      <c r="A27" s="227"/>
      <c r="B27" s="228"/>
      <c r="C27" s="228"/>
      <c r="D27" s="228"/>
      <c r="E27" s="228"/>
      <c r="F27" s="228"/>
      <c r="G27" s="228"/>
      <c r="H27" s="345" t="s">
        <v>343</v>
      </c>
      <c r="I27" s="345"/>
      <c r="J27" s="345"/>
      <c r="K27" s="345"/>
    </row>
    <row r="28" spans="1:11" ht="16.5" customHeight="1">
      <c r="A28" s="227"/>
      <c r="B28" s="228"/>
      <c r="C28" s="228"/>
      <c r="D28" s="228"/>
      <c r="E28" s="228"/>
      <c r="F28" s="228"/>
      <c r="G28" s="228"/>
      <c r="H28" s="346" t="s">
        <v>516</v>
      </c>
      <c r="I28" s="346"/>
      <c r="J28" s="346"/>
      <c r="K28" s="346"/>
    </row>
    <row r="29" spans="1:11" ht="16.5" customHeight="1">
      <c r="A29" s="227"/>
      <c r="B29" s="228"/>
      <c r="C29" s="228"/>
      <c r="D29" s="228"/>
      <c r="E29" s="228"/>
      <c r="F29" s="228"/>
      <c r="G29" s="228"/>
      <c r="H29" s="228"/>
      <c r="I29" s="228"/>
      <c r="J29" s="229"/>
      <c r="K29" s="229"/>
    </row>
    <row r="30" spans="1:11" ht="16.5" customHeight="1">
      <c r="A30" s="227"/>
      <c r="B30" s="228"/>
      <c r="C30" s="228"/>
      <c r="D30" s="228"/>
      <c r="E30" s="228"/>
      <c r="F30" s="228"/>
      <c r="G30" s="228"/>
      <c r="H30" s="228"/>
      <c r="I30" s="228"/>
      <c r="J30" s="229"/>
      <c r="K30" s="229"/>
    </row>
    <row r="31" spans="1:11" ht="16.5" customHeight="1">
      <c r="A31" s="227"/>
      <c r="B31" s="228"/>
      <c r="C31" s="228"/>
      <c r="D31" s="228"/>
      <c r="E31" s="228"/>
      <c r="F31" s="228"/>
      <c r="G31" s="228"/>
      <c r="H31" s="228"/>
      <c r="I31" s="228"/>
      <c r="J31" s="229"/>
      <c r="K31" s="229"/>
    </row>
    <row r="32" spans="1:11" ht="16.5" customHeight="1">
      <c r="A32" s="227"/>
      <c r="B32" s="228"/>
      <c r="C32" s="228"/>
      <c r="D32" s="228"/>
      <c r="E32" s="228"/>
      <c r="F32" s="228"/>
      <c r="G32" s="228"/>
      <c r="H32" s="228"/>
      <c r="I32" s="228"/>
      <c r="J32" s="229"/>
      <c r="K32" s="229"/>
    </row>
    <row r="33" spans="1:11" ht="16.5" customHeight="1">
      <c r="A33" s="227"/>
      <c r="B33" s="228"/>
      <c r="C33" s="228"/>
      <c r="D33" s="228"/>
      <c r="E33" s="228"/>
      <c r="F33" s="228"/>
      <c r="G33" s="228"/>
      <c r="H33" s="228"/>
      <c r="I33" s="228"/>
      <c r="J33" s="229"/>
      <c r="K33" s="229"/>
    </row>
    <row r="34" spans="1:11" ht="16.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9"/>
      <c r="K34" s="229"/>
    </row>
    <row r="35" spans="1:11" ht="16.5" customHeight="1">
      <c r="A35" s="227"/>
      <c r="B35" s="228"/>
      <c r="C35" s="228"/>
      <c r="D35" s="228"/>
      <c r="E35" s="228"/>
      <c r="F35" s="228"/>
      <c r="G35" s="228"/>
      <c r="H35" s="228"/>
      <c r="I35" s="228"/>
      <c r="J35" s="229"/>
      <c r="K35" s="229"/>
    </row>
    <row r="36" spans="1:11" ht="16.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9"/>
      <c r="K36" s="229"/>
    </row>
    <row r="37" spans="1:11" ht="16.5" customHeight="1">
      <c r="A37" s="227"/>
      <c r="B37" s="228"/>
      <c r="C37" s="228"/>
      <c r="D37" s="228"/>
      <c r="E37" s="228"/>
      <c r="F37" s="228"/>
      <c r="G37" s="228"/>
      <c r="H37" s="228"/>
      <c r="I37" s="228"/>
      <c r="J37" s="229"/>
      <c r="K37" s="229"/>
    </row>
    <row r="38" spans="1:11" ht="16.5" customHeight="1">
      <c r="A38" s="227"/>
      <c r="B38" s="228"/>
      <c r="C38" s="228"/>
      <c r="D38" s="228"/>
      <c r="E38" s="228"/>
      <c r="F38" s="228"/>
      <c r="G38" s="228"/>
      <c r="H38" s="228"/>
      <c r="I38" s="228"/>
      <c r="J38" s="229"/>
      <c r="K38" s="229"/>
    </row>
    <row r="39" spans="1:14" ht="12.75" customHeight="1">
      <c r="A39" s="186"/>
      <c r="B39" s="166" t="s">
        <v>330</v>
      </c>
      <c r="C39" s="167" t="s">
        <v>485</v>
      </c>
      <c r="D39" s="187"/>
      <c r="E39" s="186"/>
      <c r="F39" s="186"/>
      <c r="G39" s="186"/>
      <c r="H39" s="186"/>
      <c r="I39" s="186"/>
      <c r="J39" s="186"/>
      <c r="K39" s="186"/>
      <c r="M39" s="230"/>
      <c r="N39" s="230"/>
    </row>
    <row r="40" spans="1:14" ht="12.75" customHeight="1">
      <c r="A40" s="186"/>
      <c r="B40" s="166" t="s">
        <v>331</v>
      </c>
      <c r="C40" s="167" t="s">
        <v>486</v>
      </c>
      <c r="D40" s="187"/>
      <c r="E40" s="186"/>
      <c r="F40" s="186"/>
      <c r="G40" s="186"/>
      <c r="H40" s="186"/>
      <c r="I40" s="186"/>
      <c r="J40" s="186"/>
      <c r="K40" s="186"/>
      <c r="M40" s="113"/>
      <c r="N40" s="113"/>
    </row>
    <row r="41" spans="1:14" ht="12.75" customHeight="1">
      <c r="A41" s="186"/>
      <c r="B41" s="188"/>
      <c r="C41" s="186"/>
      <c r="D41" s="186"/>
      <c r="E41" s="186"/>
      <c r="F41" s="186"/>
      <c r="G41" s="186"/>
      <c r="H41" s="186"/>
      <c r="I41" s="186"/>
      <c r="J41" s="188" t="s">
        <v>371</v>
      </c>
      <c r="K41" s="186"/>
      <c r="M41" s="113"/>
      <c r="N41" s="113"/>
    </row>
    <row r="42" spans="1:16" ht="12.7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90"/>
      <c r="K42" s="191" t="s">
        <v>501</v>
      </c>
      <c r="L42" s="150"/>
      <c r="M42" s="113"/>
      <c r="N42" s="113"/>
      <c r="O42" s="150"/>
      <c r="P42" s="150"/>
    </row>
    <row r="43" spans="1:14" ht="12.75" customHeight="1">
      <c r="A43" s="391" t="s">
        <v>345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3"/>
      <c r="M43" s="230"/>
      <c r="N43" s="230"/>
    </row>
    <row r="44" spans="1:14" ht="12.75" customHeight="1" thickBot="1">
      <c r="A44" s="231"/>
      <c r="B44" s="394" t="s">
        <v>372</v>
      </c>
      <c r="C44" s="395"/>
      <c r="D44" s="395"/>
      <c r="E44" s="395"/>
      <c r="F44" s="396"/>
      <c r="G44" s="232" t="s">
        <v>347</v>
      </c>
      <c r="H44" s="232" t="s">
        <v>348</v>
      </c>
      <c r="I44" s="330">
        <v>2012</v>
      </c>
      <c r="J44" s="233">
        <v>2011</v>
      </c>
      <c r="K44" s="233">
        <v>2010</v>
      </c>
      <c r="M44" s="230"/>
      <c r="N44" s="230"/>
    </row>
    <row r="45" spans="1:14" ht="12.75" customHeight="1">
      <c r="A45" s="234">
        <v>1</v>
      </c>
      <c r="B45" s="397" t="s">
        <v>373</v>
      </c>
      <c r="C45" s="398"/>
      <c r="D45" s="398"/>
      <c r="E45" s="398"/>
      <c r="F45" s="398"/>
      <c r="G45" s="284">
        <v>60</v>
      </c>
      <c r="H45" s="284">
        <v>12100</v>
      </c>
      <c r="I45" s="284"/>
      <c r="J45" s="235"/>
      <c r="K45" s="236"/>
      <c r="M45" s="230"/>
      <c r="N45" s="230"/>
    </row>
    <row r="46" spans="1:15" ht="12.75" customHeight="1">
      <c r="A46" s="237" t="s">
        <v>374</v>
      </c>
      <c r="B46" s="383" t="s">
        <v>375</v>
      </c>
      <c r="C46" s="383" t="s">
        <v>376</v>
      </c>
      <c r="D46" s="383"/>
      <c r="E46" s="383"/>
      <c r="F46" s="383"/>
      <c r="G46" s="281" t="s">
        <v>377</v>
      </c>
      <c r="H46" s="281">
        <v>12101</v>
      </c>
      <c r="I46" s="281"/>
      <c r="J46" s="279"/>
      <c r="K46" s="238"/>
      <c r="M46" s="111">
        <v>766</v>
      </c>
      <c r="N46" s="111">
        <v>18620</v>
      </c>
      <c r="O46" s="111">
        <v>18620</v>
      </c>
    </row>
    <row r="47" spans="1:15" ht="12.75" customHeight="1">
      <c r="A47" s="237" t="s">
        <v>353</v>
      </c>
      <c r="B47" s="383" t="s">
        <v>378</v>
      </c>
      <c r="C47" s="383" t="s">
        <v>376</v>
      </c>
      <c r="D47" s="383"/>
      <c r="E47" s="383"/>
      <c r="F47" s="383"/>
      <c r="G47" s="281"/>
      <c r="H47" s="283">
        <v>12102</v>
      </c>
      <c r="I47" s="283"/>
      <c r="J47" s="279"/>
      <c r="K47" s="238"/>
      <c r="M47" s="111">
        <v>767</v>
      </c>
      <c r="N47" s="111">
        <v>421.66</v>
      </c>
      <c r="O47" s="111">
        <v>421.66</v>
      </c>
    </row>
    <row r="48" spans="1:11" ht="12.75" customHeight="1">
      <c r="A48" s="237" t="s">
        <v>355</v>
      </c>
      <c r="B48" s="383" t="s">
        <v>379</v>
      </c>
      <c r="C48" s="383" t="s">
        <v>376</v>
      </c>
      <c r="D48" s="383"/>
      <c r="E48" s="383"/>
      <c r="F48" s="383"/>
      <c r="G48" s="281" t="s">
        <v>380</v>
      </c>
      <c r="H48" s="281">
        <v>12103</v>
      </c>
      <c r="I48" s="281"/>
      <c r="J48" s="279"/>
      <c r="K48" s="238"/>
    </row>
    <row r="49" spans="1:11" ht="12.75" customHeight="1">
      <c r="A49" s="237" t="s">
        <v>381</v>
      </c>
      <c r="B49" s="386" t="s">
        <v>382</v>
      </c>
      <c r="C49" s="383" t="s">
        <v>376</v>
      </c>
      <c r="D49" s="383"/>
      <c r="E49" s="383"/>
      <c r="F49" s="383"/>
      <c r="G49" s="281"/>
      <c r="H49" s="283">
        <v>12104</v>
      </c>
      <c r="I49" s="283"/>
      <c r="J49" s="279"/>
      <c r="K49" s="238"/>
    </row>
    <row r="50" spans="1:13" ht="12.75" customHeight="1">
      <c r="A50" s="237" t="s">
        <v>383</v>
      </c>
      <c r="B50" s="383" t="s">
        <v>384</v>
      </c>
      <c r="C50" s="383" t="s">
        <v>376</v>
      </c>
      <c r="D50" s="383"/>
      <c r="E50" s="383"/>
      <c r="F50" s="383"/>
      <c r="G50" s="281" t="s">
        <v>385</v>
      </c>
      <c r="H50" s="283">
        <v>12105</v>
      </c>
      <c r="I50" s="283"/>
      <c r="J50" s="279"/>
      <c r="K50" s="238"/>
      <c r="M50" s="111">
        <v>628</v>
      </c>
    </row>
    <row r="51" spans="1:15" ht="12.75" customHeight="1">
      <c r="A51" s="239">
        <v>2</v>
      </c>
      <c r="B51" s="382" t="s">
        <v>386</v>
      </c>
      <c r="C51" s="382"/>
      <c r="D51" s="382"/>
      <c r="E51" s="382"/>
      <c r="F51" s="382"/>
      <c r="G51" s="282">
        <v>64</v>
      </c>
      <c r="H51" s="282">
        <v>12200</v>
      </c>
      <c r="I51" s="240">
        <f>I52+I53</f>
        <v>1798895</v>
      </c>
      <c r="J51" s="240">
        <f>J52+J53</f>
        <v>1850799</v>
      </c>
      <c r="K51" s="240">
        <f>K52+K53</f>
        <v>1545021</v>
      </c>
      <c r="M51" s="111">
        <v>611</v>
      </c>
      <c r="N51" s="111">
        <v>2000</v>
      </c>
      <c r="O51" s="111">
        <v>2000</v>
      </c>
    </row>
    <row r="52" spans="1:15" ht="12.75" customHeight="1">
      <c r="A52" s="242" t="s">
        <v>387</v>
      </c>
      <c r="B52" s="382" t="s">
        <v>388</v>
      </c>
      <c r="C52" s="387"/>
      <c r="D52" s="387"/>
      <c r="E52" s="387"/>
      <c r="F52" s="387"/>
      <c r="G52" s="283">
        <v>641</v>
      </c>
      <c r="H52" s="283">
        <v>12201</v>
      </c>
      <c r="I52" s="243">
        <f>-PL!D55</f>
        <v>1730205</v>
      </c>
      <c r="J52" s="243">
        <f>-PL!E55</f>
        <v>1678653</v>
      </c>
      <c r="K52" s="243">
        <f>-PL!F13</f>
        <v>1448459</v>
      </c>
      <c r="M52" s="111">
        <v>618</v>
      </c>
      <c r="N52" s="111">
        <v>309859</v>
      </c>
      <c r="O52" s="111">
        <v>309859</v>
      </c>
    </row>
    <row r="53" spans="1:15" ht="12.75" customHeight="1">
      <c r="A53" s="242" t="s">
        <v>389</v>
      </c>
      <c r="B53" s="387" t="s">
        <v>390</v>
      </c>
      <c r="C53" s="387"/>
      <c r="D53" s="387"/>
      <c r="E53" s="387"/>
      <c r="F53" s="387"/>
      <c r="G53" s="283">
        <v>644</v>
      </c>
      <c r="H53" s="283">
        <v>12202</v>
      </c>
      <c r="I53" s="243">
        <f>-PL!D56</f>
        <v>68690</v>
      </c>
      <c r="J53" s="243">
        <f>-PL!E56</f>
        <v>172146</v>
      </c>
      <c r="K53" s="243">
        <f>-PL!F14</f>
        <v>96562</v>
      </c>
      <c r="M53" s="111">
        <v>634</v>
      </c>
      <c r="N53" s="111">
        <v>73940</v>
      </c>
      <c r="O53" s="111">
        <v>73940</v>
      </c>
    </row>
    <row r="54" spans="1:15" ht="12.75" customHeight="1">
      <c r="A54" s="239">
        <v>3</v>
      </c>
      <c r="B54" s="382" t="s">
        <v>391</v>
      </c>
      <c r="C54" s="382"/>
      <c r="D54" s="382"/>
      <c r="E54" s="382"/>
      <c r="F54" s="382"/>
      <c r="G54" s="282">
        <v>68</v>
      </c>
      <c r="H54" s="282">
        <v>12300</v>
      </c>
      <c r="I54" s="240">
        <f>-PL!D16</f>
        <v>381777</v>
      </c>
      <c r="J54" s="240">
        <f>-PL!E16</f>
        <v>183339</v>
      </c>
      <c r="K54" s="241"/>
      <c r="M54" s="111">
        <v>641</v>
      </c>
      <c r="N54" s="111">
        <v>1448459</v>
      </c>
      <c r="O54" s="111">
        <v>1448459</v>
      </c>
    </row>
    <row r="55" spans="1:15" ht="12.75" customHeight="1">
      <c r="A55" s="239">
        <v>4</v>
      </c>
      <c r="B55" s="382" t="s">
        <v>392</v>
      </c>
      <c r="C55" s="382"/>
      <c r="D55" s="382"/>
      <c r="E55" s="382"/>
      <c r="F55" s="382"/>
      <c r="G55" s="282">
        <v>61</v>
      </c>
      <c r="H55" s="282">
        <v>12400</v>
      </c>
      <c r="I55" s="244">
        <f>SUM(I56:I70)</f>
        <v>7859297.51</v>
      </c>
      <c r="J55" s="244">
        <f>SUM(J56:J70)</f>
        <v>4901019.44</v>
      </c>
      <c r="K55" s="286">
        <f>SUM(K56:K70)</f>
        <v>311859</v>
      </c>
      <c r="M55" s="111">
        <v>644</v>
      </c>
      <c r="N55" s="111">
        <v>96562</v>
      </c>
      <c r="O55" s="111">
        <v>96562</v>
      </c>
    </row>
    <row r="56" spans="1:15" ht="12.75" customHeight="1">
      <c r="A56" s="242" t="s">
        <v>14</v>
      </c>
      <c r="B56" s="380" t="s">
        <v>393</v>
      </c>
      <c r="C56" s="380"/>
      <c r="D56" s="380"/>
      <c r="E56" s="380"/>
      <c r="F56" s="380"/>
      <c r="G56" s="281"/>
      <c r="H56" s="281">
        <v>12401</v>
      </c>
      <c r="I56" s="240"/>
      <c r="J56" s="240"/>
      <c r="K56" s="241"/>
      <c r="M56" s="111">
        <v>654</v>
      </c>
      <c r="N56" s="111">
        <v>87500</v>
      </c>
      <c r="O56" s="111">
        <v>87500</v>
      </c>
    </row>
    <row r="57" spans="1:15" ht="12.75" customHeight="1">
      <c r="A57" s="242" t="s">
        <v>16</v>
      </c>
      <c r="B57" s="380" t="s">
        <v>394</v>
      </c>
      <c r="C57" s="380"/>
      <c r="D57" s="380"/>
      <c r="E57" s="380"/>
      <c r="F57" s="380"/>
      <c r="G57" s="280">
        <v>611</v>
      </c>
      <c r="H57" s="281">
        <v>12402</v>
      </c>
      <c r="I57" s="240">
        <f>-PL!D47</f>
        <v>404115.35</v>
      </c>
      <c r="J57" s="240">
        <f>-PL!E47</f>
        <v>34767.1</v>
      </c>
      <c r="K57" s="241">
        <v>2000</v>
      </c>
      <c r="M57" s="111">
        <v>657</v>
      </c>
      <c r="N57" s="111">
        <v>60693</v>
      </c>
      <c r="O57" s="111">
        <v>60693</v>
      </c>
    </row>
    <row r="58" spans="1:13" ht="12.75" customHeight="1">
      <c r="A58" s="242" t="s">
        <v>18</v>
      </c>
      <c r="B58" s="380" t="s">
        <v>204</v>
      </c>
      <c r="C58" s="380"/>
      <c r="D58" s="380"/>
      <c r="E58" s="380"/>
      <c r="F58" s="380"/>
      <c r="G58" s="281">
        <v>613</v>
      </c>
      <c r="H58" s="281">
        <v>12403</v>
      </c>
      <c r="I58" s="240">
        <f>-PL!D48</f>
        <v>217189.7</v>
      </c>
      <c r="J58" s="240">
        <f>-PL!E48</f>
        <v>183146.6</v>
      </c>
      <c r="K58" s="241"/>
      <c r="M58" s="111">
        <v>658</v>
      </c>
    </row>
    <row r="59" spans="1:15" ht="12.75" customHeight="1">
      <c r="A59" s="242" t="s">
        <v>55</v>
      </c>
      <c r="B59" s="380" t="s">
        <v>395</v>
      </c>
      <c r="C59" s="380"/>
      <c r="D59" s="380"/>
      <c r="E59" s="380"/>
      <c r="F59" s="380"/>
      <c r="G59" s="280">
        <v>615</v>
      </c>
      <c r="H59" s="281">
        <v>12404</v>
      </c>
      <c r="I59" s="245"/>
      <c r="J59" s="245"/>
      <c r="K59" s="246"/>
      <c r="M59" s="111">
        <v>666</v>
      </c>
      <c r="N59" s="111">
        <v>135348.8</v>
      </c>
      <c r="O59" s="111">
        <v>135348.8</v>
      </c>
    </row>
    <row r="60" spans="1:11" ht="12.75" customHeight="1">
      <c r="A60" s="242" t="s">
        <v>62</v>
      </c>
      <c r="B60" s="380" t="s">
        <v>396</v>
      </c>
      <c r="C60" s="380"/>
      <c r="D60" s="380"/>
      <c r="E60" s="380"/>
      <c r="F60" s="380"/>
      <c r="G60" s="280">
        <v>616</v>
      </c>
      <c r="H60" s="281">
        <v>12405</v>
      </c>
      <c r="I60" s="240">
        <f>-PL!D51</f>
        <v>59403.66</v>
      </c>
      <c r="J60" s="240">
        <f>-PL!E51</f>
        <v>40141.9</v>
      </c>
      <c r="K60" s="241"/>
    </row>
    <row r="61" spans="1:14" ht="12.75" customHeight="1">
      <c r="A61" s="242" t="s">
        <v>397</v>
      </c>
      <c r="B61" s="380" t="s">
        <v>398</v>
      </c>
      <c r="C61" s="380"/>
      <c r="D61" s="380"/>
      <c r="E61" s="380"/>
      <c r="F61" s="380"/>
      <c r="G61" s="280">
        <v>617</v>
      </c>
      <c r="H61" s="281">
        <v>12406</v>
      </c>
      <c r="I61" s="240"/>
      <c r="J61" s="240"/>
      <c r="K61" s="241"/>
      <c r="N61" s="113"/>
    </row>
    <row r="62" spans="1:14" ht="12.75" customHeight="1">
      <c r="A62" s="242" t="s">
        <v>399</v>
      </c>
      <c r="B62" s="383" t="s">
        <v>400</v>
      </c>
      <c r="C62" s="383" t="s">
        <v>376</v>
      </c>
      <c r="D62" s="383"/>
      <c r="E62" s="383"/>
      <c r="F62" s="383"/>
      <c r="G62" s="280">
        <v>618</v>
      </c>
      <c r="H62" s="281">
        <v>12407</v>
      </c>
      <c r="I62" s="240">
        <f>-PL!D49</f>
        <v>7099025.1</v>
      </c>
      <c r="J62" s="240">
        <f>-PL!E49</f>
        <v>4526179.4</v>
      </c>
      <c r="K62" s="241">
        <v>309859</v>
      </c>
      <c r="N62" s="113"/>
    </row>
    <row r="63" spans="1:14" ht="12.75" customHeight="1">
      <c r="A63" s="242" t="s">
        <v>401</v>
      </c>
      <c r="B63" s="383" t="s">
        <v>402</v>
      </c>
      <c r="C63" s="383"/>
      <c r="D63" s="383"/>
      <c r="E63" s="383"/>
      <c r="F63" s="383"/>
      <c r="G63" s="280">
        <v>623</v>
      </c>
      <c r="H63" s="281">
        <v>12408</v>
      </c>
      <c r="I63" s="240"/>
      <c r="J63" s="240"/>
      <c r="K63" s="241"/>
      <c r="N63" s="113"/>
    </row>
    <row r="64" spans="1:14" ht="12.75" customHeight="1">
      <c r="A64" s="242" t="s">
        <v>403</v>
      </c>
      <c r="B64" s="383" t="s">
        <v>404</v>
      </c>
      <c r="C64" s="383"/>
      <c r="D64" s="383"/>
      <c r="E64" s="383"/>
      <c r="F64" s="383"/>
      <c r="G64" s="280">
        <v>624</v>
      </c>
      <c r="H64" s="281">
        <v>12409</v>
      </c>
      <c r="I64" s="240"/>
      <c r="J64" s="240"/>
      <c r="K64" s="241"/>
      <c r="N64" s="113"/>
    </row>
    <row r="65" spans="1:14" ht="12.75" customHeight="1">
      <c r="A65" s="242" t="s">
        <v>405</v>
      </c>
      <c r="B65" s="383" t="s">
        <v>406</v>
      </c>
      <c r="C65" s="383"/>
      <c r="D65" s="383"/>
      <c r="E65" s="383"/>
      <c r="F65" s="383"/>
      <c r="G65" s="280">
        <v>625</v>
      </c>
      <c r="H65" s="281">
        <v>12410</v>
      </c>
      <c r="I65" s="240"/>
      <c r="J65" s="240"/>
      <c r="K65" s="241"/>
      <c r="N65" s="113"/>
    </row>
    <row r="66" spans="1:11" ht="12.75" customHeight="1">
      <c r="A66" s="242" t="s">
        <v>407</v>
      </c>
      <c r="B66" s="383" t="s">
        <v>408</v>
      </c>
      <c r="C66" s="383"/>
      <c r="D66" s="383"/>
      <c r="E66" s="383"/>
      <c r="F66" s="383"/>
      <c r="G66" s="280">
        <v>626</v>
      </c>
      <c r="H66" s="281">
        <v>12411</v>
      </c>
      <c r="I66" s="240">
        <f>-PL!D50</f>
        <v>6064.67</v>
      </c>
      <c r="J66" s="240">
        <f>-PL!E50</f>
        <v>48990.44</v>
      </c>
      <c r="K66" s="241"/>
    </row>
    <row r="67" spans="1:11" ht="12.75" customHeight="1">
      <c r="A67" s="247" t="s">
        <v>409</v>
      </c>
      <c r="B67" s="383" t="s">
        <v>410</v>
      </c>
      <c r="C67" s="383"/>
      <c r="D67" s="383"/>
      <c r="E67" s="383"/>
      <c r="F67" s="383"/>
      <c r="G67" s="280">
        <v>627</v>
      </c>
      <c r="H67" s="281">
        <v>12412</v>
      </c>
      <c r="I67" s="240"/>
      <c r="J67" s="240"/>
      <c r="K67" s="241"/>
    </row>
    <row r="68" spans="1:11" ht="12.75" customHeight="1">
      <c r="A68" s="242"/>
      <c r="B68" s="384" t="s">
        <v>411</v>
      </c>
      <c r="C68" s="384"/>
      <c r="D68" s="384"/>
      <c r="E68" s="384"/>
      <c r="F68" s="384"/>
      <c r="G68" s="280">
        <v>6271</v>
      </c>
      <c r="H68" s="280">
        <v>124121</v>
      </c>
      <c r="I68" s="240">
        <f>-PL!D52</f>
        <v>55328</v>
      </c>
      <c r="J68" s="240">
        <f>-PL!E52</f>
        <v>60312</v>
      </c>
      <c r="K68" s="241"/>
    </row>
    <row r="69" spans="1:14" ht="12.75" customHeight="1">
      <c r="A69" s="242"/>
      <c r="B69" s="384" t="s">
        <v>412</v>
      </c>
      <c r="C69" s="384"/>
      <c r="D69" s="384"/>
      <c r="E69" s="384"/>
      <c r="F69" s="384"/>
      <c r="G69" s="280">
        <v>6272</v>
      </c>
      <c r="H69" s="280">
        <v>124122</v>
      </c>
      <c r="I69" s="240"/>
      <c r="J69" s="240"/>
      <c r="K69" s="241"/>
      <c r="N69" s="113"/>
    </row>
    <row r="70" spans="1:11" ht="12.75" customHeight="1">
      <c r="A70" s="242" t="s">
        <v>413</v>
      </c>
      <c r="B70" s="383" t="s">
        <v>209</v>
      </c>
      <c r="C70" s="383"/>
      <c r="D70" s="383"/>
      <c r="E70" s="383"/>
      <c r="F70" s="383"/>
      <c r="G70" s="280">
        <v>628</v>
      </c>
      <c r="H70" s="280">
        <v>12413</v>
      </c>
      <c r="I70" s="240">
        <f>-PL!D53</f>
        <v>18171.03</v>
      </c>
      <c r="J70" s="240">
        <f>-PL!E53</f>
        <v>7482</v>
      </c>
      <c r="K70" s="241"/>
    </row>
    <row r="71" spans="1:11" ht="12.75" customHeight="1">
      <c r="A71" s="239">
        <v>5</v>
      </c>
      <c r="B71" s="386" t="s">
        <v>414</v>
      </c>
      <c r="C71" s="383"/>
      <c r="D71" s="383"/>
      <c r="E71" s="383"/>
      <c r="F71" s="383"/>
      <c r="G71" s="279">
        <v>63</v>
      </c>
      <c r="H71" s="279">
        <v>12500</v>
      </c>
      <c r="I71" s="241">
        <f>SUM(I72:I75)</f>
        <v>22120</v>
      </c>
      <c r="J71" s="241">
        <f>SUM(J72:J75)</f>
        <v>22120</v>
      </c>
      <c r="K71" s="241">
        <v>73940</v>
      </c>
    </row>
    <row r="72" spans="1:11" ht="12.75" customHeight="1">
      <c r="A72" s="242" t="s">
        <v>14</v>
      </c>
      <c r="B72" s="383" t="s">
        <v>415</v>
      </c>
      <c r="C72" s="383"/>
      <c r="D72" s="383"/>
      <c r="E72" s="383"/>
      <c r="F72" s="383"/>
      <c r="G72" s="280">
        <v>632</v>
      </c>
      <c r="H72" s="280">
        <v>12501</v>
      </c>
      <c r="I72" s="279"/>
      <c r="J72" s="279"/>
      <c r="K72" s="238"/>
    </row>
    <row r="73" spans="1:11" ht="12.75" customHeight="1">
      <c r="A73" s="242" t="s">
        <v>16</v>
      </c>
      <c r="B73" s="383" t="s">
        <v>416</v>
      </c>
      <c r="C73" s="383"/>
      <c r="D73" s="383"/>
      <c r="E73" s="383"/>
      <c r="F73" s="383"/>
      <c r="G73" s="280">
        <v>633</v>
      </c>
      <c r="H73" s="280">
        <v>12502</v>
      </c>
      <c r="I73" s="279"/>
      <c r="J73" s="279"/>
      <c r="K73" s="238"/>
    </row>
    <row r="74" spans="1:11" ht="12.75" customHeight="1">
      <c r="A74" s="242" t="s">
        <v>18</v>
      </c>
      <c r="B74" s="383" t="s">
        <v>210</v>
      </c>
      <c r="C74" s="383"/>
      <c r="D74" s="383"/>
      <c r="E74" s="383"/>
      <c r="F74" s="383"/>
      <c r="G74" s="280">
        <v>634</v>
      </c>
      <c r="H74" s="280">
        <v>12503</v>
      </c>
      <c r="I74" s="248">
        <f>-PL!D54</f>
        <v>22120</v>
      </c>
      <c r="J74" s="248">
        <f>-PL!E54</f>
        <v>22120</v>
      </c>
      <c r="K74" s="287">
        <v>73940</v>
      </c>
    </row>
    <row r="75" spans="1:11" ht="12.75" customHeight="1">
      <c r="A75" s="242" t="s">
        <v>55</v>
      </c>
      <c r="B75" s="383" t="s">
        <v>417</v>
      </c>
      <c r="C75" s="383"/>
      <c r="D75" s="383"/>
      <c r="E75" s="383"/>
      <c r="F75" s="383"/>
      <c r="G75" s="280" t="s">
        <v>418</v>
      </c>
      <c r="H75" s="280">
        <v>12504</v>
      </c>
      <c r="I75" s="279"/>
      <c r="J75" s="279"/>
      <c r="K75" s="238"/>
    </row>
    <row r="76" spans="1:11" ht="12.75" customHeight="1">
      <c r="A76" s="239" t="s">
        <v>419</v>
      </c>
      <c r="B76" s="382" t="s">
        <v>420</v>
      </c>
      <c r="C76" s="382"/>
      <c r="D76" s="382"/>
      <c r="E76" s="382"/>
      <c r="F76" s="382"/>
      <c r="G76" s="280"/>
      <c r="H76" s="280">
        <v>12600</v>
      </c>
      <c r="I76" s="287">
        <f>I45+I51+I54+I55+I71</f>
        <v>10062089.51</v>
      </c>
      <c r="J76" s="287">
        <f>J45+J51+J54+J55+J71</f>
        <v>6957277.44</v>
      </c>
      <c r="K76" s="287">
        <f>K45+K51+K54+K55+K71</f>
        <v>1930820</v>
      </c>
    </row>
    <row r="77" spans="1:11" ht="12.75" customHeight="1">
      <c r="A77" s="249"/>
      <c r="B77" s="250" t="s">
        <v>421</v>
      </c>
      <c r="C77" s="251"/>
      <c r="D77" s="251"/>
      <c r="E77" s="251"/>
      <c r="F77" s="251"/>
      <c r="G77" s="251"/>
      <c r="H77" s="251"/>
      <c r="I77" s="252" t="s">
        <v>522</v>
      </c>
      <c r="J77" s="252" t="s">
        <v>487</v>
      </c>
      <c r="K77" s="253" t="s">
        <v>349</v>
      </c>
    </row>
    <row r="78" spans="1:11" ht="12.75" customHeight="1">
      <c r="A78" s="254">
        <v>1</v>
      </c>
      <c r="B78" s="379" t="s">
        <v>422</v>
      </c>
      <c r="C78" s="379"/>
      <c r="D78" s="379"/>
      <c r="E78" s="379"/>
      <c r="F78" s="379"/>
      <c r="G78" s="279"/>
      <c r="H78" s="279">
        <v>14000</v>
      </c>
      <c r="I78" s="288">
        <v>1</v>
      </c>
      <c r="J78" s="288">
        <v>1</v>
      </c>
      <c r="K78" s="289">
        <v>1</v>
      </c>
    </row>
    <row r="79" spans="1:11" ht="12.75" customHeight="1">
      <c r="A79" s="254">
        <v>2</v>
      </c>
      <c r="B79" s="379" t="s">
        <v>423</v>
      </c>
      <c r="C79" s="379"/>
      <c r="D79" s="379"/>
      <c r="E79" s="379"/>
      <c r="F79" s="379"/>
      <c r="G79" s="279"/>
      <c r="H79" s="279">
        <v>15000</v>
      </c>
      <c r="I79" s="279"/>
      <c r="J79" s="279"/>
      <c r="K79" s="238"/>
    </row>
    <row r="80" spans="1:11" ht="12.75" customHeight="1">
      <c r="A80" s="255" t="s">
        <v>14</v>
      </c>
      <c r="B80" s="380" t="s">
        <v>424</v>
      </c>
      <c r="C80" s="380"/>
      <c r="D80" s="380"/>
      <c r="E80" s="380"/>
      <c r="F80" s="380"/>
      <c r="G80" s="279"/>
      <c r="H80" s="280">
        <v>15001</v>
      </c>
      <c r="I80" s="248">
        <f>I81</f>
        <v>100726149</v>
      </c>
      <c r="J80" s="248">
        <f>J81</f>
        <v>100726149</v>
      </c>
      <c r="K80" s="238"/>
    </row>
    <row r="81" spans="1:11" ht="12.75" customHeight="1">
      <c r="A81" s="255"/>
      <c r="B81" s="381" t="s">
        <v>425</v>
      </c>
      <c r="C81" s="381"/>
      <c r="D81" s="381"/>
      <c r="E81" s="381"/>
      <c r="F81" s="381"/>
      <c r="G81" s="279"/>
      <c r="H81" s="280">
        <v>150011</v>
      </c>
      <c r="I81" s="240">
        <f>'Aktive afat gjata materiale'!E17</f>
        <v>100726149</v>
      </c>
      <c r="J81" s="240">
        <f>'Aktive afat gjata materiale'!E11+'Aktive afat gjata materiale'!E8</f>
        <v>100726149</v>
      </c>
      <c r="K81" s="238"/>
    </row>
    <row r="82" spans="1:11" ht="12.75" customHeight="1">
      <c r="A82" s="256" t="s">
        <v>16</v>
      </c>
      <c r="B82" s="380" t="s">
        <v>426</v>
      </c>
      <c r="C82" s="380"/>
      <c r="D82" s="380"/>
      <c r="E82" s="380"/>
      <c r="F82" s="380"/>
      <c r="G82" s="279"/>
      <c r="H82" s="280">
        <v>15002</v>
      </c>
      <c r="I82" s="280"/>
      <c r="J82" s="279"/>
      <c r="K82" s="238"/>
    </row>
    <row r="83" spans="1:11" ht="12.75" customHeight="1" thickBot="1">
      <c r="A83" s="257"/>
      <c r="B83" s="385" t="s">
        <v>427</v>
      </c>
      <c r="C83" s="385"/>
      <c r="D83" s="385"/>
      <c r="E83" s="385"/>
      <c r="F83" s="385"/>
      <c r="G83" s="258"/>
      <c r="H83" s="259">
        <v>150021</v>
      </c>
      <c r="I83" s="259"/>
      <c r="J83" s="258"/>
      <c r="K83" s="260"/>
    </row>
    <row r="84" spans="1:12" ht="15.75">
      <c r="A84" s="171"/>
      <c r="B84" s="171"/>
      <c r="C84" s="171"/>
      <c r="D84" s="171"/>
      <c r="E84" s="171"/>
      <c r="F84" s="171"/>
      <c r="G84" s="171"/>
      <c r="H84" s="171"/>
      <c r="I84" s="171"/>
      <c r="J84" s="290"/>
      <c r="K84" s="290"/>
      <c r="L84" s="290"/>
    </row>
    <row r="85" spans="1:12" ht="15.75">
      <c r="A85" s="186"/>
      <c r="B85" s="186"/>
      <c r="C85" s="186"/>
      <c r="D85" s="186"/>
      <c r="E85" s="186"/>
      <c r="F85" s="186"/>
      <c r="G85" s="186"/>
      <c r="H85" s="345" t="s">
        <v>343</v>
      </c>
      <c r="I85" s="345"/>
      <c r="J85" s="345"/>
      <c r="K85" s="345"/>
      <c r="L85" s="291"/>
    </row>
    <row r="86" spans="1:11" ht="17.25">
      <c r="A86" s="186"/>
      <c r="B86" s="186"/>
      <c r="C86" s="186"/>
      <c r="D86" s="186"/>
      <c r="E86" s="186"/>
      <c r="F86" s="186"/>
      <c r="G86" s="186"/>
      <c r="H86" s="346" t="str">
        <f>H28</f>
        <v>Ervin Kajno</v>
      </c>
      <c r="I86" s="346"/>
      <c r="J86" s="346"/>
      <c r="K86" s="346"/>
    </row>
    <row r="87" spans="1:11" ht="15.7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261"/>
    </row>
    <row r="88" spans="1:11" ht="15.7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261"/>
    </row>
    <row r="89" spans="1:11" ht="15.75">
      <c r="A89" s="186"/>
      <c r="C89" s="167" t="s">
        <v>485</v>
      </c>
      <c r="F89" s="186"/>
      <c r="G89" s="186"/>
      <c r="H89" s="186"/>
      <c r="I89" s="186"/>
      <c r="J89" s="186"/>
      <c r="K89" s="261"/>
    </row>
    <row r="90" spans="1:11" ht="15">
      <c r="A90" s="186"/>
      <c r="C90" s="167" t="s">
        <v>486</v>
      </c>
      <c r="F90" s="186"/>
      <c r="G90" s="186"/>
      <c r="H90" s="186"/>
      <c r="I90" s="186"/>
      <c r="J90" s="186"/>
      <c r="K90" s="186"/>
    </row>
    <row r="91" spans="1:11" ht="15">
      <c r="A91" s="186"/>
      <c r="C91" s="166"/>
      <c r="E91" s="188" t="s">
        <v>428</v>
      </c>
      <c r="F91" s="186"/>
      <c r="G91" s="186"/>
      <c r="H91" s="186"/>
      <c r="I91" s="186"/>
      <c r="J91" s="186"/>
      <c r="K91" s="186"/>
    </row>
    <row r="92" spans="1:11" ht="15">
      <c r="A92" s="186"/>
      <c r="F92" s="186"/>
      <c r="G92" s="186"/>
      <c r="H92" s="186"/>
      <c r="I92" s="186"/>
      <c r="J92" s="186"/>
      <c r="K92" s="186"/>
    </row>
    <row r="93" spans="1:11" ht="15">
      <c r="A93" s="186"/>
      <c r="B93" s="174"/>
      <c r="C93" s="174"/>
      <c r="D93" s="217" t="s">
        <v>429</v>
      </c>
      <c r="E93" s="217" t="s">
        <v>430</v>
      </c>
      <c r="F93" s="186"/>
      <c r="G93" s="186"/>
      <c r="H93" s="186"/>
      <c r="I93" s="186"/>
      <c r="J93" s="186"/>
      <c r="K93" s="186"/>
    </row>
    <row r="94" spans="1:11" ht="15">
      <c r="A94" s="186"/>
      <c r="B94" s="174">
        <v>1</v>
      </c>
      <c r="C94" s="217" t="s">
        <v>431</v>
      </c>
      <c r="D94" s="262" t="s">
        <v>432</v>
      </c>
      <c r="E94" s="262"/>
      <c r="F94" s="186"/>
      <c r="G94" s="186"/>
      <c r="H94" s="186"/>
      <c r="I94" s="186"/>
      <c r="J94" s="186"/>
      <c r="K94" s="186"/>
    </row>
    <row r="95" spans="1:11" ht="15">
      <c r="A95" s="186"/>
      <c r="B95" s="174">
        <v>2</v>
      </c>
      <c r="C95" s="217" t="s">
        <v>431</v>
      </c>
      <c r="D95" s="262" t="s">
        <v>433</v>
      </c>
      <c r="E95" s="174"/>
      <c r="F95" s="186"/>
      <c r="G95" s="186"/>
      <c r="H95" s="186"/>
      <c r="I95" s="186"/>
      <c r="J95" s="186"/>
      <c r="K95" s="186"/>
    </row>
    <row r="96" spans="1:11" ht="15">
      <c r="A96" s="186"/>
      <c r="B96" s="174">
        <v>3</v>
      </c>
      <c r="C96" s="217" t="s">
        <v>431</v>
      </c>
      <c r="D96" s="262" t="s">
        <v>434</v>
      </c>
      <c r="E96" s="174"/>
      <c r="F96" s="186"/>
      <c r="G96" s="186"/>
      <c r="H96" s="186"/>
      <c r="I96" s="186"/>
      <c r="J96" s="186"/>
      <c r="K96" s="186"/>
    </row>
    <row r="97" spans="1:11" ht="15">
      <c r="A97" s="186"/>
      <c r="B97" s="174">
        <v>4</v>
      </c>
      <c r="C97" s="217" t="s">
        <v>431</v>
      </c>
      <c r="D97" s="262" t="s">
        <v>435</v>
      </c>
      <c r="E97" s="174"/>
      <c r="F97" s="186"/>
      <c r="G97" s="186"/>
      <c r="H97" s="186"/>
      <c r="I97" s="186"/>
      <c r="J97" s="186"/>
      <c r="K97" s="186"/>
    </row>
    <row r="98" spans="1:11" ht="15">
      <c r="A98" s="186"/>
      <c r="B98" s="174">
        <v>5</v>
      </c>
      <c r="C98" s="217" t="s">
        <v>431</v>
      </c>
      <c r="D98" s="262" t="s">
        <v>436</v>
      </c>
      <c r="E98" s="174"/>
      <c r="F98" s="186"/>
      <c r="G98" s="186"/>
      <c r="H98" s="186"/>
      <c r="I98" s="186"/>
      <c r="J98" s="186"/>
      <c r="K98" s="186"/>
    </row>
    <row r="99" spans="1:11" ht="15">
      <c r="A99" s="186"/>
      <c r="B99" s="174">
        <v>6</v>
      </c>
      <c r="C99" s="217" t="s">
        <v>431</v>
      </c>
      <c r="D99" s="262" t="s">
        <v>437</v>
      </c>
      <c r="E99" s="174"/>
      <c r="F99" s="186"/>
      <c r="G99" s="186"/>
      <c r="H99" s="186"/>
      <c r="I99" s="186"/>
      <c r="J99" s="186"/>
      <c r="K99" s="186"/>
    </row>
    <row r="100" spans="1:11" ht="15">
      <c r="A100" s="186"/>
      <c r="B100" s="174">
        <v>7</v>
      </c>
      <c r="C100" s="217" t="s">
        <v>431</v>
      </c>
      <c r="D100" s="262" t="s">
        <v>438</v>
      </c>
      <c r="E100" s="174"/>
      <c r="F100" s="186"/>
      <c r="G100" s="186"/>
      <c r="H100" s="186"/>
      <c r="I100" s="186"/>
      <c r="J100" s="186"/>
      <c r="K100" s="186"/>
    </row>
    <row r="101" spans="1:11" ht="15">
      <c r="A101" s="186"/>
      <c r="B101" s="174">
        <v>8</v>
      </c>
      <c r="C101" s="217" t="s">
        <v>431</v>
      </c>
      <c r="D101" s="262" t="s">
        <v>439</v>
      </c>
      <c r="E101" s="174"/>
      <c r="F101" s="186"/>
      <c r="G101" s="186"/>
      <c r="H101" s="186"/>
      <c r="I101" s="186"/>
      <c r="J101" s="186"/>
      <c r="K101" s="186"/>
    </row>
    <row r="102" spans="1:11" ht="15">
      <c r="A102" s="186"/>
      <c r="B102" s="217" t="s">
        <v>44</v>
      </c>
      <c r="C102" s="217"/>
      <c r="D102" s="217" t="s">
        <v>440</v>
      </c>
      <c r="E102" s="217"/>
      <c r="F102" s="186"/>
      <c r="G102" s="186"/>
      <c r="H102" s="186"/>
      <c r="I102" s="186"/>
      <c r="J102" s="186"/>
      <c r="K102" s="186"/>
    </row>
    <row r="103" spans="1:11" ht="15">
      <c r="A103" s="186"/>
      <c r="B103" s="174">
        <v>9</v>
      </c>
      <c r="C103" s="217" t="s">
        <v>441</v>
      </c>
      <c r="D103" s="262" t="s">
        <v>442</v>
      </c>
      <c r="E103" s="174"/>
      <c r="F103" s="186"/>
      <c r="G103" s="186"/>
      <c r="H103" s="186"/>
      <c r="I103" s="186"/>
      <c r="J103" s="186"/>
      <c r="K103" s="186"/>
    </row>
    <row r="104" spans="1:11" ht="15">
      <c r="A104" s="186"/>
      <c r="B104" s="174">
        <v>10</v>
      </c>
      <c r="C104" s="217" t="s">
        <v>441</v>
      </c>
      <c r="D104" s="262" t="s">
        <v>443</v>
      </c>
      <c r="E104" s="262"/>
      <c r="F104" s="186"/>
      <c r="G104" s="186"/>
      <c r="H104" s="186"/>
      <c r="I104" s="186"/>
      <c r="J104" s="186"/>
      <c r="K104" s="186"/>
    </row>
    <row r="105" spans="1:11" ht="15">
      <c r="A105" s="186"/>
      <c r="B105" s="174">
        <v>11</v>
      </c>
      <c r="C105" s="217" t="s">
        <v>441</v>
      </c>
      <c r="D105" s="262" t="s">
        <v>444</v>
      </c>
      <c r="E105" s="174"/>
      <c r="F105" s="186"/>
      <c r="G105" s="186"/>
      <c r="H105" s="186"/>
      <c r="I105" s="186"/>
      <c r="J105" s="186"/>
      <c r="K105" s="186"/>
    </row>
    <row r="106" spans="1:11" ht="15">
      <c r="A106" s="186"/>
      <c r="B106" s="217" t="s">
        <v>68</v>
      </c>
      <c r="C106" s="217"/>
      <c r="D106" s="217" t="s">
        <v>445</v>
      </c>
      <c r="E106" s="217"/>
      <c r="F106" s="186"/>
      <c r="G106" s="186"/>
      <c r="H106" s="186"/>
      <c r="I106" s="186"/>
      <c r="J106" s="186"/>
      <c r="K106" s="186"/>
    </row>
    <row r="107" spans="1:11" ht="15">
      <c r="A107" s="186"/>
      <c r="B107" s="174">
        <v>12</v>
      </c>
      <c r="C107" s="217" t="s">
        <v>446</v>
      </c>
      <c r="D107" s="262" t="s">
        <v>447</v>
      </c>
      <c r="E107" s="174"/>
      <c r="F107" s="186"/>
      <c r="G107" s="186"/>
      <c r="H107" s="186"/>
      <c r="I107" s="186"/>
      <c r="J107" s="186"/>
      <c r="K107" s="186"/>
    </row>
    <row r="108" spans="1:11" ht="15">
      <c r="A108" s="186"/>
      <c r="B108" s="174">
        <v>13</v>
      </c>
      <c r="C108" s="217" t="s">
        <v>446</v>
      </c>
      <c r="D108" s="217" t="s">
        <v>448</v>
      </c>
      <c r="E108" s="174"/>
      <c r="F108" s="186"/>
      <c r="G108" s="186"/>
      <c r="H108" s="186"/>
      <c r="I108" s="186"/>
      <c r="J108" s="186"/>
      <c r="K108" s="186"/>
    </row>
    <row r="109" spans="1:11" ht="15">
      <c r="A109" s="186"/>
      <c r="B109" s="174">
        <v>14</v>
      </c>
      <c r="C109" s="217" t="s">
        <v>446</v>
      </c>
      <c r="D109" s="262" t="s">
        <v>449</v>
      </c>
      <c r="E109" s="174"/>
      <c r="F109" s="186"/>
      <c r="G109" s="186"/>
      <c r="H109" s="186"/>
      <c r="I109" s="186"/>
      <c r="J109" s="186"/>
      <c r="K109" s="186"/>
    </row>
    <row r="110" spans="1:11" ht="15">
      <c r="A110" s="186"/>
      <c r="B110" s="174">
        <v>15</v>
      </c>
      <c r="C110" s="217" t="s">
        <v>446</v>
      </c>
      <c r="D110" s="262" t="s">
        <v>450</v>
      </c>
      <c r="E110" s="174"/>
      <c r="F110" s="186"/>
      <c r="G110" s="186"/>
      <c r="H110" s="186"/>
      <c r="I110" s="186"/>
      <c r="J110" s="186"/>
      <c r="K110" s="186"/>
    </row>
    <row r="111" spans="1:11" ht="15">
      <c r="A111" s="186"/>
      <c r="B111" s="174">
        <v>16</v>
      </c>
      <c r="C111" s="217" t="s">
        <v>446</v>
      </c>
      <c r="D111" s="262" t="s">
        <v>451</v>
      </c>
      <c r="E111" s="174"/>
      <c r="F111" s="186"/>
      <c r="G111" s="186"/>
      <c r="H111" s="186"/>
      <c r="I111" s="186"/>
      <c r="J111" s="186"/>
      <c r="K111" s="186"/>
    </row>
    <row r="112" spans="1:11" ht="15">
      <c r="A112" s="186"/>
      <c r="B112" s="174">
        <v>17</v>
      </c>
      <c r="C112" s="217" t="s">
        <v>446</v>
      </c>
      <c r="D112" s="262" t="s">
        <v>452</v>
      </c>
      <c r="E112" s="174"/>
      <c r="F112" s="186"/>
      <c r="G112" s="186"/>
      <c r="H112" s="186"/>
      <c r="I112" s="186"/>
      <c r="J112" s="186"/>
      <c r="K112" s="186"/>
    </row>
    <row r="113" spans="1:11" ht="15">
      <c r="A113" s="186"/>
      <c r="B113" s="174">
        <v>18</v>
      </c>
      <c r="C113" s="217" t="s">
        <v>446</v>
      </c>
      <c r="D113" s="262" t="s">
        <v>453</v>
      </c>
      <c r="E113" s="174"/>
      <c r="F113" s="186"/>
      <c r="G113" s="186"/>
      <c r="H113" s="186"/>
      <c r="I113" s="186"/>
      <c r="J113" s="186"/>
      <c r="K113" s="186"/>
    </row>
    <row r="114" spans="1:11" ht="15">
      <c r="A114" s="186"/>
      <c r="B114" s="174">
        <v>19</v>
      </c>
      <c r="C114" s="217" t="s">
        <v>446</v>
      </c>
      <c r="D114" s="262" t="s">
        <v>454</v>
      </c>
      <c r="E114" s="174"/>
      <c r="F114" s="186"/>
      <c r="G114" s="186"/>
      <c r="H114" s="186"/>
      <c r="I114" s="186"/>
      <c r="J114" s="186"/>
      <c r="K114" s="186"/>
    </row>
    <row r="115" spans="1:11" ht="15">
      <c r="A115" s="186"/>
      <c r="B115" s="217" t="s">
        <v>115</v>
      </c>
      <c r="C115" s="217"/>
      <c r="D115" s="217" t="s">
        <v>455</v>
      </c>
      <c r="E115" s="174"/>
      <c r="F115" s="186"/>
      <c r="G115" s="186"/>
      <c r="H115" s="186"/>
      <c r="I115" s="186"/>
      <c r="J115" s="186"/>
      <c r="K115" s="186"/>
    </row>
    <row r="116" spans="1:11" ht="15">
      <c r="A116" s="186"/>
      <c r="B116" s="174">
        <v>20</v>
      </c>
      <c r="C116" s="217" t="s">
        <v>456</v>
      </c>
      <c r="D116" s="262" t="s">
        <v>457</v>
      </c>
      <c r="E116" s="174"/>
      <c r="F116" s="186"/>
      <c r="G116" s="186"/>
      <c r="H116" s="186"/>
      <c r="I116" s="186"/>
      <c r="J116" s="186"/>
      <c r="K116" s="186"/>
    </row>
    <row r="117" spans="1:11" ht="15">
      <c r="A117" s="186"/>
      <c r="B117" s="174">
        <v>21</v>
      </c>
      <c r="C117" s="217" t="s">
        <v>456</v>
      </c>
      <c r="D117" s="262" t="s">
        <v>458</v>
      </c>
      <c r="E117" s="262"/>
      <c r="F117" s="186"/>
      <c r="G117" s="186"/>
      <c r="H117" s="186"/>
      <c r="I117" s="186"/>
      <c r="J117" s="186"/>
      <c r="K117" s="186"/>
    </row>
    <row r="118" spans="1:11" ht="15">
      <c r="A118" s="186"/>
      <c r="B118" s="174">
        <v>22</v>
      </c>
      <c r="C118" s="217" t="s">
        <v>456</v>
      </c>
      <c r="D118" s="262" t="s">
        <v>459</v>
      </c>
      <c r="E118" s="262"/>
      <c r="F118" s="186"/>
      <c r="G118" s="186"/>
      <c r="H118" s="186"/>
      <c r="I118" s="186"/>
      <c r="J118" s="186"/>
      <c r="K118" s="186"/>
    </row>
    <row r="119" spans="1:11" ht="15">
      <c r="A119" s="186"/>
      <c r="B119" s="174">
        <v>23</v>
      </c>
      <c r="C119" s="217" t="s">
        <v>456</v>
      </c>
      <c r="D119" s="262" t="s">
        <v>460</v>
      </c>
      <c r="E119" s="174"/>
      <c r="F119" s="186"/>
      <c r="G119" s="186"/>
      <c r="H119" s="186"/>
      <c r="I119" s="186"/>
      <c r="J119" s="186"/>
      <c r="K119" s="186"/>
    </row>
    <row r="120" spans="1:11" ht="15">
      <c r="A120" s="186"/>
      <c r="B120" s="217" t="s">
        <v>461</v>
      </c>
      <c r="C120" s="217"/>
      <c r="D120" s="217" t="s">
        <v>462</v>
      </c>
      <c r="E120" s="174"/>
      <c r="F120" s="186"/>
      <c r="G120" s="186"/>
      <c r="H120" s="186"/>
      <c r="I120" s="186"/>
      <c r="J120" s="186"/>
      <c r="K120" s="186"/>
    </row>
    <row r="121" spans="1:11" ht="15">
      <c r="A121" s="186"/>
      <c r="B121" s="174">
        <v>24</v>
      </c>
      <c r="C121" s="217" t="s">
        <v>463</v>
      </c>
      <c r="D121" s="262" t="s">
        <v>464</v>
      </c>
      <c r="E121" s="174"/>
      <c r="F121" s="186"/>
      <c r="G121" s="186"/>
      <c r="H121" s="186"/>
      <c r="I121" s="186"/>
      <c r="J121" s="186"/>
      <c r="K121" s="186"/>
    </row>
    <row r="122" spans="1:11" ht="15">
      <c r="A122" s="186"/>
      <c r="B122" s="174">
        <v>25</v>
      </c>
      <c r="C122" s="217" t="s">
        <v>463</v>
      </c>
      <c r="D122" s="262" t="s">
        <v>465</v>
      </c>
      <c r="E122" s="174"/>
      <c r="F122" s="186"/>
      <c r="G122" s="186"/>
      <c r="H122" s="186"/>
      <c r="I122" s="186"/>
      <c r="J122" s="186"/>
      <c r="K122" s="186"/>
    </row>
    <row r="123" spans="1:11" ht="15">
      <c r="A123" s="186"/>
      <c r="B123" s="174">
        <v>26</v>
      </c>
      <c r="C123" s="217" t="s">
        <v>463</v>
      </c>
      <c r="D123" s="262" t="s">
        <v>466</v>
      </c>
      <c r="E123" s="174"/>
      <c r="F123" s="186"/>
      <c r="G123" s="186"/>
      <c r="H123" s="186"/>
      <c r="I123" s="186"/>
      <c r="J123" s="186"/>
      <c r="K123" s="186"/>
    </row>
    <row r="124" spans="1:11" ht="15">
      <c r="A124" s="186"/>
      <c r="B124" s="174">
        <v>27</v>
      </c>
      <c r="C124" s="217" t="s">
        <v>463</v>
      </c>
      <c r="D124" s="262" t="s">
        <v>467</v>
      </c>
      <c r="E124" s="174"/>
      <c r="F124" s="186"/>
      <c r="G124" s="186"/>
      <c r="H124" s="186"/>
      <c r="I124" s="186"/>
      <c r="J124" s="186"/>
      <c r="K124" s="186"/>
    </row>
    <row r="125" spans="1:11" ht="15">
      <c r="A125" s="186"/>
      <c r="B125" s="174">
        <v>28</v>
      </c>
      <c r="C125" s="217" t="s">
        <v>463</v>
      </c>
      <c r="D125" s="262" t="s">
        <v>468</v>
      </c>
      <c r="E125" s="262"/>
      <c r="F125" s="186"/>
      <c r="G125" s="186"/>
      <c r="H125" s="186"/>
      <c r="I125" s="186"/>
      <c r="J125" s="186"/>
      <c r="K125" s="186"/>
    </row>
    <row r="126" spans="1:11" ht="15">
      <c r="A126" s="186"/>
      <c r="B126" s="174">
        <v>29</v>
      </c>
      <c r="C126" s="217" t="s">
        <v>463</v>
      </c>
      <c r="D126" s="263" t="s">
        <v>469</v>
      </c>
      <c r="E126" s="174"/>
      <c r="F126" s="186"/>
      <c r="G126" s="186"/>
      <c r="H126" s="186"/>
      <c r="I126" s="186"/>
      <c r="J126" s="186"/>
      <c r="K126" s="186"/>
    </row>
    <row r="127" spans="1:11" ht="15">
      <c r="A127" s="186"/>
      <c r="B127" s="174">
        <v>30</v>
      </c>
      <c r="C127" s="217" t="s">
        <v>463</v>
      </c>
      <c r="D127" s="262" t="s">
        <v>470</v>
      </c>
      <c r="E127" s="174"/>
      <c r="F127" s="186"/>
      <c r="G127" s="186"/>
      <c r="H127" s="186"/>
      <c r="I127" s="186"/>
      <c r="J127" s="186"/>
      <c r="K127" s="186"/>
    </row>
    <row r="128" spans="1:11" ht="15">
      <c r="A128" s="186"/>
      <c r="B128" s="174">
        <v>31</v>
      </c>
      <c r="C128" s="217" t="s">
        <v>463</v>
      </c>
      <c r="D128" s="262" t="s">
        <v>471</v>
      </c>
      <c r="E128" s="174"/>
      <c r="F128" s="186"/>
      <c r="G128" s="186"/>
      <c r="H128" s="186"/>
      <c r="I128" s="186"/>
      <c r="J128" s="186"/>
      <c r="K128" s="186"/>
    </row>
    <row r="129" spans="1:11" ht="15">
      <c r="A129" s="186"/>
      <c r="B129" s="174">
        <v>32</v>
      </c>
      <c r="C129" s="217" t="s">
        <v>463</v>
      </c>
      <c r="D129" s="262" t="s">
        <v>472</v>
      </c>
      <c r="E129" s="174"/>
      <c r="F129" s="186"/>
      <c r="G129" s="186"/>
      <c r="H129" s="186"/>
      <c r="I129" s="186"/>
      <c r="J129" s="186"/>
      <c r="K129" s="186"/>
    </row>
    <row r="130" spans="1:11" ht="15">
      <c r="A130" s="186"/>
      <c r="B130" s="174">
        <v>33</v>
      </c>
      <c r="C130" s="217" t="s">
        <v>463</v>
      </c>
      <c r="D130" s="262" t="s">
        <v>473</v>
      </c>
      <c r="E130" s="174"/>
      <c r="F130" s="186"/>
      <c r="G130" s="186"/>
      <c r="H130" s="186"/>
      <c r="I130" s="186"/>
      <c r="J130" s="186"/>
      <c r="K130" s="186"/>
    </row>
    <row r="131" spans="1:11" ht="15">
      <c r="A131" s="186"/>
      <c r="B131" s="264">
        <v>34</v>
      </c>
      <c r="C131" s="217" t="s">
        <v>463</v>
      </c>
      <c r="D131" s="262" t="s">
        <v>474</v>
      </c>
      <c r="E131" s="174"/>
      <c r="F131" s="186"/>
      <c r="G131" s="186"/>
      <c r="H131" s="186"/>
      <c r="I131" s="186"/>
      <c r="J131" s="186"/>
      <c r="K131" s="186"/>
    </row>
    <row r="132" spans="1:11" ht="15">
      <c r="A132" s="186"/>
      <c r="B132" s="217" t="s">
        <v>475</v>
      </c>
      <c r="C132" s="174"/>
      <c r="D132" s="217" t="s">
        <v>476</v>
      </c>
      <c r="E132" s="217"/>
      <c r="F132" s="186"/>
      <c r="G132" s="186"/>
      <c r="H132" s="186"/>
      <c r="I132" s="186"/>
      <c r="J132" s="186"/>
      <c r="K132" s="186"/>
    </row>
    <row r="133" spans="1:11" ht="15">
      <c r="A133" s="186"/>
      <c r="B133" s="174"/>
      <c r="C133" s="174"/>
      <c r="D133" s="217" t="s">
        <v>477</v>
      </c>
      <c r="E133" s="265"/>
      <c r="F133" s="186"/>
      <c r="G133" s="186"/>
      <c r="H133" s="186"/>
      <c r="I133" s="186"/>
      <c r="J133" s="186"/>
      <c r="K133" s="186"/>
    </row>
    <row r="134" spans="1:11" ht="15">
      <c r="A134" s="186"/>
      <c r="F134" s="186"/>
      <c r="G134" s="186"/>
      <c r="H134" s="186"/>
      <c r="I134" s="186"/>
      <c r="J134" s="186"/>
      <c r="K134" s="186"/>
    </row>
    <row r="135" spans="1:11" ht="15">
      <c r="A135" s="186"/>
      <c r="F135" s="186"/>
      <c r="G135" s="186"/>
      <c r="H135" s="186"/>
      <c r="I135" s="186"/>
      <c r="J135" s="186"/>
      <c r="K135" s="186"/>
    </row>
    <row r="136" spans="1:11" ht="15">
      <c r="A136" s="186"/>
      <c r="C136" s="266" t="s">
        <v>478</v>
      </c>
      <c r="D136" s="176"/>
      <c r="E136" s="217" t="s">
        <v>479</v>
      </c>
      <c r="F136" s="186"/>
      <c r="G136" s="186"/>
      <c r="H136" s="186"/>
      <c r="I136" s="186"/>
      <c r="J136" s="186"/>
      <c r="K136" s="186"/>
    </row>
    <row r="137" spans="1:11" ht="15">
      <c r="A137" s="186"/>
      <c r="C137" s="267"/>
      <c r="D137" s="268"/>
      <c r="E137" s="268"/>
      <c r="F137" s="186"/>
      <c r="G137" s="186"/>
      <c r="H137" s="186"/>
      <c r="I137" s="186"/>
      <c r="J137" s="186"/>
      <c r="K137" s="186"/>
    </row>
    <row r="138" spans="1:11" ht="15">
      <c r="A138" s="186"/>
      <c r="C138" s="269" t="s">
        <v>480</v>
      </c>
      <c r="D138" s="269"/>
      <c r="E138" s="174"/>
      <c r="F138" s="186"/>
      <c r="G138" s="186"/>
      <c r="H138" s="186"/>
      <c r="I138" s="186"/>
      <c r="J138" s="186"/>
      <c r="K138" s="186"/>
    </row>
    <row r="139" spans="1:11" ht="15">
      <c r="A139" s="186"/>
      <c r="C139" s="174" t="s">
        <v>481</v>
      </c>
      <c r="D139" s="174"/>
      <c r="E139" s="174"/>
      <c r="F139" s="186"/>
      <c r="G139" s="186"/>
      <c r="H139" s="186"/>
      <c r="I139" s="186"/>
      <c r="J139" s="186"/>
      <c r="K139" s="186"/>
    </row>
    <row r="140" spans="1:11" ht="15">
      <c r="A140" s="186"/>
      <c r="C140" s="174" t="s">
        <v>482</v>
      </c>
      <c r="D140" s="174"/>
      <c r="E140" s="174"/>
      <c r="F140" s="186"/>
      <c r="G140" s="186"/>
      <c r="H140" s="186"/>
      <c r="I140" s="186"/>
      <c r="J140" s="186"/>
      <c r="K140" s="186"/>
    </row>
    <row r="141" spans="1:11" ht="15">
      <c r="A141" s="186"/>
      <c r="C141" s="174" t="s">
        <v>483</v>
      </c>
      <c r="D141" s="174"/>
      <c r="E141" s="174"/>
      <c r="F141" s="186"/>
      <c r="G141" s="186"/>
      <c r="H141" s="186"/>
      <c r="I141" s="186"/>
      <c r="J141" s="186"/>
      <c r="K141" s="186"/>
    </row>
    <row r="142" spans="1:11" ht="15">
      <c r="A142" s="186"/>
      <c r="C142" s="174" t="s">
        <v>484</v>
      </c>
      <c r="D142" s="176"/>
      <c r="E142" s="174">
        <v>1</v>
      </c>
      <c r="F142" s="186"/>
      <c r="G142" s="186"/>
      <c r="H142" s="186"/>
      <c r="I142" s="186"/>
      <c r="J142" s="186"/>
      <c r="K142" s="186"/>
    </row>
    <row r="143" spans="1:11" ht="15">
      <c r="A143" s="186"/>
      <c r="C143" s="270"/>
      <c r="D143" s="271" t="s">
        <v>50</v>
      </c>
      <c r="E143" s="271">
        <v>1</v>
      </c>
      <c r="F143" s="186"/>
      <c r="G143" s="186"/>
      <c r="H143" s="186"/>
      <c r="I143" s="186"/>
      <c r="J143" s="186"/>
      <c r="K143" s="186"/>
    </row>
    <row r="144" spans="1:11" ht="15">
      <c r="A144" s="186"/>
      <c r="F144" s="186"/>
      <c r="G144" s="186"/>
      <c r="H144" s="186"/>
      <c r="I144" s="186"/>
      <c r="J144" s="186"/>
      <c r="K144" s="186"/>
    </row>
    <row r="145" spans="1:11" ht="15.75">
      <c r="A145" s="186"/>
      <c r="C145" s="290"/>
      <c r="D145" s="345" t="s">
        <v>343</v>
      </c>
      <c r="E145" s="345"/>
      <c r="F145" s="186"/>
      <c r="G145" s="186"/>
      <c r="H145" s="186"/>
      <c r="I145" s="186"/>
      <c r="J145" s="186"/>
      <c r="K145" s="186"/>
    </row>
    <row r="146" spans="1:11" ht="17.25">
      <c r="A146" s="186"/>
      <c r="C146" s="292"/>
      <c r="D146" s="346" t="str">
        <f>H86</f>
        <v>Ervin Kajno</v>
      </c>
      <c r="E146" s="346"/>
      <c r="F146" s="186"/>
      <c r="G146" s="186"/>
      <c r="H146" s="186"/>
      <c r="I146" s="186"/>
      <c r="J146" s="186"/>
      <c r="K146" s="186"/>
    </row>
    <row r="147" spans="1:11" ht="15">
      <c r="A147" s="186"/>
      <c r="C147" s="188"/>
      <c r="F147" s="186"/>
      <c r="G147" s="186"/>
      <c r="H147" s="186"/>
      <c r="I147" s="186"/>
      <c r="J147" s="186"/>
      <c r="K147" s="186"/>
    </row>
    <row r="148" spans="1:11" ht="1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</row>
    <row r="149" spans="1:11" ht="1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</row>
    <row r="150" spans="1:11" ht="1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</row>
    <row r="151" spans="1:11" ht="1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</row>
    <row r="152" spans="1:11" ht="1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</row>
    <row r="153" spans="1:11" ht="1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</row>
    <row r="154" spans="1:11" ht="1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</row>
    <row r="155" spans="1:11" ht="1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</row>
    <row r="156" spans="1:11" ht="1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</row>
    <row r="157" spans="1:11" ht="1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</row>
    <row r="158" spans="1:11" ht="1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</row>
    <row r="159" spans="1:11" ht="1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</row>
    <row r="160" spans="1:11" ht="1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</row>
    <row r="161" spans="1:11" ht="1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</row>
    <row r="162" spans="1:11" ht="1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</row>
    <row r="163" spans="1:11" ht="1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</row>
    <row r="164" spans="1:11" ht="1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</row>
    <row r="165" spans="1:11" ht="1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</row>
    <row r="166" spans="1:11" ht="1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</row>
    <row r="167" spans="1:11" ht="1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</row>
    <row r="168" spans="1:11" ht="1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</row>
    <row r="169" spans="1:11" ht="1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</row>
    <row r="170" spans="1:11" ht="1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</row>
    <row r="171" spans="1:11" ht="1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</row>
    <row r="172" spans="1:11" ht="1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</row>
    <row r="173" spans="1:11" ht="1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</row>
    <row r="174" spans="1:11" ht="1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</row>
    <row r="175" spans="1:11" ht="1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</sheetData>
  <sheetProtection/>
  <mergeCells count="65">
    <mergeCell ref="B18:F18"/>
    <mergeCell ref="B19:F19"/>
    <mergeCell ref="B20:F20"/>
    <mergeCell ref="B11:F11"/>
    <mergeCell ref="A6:K6"/>
    <mergeCell ref="B7:F7"/>
    <mergeCell ref="B8:F8"/>
    <mergeCell ref="B9:F9"/>
    <mergeCell ref="B10:F10"/>
    <mergeCell ref="B12:F12"/>
    <mergeCell ref="B13:F13"/>
    <mergeCell ref="B14:F14"/>
    <mergeCell ref="B15:F15"/>
    <mergeCell ref="B16:F16"/>
    <mergeCell ref="B17:F17"/>
    <mergeCell ref="B71:F71"/>
    <mergeCell ref="B53:F53"/>
    <mergeCell ref="B24:F24"/>
    <mergeCell ref="A43:K43"/>
    <mergeCell ref="B44:F44"/>
    <mergeCell ref="B45:F45"/>
    <mergeCell ref="B46:F46"/>
    <mergeCell ref="B54:F54"/>
    <mergeCell ref="B56:F56"/>
    <mergeCell ref="B58:F58"/>
    <mergeCell ref="B21:F21"/>
    <mergeCell ref="B22:F22"/>
    <mergeCell ref="B70:F70"/>
    <mergeCell ref="B23:F23"/>
    <mergeCell ref="B47:F47"/>
    <mergeCell ref="B48:F48"/>
    <mergeCell ref="B49:F49"/>
    <mergeCell ref="B50:F50"/>
    <mergeCell ref="B51:F51"/>
    <mergeCell ref="B52:F52"/>
    <mergeCell ref="D145:E145"/>
    <mergeCell ref="B63:F63"/>
    <mergeCell ref="B64:F64"/>
    <mergeCell ref="B65:F65"/>
    <mergeCell ref="B69:F69"/>
    <mergeCell ref="B60:F60"/>
    <mergeCell ref="B72:F72"/>
    <mergeCell ref="B61:F61"/>
    <mergeCell ref="B73:F73"/>
    <mergeCell ref="B62:F62"/>
    <mergeCell ref="D146:E146"/>
    <mergeCell ref="B75:F75"/>
    <mergeCell ref="B76:F76"/>
    <mergeCell ref="B66:F66"/>
    <mergeCell ref="B67:F67"/>
    <mergeCell ref="B68:F68"/>
    <mergeCell ref="B82:F82"/>
    <mergeCell ref="B83:F83"/>
    <mergeCell ref="B78:F78"/>
    <mergeCell ref="B74:F74"/>
    <mergeCell ref="H85:K85"/>
    <mergeCell ref="H86:K86"/>
    <mergeCell ref="H27:K27"/>
    <mergeCell ref="H28:K28"/>
    <mergeCell ref="B79:F79"/>
    <mergeCell ref="B80:F80"/>
    <mergeCell ref="B81:F81"/>
    <mergeCell ref="B55:F55"/>
    <mergeCell ref="B57:F57"/>
    <mergeCell ref="B59:F59"/>
  </mergeCells>
  <printOptions/>
  <pageMargins left="0.24" right="0.7" top="0.36" bottom="0.28" header="0.3" footer="0.3"/>
  <pageSetup horizontalDpi="600" verticalDpi="600" orientation="portrait" paperSize="9" scale="68" r:id="rId1"/>
  <rowBreaks count="2" manualBreakCount="2">
    <brk id="31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A43" sqref="A43:IV65"/>
    </sheetView>
  </sheetViews>
  <sheetFormatPr defaultColWidth="9.140625" defaultRowHeight="15"/>
  <cols>
    <col min="2" max="2" width="19.57421875" style="0" bestFit="1" customWidth="1"/>
    <col min="3" max="5" width="10.8515625" style="0" customWidth="1"/>
  </cols>
  <sheetData>
    <row r="2" s="111" customFormat="1" ht="15"/>
    <row r="3" s="111" customFormat="1" ht="15"/>
    <row r="4" spans="1:2" s="111" customFormat="1" ht="15">
      <c r="A4" s="115" t="s">
        <v>488</v>
      </c>
      <c r="B4" s="167" t="s">
        <v>485</v>
      </c>
    </row>
    <row r="5" spans="1:2" s="111" customFormat="1" ht="15">
      <c r="A5" s="285" t="s">
        <v>489</v>
      </c>
      <c r="B5" s="167" t="s">
        <v>486</v>
      </c>
    </row>
    <row r="7" spans="1:5" ht="15">
      <c r="A7" s="170" t="s">
        <v>490</v>
      </c>
      <c r="B7" s="170" t="s">
        <v>492</v>
      </c>
      <c r="C7" s="170" t="s">
        <v>493</v>
      </c>
      <c r="D7" s="170" t="s">
        <v>494</v>
      </c>
      <c r="E7" s="170" t="s">
        <v>495</v>
      </c>
    </row>
    <row r="8" spans="1:5" ht="15">
      <c r="A8" s="170">
        <v>1</v>
      </c>
      <c r="B8" s="170" t="s">
        <v>497</v>
      </c>
      <c r="C8" s="170" t="s">
        <v>498</v>
      </c>
      <c r="D8" s="170" t="s">
        <v>496</v>
      </c>
      <c r="E8" s="275">
        <f>BSH!E145</f>
        <v>2029599.57</v>
      </c>
    </row>
    <row r="9" spans="1:5" ht="15">
      <c r="A9" s="170">
        <v>2</v>
      </c>
      <c r="B9" s="174"/>
      <c r="C9" s="174"/>
      <c r="D9" s="174"/>
      <c r="E9" s="174"/>
    </row>
    <row r="10" spans="1:5" ht="15">
      <c r="A10" s="170">
        <v>3</v>
      </c>
      <c r="B10" s="174"/>
      <c r="C10" s="174"/>
      <c r="D10" s="174"/>
      <c r="E10" s="174"/>
    </row>
    <row r="11" spans="1:5" ht="15">
      <c r="A11" s="170">
        <v>4</v>
      </c>
      <c r="B11" s="174"/>
      <c r="C11" s="174"/>
      <c r="D11" s="174"/>
      <c r="E11" s="174"/>
    </row>
    <row r="12" spans="1:5" ht="15">
      <c r="A12" s="170">
        <v>5</v>
      </c>
      <c r="B12" s="174"/>
      <c r="C12" s="174"/>
      <c r="D12" s="174"/>
      <c r="E12" s="174"/>
    </row>
    <row r="13" spans="1:5" ht="15">
      <c r="A13" s="170">
        <v>6</v>
      </c>
      <c r="B13" s="174"/>
      <c r="C13" s="174"/>
      <c r="D13" s="174"/>
      <c r="E13" s="174"/>
    </row>
    <row r="14" spans="1:5" ht="15">
      <c r="A14" s="170">
        <v>7</v>
      </c>
      <c r="B14" s="174"/>
      <c r="C14" s="174"/>
      <c r="D14" s="174"/>
      <c r="E14" s="174"/>
    </row>
    <row r="15" spans="1:5" ht="15">
      <c r="A15" s="170">
        <v>8</v>
      </c>
      <c r="B15" s="174"/>
      <c r="C15" s="174"/>
      <c r="D15" s="174"/>
      <c r="E15" s="174"/>
    </row>
    <row r="16" spans="1:5" ht="15">
      <c r="A16" s="170">
        <v>9</v>
      </c>
      <c r="B16" s="174"/>
      <c r="C16" s="174"/>
      <c r="D16" s="174"/>
      <c r="E16" s="174"/>
    </row>
    <row r="17" spans="1:5" ht="15">
      <c r="A17" s="170">
        <v>10</v>
      </c>
      <c r="B17" s="174"/>
      <c r="C17" s="174"/>
      <c r="D17" s="174"/>
      <c r="E17" s="174"/>
    </row>
    <row r="18" spans="1:5" ht="15">
      <c r="A18" s="170">
        <v>11</v>
      </c>
      <c r="B18" s="174"/>
      <c r="C18" s="174"/>
      <c r="D18" s="174"/>
      <c r="E18" s="174"/>
    </row>
    <row r="19" spans="1:5" ht="15">
      <c r="A19" s="170">
        <v>12</v>
      </c>
      <c r="B19" s="174"/>
      <c r="C19" s="174"/>
      <c r="D19" s="174"/>
      <c r="E19" s="174"/>
    </row>
    <row r="20" spans="1:5" ht="15">
      <c r="A20" s="170">
        <v>13</v>
      </c>
      <c r="B20" s="174"/>
      <c r="C20" s="174"/>
      <c r="D20" s="174"/>
      <c r="E20" s="174"/>
    </row>
    <row r="21" spans="1:5" ht="15">
      <c r="A21" s="170">
        <v>14</v>
      </c>
      <c r="B21" s="174"/>
      <c r="C21" s="174"/>
      <c r="D21" s="174"/>
      <c r="E21" s="174"/>
    </row>
    <row r="22" spans="1:5" ht="15">
      <c r="A22" s="170" t="s">
        <v>491</v>
      </c>
      <c r="B22" s="174"/>
      <c r="C22" s="174"/>
      <c r="D22" s="174"/>
      <c r="E22" s="174"/>
    </row>
    <row r="23" spans="1:5" ht="15">
      <c r="A23" s="174"/>
      <c r="B23" s="174"/>
      <c r="C23" s="174"/>
      <c r="D23" s="174"/>
      <c r="E23" s="174"/>
    </row>
    <row r="24" spans="1:5" ht="15">
      <c r="A24" s="174"/>
      <c r="B24" s="174"/>
      <c r="C24" s="174"/>
      <c r="D24" s="174"/>
      <c r="E24" s="174"/>
    </row>
    <row r="25" spans="1:5" ht="15">
      <c r="A25" s="174"/>
      <c r="B25" s="174"/>
      <c r="C25" s="174"/>
      <c r="D25" s="174"/>
      <c r="E25" s="174"/>
    </row>
    <row r="27" spans="3:5" ht="15.75">
      <c r="C27" s="345" t="s">
        <v>343</v>
      </c>
      <c r="D27" s="345"/>
      <c r="E27" s="345"/>
    </row>
    <row r="28" spans="3:5" ht="17.25">
      <c r="C28" s="346" t="s">
        <v>516</v>
      </c>
      <c r="D28" s="346"/>
      <c r="E28" s="346"/>
    </row>
  </sheetData>
  <sheetProtection/>
  <mergeCells count="2">
    <mergeCell ref="C27:E27"/>
    <mergeCell ref="C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IV6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4">
      <selection activeCell="A43" sqref="A43:IV65"/>
    </sheetView>
  </sheetViews>
  <sheetFormatPr defaultColWidth="9.140625" defaultRowHeight="15"/>
  <cols>
    <col min="1" max="1" width="5.00390625" style="0" bestFit="1" customWidth="1"/>
    <col min="2" max="2" width="58.28125" style="0" customWidth="1"/>
    <col min="3" max="3" width="9.7109375" style="0" customWidth="1"/>
    <col min="4" max="4" width="16.7109375" style="111" customWidth="1"/>
    <col min="5" max="5" width="16.7109375" style="0" customWidth="1"/>
    <col min="6" max="6" width="17.140625" style="0" hidden="1" customWidth="1"/>
  </cols>
  <sheetData>
    <row r="1" spans="1:6" ht="16.5">
      <c r="A1" s="347" t="s">
        <v>0</v>
      </c>
      <c r="B1" s="347"/>
      <c r="C1" s="347"/>
      <c r="D1" s="347"/>
      <c r="E1" s="347"/>
      <c r="F1" s="347"/>
    </row>
    <row r="2" spans="1:6" ht="16.5">
      <c r="A2" s="348" t="s">
        <v>513</v>
      </c>
      <c r="B2" s="348"/>
      <c r="C2" s="348"/>
      <c r="D2" s="348"/>
      <c r="E2" s="348"/>
      <c r="F2" s="2" t="s">
        <v>1</v>
      </c>
    </row>
    <row r="3" spans="1:6" ht="16.5" hidden="1">
      <c r="A3" s="3"/>
      <c r="B3" s="3"/>
      <c r="C3" s="3"/>
      <c r="D3" s="3"/>
      <c r="E3" s="3"/>
      <c r="F3" s="2"/>
    </row>
    <row r="4" spans="1:6" ht="16.5" customHeight="1">
      <c r="A4" s="349" t="s">
        <v>2</v>
      </c>
      <c r="B4" s="349" t="s">
        <v>3</v>
      </c>
      <c r="C4" s="351" t="s">
        <v>4</v>
      </c>
      <c r="D4" s="351" t="s">
        <v>5</v>
      </c>
      <c r="E4" s="351" t="s">
        <v>6</v>
      </c>
      <c r="F4" s="351">
        <v>2011</v>
      </c>
    </row>
    <row r="5" spans="1:6" ht="16.5" customHeight="1">
      <c r="A5" s="350"/>
      <c r="B5" s="350"/>
      <c r="C5" s="351"/>
      <c r="D5" s="351"/>
      <c r="E5" s="351"/>
      <c r="F5" s="351"/>
    </row>
    <row r="6" spans="1:6" ht="19.5" customHeight="1">
      <c r="A6" s="4">
        <v>1</v>
      </c>
      <c r="B6" s="293" t="s">
        <v>7</v>
      </c>
      <c r="C6" s="4"/>
      <c r="D6" s="4"/>
      <c r="E6" s="6">
        <f aca="true" t="shared" si="0" ref="E6:E11">SUMIF($G$43:$G$62,$B6,$E$43:$E$62)</f>
        <v>0</v>
      </c>
      <c r="F6" s="6">
        <v>0</v>
      </c>
    </row>
    <row r="7" spans="1:6" ht="19.5" customHeight="1">
      <c r="A7" s="4">
        <v>2</v>
      </c>
      <c r="B7" s="293" t="s">
        <v>8</v>
      </c>
      <c r="C7" s="4"/>
      <c r="D7" s="6">
        <f>SUMIF($G$42:$G$62,$B7,$D$42:$D$62)</f>
        <v>5650</v>
      </c>
      <c r="E7" s="7">
        <f t="shared" si="0"/>
        <v>0</v>
      </c>
      <c r="F7" s="7">
        <v>0</v>
      </c>
    </row>
    <row r="8" spans="1:6" ht="19.5" customHeight="1">
      <c r="A8" s="4">
        <v>3</v>
      </c>
      <c r="B8" s="293" t="s">
        <v>9</v>
      </c>
      <c r="C8" s="8"/>
      <c r="D8" s="6">
        <f>SUMIF($G$42:$G$62,$B8,$D$42:$D$62)</f>
        <v>0</v>
      </c>
      <c r="E8" s="9">
        <f t="shared" si="0"/>
        <v>0</v>
      </c>
      <c r="F8" s="9">
        <v>0</v>
      </c>
    </row>
    <row r="9" spans="1:6" ht="30" customHeight="1">
      <c r="A9" s="4">
        <v>4</v>
      </c>
      <c r="B9" s="293" t="s">
        <v>10</v>
      </c>
      <c r="C9" s="8"/>
      <c r="D9" s="6">
        <f>SUMIF($G$42:$G$62,$B9,$D$42:$D$62)</f>
        <v>0</v>
      </c>
      <c r="E9" s="8">
        <f t="shared" si="0"/>
        <v>0</v>
      </c>
      <c r="F9" s="8">
        <v>0</v>
      </c>
    </row>
    <row r="10" spans="1:6" ht="19.5" customHeight="1">
      <c r="A10" s="4">
        <v>5</v>
      </c>
      <c r="B10" s="293" t="s">
        <v>11</v>
      </c>
      <c r="C10" s="8"/>
      <c r="D10" s="6">
        <f>SUMIF($G$42:$G$62,$B10,$D$42:$D$62)</f>
        <v>0</v>
      </c>
      <c r="E10" s="7">
        <f t="shared" si="0"/>
        <v>0</v>
      </c>
      <c r="F10" s="7">
        <v>0</v>
      </c>
    </row>
    <row r="11" spans="1:6" ht="19.5" customHeight="1">
      <c r="A11" s="4">
        <v>6</v>
      </c>
      <c r="B11" s="293" t="s">
        <v>12</v>
      </c>
      <c r="C11" s="8"/>
      <c r="D11" s="6">
        <f>SUMIF($G$42:$G$62,$B11,$D$42:$D$62)</f>
        <v>-9847671.48</v>
      </c>
      <c r="E11" s="6">
        <f t="shared" si="0"/>
        <v>-5085724.440000001</v>
      </c>
      <c r="F11" s="6">
        <v>-533992</v>
      </c>
    </row>
    <row r="12" spans="1:6" ht="19.5" customHeight="1">
      <c r="A12" s="4">
        <v>7</v>
      </c>
      <c r="B12" s="293" t="s">
        <v>13</v>
      </c>
      <c r="C12" s="8"/>
      <c r="D12" s="6">
        <f>SUM(D13:D15)</f>
        <v>-1798895</v>
      </c>
      <c r="E12" s="6">
        <f>SUM(E13:E15)</f>
        <v>-1850799</v>
      </c>
      <c r="F12" s="6">
        <v>-1545021</v>
      </c>
    </row>
    <row r="13" spans="1:6" ht="19.5" customHeight="1">
      <c r="A13" s="10" t="s">
        <v>14</v>
      </c>
      <c r="B13" s="294" t="s">
        <v>15</v>
      </c>
      <c r="C13" s="8"/>
      <c r="D13" s="6">
        <f>SUMIF($G$42:$G$62,$B13,$D$42:$D$62)</f>
        <v>-1730205</v>
      </c>
      <c r="E13" s="7">
        <f>SUMIF($G$43:$G$62,$B13,$E$43:$E$62)</f>
        <v>-1678653</v>
      </c>
      <c r="F13" s="7">
        <v>-1448459</v>
      </c>
    </row>
    <row r="14" spans="1:6" ht="19.5" customHeight="1">
      <c r="A14" s="10" t="s">
        <v>16</v>
      </c>
      <c r="B14" s="294" t="s">
        <v>17</v>
      </c>
      <c r="C14" s="8"/>
      <c r="D14" s="7">
        <f>SUMIF($G$43:$G$62,$B14,$D$43:$D$62)</f>
        <v>-68690</v>
      </c>
      <c r="E14" s="7">
        <f>SUMIF($G$43:$G$62,$B14,$E$43:$E$62)</f>
        <v>-172146</v>
      </c>
      <c r="F14" s="7">
        <v>-96562</v>
      </c>
    </row>
    <row r="15" spans="1:6" ht="19.5" customHeight="1">
      <c r="A15" s="10" t="s">
        <v>18</v>
      </c>
      <c r="B15" s="294" t="s">
        <v>19</v>
      </c>
      <c r="C15" s="8"/>
      <c r="D15" s="6">
        <f>SUMIF($G$43:$G$62,$B15,$D$42:$D$62)</f>
        <v>0</v>
      </c>
      <c r="E15" s="8"/>
      <c r="F15" s="8"/>
    </row>
    <row r="16" spans="1:6" ht="19.5" customHeight="1">
      <c r="A16" s="4">
        <v>8</v>
      </c>
      <c r="B16" s="293" t="s">
        <v>20</v>
      </c>
      <c r="C16" s="8"/>
      <c r="D16" s="7">
        <f>SUMIF($G$43:$G$62,$B16,$D$43:$D$62)</f>
        <v>-381777</v>
      </c>
      <c r="E16" s="7">
        <f>SUMIF($G$43:$G$62,$B16,$E$43:$E$62)</f>
        <v>-183339</v>
      </c>
      <c r="F16" s="8">
        <v>0</v>
      </c>
    </row>
    <row r="17" spans="1:6" ht="19.5" customHeight="1">
      <c r="A17" s="11"/>
      <c r="B17" s="295" t="s">
        <v>21</v>
      </c>
      <c r="C17" s="12"/>
      <c r="D17" s="13">
        <f>D6+D7+D8+D9+D10+D11+D12+D16</f>
        <v>-12022693.48</v>
      </c>
      <c r="E17" s="13">
        <f>E6+E7+E8+E9+E10+E11+E12+E16</f>
        <v>-7119862.440000001</v>
      </c>
      <c r="F17" s="13">
        <v>-2079013</v>
      </c>
    </row>
    <row r="18" spans="1:6" ht="19.5" customHeight="1">
      <c r="A18" s="10"/>
      <c r="B18" s="293"/>
      <c r="C18" s="8"/>
      <c r="D18" s="8"/>
      <c r="E18" s="8"/>
      <c r="F18" s="8"/>
    </row>
    <row r="19" spans="1:6" ht="39" customHeight="1">
      <c r="A19" s="4">
        <v>1</v>
      </c>
      <c r="B19" s="293" t="s">
        <v>22</v>
      </c>
      <c r="C19" s="8"/>
      <c r="D19" s="8"/>
      <c r="E19" s="8">
        <f>SUMIF($G$43:$G$62,$B19,$E$43:$E$62)</f>
        <v>0</v>
      </c>
      <c r="F19" s="8">
        <v>0</v>
      </c>
    </row>
    <row r="20" spans="1:6" ht="19.5" customHeight="1">
      <c r="A20" s="4">
        <v>2</v>
      </c>
      <c r="B20" s="293" t="s">
        <v>23</v>
      </c>
      <c r="C20" s="8"/>
      <c r="D20" s="8"/>
      <c r="E20" s="8">
        <f>SUMIF($G$43:$G$62,$B20,$E$43:$E$62)</f>
        <v>0</v>
      </c>
      <c r="F20" s="8">
        <v>0</v>
      </c>
    </row>
    <row r="21" spans="1:6" ht="19.5" customHeight="1">
      <c r="A21" s="4">
        <v>3</v>
      </c>
      <c r="B21" s="293" t="s">
        <v>24</v>
      </c>
      <c r="C21" s="8"/>
      <c r="D21" s="6">
        <f>SUM(D22:D25)</f>
        <v>-2057236.01</v>
      </c>
      <c r="E21" s="6">
        <f>SUM(E22:E25)</f>
        <v>104458.01999999999</v>
      </c>
      <c r="F21" s="6">
        <v>-116307.13999999998</v>
      </c>
    </row>
    <row r="22" spans="1:6" ht="19.5" customHeight="1">
      <c r="A22" s="10" t="s">
        <v>25</v>
      </c>
      <c r="B22" s="294" t="s">
        <v>26</v>
      </c>
      <c r="C22" s="8"/>
      <c r="D22" s="8">
        <f>SUMIF($G$43:$G$62,$B22,$E$43:$E$62)</f>
        <v>0</v>
      </c>
      <c r="E22" s="8">
        <f>SUMIF($G$43:$G$62,$B22,$E$43:$E$62)</f>
        <v>0</v>
      </c>
      <c r="F22" s="8">
        <v>0</v>
      </c>
    </row>
    <row r="23" spans="1:6" ht="19.5" customHeight="1">
      <c r="A23" s="10" t="s">
        <v>27</v>
      </c>
      <c r="B23" s="294" t="s">
        <v>28</v>
      </c>
      <c r="C23" s="8"/>
      <c r="D23" s="14">
        <f>SUMIF($G$43:$G$62,$B23,$D$43:$D$62)</f>
        <v>-92909.56</v>
      </c>
      <c r="E23" s="14">
        <f>SUMIF($G$43:$G$62,$B23,$E$43:$E$62)</f>
        <v>-55172.530000000006</v>
      </c>
      <c r="F23" s="14">
        <v>421.66</v>
      </c>
    </row>
    <row r="24" spans="1:6" ht="19.5" customHeight="1">
      <c r="A24" s="10" t="s">
        <v>29</v>
      </c>
      <c r="B24" s="294" t="s">
        <v>30</v>
      </c>
      <c r="C24" s="8"/>
      <c r="D24" s="14">
        <f>SUMIF($G$43:$G$62,$B24,$D$43:$D$62)</f>
        <v>-1946155.42</v>
      </c>
      <c r="E24" s="14">
        <f>SUMIF($G$43:$G$62,$B24,$E$43:$E$62)</f>
        <v>167112.55</v>
      </c>
      <c r="F24" s="14">
        <v>-116728.79999999999</v>
      </c>
    </row>
    <row r="25" spans="1:6" ht="19.5" customHeight="1">
      <c r="A25" s="10" t="s">
        <v>31</v>
      </c>
      <c r="B25" s="294" t="s">
        <v>32</v>
      </c>
      <c r="C25" s="8"/>
      <c r="D25" s="14">
        <f>SUMIF($G$43:$G$62,$B25,$D$43:$D$62)</f>
        <v>-18171.03</v>
      </c>
      <c r="E25" s="14">
        <f>SUMIF($G$43:$G$62,$B25,$E$43:$E$62)</f>
        <v>-7482</v>
      </c>
      <c r="F25" s="14">
        <v>0</v>
      </c>
    </row>
    <row r="26" spans="1:6" ht="19.5" customHeight="1">
      <c r="A26" s="4"/>
      <c r="B26" s="293" t="s">
        <v>33</v>
      </c>
      <c r="C26" s="8"/>
      <c r="D26" s="9">
        <f>SUMIF($G$43:$G$62,$B26,$E$43:$E$62)</f>
        <v>0</v>
      </c>
      <c r="E26" s="9">
        <f>SUMIF($G$43:$G$62,$B26,$E$43:$E$62)</f>
        <v>0</v>
      </c>
      <c r="F26" s="9">
        <v>0</v>
      </c>
    </row>
    <row r="27" spans="1:6" ht="19.5" customHeight="1">
      <c r="A27" s="10"/>
      <c r="B27" s="293"/>
      <c r="C27" s="8"/>
      <c r="D27" s="8"/>
      <c r="E27" s="8"/>
      <c r="F27" s="8"/>
    </row>
    <row r="28" spans="1:6" ht="19.5" customHeight="1">
      <c r="A28" s="11"/>
      <c r="B28" s="295" t="s">
        <v>34</v>
      </c>
      <c r="C28" s="12"/>
      <c r="D28" s="13">
        <f>D17+D19+D20+D21+D26</f>
        <v>-14079929.49</v>
      </c>
      <c r="E28" s="13">
        <f>E17+E19+E20+E21+E26</f>
        <v>-7015404.420000002</v>
      </c>
      <c r="F28" s="13">
        <v>-2195320.14</v>
      </c>
    </row>
    <row r="29" spans="1:6" ht="19.5" customHeight="1">
      <c r="A29" s="10"/>
      <c r="B29" s="293"/>
      <c r="C29" s="8"/>
      <c r="D29" s="8"/>
      <c r="E29" s="8"/>
      <c r="F29" s="8"/>
    </row>
    <row r="30" spans="1:6" ht="19.5" customHeight="1">
      <c r="A30" s="10"/>
      <c r="B30" s="293" t="s">
        <v>35</v>
      </c>
      <c r="C30" s="8"/>
      <c r="D30" s="8">
        <f>SUMIF($G$43:$G$62,$B30,$E$43:$E$62)</f>
        <v>0</v>
      </c>
      <c r="E30" s="8">
        <f>SUMIF($G$43:$G$62,$B30,$E$43:$E$62)</f>
        <v>0</v>
      </c>
      <c r="F30" s="8">
        <v>0</v>
      </c>
    </row>
    <row r="31" spans="1:6" ht="19.5" customHeight="1">
      <c r="A31" s="10"/>
      <c r="B31" s="293"/>
      <c r="C31" s="8"/>
      <c r="D31" s="8"/>
      <c r="E31" s="8"/>
      <c r="F31" s="8"/>
    </row>
    <row r="32" spans="1:6" ht="19.5" customHeight="1">
      <c r="A32" s="11"/>
      <c r="B32" s="295" t="s">
        <v>36</v>
      </c>
      <c r="C32" s="12"/>
      <c r="D32" s="13">
        <f>D28+D30</f>
        <v>-14079929.49</v>
      </c>
      <c r="E32" s="13">
        <f>E28+E30</f>
        <v>-7015404.420000002</v>
      </c>
      <c r="F32" s="13">
        <f>F28+F30</f>
        <v>-2195320.14</v>
      </c>
    </row>
    <row r="33" spans="1:6" ht="19.5" customHeight="1">
      <c r="A33" s="10"/>
      <c r="B33" s="293"/>
      <c r="C33" s="8"/>
      <c r="D33" s="8"/>
      <c r="E33" s="8"/>
      <c r="F33" s="8"/>
    </row>
    <row r="34" spans="1:6" ht="19.5" customHeight="1">
      <c r="A34" s="10"/>
      <c r="B34" s="293" t="s">
        <v>37</v>
      </c>
      <c r="C34" s="8"/>
      <c r="D34" s="8"/>
      <c r="E34" s="8"/>
      <c r="F34" s="8"/>
    </row>
    <row r="35" spans="1:6" ht="19.5" customHeight="1">
      <c r="A35" s="10"/>
      <c r="B35" s="293" t="s">
        <v>38</v>
      </c>
      <c r="C35" s="8"/>
      <c r="D35" s="8"/>
      <c r="E35" s="8"/>
      <c r="F35" s="8"/>
    </row>
    <row r="36" spans="1:6" ht="19.5" customHeight="1">
      <c r="A36" s="10"/>
      <c r="B36" s="293"/>
      <c r="C36" s="8"/>
      <c r="D36" s="8"/>
      <c r="E36" s="8"/>
      <c r="F36" s="8"/>
    </row>
    <row r="37" spans="1:6" ht="15.75">
      <c r="A37" s="1"/>
      <c r="B37" s="344" t="s">
        <v>39</v>
      </c>
      <c r="C37" s="344"/>
      <c r="D37" s="344"/>
      <c r="E37" s="344"/>
      <c r="F37" s="1"/>
    </row>
    <row r="38" spans="3:7" ht="15.75">
      <c r="C38" s="345" t="s">
        <v>343</v>
      </c>
      <c r="D38" s="345"/>
      <c r="E38" s="345"/>
      <c r="F38" s="345"/>
      <c r="G38" s="290"/>
    </row>
    <row r="39" spans="3:7" ht="14.25" customHeight="1">
      <c r="C39" s="346" t="s">
        <v>516</v>
      </c>
      <c r="D39" s="346"/>
      <c r="E39" s="346"/>
      <c r="F39" s="346"/>
      <c r="G39" s="292"/>
    </row>
    <row r="42" s="111" customFormat="1" ht="15">
      <c r="D42" s="322"/>
    </row>
    <row r="43" spans="2:7" ht="15" hidden="1">
      <c r="B43" s="106">
        <v>767</v>
      </c>
      <c r="C43" t="s">
        <v>202</v>
      </c>
      <c r="D43" s="322">
        <v>15224.2</v>
      </c>
      <c r="E43" s="104">
        <v>106.34</v>
      </c>
      <c r="G43" t="s">
        <v>28</v>
      </c>
    </row>
    <row r="44" spans="2:7" s="111" customFormat="1" ht="15.75" hidden="1">
      <c r="B44" s="106">
        <v>715</v>
      </c>
      <c r="C44" s="111" t="s">
        <v>512</v>
      </c>
      <c r="D44" s="322">
        <v>5650</v>
      </c>
      <c r="E44" s="113"/>
      <c r="G44" s="325" t="s">
        <v>8</v>
      </c>
    </row>
    <row r="45" spans="2:7" ht="15" hidden="1">
      <c r="B45" s="106">
        <v>766</v>
      </c>
      <c r="C45" t="s">
        <v>201</v>
      </c>
      <c r="D45" s="322">
        <v>204394.44</v>
      </c>
      <c r="E45" s="165">
        <v>333556.04</v>
      </c>
      <c r="G45" t="s">
        <v>30</v>
      </c>
    </row>
    <row r="46" spans="2:5" ht="15" hidden="1">
      <c r="B46" s="106"/>
      <c r="D46" s="322"/>
      <c r="E46" s="104"/>
    </row>
    <row r="47" spans="2:7" ht="15" hidden="1">
      <c r="B47" s="106">
        <v>611</v>
      </c>
      <c r="C47" t="s">
        <v>203</v>
      </c>
      <c r="D47" s="322">
        <v>-404115.35</v>
      </c>
      <c r="E47" s="104">
        <v>-34767.1</v>
      </c>
      <c r="G47" t="s">
        <v>12</v>
      </c>
    </row>
    <row r="48" spans="2:7" ht="15" hidden="1">
      <c r="B48" s="106">
        <v>613</v>
      </c>
      <c r="C48" t="s">
        <v>204</v>
      </c>
      <c r="D48" s="322">
        <v>-217189.7</v>
      </c>
      <c r="E48" s="104">
        <v>-183146.6</v>
      </c>
      <c r="G48" t="s">
        <v>12</v>
      </c>
    </row>
    <row r="49" spans="2:7" ht="15" hidden="1">
      <c r="B49" s="106">
        <v>618</v>
      </c>
      <c r="C49" t="s">
        <v>205</v>
      </c>
      <c r="D49" s="322">
        <v>-7099025.1</v>
      </c>
      <c r="E49" s="104">
        <v>-4526179.4</v>
      </c>
      <c r="G49" t="s">
        <v>12</v>
      </c>
    </row>
    <row r="50" spans="2:7" ht="15" hidden="1">
      <c r="B50" s="106">
        <v>626</v>
      </c>
      <c r="C50" t="s">
        <v>206</v>
      </c>
      <c r="D50" s="322">
        <v>-6064.67</v>
      </c>
      <c r="E50" s="104">
        <v>-48990.44</v>
      </c>
      <c r="G50" t="s">
        <v>12</v>
      </c>
    </row>
    <row r="51" spans="2:7" ht="15" hidden="1">
      <c r="B51" s="106">
        <v>6273</v>
      </c>
      <c r="C51" t="s">
        <v>207</v>
      </c>
      <c r="D51" s="322">
        <v>-59403.66</v>
      </c>
      <c r="E51" s="104">
        <v>-40141.9</v>
      </c>
      <c r="G51" t="s">
        <v>12</v>
      </c>
    </row>
    <row r="52" spans="2:7" ht="15" hidden="1">
      <c r="B52" s="106">
        <v>6276</v>
      </c>
      <c r="C52" t="s">
        <v>208</v>
      </c>
      <c r="D52" s="322">
        <v>-55328</v>
      </c>
      <c r="E52" s="104">
        <v>-60312</v>
      </c>
      <c r="G52" t="s">
        <v>12</v>
      </c>
    </row>
    <row r="53" spans="2:7" ht="15" hidden="1">
      <c r="B53" s="106">
        <v>628</v>
      </c>
      <c r="C53" t="s">
        <v>209</v>
      </c>
      <c r="D53" s="322">
        <v>-18171.03</v>
      </c>
      <c r="E53" s="104">
        <v>-7482</v>
      </c>
      <c r="G53" t="s">
        <v>32</v>
      </c>
    </row>
    <row r="54" spans="2:7" ht="15" hidden="1">
      <c r="B54" s="106">
        <v>634</v>
      </c>
      <c r="C54" t="s">
        <v>210</v>
      </c>
      <c r="D54" s="322">
        <v>-22120</v>
      </c>
      <c r="E54" s="104">
        <v>-22120</v>
      </c>
      <c r="G54" t="s">
        <v>12</v>
      </c>
    </row>
    <row r="55" spans="2:7" ht="15" hidden="1">
      <c r="B55" s="106">
        <v>641</v>
      </c>
      <c r="C55" t="s">
        <v>211</v>
      </c>
      <c r="D55" s="322">
        <v>-1730205</v>
      </c>
      <c r="E55" s="104">
        <v>-1678653</v>
      </c>
      <c r="G55" t="s">
        <v>15</v>
      </c>
    </row>
    <row r="56" spans="2:7" ht="15.75" hidden="1">
      <c r="B56" s="106">
        <v>644</v>
      </c>
      <c r="C56" t="s">
        <v>194</v>
      </c>
      <c r="D56" s="322">
        <v>-68690</v>
      </c>
      <c r="E56" s="104">
        <v>-172146</v>
      </c>
      <c r="G56" s="324" t="s">
        <v>17</v>
      </c>
    </row>
    <row r="57" spans="2:7" s="111" customFormat="1" ht="15" hidden="1">
      <c r="B57" s="106">
        <v>654</v>
      </c>
      <c r="C57" s="111" t="s">
        <v>511</v>
      </c>
      <c r="D57" s="322">
        <v>-1984425</v>
      </c>
      <c r="E57" s="113"/>
      <c r="G57" s="111" t="s">
        <v>12</v>
      </c>
    </row>
    <row r="58" spans="2:7" ht="15" hidden="1">
      <c r="B58" s="106">
        <v>658</v>
      </c>
      <c r="C58" t="s">
        <v>212</v>
      </c>
      <c r="D58" s="322"/>
      <c r="E58" s="104">
        <v>-170067</v>
      </c>
      <c r="G58" t="s">
        <v>12</v>
      </c>
    </row>
    <row r="59" spans="2:7" ht="15" hidden="1">
      <c r="B59" s="106">
        <v>667</v>
      </c>
      <c r="C59" t="s">
        <v>214</v>
      </c>
      <c r="D59" s="322">
        <v>-108133.76</v>
      </c>
      <c r="E59" s="104">
        <v>-55278.87</v>
      </c>
      <c r="G59" t="s">
        <v>28</v>
      </c>
    </row>
    <row r="60" spans="2:7" ht="15" hidden="1">
      <c r="B60" s="106">
        <v>669</v>
      </c>
      <c r="C60" t="s">
        <v>213</v>
      </c>
      <c r="D60" s="322">
        <v>-2150549.86</v>
      </c>
      <c r="E60" s="104">
        <f>-166442.69-0.8</f>
        <v>-166443.49</v>
      </c>
      <c r="G60" t="s">
        <v>30</v>
      </c>
    </row>
    <row r="61" spans="2:7" ht="15" hidden="1">
      <c r="B61" s="106">
        <v>6815</v>
      </c>
      <c r="C61" t="s">
        <v>215</v>
      </c>
      <c r="D61" s="322">
        <v>-371886</v>
      </c>
      <c r="E61" s="104">
        <v>-170151</v>
      </c>
      <c r="G61" t="s">
        <v>20</v>
      </c>
    </row>
    <row r="62" spans="2:7" ht="15" hidden="1">
      <c r="B62" s="106">
        <v>6818</v>
      </c>
      <c r="C62" t="s">
        <v>216</v>
      </c>
      <c r="D62" s="322">
        <v>-9891</v>
      </c>
      <c r="E62" s="104">
        <v>-13188</v>
      </c>
      <c r="G62" t="s">
        <v>20</v>
      </c>
    </row>
    <row r="63" spans="4:5" ht="15" hidden="1">
      <c r="D63" s="323">
        <f>SUM(D42:D62)</f>
        <v>-14079929.49</v>
      </c>
      <c r="E63" s="164">
        <f>SUM(E43:E62)</f>
        <v>-7015404.420000002</v>
      </c>
    </row>
    <row r="64" ht="15" hidden="1"/>
    <row r="65" ht="15" hidden="1"/>
    <row r="66" ht="15">
      <c r="E66" s="101"/>
    </row>
    <row r="67" ht="15">
      <c r="E67" s="101"/>
    </row>
    <row r="68" ht="15">
      <c r="E68" s="101"/>
    </row>
  </sheetData>
  <sheetProtection/>
  <mergeCells count="11">
    <mergeCell ref="A1:F1"/>
    <mergeCell ref="C38:F38"/>
    <mergeCell ref="C39:F39"/>
    <mergeCell ref="A4:A5"/>
    <mergeCell ref="B4:B5"/>
    <mergeCell ref="F4:F5"/>
    <mergeCell ref="B37:E37"/>
    <mergeCell ref="A2:E2"/>
    <mergeCell ref="C4:C5"/>
    <mergeCell ref="E4:E5"/>
    <mergeCell ref="D4:D5"/>
  </mergeCells>
  <printOptions/>
  <pageMargins left="0.24" right="0.24" top="0.56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workbookViewId="0" topLeftCell="A1">
      <selection activeCell="B179" sqref="B179"/>
    </sheetView>
  </sheetViews>
  <sheetFormatPr defaultColWidth="9.140625" defaultRowHeight="15"/>
  <cols>
    <col min="1" max="1" width="4.00390625" style="0" bestFit="1" customWidth="1"/>
    <col min="2" max="2" width="56.00390625" style="0" customWidth="1"/>
    <col min="3" max="3" width="8.8515625" style="0" customWidth="1"/>
    <col min="4" max="4" width="16.8515625" style="111" bestFit="1" customWidth="1"/>
    <col min="5" max="5" width="16.28125" style="0" customWidth="1"/>
    <col min="6" max="6" width="15.7109375" style="0" hidden="1" customWidth="1"/>
    <col min="7" max="7" width="9.140625" style="0" hidden="1" customWidth="1"/>
    <col min="8" max="8" width="12.57421875" style="0" hidden="1" customWidth="1"/>
    <col min="9" max="9" width="15.28125" style="0" hidden="1" customWidth="1"/>
    <col min="11" max="11" width="11.8515625" style="0" bestFit="1" customWidth="1"/>
  </cols>
  <sheetData>
    <row r="1" spans="1:6" ht="25.5" customHeight="1" thickBot="1">
      <c r="A1" s="15"/>
      <c r="B1" s="93" t="s">
        <v>517</v>
      </c>
      <c r="C1" s="353" t="s">
        <v>0</v>
      </c>
      <c r="D1" s="353"/>
      <c r="E1" s="353"/>
      <c r="F1" s="353"/>
    </row>
    <row r="2" spans="1:6" ht="18" customHeight="1" thickBot="1">
      <c r="A2" s="312"/>
      <c r="B2" s="313" t="s">
        <v>40</v>
      </c>
      <c r="C2" s="314" t="s">
        <v>4</v>
      </c>
      <c r="D2" s="313" t="s">
        <v>5</v>
      </c>
      <c r="E2" s="315" t="s">
        <v>41</v>
      </c>
      <c r="F2" s="315">
        <v>2011</v>
      </c>
    </row>
    <row r="3" spans="1:6" ht="17.25" customHeight="1" hidden="1">
      <c r="A3" s="308"/>
      <c r="B3" s="309"/>
      <c r="C3" s="310"/>
      <c r="D3" s="310"/>
      <c r="E3" s="309"/>
      <c r="F3" s="311"/>
    </row>
    <row r="4" spans="1:6" ht="17.25" customHeight="1">
      <c r="A4" s="17" t="s">
        <v>42</v>
      </c>
      <c r="B4" s="18" t="s">
        <v>43</v>
      </c>
      <c r="C4" s="19"/>
      <c r="D4" s="19"/>
      <c r="E4" s="19"/>
      <c r="F4" s="20"/>
    </row>
    <row r="5" spans="1:6" ht="17.25" customHeight="1" hidden="1">
      <c r="A5" s="17"/>
      <c r="B5" s="21"/>
      <c r="C5" s="19"/>
      <c r="D5" s="19"/>
      <c r="E5" s="19"/>
      <c r="F5" s="20"/>
    </row>
    <row r="6" spans="1:9" ht="17.25" customHeight="1">
      <c r="A6" s="17" t="s">
        <v>44</v>
      </c>
      <c r="B6" s="22" t="s">
        <v>45</v>
      </c>
      <c r="C6" s="19"/>
      <c r="D6" s="19"/>
      <c r="E6" s="19"/>
      <c r="F6" s="20"/>
      <c r="H6" s="113">
        <f>D6-E6</f>
        <v>0</v>
      </c>
      <c r="I6" s="104">
        <f>E6-F6</f>
        <v>0</v>
      </c>
    </row>
    <row r="7" spans="1:9" ht="17.25" customHeight="1" hidden="1">
      <c r="A7" s="17"/>
      <c r="B7" s="21"/>
      <c r="C7" s="19"/>
      <c r="D7" s="19"/>
      <c r="E7" s="19"/>
      <c r="F7" s="20"/>
      <c r="H7" s="113">
        <f aca="true" t="shared" si="0" ref="H7:I70">D7-E7</f>
        <v>0</v>
      </c>
      <c r="I7" s="104">
        <f t="shared" si="0"/>
        <v>0</v>
      </c>
    </row>
    <row r="8" spans="1:11" ht="17.25" customHeight="1">
      <c r="A8" s="17">
        <v>1</v>
      </c>
      <c r="B8" s="22" t="s">
        <v>46</v>
      </c>
      <c r="C8" s="23">
        <v>2.2</v>
      </c>
      <c r="D8" s="19">
        <f>SUMIF($G$129:$G$168,$B8,$D$129:$D$168)</f>
        <v>198287269.32</v>
      </c>
      <c r="E8" s="19">
        <f>SUMIF($G$129:$G$166,$B8,$E$129:$E$166)</f>
        <v>280759.5</v>
      </c>
      <c r="F8" s="20">
        <v>36833.47</v>
      </c>
      <c r="H8" s="113">
        <f>D8-E8</f>
        <v>198006509.82</v>
      </c>
      <c r="I8" s="104">
        <f>E8-F8</f>
        <v>243926.03</v>
      </c>
      <c r="K8" s="343"/>
    </row>
    <row r="9" spans="1:11" ht="17.25" customHeight="1">
      <c r="A9" s="17">
        <v>2</v>
      </c>
      <c r="B9" s="22" t="s">
        <v>47</v>
      </c>
      <c r="C9" s="23"/>
      <c r="D9" s="19">
        <f>SUMIF($G$129:$G$168,$B9,$D$129:$D$168)</f>
        <v>0</v>
      </c>
      <c r="E9" s="19"/>
      <c r="F9" s="20"/>
      <c r="H9" s="113">
        <f t="shared" si="0"/>
        <v>0</v>
      </c>
      <c r="I9" s="104">
        <f t="shared" si="0"/>
        <v>0</v>
      </c>
      <c r="K9" s="333"/>
    </row>
    <row r="10" spans="1:11" ht="17.25" customHeight="1">
      <c r="A10" s="24" t="s">
        <v>14</v>
      </c>
      <c r="B10" s="21" t="s">
        <v>48</v>
      </c>
      <c r="C10" s="23"/>
      <c r="D10" s="19">
        <f>SUMIF($G$129:$G$168,$B10,$D$129:$D$168)</f>
        <v>0</v>
      </c>
      <c r="E10" s="25"/>
      <c r="F10" s="300"/>
      <c r="H10" s="113">
        <f t="shared" si="0"/>
        <v>0</v>
      </c>
      <c r="I10" s="104">
        <f t="shared" si="0"/>
        <v>0</v>
      </c>
      <c r="K10" s="333"/>
    </row>
    <row r="11" spans="1:11" ht="17.25" customHeight="1">
      <c r="A11" s="24" t="s">
        <v>16</v>
      </c>
      <c r="B11" s="21" t="s">
        <v>49</v>
      </c>
      <c r="C11" s="23"/>
      <c r="D11" s="19">
        <f>SUMIF($G$129:$G$168,$B11,$D$129:$D$168)</f>
        <v>0</v>
      </c>
      <c r="E11" s="25"/>
      <c r="F11" s="300"/>
      <c r="H11" s="113">
        <f t="shared" si="0"/>
        <v>0</v>
      </c>
      <c r="I11" s="104">
        <f t="shared" si="0"/>
        <v>0</v>
      </c>
      <c r="K11" s="333"/>
    </row>
    <row r="12" spans="1:11" ht="17.25" customHeight="1">
      <c r="A12" s="26"/>
      <c r="B12" s="27" t="s">
        <v>50</v>
      </c>
      <c r="C12" s="28"/>
      <c r="D12" s="29">
        <f>SUM(D8:D11)</f>
        <v>198287269.32</v>
      </c>
      <c r="E12" s="29">
        <f>SUM(E8:E11)</f>
        <v>280759.5</v>
      </c>
      <c r="F12" s="301">
        <v>36833.47</v>
      </c>
      <c r="H12" s="113">
        <f t="shared" si="0"/>
        <v>198006509.82</v>
      </c>
      <c r="I12" s="104">
        <f t="shared" si="0"/>
        <v>243926.03</v>
      </c>
      <c r="K12" s="333"/>
    </row>
    <row r="13" spans="1:11" ht="17.25" customHeight="1">
      <c r="A13" s="17">
        <v>3</v>
      </c>
      <c r="B13" s="22" t="s">
        <v>51</v>
      </c>
      <c r="C13" s="23"/>
      <c r="D13" s="19"/>
      <c r="E13" s="19"/>
      <c r="F13" s="20"/>
      <c r="H13" s="113">
        <f t="shared" si="0"/>
        <v>0</v>
      </c>
      <c r="I13" s="104">
        <f t="shared" si="0"/>
        <v>0</v>
      </c>
      <c r="K13" s="333"/>
    </row>
    <row r="14" spans="1:11" ht="17.25" customHeight="1">
      <c r="A14" s="24" t="s">
        <v>14</v>
      </c>
      <c r="B14" s="21" t="s">
        <v>52</v>
      </c>
      <c r="C14" s="23"/>
      <c r="D14" s="25"/>
      <c r="E14" s="25"/>
      <c r="F14" s="300"/>
      <c r="H14" s="113">
        <f t="shared" si="0"/>
        <v>0</v>
      </c>
      <c r="I14" s="104">
        <f t="shared" si="0"/>
        <v>0</v>
      </c>
      <c r="K14" s="333"/>
    </row>
    <row r="15" spans="1:11" ht="17.25" customHeight="1">
      <c r="A15" s="24" t="s">
        <v>16</v>
      </c>
      <c r="B15" s="21" t="s">
        <v>53</v>
      </c>
      <c r="C15" s="23">
        <v>2.3</v>
      </c>
      <c r="D15" s="30">
        <f>SUMIF($G$129:$G$168,$B15,$D$129:$D$168)</f>
        <v>82552479.39</v>
      </c>
      <c r="E15" s="30">
        <f>SUMIF($G$129:$G$166,$B15,$E$129:$E$166)</f>
        <v>13939170.31</v>
      </c>
      <c r="F15" s="302">
        <v>1101035</v>
      </c>
      <c r="H15" s="113">
        <f t="shared" si="0"/>
        <v>68613309.08</v>
      </c>
      <c r="I15" s="104">
        <f t="shared" si="0"/>
        <v>12838135.31</v>
      </c>
      <c r="K15" s="333"/>
    </row>
    <row r="16" spans="1:11" ht="17.25" customHeight="1">
      <c r="A16" s="24" t="s">
        <v>18</v>
      </c>
      <c r="B16" s="21" t="s">
        <v>54</v>
      </c>
      <c r="C16" s="23"/>
      <c r="D16" s="25"/>
      <c r="E16" s="25"/>
      <c r="F16" s="300"/>
      <c r="H16" s="113">
        <f t="shared" si="0"/>
        <v>0</v>
      </c>
      <c r="I16" s="104">
        <f t="shared" si="0"/>
        <v>0</v>
      </c>
      <c r="K16" s="333"/>
    </row>
    <row r="17" spans="1:11" ht="17.25" customHeight="1">
      <c r="A17" s="24" t="s">
        <v>55</v>
      </c>
      <c r="B17" s="21" t="s">
        <v>56</v>
      </c>
      <c r="C17" s="23"/>
      <c r="D17" s="25"/>
      <c r="E17" s="25"/>
      <c r="F17" s="300"/>
      <c r="H17" s="113">
        <f t="shared" si="0"/>
        <v>0</v>
      </c>
      <c r="I17" s="104">
        <f t="shared" si="0"/>
        <v>0</v>
      </c>
      <c r="K17" s="333"/>
    </row>
    <row r="18" spans="1:11" ht="17.25" customHeight="1">
      <c r="A18" s="31"/>
      <c r="B18" s="27" t="s">
        <v>50</v>
      </c>
      <c r="C18" s="28"/>
      <c r="D18" s="29">
        <f>SUM(D14:D17)</f>
        <v>82552479.39</v>
      </c>
      <c r="E18" s="29">
        <f>SUM(E14:E17)</f>
        <v>13939170.31</v>
      </c>
      <c r="F18" s="301">
        <v>1101035</v>
      </c>
      <c r="H18" s="113">
        <f t="shared" si="0"/>
        <v>68613309.08</v>
      </c>
      <c r="I18" s="104">
        <f t="shared" si="0"/>
        <v>12838135.31</v>
      </c>
      <c r="K18" s="333"/>
    </row>
    <row r="19" spans="1:11" ht="17.25" customHeight="1">
      <c r="A19" s="17">
        <v>4</v>
      </c>
      <c r="B19" s="22" t="s">
        <v>57</v>
      </c>
      <c r="C19" s="23"/>
      <c r="D19" s="19"/>
      <c r="E19" s="19"/>
      <c r="F19" s="20"/>
      <c r="H19" s="113">
        <f t="shared" si="0"/>
        <v>0</v>
      </c>
      <c r="I19" s="104">
        <f t="shared" si="0"/>
        <v>0</v>
      </c>
      <c r="K19" s="333"/>
    </row>
    <row r="20" spans="1:11" ht="17.25" customHeight="1">
      <c r="A20" s="24" t="s">
        <v>14</v>
      </c>
      <c r="B20" s="21" t="s">
        <v>58</v>
      </c>
      <c r="C20" s="23"/>
      <c r="D20" s="25"/>
      <c r="E20" s="25"/>
      <c r="F20" s="300"/>
      <c r="H20" s="113">
        <f t="shared" si="0"/>
        <v>0</v>
      </c>
      <c r="I20" s="104">
        <f t="shared" si="0"/>
        <v>0</v>
      </c>
      <c r="K20" s="333"/>
    </row>
    <row r="21" spans="1:11" ht="17.25" customHeight="1">
      <c r="A21" s="24" t="s">
        <v>16</v>
      </c>
      <c r="B21" s="21" t="s">
        <v>59</v>
      </c>
      <c r="C21" s="23"/>
      <c r="D21" s="25"/>
      <c r="E21" s="25"/>
      <c r="F21" s="300"/>
      <c r="H21" s="113">
        <f t="shared" si="0"/>
        <v>0</v>
      </c>
      <c r="I21" s="104">
        <f t="shared" si="0"/>
        <v>0</v>
      </c>
      <c r="K21" s="333"/>
    </row>
    <row r="22" spans="1:11" ht="17.25" customHeight="1">
      <c r="A22" s="24" t="s">
        <v>18</v>
      </c>
      <c r="B22" s="21" t="s">
        <v>60</v>
      </c>
      <c r="C22" s="23"/>
      <c r="D22" s="25"/>
      <c r="E22" s="25"/>
      <c r="F22" s="300"/>
      <c r="H22" s="113">
        <f t="shared" si="0"/>
        <v>0</v>
      </c>
      <c r="I22" s="104">
        <f t="shared" si="0"/>
        <v>0</v>
      </c>
      <c r="K22" s="333"/>
    </row>
    <row r="23" spans="1:11" ht="17.25" customHeight="1">
      <c r="A23" s="24" t="s">
        <v>55</v>
      </c>
      <c r="B23" s="21" t="s">
        <v>61</v>
      </c>
      <c r="C23" s="23"/>
      <c r="D23" s="25"/>
      <c r="E23" s="25"/>
      <c r="F23" s="300"/>
      <c r="H23" s="113">
        <f t="shared" si="0"/>
        <v>0</v>
      </c>
      <c r="I23" s="104">
        <f t="shared" si="0"/>
        <v>0</v>
      </c>
      <c r="K23" s="333"/>
    </row>
    <row r="24" spans="1:11" ht="17.25" customHeight="1">
      <c r="A24" s="24" t="s">
        <v>62</v>
      </c>
      <c r="B24" s="21" t="s">
        <v>63</v>
      </c>
      <c r="C24" s="23"/>
      <c r="D24" s="25"/>
      <c r="E24" s="25"/>
      <c r="F24" s="300"/>
      <c r="H24" s="113">
        <f t="shared" si="0"/>
        <v>0</v>
      </c>
      <c r="I24" s="104">
        <f t="shared" si="0"/>
        <v>0</v>
      </c>
      <c r="K24" s="333"/>
    </row>
    <row r="25" spans="1:11" ht="17.25" customHeight="1">
      <c r="A25" s="31"/>
      <c r="B25" s="27" t="s">
        <v>50</v>
      </c>
      <c r="C25" s="28"/>
      <c r="D25" s="29">
        <f>SUM(D20:D24)</f>
        <v>0</v>
      </c>
      <c r="E25" s="29">
        <f>SUM(E20:E24)</f>
        <v>0</v>
      </c>
      <c r="F25" s="301">
        <v>0</v>
      </c>
      <c r="H25" s="113">
        <f t="shared" si="0"/>
        <v>0</v>
      </c>
      <c r="I25" s="104">
        <f t="shared" si="0"/>
        <v>0</v>
      </c>
      <c r="K25" s="333"/>
    </row>
    <row r="26" spans="1:11" ht="17.25" customHeight="1">
      <c r="A26" s="17">
        <v>5</v>
      </c>
      <c r="B26" s="22" t="s">
        <v>64</v>
      </c>
      <c r="C26" s="23"/>
      <c r="D26" s="19"/>
      <c r="E26" s="19"/>
      <c r="F26" s="20"/>
      <c r="H26" s="113">
        <f t="shared" si="0"/>
        <v>0</v>
      </c>
      <c r="I26" s="104">
        <f t="shared" si="0"/>
        <v>0</v>
      </c>
      <c r="K26" s="333"/>
    </row>
    <row r="27" spans="1:11" ht="17.25" customHeight="1">
      <c r="A27" s="17">
        <v>6</v>
      </c>
      <c r="B27" s="22" t="s">
        <v>65</v>
      </c>
      <c r="C27" s="23"/>
      <c r="D27" s="19"/>
      <c r="E27" s="19"/>
      <c r="F27" s="20"/>
      <c r="H27" s="113">
        <f t="shared" si="0"/>
        <v>0</v>
      </c>
      <c r="I27" s="104">
        <f t="shared" si="0"/>
        <v>0</v>
      </c>
      <c r="K27" s="333"/>
    </row>
    <row r="28" spans="1:11" ht="17.25" customHeight="1">
      <c r="A28" s="17">
        <v>7</v>
      </c>
      <c r="B28" s="22" t="s">
        <v>66</v>
      </c>
      <c r="C28" s="23">
        <v>2.4</v>
      </c>
      <c r="D28" s="33">
        <f>SUMIF($G$129:$G$168,$B28,$D$129:$D$168)</f>
        <v>196912399.04</v>
      </c>
      <c r="E28" s="33">
        <f>SUMIF($G$129:$G$166,$B28,$E$129:$E$166)</f>
        <v>95942.27</v>
      </c>
      <c r="F28" s="303">
        <v>0</v>
      </c>
      <c r="H28" s="113">
        <f t="shared" si="0"/>
        <v>196816456.76999998</v>
      </c>
      <c r="I28" s="104">
        <f t="shared" si="0"/>
        <v>95942.27</v>
      </c>
      <c r="K28" s="333"/>
    </row>
    <row r="29" spans="1:11" ht="17.25" customHeight="1">
      <c r="A29" s="34"/>
      <c r="B29" s="35" t="s">
        <v>67</v>
      </c>
      <c r="C29" s="28"/>
      <c r="D29" s="29">
        <f>D28+D27+D26+D25+D18+D12</f>
        <v>477752147.75</v>
      </c>
      <c r="E29" s="29">
        <f>E28+E27+E26+E25+E18+E12</f>
        <v>14315872.08</v>
      </c>
      <c r="F29" s="301">
        <v>1137868.47</v>
      </c>
      <c r="H29" s="113">
        <f t="shared" si="0"/>
        <v>463436275.67</v>
      </c>
      <c r="I29" s="104">
        <f t="shared" si="0"/>
        <v>13178003.61</v>
      </c>
      <c r="K29" s="333"/>
    </row>
    <row r="30" spans="1:11" ht="17.25" customHeight="1" hidden="1">
      <c r="A30" s="24"/>
      <c r="B30" s="21"/>
      <c r="C30" s="23"/>
      <c r="D30" s="25"/>
      <c r="E30" s="25"/>
      <c r="F30" s="300"/>
      <c r="H30" s="113">
        <f t="shared" si="0"/>
        <v>0</v>
      </c>
      <c r="I30" s="104">
        <f t="shared" si="0"/>
        <v>0</v>
      </c>
      <c r="K30" s="333"/>
    </row>
    <row r="31" spans="1:11" ht="17.25" customHeight="1">
      <c r="A31" s="17" t="s">
        <v>68</v>
      </c>
      <c r="B31" s="22" t="s">
        <v>69</v>
      </c>
      <c r="C31" s="23"/>
      <c r="D31" s="25"/>
      <c r="E31" s="25"/>
      <c r="F31" s="300"/>
      <c r="H31" s="113">
        <f t="shared" si="0"/>
        <v>0</v>
      </c>
      <c r="I31" s="104">
        <f t="shared" si="0"/>
        <v>0</v>
      </c>
      <c r="K31" s="333"/>
    </row>
    <row r="32" spans="1:11" ht="17.25" customHeight="1" hidden="1">
      <c r="A32" s="24"/>
      <c r="B32" s="21"/>
      <c r="C32" s="23"/>
      <c r="D32" s="25"/>
      <c r="E32" s="25"/>
      <c r="F32" s="300"/>
      <c r="H32" s="113">
        <f t="shared" si="0"/>
        <v>0</v>
      </c>
      <c r="I32" s="104">
        <f t="shared" si="0"/>
        <v>0</v>
      </c>
      <c r="K32" s="333"/>
    </row>
    <row r="33" spans="1:11" ht="17.25" customHeight="1">
      <c r="A33" s="17">
        <v>1</v>
      </c>
      <c r="B33" s="22" t="s">
        <v>70</v>
      </c>
      <c r="C33" s="23"/>
      <c r="D33" s="19"/>
      <c r="E33" s="19"/>
      <c r="F33" s="20"/>
      <c r="H33" s="113">
        <f t="shared" si="0"/>
        <v>0</v>
      </c>
      <c r="I33" s="104">
        <f t="shared" si="0"/>
        <v>0</v>
      </c>
      <c r="K33" s="333"/>
    </row>
    <row r="34" spans="1:11" ht="26.25" customHeight="1">
      <c r="A34" s="24" t="s">
        <v>14</v>
      </c>
      <c r="B34" s="319" t="s">
        <v>71</v>
      </c>
      <c r="C34" s="23"/>
      <c r="D34" s="25">
        <f aca="true" t="shared" si="1" ref="D34:E36">SUMIF($G$129:$G$166,$B34,$E$129:$E$166)</f>
        <v>0</v>
      </c>
      <c r="E34" s="25">
        <f t="shared" si="1"/>
        <v>0</v>
      </c>
      <c r="F34" s="300"/>
      <c r="H34" s="113">
        <f t="shared" si="0"/>
        <v>0</v>
      </c>
      <c r="I34" s="104">
        <f t="shared" si="0"/>
        <v>0</v>
      </c>
      <c r="K34" s="333"/>
    </row>
    <row r="35" spans="1:11" ht="17.25" customHeight="1">
      <c r="A35" s="24" t="s">
        <v>16</v>
      </c>
      <c r="B35" s="21" t="s">
        <v>72</v>
      </c>
      <c r="C35" s="23"/>
      <c r="D35" s="25">
        <f t="shared" si="1"/>
        <v>0</v>
      </c>
      <c r="E35" s="25">
        <f t="shared" si="1"/>
        <v>0</v>
      </c>
      <c r="F35" s="300"/>
      <c r="H35" s="113">
        <f t="shared" si="0"/>
        <v>0</v>
      </c>
      <c r="I35" s="104">
        <f t="shared" si="0"/>
        <v>0</v>
      </c>
      <c r="K35" s="333"/>
    </row>
    <row r="36" spans="1:11" ht="17.25" customHeight="1">
      <c r="A36" s="24" t="s">
        <v>18</v>
      </c>
      <c r="B36" s="21" t="s">
        <v>73</v>
      </c>
      <c r="C36" s="23"/>
      <c r="D36" s="25">
        <f t="shared" si="1"/>
        <v>0</v>
      </c>
      <c r="E36" s="25">
        <f t="shared" si="1"/>
        <v>0</v>
      </c>
      <c r="F36" s="300"/>
      <c r="H36" s="113">
        <f t="shared" si="0"/>
        <v>0</v>
      </c>
      <c r="I36" s="104">
        <f t="shared" si="0"/>
        <v>0</v>
      </c>
      <c r="K36" s="333"/>
    </row>
    <row r="37" spans="1:11" ht="17.25" customHeight="1">
      <c r="A37" s="32" t="s">
        <v>55</v>
      </c>
      <c r="B37" s="21" t="s">
        <v>74</v>
      </c>
      <c r="C37" s="23"/>
      <c r="E37" s="25"/>
      <c r="F37" s="300"/>
      <c r="H37" s="113">
        <f>D51-E37</f>
        <v>203999381.5</v>
      </c>
      <c r="I37" s="104">
        <f t="shared" si="0"/>
        <v>0</v>
      </c>
      <c r="K37" s="333"/>
    </row>
    <row r="38" spans="1:11" ht="17.25" customHeight="1">
      <c r="A38" s="31"/>
      <c r="B38" s="27" t="s">
        <v>50</v>
      </c>
      <c r="C38" s="28"/>
      <c r="D38" s="105">
        <f>SUM(D34:D37)</f>
        <v>0</v>
      </c>
      <c r="E38" s="105">
        <f>SUM(E34:E37)</f>
        <v>0</v>
      </c>
      <c r="F38" s="304"/>
      <c r="H38" s="113">
        <f t="shared" si="0"/>
        <v>0</v>
      </c>
      <c r="I38" s="104">
        <f t="shared" si="0"/>
        <v>0</v>
      </c>
      <c r="K38" s="333"/>
    </row>
    <row r="39" spans="1:11" ht="17.25" customHeight="1">
      <c r="A39" s="17">
        <v>2</v>
      </c>
      <c r="B39" s="22" t="s">
        <v>75</v>
      </c>
      <c r="C39" s="23"/>
      <c r="D39" s="19">
        <f>SUMIF($G$129:$G$166,$B39,$E$129:$E$166)</f>
        <v>0</v>
      </c>
      <c r="E39" s="19">
        <f>SUMIF($G$129:$G$166,$B39,$E$129:$E$166)</f>
        <v>0</v>
      </c>
      <c r="F39" s="20"/>
      <c r="H39" s="113">
        <f t="shared" si="0"/>
        <v>0</v>
      </c>
      <c r="I39" s="104">
        <f t="shared" si="0"/>
        <v>0</v>
      </c>
      <c r="K39" s="333"/>
    </row>
    <row r="40" spans="1:11" ht="17.25" customHeight="1">
      <c r="A40" s="24" t="s">
        <v>14</v>
      </c>
      <c r="B40" s="21" t="s">
        <v>76</v>
      </c>
      <c r="C40" s="23">
        <v>2.5</v>
      </c>
      <c r="D40" s="25">
        <f>SUMIF($G$129:$G$168,$B40,$D$129:$D$168)</f>
        <v>979150149</v>
      </c>
      <c r="E40" s="25">
        <f>SUMIF($G$129:$G$166,$B40,$E$129:$E$166)</f>
        <v>878424000</v>
      </c>
      <c r="F40" s="300"/>
      <c r="H40" s="113">
        <f t="shared" si="0"/>
        <v>100726149</v>
      </c>
      <c r="I40" s="104">
        <f t="shared" si="0"/>
        <v>878424000</v>
      </c>
      <c r="K40" s="333"/>
    </row>
    <row r="41" spans="1:11" ht="17.25" customHeight="1">
      <c r="A41" s="24" t="s">
        <v>16</v>
      </c>
      <c r="B41" s="21" t="s">
        <v>77</v>
      </c>
      <c r="C41" s="23"/>
      <c r="D41" s="25">
        <f>SUMIF($G$129:$G$168,$B41,$D$129:$D$168)</f>
        <v>0</v>
      </c>
      <c r="E41" s="25">
        <f>SUMIF($G$129:$G$166,$B41,$E$129:$E$166)</f>
        <v>0</v>
      </c>
      <c r="F41" s="300"/>
      <c r="H41" s="113">
        <f t="shared" si="0"/>
        <v>0</v>
      </c>
      <c r="I41" s="104">
        <f t="shared" si="0"/>
        <v>0</v>
      </c>
      <c r="K41" s="333"/>
    </row>
    <row r="42" spans="1:11" ht="17.25" customHeight="1">
      <c r="A42" s="24" t="s">
        <v>18</v>
      </c>
      <c r="B42" s="21" t="s">
        <v>78</v>
      </c>
      <c r="C42" s="23"/>
      <c r="D42" s="25">
        <f>SUMIF($G$129:$G$168,$B42,$D$129:$D$168)</f>
        <v>1517241.57</v>
      </c>
      <c r="E42" s="25">
        <f>SUMIF($G$129:$G$166,$B42,$E$129:$E$166)</f>
        <v>1899018.57</v>
      </c>
      <c r="F42" s="302">
        <v>52758</v>
      </c>
      <c r="H42" s="113">
        <f t="shared" si="0"/>
        <v>-381777</v>
      </c>
      <c r="I42" s="104">
        <f t="shared" si="0"/>
        <v>1846260.57</v>
      </c>
      <c r="K42" s="331"/>
    </row>
    <row r="43" spans="1:11" ht="17.25" customHeight="1">
      <c r="A43" s="32" t="s">
        <v>55</v>
      </c>
      <c r="B43" s="21" t="s">
        <v>79</v>
      </c>
      <c r="C43" s="23"/>
      <c r="D43" s="25">
        <f>SUMIF($G$129:$G$168,$B43,$D$129:$D$168)</f>
        <v>0</v>
      </c>
      <c r="E43" s="30">
        <f>SUMIF($G$129:$G$166,$B43,$E$129:$E$166)</f>
        <v>0</v>
      </c>
      <c r="F43" s="302"/>
      <c r="H43" s="113">
        <f t="shared" si="0"/>
        <v>0</v>
      </c>
      <c r="I43" s="104">
        <f t="shared" si="0"/>
        <v>0</v>
      </c>
      <c r="K43" s="333"/>
    </row>
    <row r="44" spans="1:11" ht="17.25" customHeight="1">
      <c r="A44" s="31"/>
      <c r="B44" s="27" t="s">
        <v>50</v>
      </c>
      <c r="C44" s="28"/>
      <c r="D44" s="36">
        <f>SUM(D40:D43)</f>
        <v>980667390.57</v>
      </c>
      <c r="E44" s="36">
        <f>SUM(E40:E43)</f>
        <v>880323018.57</v>
      </c>
      <c r="F44" s="304">
        <v>52758</v>
      </c>
      <c r="H44" s="113">
        <f t="shared" si="0"/>
        <v>100344372</v>
      </c>
      <c r="I44" s="104">
        <f t="shared" si="0"/>
        <v>880270260.57</v>
      </c>
      <c r="K44" s="333"/>
    </row>
    <row r="45" spans="1:11" ht="17.25" customHeight="1">
      <c r="A45" s="17">
        <v>3</v>
      </c>
      <c r="B45" s="22" t="s">
        <v>80</v>
      </c>
      <c r="C45" s="23"/>
      <c r="D45" s="19"/>
      <c r="E45" s="19"/>
      <c r="F45" s="20"/>
      <c r="H45" s="113">
        <f t="shared" si="0"/>
        <v>0</v>
      </c>
      <c r="I45" s="104">
        <f t="shared" si="0"/>
        <v>0</v>
      </c>
      <c r="K45" s="333"/>
    </row>
    <row r="46" spans="1:11" ht="17.25" customHeight="1">
      <c r="A46" s="17">
        <v>4</v>
      </c>
      <c r="B46" s="22" t="s">
        <v>81</v>
      </c>
      <c r="C46" s="23"/>
      <c r="D46" s="19"/>
      <c r="E46" s="19"/>
      <c r="F46" s="20"/>
      <c r="H46" s="113">
        <f t="shared" si="0"/>
        <v>0</v>
      </c>
      <c r="I46" s="104">
        <f t="shared" si="0"/>
        <v>0</v>
      </c>
      <c r="K46" s="333"/>
    </row>
    <row r="47" spans="1:11" ht="17.25" customHeight="1">
      <c r="A47" s="24" t="s">
        <v>14</v>
      </c>
      <c r="B47" s="21" t="s">
        <v>82</v>
      </c>
      <c r="C47" s="23"/>
      <c r="D47" s="25">
        <f>SUMIF($G$129:$G$168,$B47,$D$129:$D$168)</f>
        <v>0</v>
      </c>
      <c r="E47" s="25">
        <f>SUMIF($G$129:$G$166,$B47,$E$129:$E$166)</f>
        <v>0</v>
      </c>
      <c r="F47" s="300"/>
      <c r="H47" s="113">
        <f t="shared" si="0"/>
        <v>0</v>
      </c>
      <c r="I47" s="104">
        <f t="shared" si="0"/>
        <v>0</v>
      </c>
      <c r="K47" s="333"/>
    </row>
    <row r="48" spans="1:11" ht="17.25" customHeight="1">
      <c r="A48" s="24" t="s">
        <v>16</v>
      </c>
      <c r="B48" s="21" t="s">
        <v>83</v>
      </c>
      <c r="C48" s="23"/>
      <c r="D48" s="25">
        <f>SUMIF($G$129:$G$168,$B48,$D$129:$D$168)</f>
        <v>0</v>
      </c>
      <c r="E48" s="25">
        <f>SUMIF($G$129:$G$166,$B48,$E$129:$E$166)</f>
        <v>0</v>
      </c>
      <c r="F48" s="300"/>
      <c r="H48" s="113">
        <f t="shared" si="0"/>
        <v>0</v>
      </c>
      <c r="I48" s="104">
        <f t="shared" si="0"/>
        <v>0</v>
      </c>
      <c r="K48" s="333"/>
    </row>
    <row r="49" spans="1:11" ht="17.25" customHeight="1">
      <c r="A49" s="24" t="s">
        <v>18</v>
      </c>
      <c r="B49" s="21" t="s">
        <v>84</v>
      </c>
      <c r="C49" s="23"/>
      <c r="D49" s="25">
        <f>SUMIF($G$129:$G$168,$B49,$D$129:$D$168)</f>
        <v>0</v>
      </c>
      <c r="E49" s="25">
        <f>SUMIF($G$129:$G$166,$B49,$E$129:$E$166)</f>
        <v>0</v>
      </c>
      <c r="F49" s="300"/>
      <c r="H49" s="113">
        <f t="shared" si="0"/>
        <v>0</v>
      </c>
      <c r="I49" s="104">
        <f t="shared" si="0"/>
        <v>0</v>
      </c>
      <c r="K49" s="333"/>
    </row>
    <row r="50" spans="1:11" ht="17.25" customHeight="1">
      <c r="A50" s="31"/>
      <c r="B50" s="27" t="s">
        <v>50</v>
      </c>
      <c r="C50" s="28"/>
      <c r="D50" s="36">
        <f>SUM(D47:D49)</f>
        <v>0</v>
      </c>
      <c r="E50" s="36">
        <f>SUM(E47:E49)</f>
        <v>0</v>
      </c>
      <c r="F50" s="304">
        <v>0</v>
      </c>
      <c r="H50" s="113">
        <f t="shared" si="0"/>
        <v>0</v>
      </c>
      <c r="I50" s="104">
        <f t="shared" si="0"/>
        <v>0</v>
      </c>
      <c r="K50" s="333"/>
    </row>
    <row r="51" spans="1:11" ht="17.25" customHeight="1">
      <c r="A51" s="17">
        <v>5</v>
      </c>
      <c r="B51" s="22" t="s">
        <v>85</v>
      </c>
      <c r="C51" s="23">
        <v>2.6</v>
      </c>
      <c r="D51" s="25">
        <f>D160</f>
        <v>203999381.5</v>
      </c>
      <c r="E51" s="19"/>
      <c r="F51" s="20"/>
      <c r="H51" s="113" t="e">
        <f>#REF!-E51</f>
        <v>#REF!</v>
      </c>
      <c r="I51" s="104">
        <f t="shared" si="0"/>
        <v>0</v>
      </c>
      <c r="K51" s="333"/>
    </row>
    <row r="52" spans="1:11" ht="17.25" customHeight="1">
      <c r="A52" s="17">
        <v>6</v>
      </c>
      <c r="B52" s="22" t="s">
        <v>86</v>
      </c>
      <c r="C52" s="23">
        <v>2.7</v>
      </c>
      <c r="D52" s="37">
        <f>SUMIF($G$129:$G$168,$B52,$D$129:$D$168)</f>
        <v>212211314.02</v>
      </c>
      <c r="E52" s="37">
        <f>SUMIF($G$129:$G$166,$B52,$E$129:$E$166)</f>
        <v>78844216.47</v>
      </c>
      <c r="F52" s="305">
        <v>5184632</v>
      </c>
      <c r="H52" s="113">
        <f t="shared" si="0"/>
        <v>133367097.55000001</v>
      </c>
      <c r="I52" s="104">
        <f t="shared" si="0"/>
        <v>73659584.47</v>
      </c>
      <c r="K52" s="333"/>
    </row>
    <row r="53" spans="1:11" ht="17.25" customHeight="1" hidden="1">
      <c r="A53" s="24"/>
      <c r="B53" s="21"/>
      <c r="C53" s="23"/>
      <c r="D53" s="25"/>
      <c r="E53" s="25"/>
      <c r="F53" s="300"/>
      <c r="H53" s="113">
        <f t="shared" si="0"/>
        <v>0</v>
      </c>
      <c r="I53" s="104">
        <f t="shared" si="0"/>
        <v>0</v>
      </c>
      <c r="K53" s="333"/>
    </row>
    <row r="54" spans="1:11" ht="17.25" customHeight="1">
      <c r="A54" s="34"/>
      <c r="B54" s="35" t="s">
        <v>87</v>
      </c>
      <c r="C54" s="38"/>
      <c r="D54" s="29">
        <f>D52+D50+D44+D38+D51</f>
        <v>1396878086.0900002</v>
      </c>
      <c r="E54" s="29">
        <f>E52+E51+E50+E44+E38</f>
        <v>959167235.0400001</v>
      </c>
      <c r="F54" s="301">
        <v>5237390</v>
      </c>
      <c r="H54" s="113">
        <f t="shared" si="0"/>
        <v>437710851.0500001</v>
      </c>
      <c r="I54" s="104">
        <f t="shared" si="0"/>
        <v>953929845.0400001</v>
      </c>
      <c r="K54" s="333"/>
    </row>
    <row r="55" spans="1:11" ht="8.25" customHeight="1">
      <c r="A55" s="24"/>
      <c r="B55" s="21"/>
      <c r="C55" s="39"/>
      <c r="D55" s="25"/>
      <c r="E55" s="25"/>
      <c r="F55" s="300"/>
      <c r="H55" s="113">
        <f t="shared" si="0"/>
        <v>0</v>
      </c>
      <c r="I55" s="104">
        <f t="shared" si="0"/>
        <v>0</v>
      </c>
      <c r="K55" s="333"/>
    </row>
    <row r="56" spans="1:11" ht="17.25" customHeight="1" thickBot="1">
      <c r="A56" s="50"/>
      <c r="B56" s="306" t="s">
        <v>88</v>
      </c>
      <c r="C56" s="52"/>
      <c r="D56" s="51">
        <f>D54+D29</f>
        <v>1874630233.8400002</v>
      </c>
      <c r="E56" s="51">
        <f>E54+E29</f>
        <v>973483107.1200001</v>
      </c>
      <c r="F56" s="307">
        <v>6375258.47</v>
      </c>
      <c r="H56" s="113">
        <f t="shared" si="0"/>
        <v>901147126.72</v>
      </c>
      <c r="I56" s="104">
        <f t="shared" si="0"/>
        <v>967107848.6500001</v>
      </c>
      <c r="K56" s="333"/>
    </row>
    <row r="57" spans="1:11" ht="17.25" customHeight="1" hidden="1" thickBot="1">
      <c r="A57" s="296"/>
      <c r="B57" s="297"/>
      <c r="C57" s="298"/>
      <c r="D57" s="298"/>
      <c r="E57" s="299"/>
      <c r="F57" s="299"/>
      <c r="H57" s="113">
        <f t="shared" si="0"/>
        <v>0</v>
      </c>
      <c r="I57" s="104">
        <f t="shared" si="0"/>
        <v>0</v>
      </c>
      <c r="K57" s="334"/>
    </row>
    <row r="58" spans="1:11" ht="17.25" customHeight="1" hidden="1">
      <c r="A58" s="40"/>
      <c r="B58" s="41"/>
      <c r="C58" s="42"/>
      <c r="D58" s="42"/>
      <c r="E58" s="43"/>
      <c r="F58" s="43"/>
      <c r="H58" s="113"/>
      <c r="I58" s="104"/>
      <c r="K58" s="334"/>
    </row>
    <row r="59" spans="1:11" ht="17.25" customHeight="1">
      <c r="A59" s="40"/>
      <c r="B59" s="41"/>
      <c r="C59" s="345" t="s">
        <v>343</v>
      </c>
      <c r="D59" s="345"/>
      <c r="E59" s="345"/>
      <c r="F59" s="345"/>
      <c r="H59" s="113"/>
      <c r="I59" s="104"/>
      <c r="K59" s="334"/>
    </row>
    <row r="60" spans="1:11" ht="17.25" customHeight="1">
      <c r="A60" s="40"/>
      <c r="B60" s="41"/>
      <c r="C60" s="346" t="s">
        <v>516</v>
      </c>
      <c r="D60" s="346"/>
      <c r="E60" s="346"/>
      <c r="F60" s="346"/>
      <c r="H60" s="113"/>
      <c r="I60" s="104"/>
      <c r="K60" s="334"/>
    </row>
    <row r="61" spans="1:11" ht="17.25" customHeight="1">
      <c r="A61" s="40"/>
      <c r="B61" s="41"/>
      <c r="C61" s="42"/>
      <c r="D61" s="42"/>
      <c r="E61" s="43"/>
      <c r="F61" s="43"/>
      <c r="H61" s="113"/>
      <c r="I61" s="104"/>
      <c r="K61" s="334"/>
    </row>
    <row r="62" spans="1:11" ht="17.25" customHeight="1">
      <c r="A62" s="44"/>
      <c r="B62" s="45"/>
      <c r="C62" s="45"/>
      <c r="D62" s="45"/>
      <c r="E62" s="45"/>
      <c r="F62" s="45"/>
      <c r="H62" s="113"/>
      <c r="I62" s="104"/>
      <c r="K62" s="334"/>
    </row>
    <row r="63" spans="1:11" ht="17.25" customHeight="1" thickBot="1">
      <c r="A63" s="46"/>
      <c r="B63" s="94" t="s">
        <v>517</v>
      </c>
      <c r="C63" s="354" t="s">
        <v>0</v>
      </c>
      <c r="D63" s="354"/>
      <c r="E63" s="354"/>
      <c r="F63" s="354"/>
      <c r="H63" s="113"/>
      <c r="I63" s="104"/>
      <c r="K63" s="334"/>
    </row>
    <row r="64" spans="1:11" ht="17.25" customHeight="1">
      <c r="A64" s="355"/>
      <c r="B64" s="357" t="s">
        <v>40</v>
      </c>
      <c r="C64" s="359" t="s">
        <v>4</v>
      </c>
      <c r="D64" s="320"/>
      <c r="E64" s="357" t="s">
        <v>5</v>
      </c>
      <c r="F64" s="361" t="s">
        <v>41</v>
      </c>
      <c r="H64" s="113"/>
      <c r="I64" s="104"/>
      <c r="K64" s="334"/>
    </row>
    <row r="65" spans="1:11" ht="17.25" customHeight="1" thickBot="1">
      <c r="A65" s="356"/>
      <c r="B65" s="358"/>
      <c r="C65" s="360"/>
      <c r="D65" s="321"/>
      <c r="E65" s="358"/>
      <c r="F65" s="362"/>
      <c r="H65" s="113">
        <f t="shared" si="0"/>
        <v>0</v>
      </c>
      <c r="I65" s="104">
        <f t="shared" si="0"/>
        <v>0</v>
      </c>
      <c r="K65" s="334"/>
    </row>
    <row r="66" spans="1:11" ht="17.25" customHeight="1">
      <c r="A66" s="316" t="s">
        <v>89</v>
      </c>
      <c r="B66" s="317" t="s">
        <v>90</v>
      </c>
      <c r="C66" s="318"/>
      <c r="D66" s="318"/>
      <c r="E66" s="317"/>
      <c r="F66" s="317"/>
      <c r="H66" s="113">
        <f t="shared" si="0"/>
        <v>0</v>
      </c>
      <c r="I66" s="104">
        <f t="shared" si="0"/>
        <v>0</v>
      </c>
      <c r="K66" s="334"/>
    </row>
    <row r="67" spans="1:11" ht="17.25" customHeight="1" hidden="1">
      <c r="A67" s="17"/>
      <c r="B67" s="19"/>
      <c r="C67" s="39"/>
      <c r="D67" s="39"/>
      <c r="E67" s="19"/>
      <c r="F67" s="19"/>
      <c r="H67" s="113">
        <f t="shared" si="0"/>
        <v>0</v>
      </c>
      <c r="I67" s="104">
        <f t="shared" si="0"/>
        <v>0</v>
      </c>
      <c r="K67" s="334"/>
    </row>
    <row r="68" spans="1:11" ht="17.25" customHeight="1">
      <c r="A68" s="17" t="s">
        <v>44</v>
      </c>
      <c r="B68" s="19" t="s">
        <v>91</v>
      </c>
      <c r="C68" s="39"/>
      <c r="D68" s="39"/>
      <c r="E68" s="19"/>
      <c r="F68" s="19"/>
      <c r="H68" s="113">
        <f t="shared" si="0"/>
        <v>0</v>
      </c>
      <c r="I68" s="104">
        <f t="shared" si="0"/>
        <v>0</v>
      </c>
      <c r="K68" s="334"/>
    </row>
    <row r="69" spans="1:11" ht="17.25" customHeight="1" hidden="1">
      <c r="A69" s="17"/>
      <c r="B69" s="19"/>
      <c r="C69" s="39"/>
      <c r="D69" s="39"/>
      <c r="E69" s="19"/>
      <c r="F69" s="19"/>
      <c r="H69" s="113">
        <f t="shared" si="0"/>
        <v>0</v>
      </c>
      <c r="I69" s="104">
        <f t="shared" si="0"/>
        <v>0</v>
      </c>
      <c r="K69" s="334"/>
    </row>
    <row r="70" spans="1:11" ht="17.25" customHeight="1">
      <c r="A70" s="17">
        <v>1</v>
      </c>
      <c r="B70" s="19" t="s">
        <v>92</v>
      </c>
      <c r="C70" s="39"/>
      <c r="D70" s="19">
        <f>SUMIF($G$129:$G$168,$B70,$D$129:$D$168)</f>
        <v>0</v>
      </c>
      <c r="E70" s="19">
        <f>SUMIF($G$129:$G$166,$B70,$E$129:$E$166)</f>
        <v>0</v>
      </c>
      <c r="F70" s="19"/>
      <c r="H70" s="113">
        <f t="shared" si="0"/>
        <v>0</v>
      </c>
      <c r="I70" s="104">
        <f t="shared" si="0"/>
        <v>0</v>
      </c>
      <c r="K70" s="334"/>
    </row>
    <row r="71" spans="1:11" ht="17.25" customHeight="1">
      <c r="A71" s="17">
        <v>2</v>
      </c>
      <c r="B71" s="19" t="s">
        <v>93</v>
      </c>
      <c r="C71" s="39"/>
      <c r="D71" s="19">
        <f>SUMIF($G$129:$G$168,$B71,$D$129:$D$168)</f>
        <v>0</v>
      </c>
      <c r="E71" s="19">
        <f>SUMIF($G$129:$G$166,$B71,$E$129:$E$166)</f>
        <v>0</v>
      </c>
      <c r="F71" s="19"/>
      <c r="H71" s="113">
        <f aca="true" t="shared" si="2" ref="H71:I117">D71-E71</f>
        <v>0</v>
      </c>
      <c r="I71" s="104">
        <f t="shared" si="2"/>
        <v>0</v>
      </c>
      <c r="K71" s="334"/>
    </row>
    <row r="72" spans="1:11" ht="17.25" customHeight="1">
      <c r="A72" s="24" t="s">
        <v>14</v>
      </c>
      <c r="B72" s="47" t="s">
        <v>94</v>
      </c>
      <c r="C72" s="39"/>
      <c r="D72" s="19">
        <f>SUMIF($G$129:$G$168,$B72,$D$129:$D$168)</f>
        <v>0</v>
      </c>
      <c r="E72" s="25">
        <f>SUMIF($G$129:$G$166,$B72,$E$129:$E$166)</f>
        <v>0</v>
      </c>
      <c r="F72" s="25"/>
      <c r="H72" s="113">
        <f t="shared" si="2"/>
        <v>0</v>
      </c>
      <c r="I72" s="104">
        <f t="shared" si="2"/>
        <v>0</v>
      </c>
      <c r="K72" s="334"/>
    </row>
    <row r="73" spans="1:11" ht="17.25" customHeight="1">
      <c r="A73" s="24" t="s">
        <v>16</v>
      </c>
      <c r="B73" s="47" t="s">
        <v>95</v>
      </c>
      <c r="C73" s="39"/>
      <c r="D73" s="19">
        <f>SUMIF($G$129:$G$168,$B73,$D$129:$D$168)</f>
        <v>0</v>
      </c>
      <c r="E73" s="25">
        <f>SUMIF($G$129:$G$166,$B73,$E$129:$E$166)</f>
        <v>0</v>
      </c>
      <c r="F73" s="25"/>
      <c r="H73" s="113">
        <f t="shared" si="2"/>
        <v>0</v>
      </c>
      <c r="I73" s="104">
        <f t="shared" si="2"/>
        <v>0</v>
      </c>
      <c r="K73" s="334"/>
    </row>
    <row r="74" spans="1:11" ht="17.25" customHeight="1">
      <c r="A74" s="24" t="s">
        <v>18</v>
      </c>
      <c r="B74" s="47" t="s">
        <v>96</v>
      </c>
      <c r="C74" s="39"/>
      <c r="D74" s="19">
        <f>SUMIF($G$129:$G$168,$B74,$D$129:$D$168)</f>
        <v>0</v>
      </c>
      <c r="E74" s="25">
        <f>SUMIF($G$129:$G$166,$B74,$E$129:$E$166)</f>
        <v>0</v>
      </c>
      <c r="F74" s="25"/>
      <c r="H74" s="113">
        <f t="shared" si="2"/>
        <v>0</v>
      </c>
      <c r="I74" s="104">
        <f t="shared" si="2"/>
        <v>0</v>
      </c>
      <c r="K74" s="334"/>
    </row>
    <row r="75" spans="1:11" ht="17.25" customHeight="1">
      <c r="A75" s="26"/>
      <c r="B75" s="48" t="s">
        <v>50</v>
      </c>
      <c r="C75" s="38"/>
      <c r="D75" s="48">
        <f>SUM(D70:D74)</f>
        <v>0</v>
      </c>
      <c r="E75" s="48">
        <f>SUM(E70:E74)</f>
        <v>0</v>
      </c>
      <c r="F75" s="48">
        <v>0</v>
      </c>
      <c r="H75" s="113">
        <f t="shared" si="2"/>
        <v>0</v>
      </c>
      <c r="I75" s="104">
        <f t="shared" si="2"/>
        <v>0</v>
      </c>
      <c r="K75" s="334"/>
    </row>
    <row r="76" spans="1:11" ht="17.25" customHeight="1">
      <c r="A76" s="17">
        <v>3</v>
      </c>
      <c r="B76" s="19" t="s">
        <v>97</v>
      </c>
      <c r="C76" s="23"/>
      <c r="D76" s="19"/>
      <c r="E76" s="19"/>
      <c r="F76" s="19"/>
      <c r="H76" s="113">
        <f t="shared" si="2"/>
        <v>0</v>
      </c>
      <c r="I76" s="104">
        <f t="shared" si="2"/>
        <v>0</v>
      </c>
      <c r="K76" s="334"/>
    </row>
    <row r="77" spans="1:11" ht="17.25" customHeight="1">
      <c r="A77" s="24" t="s">
        <v>14</v>
      </c>
      <c r="B77" s="47" t="s">
        <v>98</v>
      </c>
      <c r="C77" s="49">
        <v>2.8</v>
      </c>
      <c r="D77" s="30">
        <f>SUMIF($G$129:$G$168,$B77,$D$129:$D$168)</f>
        <v>142940556.52</v>
      </c>
      <c r="E77" s="30">
        <f>SUMIF($G$129:$G$166,$B77,$E$129:$E$166)</f>
        <v>58247364.46</v>
      </c>
      <c r="F77" s="25">
        <v>2371614</v>
      </c>
      <c r="H77" s="113">
        <f t="shared" si="2"/>
        <v>84693192.06</v>
      </c>
      <c r="I77" s="104">
        <f t="shared" si="2"/>
        <v>55875750.46</v>
      </c>
      <c r="K77" s="333"/>
    </row>
    <row r="78" spans="1:11" ht="17.25" customHeight="1">
      <c r="A78" s="24" t="s">
        <v>16</v>
      </c>
      <c r="B78" s="47" t="s">
        <v>99</v>
      </c>
      <c r="C78" s="49">
        <v>2.9</v>
      </c>
      <c r="D78" s="30">
        <f>SUMIF($G$129:$G$168,$B78,$D$129:$D$168)</f>
        <v>864000</v>
      </c>
      <c r="E78" s="30">
        <f>SUMIF($G$129:$G$166,$B78,$E$129:$E$166)</f>
        <v>487428</v>
      </c>
      <c r="F78" s="25">
        <v>360000</v>
      </c>
      <c r="H78" s="113">
        <f t="shared" si="2"/>
        <v>376572</v>
      </c>
      <c r="I78" s="104">
        <f t="shared" si="2"/>
        <v>127428</v>
      </c>
      <c r="K78" s="333"/>
    </row>
    <row r="79" spans="1:11" ht="17.25" customHeight="1">
      <c r="A79" s="24" t="s">
        <v>18</v>
      </c>
      <c r="B79" s="47" t="s">
        <v>100</v>
      </c>
      <c r="C79" s="49">
        <v>3</v>
      </c>
      <c r="D79" s="30">
        <f>SUMIF($G$129:$G$168,$B79,$D$129:$D$168)</f>
        <v>55937</v>
      </c>
      <c r="E79" s="30">
        <f>SUMIF($G$129:$G$166,$B79,$E$129:$E$166)</f>
        <v>39714</v>
      </c>
      <c r="F79" s="25">
        <v>36127</v>
      </c>
      <c r="H79" s="113">
        <f t="shared" si="2"/>
        <v>16223</v>
      </c>
      <c r="I79" s="104">
        <f t="shared" si="2"/>
        <v>3587</v>
      </c>
      <c r="K79" s="333"/>
    </row>
    <row r="80" spans="1:11" ht="17.25" customHeight="1">
      <c r="A80" s="24" t="s">
        <v>55</v>
      </c>
      <c r="B80" s="47" t="s">
        <v>101</v>
      </c>
      <c r="C80" s="39"/>
      <c r="D80" s="30">
        <f>SUMIF($G$129:$G$168,$B80,$D$129:$D$168)</f>
        <v>0</v>
      </c>
      <c r="E80" s="25">
        <f>SUMIF($G$129:$G$166,$B80,$E$129:$E$166)</f>
        <v>0</v>
      </c>
      <c r="F80" s="25"/>
      <c r="H80" s="113">
        <f t="shared" si="2"/>
        <v>0</v>
      </c>
      <c r="I80" s="104">
        <f t="shared" si="2"/>
        <v>0</v>
      </c>
      <c r="K80" s="333"/>
    </row>
    <row r="81" spans="1:11" ht="17.25" customHeight="1">
      <c r="A81" s="24" t="s">
        <v>62</v>
      </c>
      <c r="B81" s="47" t="s">
        <v>102</v>
      </c>
      <c r="C81" s="39"/>
      <c r="D81" s="30">
        <f>SUMIF($G$129:$G$168,$B81,$D$129:$D$168)</f>
        <v>0</v>
      </c>
      <c r="E81" s="25">
        <f>SUMIF($G$129:$G$166,$B81,$E$129:$E$166)</f>
        <v>0</v>
      </c>
      <c r="F81" s="25"/>
      <c r="H81" s="113">
        <f t="shared" si="2"/>
        <v>0</v>
      </c>
      <c r="I81" s="104">
        <f t="shared" si="2"/>
        <v>0</v>
      </c>
      <c r="K81" s="333"/>
    </row>
    <row r="82" spans="1:11" ht="17.25" customHeight="1">
      <c r="A82" s="31"/>
      <c r="B82" s="36" t="s">
        <v>50</v>
      </c>
      <c r="C82" s="38"/>
      <c r="D82" s="36">
        <f>SUM(D77:D81)</f>
        <v>143860493.52</v>
      </c>
      <c r="E82" s="36">
        <f>SUM(E77:E81)</f>
        <v>58774506.46</v>
      </c>
      <c r="F82" s="36">
        <v>2767741</v>
      </c>
      <c r="H82" s="113">
        <f t="shared" si="2"/>
        <v>85085987.06</v>
      </c>
      <c r="I82" s="104">
        <f t="shared" si="2"/>
        <v>56006765.46</v>
      </c>
      <c r="K82" s="333"/>
    </row>
    <row r="83" spans="1:11" ht="17.25" customHeight="1">
      <c r="A83" s="17">
        <v>4</v>
      </c>
      <c r="B83" s="19" t="s">
        <v>103</v>
      </c>
      <c r="C83" s="39"/>
      <c r="D83" s="19">
        <f>SUMIF($G$129:$G$168,$B83,$D$129:$D$168)</f>
        <v>0</v>
      </c>
      <c r="E83" s="19">
        <f>SUMIF($G$129:$G$166,$B83,$E$129:$E$166)</f>
        <v>0</v>
      </c>
      <c r="F83" s="19"/>
      <c r="H83" s="113">
        <f t="shared" si="2"/>
        <v>0</v>
      </c>
      <c r="I83" s="104">
        <f t="shared" si="2"/>
        <v>0</v>
      </c>
      <c r="K83" s="333"/>
    </row>
    <row r="84" spans="1:11" ht="17.25" customHeight="1">
      <c r="A84" s="17">
        <v>5</v>
      </c>
      <c r="B84" s="19" t="s">
        <v>104</v>
      </c>
      <c r="C84" s="39"/>
      <c r="D84" s="19">
        <f>SUMIF($G$129:$G$168,$B84,$D$129:$D$168)</f>
        <v>0</v>
      </c>
      <c r="E84" s="19">
        <f>SUMIF($G$129:$G$166,$B84,$E$129:$E$166)</f>
        <v>0</v>
      </c>
      <c r="F84" s="19"/>
      <c r="H84" s="113">
        <f t="shared" si="2"/>
        <v>0</v>
      </c>
      <c r="I84" s="104">
        <f t="shared" si="2"/>
        <v>0</v>
      </c>
      <c r="K84" s="333"/>
    </row>
    <row r="85" spans="1:11" ht="17.25" customHeight="1">
      <c r="A85" s="24"/>
      <c r="B85" s="47"/>
      <c r="C85" s="39"/>
      <c r="D85" s="19">
        <f>SUMIF($G$129:$G$168,$B85,$D$129:$D$168)</f>
        <v>0</v>
      </c>
      <c r="E85" s="25">
        <f>SUMIF($G$129:$G$166,$B85,$E$129:$E$166)</f>
        <v>0</v>
      </c>
      <c r="F85" s="25"/>
      <c r="H85" s="113">
        <f t="shared" si="2"/>
        <v>0</v>
      </c>
      <c r="I85" s="104">
        <f t="shared" si="2"/>
        <v>0</v>
      </c>
      <c r="K85" s="333"/>
    </row>
    <row r="86" spans="1:11" ht="17.25" customHeight="1">
      <c r="A86" s="34"/>
      <c r="B86" s="29" t="s">
        <v>105</v>
      </c>
      <c r="C86" s="38"/>
      <c r="D86" s="29">
        <f>D82+D75</f>
        <v>143860493.52</v>
      </c>
      <c r="E86" s="29">
        <f>E82+E75</f>
        <v>58774506.46</v>
      </c>
      <c r="F86" s="29">
        <v>2767741</v>
      </c>
      <c r="H86" s="113">
        <f t="shared" si="2"/>
        <v>85085987.06</v>
      </c>
      <c r="I86" s="104">
        <f t="shared" si="2"/>
        <v>56006765.46</v>
      </c>
      <c r="K86" s="333"/>
    </row>
    <row r="87" spans="1:11" ht="17.25" customHeight="1" hidden="1">
      <c r="A87" s="24"/>
      <c r="B87" s="47"/>
      <c r="C87" s="39"/>
      <c r="D87" s="25"/>
      <c r="E87" s="25"/>
      <c r="F87" s="25"/>
      <c r="H87" s="113">
        <f t="shared" si="2"/>
        <v>0</v>
      </c>
      <c r="I87" s="104">
        <f t="shared" si="2"/>
        <v>0</v>
      </c>
      <c r="K87" s="333"/>
    </row>
    <row r="88" spans="1:11" ht="17.25" customHeight="1">
      <c r="A88" s="17" t="s">
        <v>68</v>
      </c>
      <c r="B88" s="19" t="s">
        <v>106</v>
      </c>
      <c r="C88" s="39"/>
      <c r="D88" s="25"/>
      <c r="E88" s="25"/>
      <c r="F88" s="25"/>
      <c r="H88" s="113">
        <f t="shared" si="2"/>
        <v>0</v>
      </c>
      <c r="I88" s="104">
        <f t="shared" si="2"/>
        <v>0</v>
      </c>
      <c r="K88" s="333"/>
    </row>
    <row r="89" spans="1:11" ht="17.25" customHeight="1" hidden="1">
      <c r="A89" s="24"/>
      <c r="B89" s="25"/>
      <c r="C89" s="39"/>
      <c r="D89" s="25"/>
      <c r="E89" s="25"/>
      <c r="F89" s="25"/>
      <c r="H89" s="113">
        <f t="shared" si="2"/>
        <v>0</v>
      </c>
      <c r="I89" s="104">
        <f t="shared" si="2"/>
        <v>0</v>
      </c>
      <c r="K89" s="333"/>
    </row>
    <row r="90" spans="1:11" ht="17.25" customHeight="1">
      <c r="A90" s="17">
        <v>1</v>
      </c>
      <c r="B90" s="19" t="s">
        <v>107</v>
      </c>
      <c r="C90" s="39"/>
      <c r="D90" s="19"/>
      <c r="E90" s="19"/>
      <c r="F90" s="19"/>
      <c r="H90" s="113">
        <f t="shared" si="2"/>
        <v>0</v>
      </c>
      <c r="I90" s="104">
        <f t="shared" si="2"/>
        <v>0</v>
      </c>
      <c r="K90" s="333"/>
    </row>
    <row r="91" spans="1:11" ht="17.25" customHeight="1">
      <c r="A91" s="24" t="s">
        <v>14</v>
      </c>
      <c r="B91" s="47" t="s">
        <v>108</v>
      </c>
      <c r="C91" s="39"/>
      <c r="D91" s="25">
        <f>SUMIF($G$129:$G$168,$B91,$D$129:$D$168)</f>
        <v>0</v>
      </c>
      <c r="E91" s="25">
        <f aca="true" t="shared" si="3" ref="E91:E97">SUMIF($G$129:$G$166,$B91,$E$129:$E$166)</f>
        <v>0</v>
      </c>
      <c r="F91" s="25"/>
      <c r="H91" s="113">
        <f t="shared" si="2"/>
        <v>0</v>
      </c>
      <c r="I91" s="104">
        <f t="shared" si="2"/>
        <v>0</v>
      </c>
      <c r="K91" s="333"/>
    </row>
    <row r="92" spans="1:11" ht="17.25" customHeight="1">
      <c r="A92" s="24" t="s">
        <v>16</v>
      </c>
      <c r="B92" s="47" t="s">
        <v>109</v>
      </c>
      <c r="C92" s="39"/>
      <c r="D92" s="25">
        <f>SUMIF($G$129:$G$168,$B92,$D$129:$D$168)</f>
        <v>0</v>
      </c>
      <c r="E92" s="25">
        <f t="shared" si="3"/>
        <v>0</v>
      </c>
      <c r="F92" s="25"/>
      <c r="H92" s="113">
        <f t="shared" si="2"/>
        <v>0</v>
      </c>
      <c r="I92" s="104">
        <f t="shared" si="2"/>
        <v>0</v>
      </c>
      <c r="K92" s="333"/>
    </row>
    <row r="93" spans="1:11" ht="17.25" customHeight="1">
      <c r="A93" s="31"/>
      <c r="B93" s="36" t="s">
        <v>50</v>
      </c>
      <c r="C93" s="38"/>
      <c r="D93" s="36">
        <f>SUMIF($G$129:$G$166,$B93,$E$129:$E$166)</f>
        <v>0</v>
      </c>
      <c r="E93" s="36">
        <f t="shared" si="3"/>
        <v>0</v>
      </c>
      <c r="F93" s="36">
        <v>0</v>
      </c>
      <c r="H93" s="113">
        <f t="shared" si="2"/>
        <v>0</v>
      </c>
      <c r="I93" s="104">
        <f t="shared" si="2"/>
        <v>0</v>
      </c>
      <c r="K93" s="333"/>
    </row>
    <row r="94" spans="1:11" ht="17.25" customHeight="1">
      <c r="A94" s="17">
        <v>2</v>
      </c>
      <c r="B94" s="19" t="s">
        <v>110</v>
      </c>
      <c r="C94" s="23">
        <v>3.1</v>
      </c>
      <c r="D94" s="37">
        <f>SUMIF($G$129:$G$168,$B94,$D$129:$D$168)</f>
        <v>1318993.56</v>
      </c>
      <c r="E94" s="37">
        <f t="shared" si="3"/>
        <v>51560953.81</v>
      </c>
      <c r="F94" s="19">
        <v>6569467</v>
      </c>
      <c r="H94" s="113">
        <f t="shared" si="2"/>
        <v>-50241960.25</v>
      </c>
      <c r="I94" s="104">
        <f t="shared" si="2"/>
        <v>44991486.81</v>
      </c>
      <c r="K94" s="333"/>
    </row>
    <row r="95" spans="1:11" ht="17.25" customHeight="1">
      <c r="A95" s="17">
        <v>3</v>
      </c>
      <c r="B95" s="19" t="s">
        <v>111</v>
      </c>
      <c r="C95" s="39"/>
      <c r="D95" s="37">
        <f>SUMIF($G$129:$G$168,$B95,$D$129:$D$168)</f>
        <v>0</v>
      </c>
      <c r="E95" s="19">
        <f t="shared" si="3"/>
        <v>0</v>
      </c>
      <c r="F95" s="19"/>
      <c r="H95" s="113">
        <f t="shared" si="2"/>
        <v>0</v>
      </c>
      <c r="I95" s="104">
        <f t="shared" si="2"/>
        <v>0</v>
      </c>
      <c r="K95" s="333"/>
    </row>
    <row r="96" spans="1:11" ht="17.25" customHeight="1">
      <c r="A96" s="17">
        <v>4</v>
      </c>
      <c r="B96" s="19" t="s">
        <v>112</v>
      </c>
      <c r="C96" s="39"/>
      <c r="D96" s="37">
        <f>SUMIF($G$129:$G$168,$B96,$D$129:$D$168)</f>
        <v>0</v>
      </c>
      <c r="E96" s="19">
        <f t="shared" si="3"/>
        <v>0</v>
      </c>
      <c r="F96" s="19"/>
      <c r="H96" s="113">
        <f t="shared" si="2"/>
        <v>0</v>
      </c>
      <c r="I96" s="104">
        <f t="shared" si="2"/>
        <v>0</v>
      </c>
      <c r="K96" s="333"/>
    </row>
    <row r="97" spans="1:11" ht="17.25" customHeight="1">
      <c r="A97" s="24"/>
      <c r="B97" s="47"/>
      <c r="C97" s="39"/>
      <c r="D97" s="37">
        <f>SUMIF($G$129:$G$168,$B97,$D$129:$D$168)</f>
        <v>0</v>
      </c>
      <c r="E97" s="25">
        <f t="shared" si="3"/>
        <v>0</v>
      </c>
      <c r="F97" s="25"/>
      <c r="H97" s="113">
        <f t="shared" si="2"/>
        <v>0</v>
      </c>
      <c r="I97" s="104">
        <f t="shared" si="2"/>
        <v>0</v>
      </c>
      <c r="K97" s="333"/>
    </row>
    <row r="98" spans="1:11" ht="17.25" customHeight="1">
      <c r="A98" s="34"/>
      <c r="B98" s="29" t="s">
        <v>113</v>
      </c>
      <c r="C98" s="38"/>
      <c r="D98" s="29">
        <f>SUM(D94:D97)</f>
        <v>1318993.56</v>
      </c>
      <c r="E98" s="29">
        <f>SUM(E94:E97)</f>
        <v>51560953.81</v>
      </c>
      <c r="F98" s="29">
        <v>6569467</v>
      </c>
      <c r="H98" s="113">
        <f t="shared" si="2"/>
        <v>-50241960.25</v>
      </c>
      <c r="I98" s="104">
        <f t="shared" si="2"/>
        <v>44991486.81</v>
      </c>
      <c r="K98" s="333"/>
    </row>
    <row r="99" spans="1:11" ht="6" customHeight="1">
      <c r="A99" s="24"/>
      <c r="B99" s="47"/>
      <c r="C99" s="39"/>
      <c r="D99" s="25"/>
      <c r="E99" s="25"/>
      <c r="F99" s="25"/>
      <c r="H99" s="113">
        <f t="shared" si="2"/>
        <v>0</v>
      </c>
      <c r="I99" s="104">
        <f t="shared" si="2"/>
        <v>0</v>
      </c>
      <c r="K99" s="333"/>
    </row>
    <row r="100" spans="1:11" ht="17.25" customHeight="1">
      <c r="A100" s="34"/>
      <c r="B100" s="29" t="s">
        <v>114</v>
      </c>
      <c r="C100" s="38"/>
      <c r="D100" s="29">
        <f>D98+D86</f>
        <v>145179487.08</v>
      </c>
      <c r="E100" s="29">
        <f>E98+E86</f>
        <v>110335460.27000001</v>
      </c>
      <c r="F100" s="29">
        <v>9337208</v>
      </c>
      <c r="H100" s="113">
        <f t="shared" si="2"/>
        <v>34844026.81</v>
      </c>
      <c r="I100" s="104">
        <f t="shared" si="2"/>
        <v>100998252.27000001</v>
      </c>
      <c r="K100" s="333"/>
    </row>
    <row r="101" spans="1:11" ht="17.25" customHeight="1" hidden="1">
      <c r="A101" s="24"/>
      <c r="B101" s="47"/>
      <c r="C101" s="39"/>
      <c r="D101" s="25"/>
      <c r="E101" s="25"/>
      <c r="F101" s="25"/>
      <c r="H101" s="113">
        <f t="shared" si="2"/>
        <v>0</v>
      </c>
      <c r="I101" s="104">
        <f t="shared" si="2"/>
        <v>0</v>
      </c>
      <c r="K101" s="333"/>
    </row>
    <row r="102" spans="1:11" ht="17.25" customHeight="1">
      <c r="A102" s="17" t="s">
        <v>115</v>
      </c>
      <c r="B102" s="19" t="s">
        <v>116</v>
      </c>
      <c r="C102" s="39"/>
      <c r="D102" s="25"/>
      <c r="E102" s="25"/>
      <c r="F102" s="25"/>
      <c r="H102" s="113">
        <f t="shared" si="2"/>
        <v>0</v>
      </c>
      <c r="I102" s="104">
        <f t="shared" si="2"/>
        <v>0</v>
      </c>
      <c r="K102" s="333"/>
    </row>
    <row r="103" spans="1:11" ht="17.25" customHeight="1" hidden="1">
      <c r="A103" s="24"/>
      <c r="B103" s="25"/>
      <c r="C103" s="39"/>
      <c r="D103" s="25"/>
      <c r="E103" s="25"/>
      <c r="F103" s="25"/>
      <c r="H103" s="113">
        <f t="shared" si="2"/>
        <v>0</v>
      </c>
      <c r="I103" s="104">
        <f t="shared" si="2"/>
        <v>0</v>
      </c>
      <c r="K103" s="333"/>
    </row>
    <row r="104" spans="1:11" ht="17.25" customHeight="1">
      <c r="A104" s="17">
        <v>1</v>
      </c>
      <c r="B104" s="19" t="s">
        <v>117</v>
      </c>
      <c r="C104" s="39"/>
      <c r="D104" s="19">
        <f aca="true" t="shared" si="4" ref="D104:D113">SUMIF($G$129:$G$168,$B104,$D$129:$D$168)</f>
        <v>0</v>
      </c>
      <c r="E104" s="19">
        <f aca="true" t="shared" si="5" ref="E104:E113">SUMIF($G$129:$G$166,$B104,$E$129:$E$166)</f>
        <v>0</v>
      </c>
      <c r="F104" s="19"/>
      <c r="H104" s="113">
        <f t="shared" si="2"/>
        <v>0</v>
      </c>
      <c r="I104" s="104">
        <f t="shared" si="2"/>
        <v>0</v>
      </c>
      <c r="K104" s="333"/>
    </row>
    <row r="105" spans="1:11" ht="17.25" customHeight="1">
      <c r="A105" s="17">
        <v>2</v>
      </c>
      <c r="B105" s="19" t="s">
        <v>118</v>
      </c>
      <c r="C105" s="39"/>
      <c r="D105" s="19">
        <f t="shared" si="4"/>
        <v>0</v>
      </c>
      <c r="E105" s="19">
        <f t="shared" si="5"/>
        <v>0</v>
      </c>
      <c r="F105" s="19"/>
      <c r="H105" s="113">
        <f t="shared" si="2"/>
        <v>0</v>
      </c>
      <c r="I105" s="104">
        <f t="shared" si="2"/>
        <v>0</v>
      </c>
      <c r="K105" s="333"/>
    </row>
    <row r="106" spans="1:11" ht="17.25" customHeight="1">
      <c r="A106" s="17">
        <v>3</v>
      </c>
      <c r="B106" s="19" t="s">
        <v>119</v>
      </c>
      <c r="C106" s="39">
        <v>1</v>
      </c>
      <c r="D106" s="19">
        <f t="shared" si="4"/>
        <v>1753608030</v>
      </c>
      <c r="E106" s="19">
        <f t="shared" si="5"/>
        <v>873225000</v>
      </c>
      <c r="F106" s="19">
        <v>100000</v>
      </c>
      <c r="H106" s="113">
        <f t="shared" si="2"/>
        <v>880383030</v>
      </c>
      <c r="I106" s="104">
        <f t="shared" si="2"/>
        <v>873125000</v>
      </c>
      <c r="K106" s="333"/>
    </row>
    <row r="107" spans="1:11" ht="17.25" customHeight="1">
      <c r="A107" s="17">
        <v>4</v>
      </c>
      <c r="B107" s="19" t="s">
        <v>120</v>
      </c>
      <c r="C107" s="39"/>
      <c r="D107" s="19">
        <f t="shared" si="4"/>
        <v>0</v>
      </c>
      <c r="E107" s="19">
        <f t="shared" si="5"/>
        <v>0</v>
      </c>
      <c r="F107" s="19"/>
      <c r="H107" s="113">
        <f t="shared" si="2"/>
        <v>0</v>
      </c>
      <c r="I107" s="104">
        <f t="shared" si="2"/>
        <v>0</v>
      </c>
      <c r="K107" s="333"/>
    </row>
    <row r="108" spans="1:11" ht="17.25" customHeight="1">
      <c r="A108" s="17">
        <v>5</v>
      </c>
      <c r="B108" s="19" t="s">
        <v>121</v>
      </c>
      <c r="C108" s="39"/>
      <c r="D108" s="19">
        <f t="shared" si="4"/>
        <v>0</v>
      </c>
      <c r="E108" s="19">
        <f t="shared" si="5"/>
        <v>0</v>
      </c>
      <c r="F108" s="19"/>
      <c r="H108" s="113">
        <f t="shared" si="2"/>
        <v>0</v>
      </c>
      <c r="I108" s="104">
        <f t="shared" si="2"/>
        <v>0</v>
      </c>
      <c r="K108" s="333"/>
    </row>
    <row r="109" spans="1:11" ht="17.25" customHeight="1">
      <c r="A109" s="17">
        <v>6</v>
      </c>
      <c r="B109" s="19" t="s">
        <v>122</v>
      </c>
      <c r="C109" s="39"/>
      <c r="D109" s="19">
        <f t="shared" si="4"/>
        <v>0</v>
      </c>
      <c r="E109" s="19">
        <f t="shared" si="5"/>
        <v>0</v>
      </c>
      <c r="F109" s="19"/>
      <c r="H109" s="113">
        <f t="shared" si="2"/>
        <v>0</v>
      </c>
      <c r="I109" s="104">
        <f t="shared" si="2"/>
        <v>0</v>
      </c>
      <c r="K109" s="333"/>
    </row>
    <row r="110" spans="1:11" ht="17.25" customHeight="1">
      <c r="A110" s="17">
        <v>7</v>
      </c>
      <c r="B110" s="19" t="s">
        <v>123</v>
      </c>
      <c r="C110" s="39"/>
      <c r="D110" s="19">
        <f t="shared" si="4"/>
        <v>0</v>
      </c>
      <c r="E110" s="19">
        <f t="shared" si="5"/>
        <v>0</v>
      </c>
      <c r="F110" s="19"/>
      <c r="H110" s="113">
        <f t="shared" si="2"/>
        <v>0</v>
      </c>
      <c r="I110" s="104">
        <f t="shared" si="2"/>
        <v>0</v>
      </c>
      <c r="K110" s="333"/>
    </row>
    <row r="111" spans="1:11" ht="17.25" customHeight="1">
      <c r="A111" s="17">
        <v>8</v>
      </c>
      <c r="B111" s="19" t="s">
        <v>124</v>
      </c>
      <c r="C111" s="39"/>
      <c r="D111" s="19">
        <f t="shared" si="4"/>
        <v>0</v>
      </c>
      <c r="E111" s="19">
        <f t="shared" si="5"/>
        <v>0</v>
      </c>
      <c r="F111" s="19"/>
      <c r="H111" s="113">
        <f t="shared" si="2"/>
        <v>0</v>
      </c>
      <c r="I111" s="104">
        <f t="shared" si="2"/>
        <v>0</v>
      </c>
      <c r="K111" s="333"/>
    </row>
    <row r="112" spans="1:11" ht="17.25" customHeight="1">
      <c r="A112" s="17">
        <v>9</v>
      </c>
      <c r="B112" s="19" t="s">
        <v>125</v>
      </c>
      <c r="C112" s="39"/>
      <c r="D112" s="19">
        <f t="shared" si="4"/>
        <v>-10077353.15</v>
      </c>
      <c r="E112" s="19">
        <f t="shared" si="5"/>
        <v>-3061948.73</v>
      </c>
      <c r="F112" s="19">
        <v>-866629</v>
      </c>
      <c r="H112" s="113">
        <f t="shared" si="2"/>
        <v>-7015404.42</v>
      </c>
      <c r="I112" s="104">
        <f t="shared" si="2"/>
        <v>-2195319.73</v>
      </c>
      <c r="K112" s="331"/>
    </row>
    <row r="113" spans="1:11" ht="17.25" customHeight="1">
      <c r="A113" s="17">
        <v>10</v>
      </c>
      <c r="B113" s="19" t="s">
        <v>126</v>
      </c>
      <c r="C113" s="23">
        <v>3.2</v>
      </c>
      <c r="D113" s="19">
        <f t="shared" si="4"/>
        <v>-14079929.49</v>
      </c>
      <c r="E113" s="37">
        <f t="shared" si="5"/>
        <v>-7015404.42</v>
      </c>
      <c r="F113" s="19">
        <v>-2195320.14</v>
      </c>
      <c r="G113" s="102"/>
      <c r="H113" s="113">
        <f t="shared" si="2"/>
        <v>-7064525.07</v>
      </c>
      <c r="I113" s="104">
        <f t="shared" si="2"/>
        <v>-4820084.279999999</v>
      </c>
      <c r="K113" s="331"/>
    </row>
    <row r="114" spans="1:11" ht="17.25" customHeight="1" hidden="1">
      <c r="A114" s="24"/>
      <c r="B114" s="25"/>
      <c r="C114" s="39"/>
      <c r="D114" s="25"/>
      <c r="E114" s="25"/>
      <c r="F114" s="25"/>
      <c r="H114" s="113">
        <f t="shared" si="2"/>
        <v>0</v>
      </c>
      <c r="I114" s="104">
        <f t="shared" si="2"/>
        <v>0</v>
      </c>
      <c r="K114" s="333"/>
    </row>
    <row r="115" spans="1:11" ht="17.25" customHeight="1">
      <c r="A115" s="34"/>
      <c r="B115" s="29" t="s">
        <v>127</v>
      </c>
      <c r="C115" s="38"/>
      <c r="D115" s="29">
        <f>SUM(D104:D114)</f>
        <v>1729450747.36</v>
      </c>
      <c r="E115" s="29">
        <f>SUM(E104:E114)</f>
        <v>863147646.85</v>
      </c>
      <c r="F115" s="29">
        <v>-2961949.14</v>
      </c>
      <c r="H115" s="113">
        <f t="shared" si="2"/>
        <v>866303100.5099999</v>
      </c>
      <c r="I115" s="104">
        <f t="shared" si="2"/>
        <v>866109595.99</v>
      </c>
      <c r="K115" s="333"/>
    </row>
    <row r="116" spans="1:11" ht="10.5" customHeight="1">
      <c r="A116" s="24"/>
      <c r="B116" s="25"/>
      <c r="C116" s="39"/>
      <c r="D116" s="25"/>
      <c r="E116" s="25"/>
      <c r="F116" s="25"/>
      <c r="H116" s="113">
        <f t="shared" si="2"/>
        <v>0</v>
      </c>
      <c r="I116" s="104">
        <f t="shared" si="2"/>
        <v>0</v>
      </c>
      <c r="K116" s="333"/>
    </row>
    <row r="117" spans="1:11" ht="17.25" customHeight="1" thickBot="1">
      <c r="A117" s="50"/>
      <c r="B117" s="51" t="s">
        <v>128</v>
      </c>
      <c r="C117" s="52"/>
      <c r="D117" s="51">
        <f>D115+D100</f>
        <v>1874630234.4399998</v>
      </c>
      <c r="E117" s="51">
        <f>E115+E100</f>
        <v>973483107.12</v>
      </c>
      <c r="F117" s="51">
        <v>6375258.859999999</v>
      </c>
      <c r="H117" s="113">
        <f t="shared" si="2"/>
        <v>901147127.3199998</v>
      </c>
      <c r="I117" s="104">
        <f t="shared" si="2"/>
        <v>967107848.26</v>
      </c>
      <c r="K117" s="333"/>
    </row>
    <row r="118" spans="1:11" ht="17.25" customHeight="1">
      <c r="A118" s="15"/>
      <c r="B118" s="53"/>
      <c r="C118" s="53"/>
      <c r="D118" s="53">
        <f>D117-D56</f>
        <v>0.5999996662139893</v>
      </c>
      <c r="E118" s="53">
        <f>E117-E56</f>
        <v>0</v>
      </c>
      <c r="F118" s="53">
        <f>F117-F56</f>
        <v>0.3899999996647239</v>
      </c>
      <c r="K118" s="335"/>
    </row>
    <row r="119" spans="1:11" s="111" customFormat="1" ht="17.25" customHeight="1">
      <c r="A119" s="352" t="s">
        <v>500</v>
      </c>
      <c r="B119" s="352"/>
      <c r="C119" s="53"/>
      <c r="D119" s="53">
        <f>D118/2</f>
        <v>0.29999983310699463</v>
      </c>
      <c r="E119" s="53">
        <f>E118-E57</f>
        <v>0</v>
      </c>
      <c r="F119" s="53"/>
      <c r="K119" s="334"/>
    </row>
    <row r="120" spans="1:11" s="111" customFormat="1" ht="15" customHeight="1">
      <c r="A120" s="15"/>
      <c r="B120" s="53"/>
      <c r="C120" s="345" t="s">
        <v>343</v>
      </c>
      <c r="D120" s="345"/>
      <c r="E120" s="345"/>
      <c r="F120" s="345"/>
      <c r="K120" s="334"/>
    </row>
    <row r="121" spans="1:11" ht="17.25" customHeight="1">
      <c r="A121" s="15"/>
      <c r="C121" s="346" t="s">
        <v>516</v>
      </c>
      <c r="D121" s="346"/>
      <c r="E121" s="346"/>
      <c r="F121" s="346"/>
      <c r="K121" s="334"/>
    </row>
    <row r="122" spans="1:11" ht="17.25" customHeight="1">
      <c r="A122" s="352"/>
      <c r="B122" s="352"/>
      <c r="K122" s="334"/>
    </row>
    <row r="123" ht="15">
      <c r="K123" s="334"/>
    </row>
    <row r="124" ht="15">
      <c r="K124" s="334"/>
    </row>
    <row r="125" ht="15">
      <c r="K125" s="334"/>
    </row>
    <row r="126" ht="16.5" customHeight="1">
      <c r="K126" s="334"/>
    </row>
    <row r="127" ht="15">
      <c r="K127" s="334"/>
    </row>
    <row r="128" spans="5:11" ht="15" hidden="1">
      <c r="E128" s="101"/>
      <c r="K128" s="334"/>
    </row>
    <row r="129" spans="2:11" ht="15" hidden="1">
      <c r="B129" s="95">
        <v>101</v>
      </c>
      <c r="C129" t="s">
        <v>116</v>
      </c>
      <c r="D129" s="322">
        <v>1753608030</v>
      </c>
      <c r="E129" s="99">
        <v>873225000</v>
      </c>
      <c r="F129" s="113">
        <f>VLOOKUP(B129,'2010'!B2:M19,11,FALSE)</f>
        <v>100000</v>
      </c>
      <c r="G129" t="s">
        <v>119</v>
      </c>
      <c r="K129" s="334"/>
    </row>
    <row r="130" spans="2:11" ht="15" hidden="1">
      <c r="B130" s="95">
        <v>105</v>
      </c>
      <c r="D130" s="322"/>
      <c r="E130" s="100"/>
      <c r="F130" s="113"/>
      <c r="K130" s="334"/>
    </row>
    <row r="131" spans="2:11" ht="15" hidden="1">
      <c r="B131" s="95">
        <v>108</v>
      </c>
      <c r="C131" t="s">
        <v>181</v>
      </c>
      <c r="D131" s="322">
        <v>-10077353.15</v>
      </c>
      <c r="E131" s="99">
        <v>-3061948.73</v>
      </c>
      <c r="F131" s="113">
        <f>-'2010'!M3</f>
        <v>-866629.39</v>
      </c>
      <c r="G131" t="s">
        <v>125</v>
      </c>
      <c r="K131" s="334"/>
    </row>
    <row r="132" spans="2:11" ht="15" hidden="1">
      <c r="B132" s="95">
        <v>121</v>
      </c>
      <c r="C132" t="s">
        <v>182</v>
      </c>
      <c r="D132" s="322">
        <v>-14079929.49</v>
      </c>
      <c r="E132" s="100">
        <f>-7015404.42</f>
        <v>-7015404.42</v>
      </c>
      <c r="F132" s="113">
        <f>-'2010'!M4</f>
        <v>-2195320.14</v>
      </c>
      <c r="G132" t="s">
        <v>126</v>
      </c>
      <c r="K132" s="334"/>
    </row>
    <row r="133" spans="2:11" ht="15" hidden="1">
      <c r="B133" s="95">
        <v>401</v>
      </c>
      <c r="C133" t="s">
        <v>183</v>
      </c>
      <c r="D133" s="322">
        <v>142940556.52</v>
      </c>
      <c r="E133" s="101">
        <v>58247364.46</v>
      </c>
      <c r="F133" s="113">
        <f>-VLOOKUP(B133,'2010'!B6:M23,11,FALSE)</f>
        <v>2371614</v>
      </c>
      <c r="G133" t="s">
        <v>98</v>
      </c>
      <c r="K133" s="334"/>
    </row>
    <row r="134" spans="2:11" ht="15" hidden="1">
      <c r="B134" s="95">
        <v>404</v>
      </c>
      <c r="D134" s="322"/>
      <c r="F134" s="113"/>
      <c r="K134" s="334"/>
    </row>
    <row r="135" spans="2:11" ht="15" hidden="1">
      <c r="B135" s="95">
        <v>442</v>
      </c>
      <c r="C135" t="s">
        <v>184</v>
      </c>
      <c r="D135" s="322">
        <f>21525</f>
        <v>21525</v>
      </c>
      <c r="E135" s="101">
        <v>15244</v>
      </c>
      <c r="F135" s="113">
        <f>-VLOOKUP(B135,'2010'!B8:M25,11,FALSE)</f>
        <v>12663</v>
      </c>
      <c r="G135" t="s">
        <v>100</v>
      </c>
      <c r="K135" s="334"/>
    </row>
    <row r="136" spans="2:11" ht="15" hidden="1">
      <c r="B136" s="95">
        <v>444</v>
      </c>
      <c r="C136" t="s">
        <v>185</v>
      </c>
      <c r="D136" s="328">
        <v>180000</v>
      </c>
      <c r="E136" s="99">
        <v>180000</v>
      </c>
      <c r="F136" s="113">
        <f>VLOOKUP(B136,'2010'!B9:M26,11,FALSE)</f>
        <v>180000</v>
      </c>
      <c r="G136" t="s">
        <v>53</v>
      </c>
      <c r="K136" s="334"/>
    </row>
    <row r="137" spans="2:11" s="111" customFormat="1" ht="15" hidden="1">
      <c r="B137" s="95">
        <v>431</v>
      </c>
      <c r="D137" s="328">
        <f>25521+8891</f>
        <v>34412</v>
      </c>
      <c r="E137" s="99"/>
      <c r="F137" s="113"/>
      <c r="G137" s="111" t="s">
        <v>53</v>
      </c>
      <c r="K137" s="334"/>
    </row>
    <row r="138" spans="2:11" ht="15" hidden="1">
      <c r="B138" s="95">
        <v>460</v>
      </c>
      <c r="C138" t="s">
        <v>186</v>
      </c>
      <c r="D138" s="322">
        <v>1226666.56</v>
      </c>
      <c r="E138" s="101">
        <v>1505459.31</v>
      </c>
      <c r="F138" s="113">
        <v>0</v>
      </c>
      <c r="G138" t="s">
        <v>110</v>
      </c>
      <c r="I138" s="104">
        <v>1617235.16</v>
      </c>
      <c r="J138" s="101">
        <f>I138-E138</f>
        <v>111775.84999999986</v>
      </c>
      <c r="K138" s="334"/>
    </row>
    <row r="139" spans="2:11" ht="15" hidden="1">
      <c r="B139" s="95">
        <v>481</v>
      </c>
      <c r="D139" s="322"/>
      <c r="F139" s="113"/>
      <c r="K139" s="334"/>
    </row>
    <row r="140" spans="2:11" ht="15" hidden="1">
      <c r="B140" s="95">
        <v>486</v>
      </c>
      <c r="C140" t="s">
        <v>187</v>
      </c>
      <c r="D140" s="328">
        <v>34275</v>
      </c>
      <c r="E140" s="104">
        <v>34918.66</v>
      </c>
      <c r="F140" s="113"/>
      <c r="G140" t="s">
        <v>66</v>
      </c>
      <c r="K140" s="334"/>
    </row>
    <row r="141" spans="2:11" ht="15" hidden="1">
      <c r="B141" s="95"/>
      <c r="D141" s="327">
        <f>SUM(D129:D140)</f>
        <v>1873888182.4399998</v>
      </c>
      <c r="E141" s="103">
        <f>SUM(E129:E140)</f>
        <v>923130633.28</v>
      </c>
      <c r="F141" s="103">
        <f>SUM(F129:F140)</f>
        <v>-397672.53000000026</v>
      </c>
      <c r="K141" s="334"/>
    </row>
    <row r="142" spans="2:11" ht="15" hidden="1">
      <c r="B142" s="96" t="s">
        <v>180</v>
      </c>
      <c r="D142" s="322"/>
      <c r="K142" s="334"/>
    </row>
    <row r="143" spans="2:11" ht="15" hidden="1">
      <c r="B143" s="97">
        <v>201</v>
      </c>
      <c r="D143" s="322"/>
      <c r="F143" s="113"/>
      <c r="K143" s="334"/>
    </row>
    <row r="144" spans="2:11" ht="15" hidden="1">
      <c r="B144" s="98">
        <v>211</v>
      </c>
      <c r="C144" t="s">
        <v>76</v>
      </c>
      <c r="D144" s="322">
        <v>979150149</v>
      </c>
      <c r="E144" s="104">
        <v>878424000</v>
      </c>
      <c r="F144" s="113"/>
      <c r="G144" t="s">
        <v>76</v>
      </c>
      <c r="H144" s="101">
        <f>E144-E129+100000</f>
        <v>5299000</v>
      </c>
      <c r="K144" s="334"/>
    </row>
    <row r="145" spans="2:11" ht="15" hidden="1">
      <c r="B145" s="98">
        <v>215</v>
      </c>
      <c r="C145" t="s">
        <v>188</v>
      </c>
      <c r="D145" s="322">
        <v>2029599.57</v>
      </c>
      <c r="E145" s="101">
        <v>2029599.57</v>
      </c>
      <c r="F145" s="113"/>
      <c r="G145" t="s">
        <v>78</v>
      </c>
      <c r="K145" s="334"/>
    </row>
    <row r="146" spans="2:11" ht="15" hidden="1">
      <c r="B146" s="98">
        <v>2815</v>
      </c>
      <c r="C146" t="s">
        <v>189</v>
      </c>
      <c r="D146" s="322">
        <v>-542037</v>
      </c>
      <c r="E146" s="101">
        <v>-170151</v>
      </c>
      <c r="F146" s="113"/>
      <c r="G146" t="s">
        <v>78</v>
      </c>
      <c r="K146" s="334"/>
    </row>
    <row r="147" spans="2:11" ht="15" hidden="1">
      <c r="B147" s="97">
        <v>231</v>
      </c>
      <c r="D147" s="322"/>
      <c r="F147" s="113"/>
      <c r="K147" s="334"/>
    </row>
    <row r="148" spans="2:11" ht="15" hidden="1">
      <c r="B148" s="98">
        <v>232</v>
      </c>
      <c r="C148" t="s">
        <v>190</v>
      </c>
      <c r="D148" s="322">
        <v>212211314.02</v>
      </c>
      <c r="E148" s="101">
        <v>78844216.47</v>
      </c>
      <c r="F148" s="113">
        <f>'2010'!M9</f>
        <v>5184632</v>
      </c>
      <c r="G148" t="s">
        <v>86</v>
      </c>
      <c r="K148" s="334"/>
    </row>
    <row r="149" spans="2:11" ht="15" hidden="1">
      <c r="B149" s="97">
        <v>2182</v>
      </c>
      <c r="C149" t="s">
        <v>191</v>
      </c>
      <c r="D149" s="322">
        <v>52758</v>
      </c>
      <c r="E149" s="104">
        <v>52758</v>
      </c>
      <c r="F149" s="113">
        <f>'2010'!M8</f>
        <v>52758</v>
      </c>
      <c r="G149" t="s">
        <v>78</v>
      </c>
      <c r="K149" s="334"/>
    </row>
    <row r="150" spans="2:11" ht="15" hidden="1">
      <c r="B150" s="97">
        <v>28182</v>
      </c>
      <c r="C150" t="s">
        <v>192</v>
      </c>
      <c r="D150" s="322">
        <v>-23079</v>
      </c>
      <c r="E150" s="104">
        <v>-13188</v>
      </c>
      <c r="F150" s="113"/>
      <c r="G150" t="s">
        <v>78</v>
      </c>
      <c r="K150" s="334"/>
    </row>
    <row r="151" spans="2:11" ht="15" hidden="1">
      <c r="B151" s="97">
        <v>327</v>
      </c>
      <c r="D151" s="322"/>
      <c r="F151" s="113"/>
      <c r="K151" s="334"/>
    </row>
    <row r="152" spans="2:11" s="111" customFormat="1" ht="15" hidden="1">
      <c r="B152" s="97">
        <v>409</v>
      </c>
      <c r="D152" s="322">
        <v>196878124.04</v>
      </c>
      <c r="F152" s="113"/>
      <c r="G152" s="111" t="s">
        <v>66</v>
      </c>
      <c r="K152" s="334"/>
    </row>
    <row r="153" spans="2:11" ht="15" hidden="1">
      <c r="B153" s="97">
        <v>419</v>
      </c>
      <c r="D153" s="322"/>
      <c r="F153" s="113"/>
      <c r="K153" s="334"/>
    </row>
    <row r="154" spans="2:11" ht="15" hidden="1">
      <c r="B154" s="97">
        <v>421</v>
      </c>
      <c r="C154" t="s">
        <v>193</v>
      </c>
      <c r="D154" s="328">
        <v>864000</v>
      </c>
      <c r="E154" s="99">
        <v>487428</v>
      </c>
      <c r="F154" s="113">
        <f>-'2010'!M5</f>
        <v>360000</v>
      </c>
      <c r="G154" t="s">
        <v>99</v>
      </c>
      <c r="K154" s="334"/>
    </row>
    <row r="155" spans="2:11" ht="15" hidden="1">
      <c r="B155" s="97">
        <v>431</v>
      </c>
      <c r="C155" t="s">
        <v>194</v>
      </c>
      <c r="D155" s="322">
        <f>25521+8891</f>
        <v>34412</v>
      </c>
      <c r="E155" s="99">
        <v>24470</v>
      </c>
      <c r="F155" s="113">
        <f>-'2010'!M6</f>
        <v>23464</v>
      </c>
      <c r="G155" t="s">
        <v>100</v>
      </c>
      <c r="K155" s="334"/>
    </row>
    <row r="156" spans="2:11" ht="15" hidden="1">
      <c r="B156" s="97">
        <v>4451</v>
      </c>
      <c r="D156" s="322"/>
      <c r="F156" s="113"/>
      <c r="K156" s="334"/>
    </row>
    <row r="157" spans="2:11" ht="15" hidden="1">
      <c r="B157" s="97">
        <v>4456</v>
      </c>
      <c r="C157" t="s">
        <v>195</v>
      </c>
      <c r="D157" s="322">
        <v>82338067.39</v>
      </c>
      <c r="E157" s="99">
        <v>13759170.31</v>
      </c>
      <c r="F157" s="113">
        <f>'2010'!M14</f>
        <v>921035</v>
      </c>
      <c r="G157" t="s">
        <v>53</v>
      </c>
      <c r="K157" s="334"/>
    </row>
    <row r="158" spans="2:11" ht="15" hidden="1">
      <c r="B158" s="97">
        <v>4458</v>
      </c>
      <c r="D158" s="322"/>
      <c r="F158" s="113"/>
      <c r="K158" s="334"/>
    </row>
    <row r="159" spans="2:11" ht="15" hidden="1">
      <c r="B159" s="97">
        <v>455</v>
      </c>
      <c r="C159" t="s">
        <v>196</v>
      </c>
      <c r="E159" s="99">
        <v>871287</v>
      </c>
      <c r="F159" s="113">
        <f>-'2010'!M15</f>
        <v>5698180</v>
      </c>
      <c r="G159" s="111" t="s">
        <v>110</v>
      </c>
      <c r="K159" s="334"/>
    </row>
    <row r="160" spans="2:11" s="111" customFormat="1" ht="15" hidden="1">
      <c r="B160" s="97">
        <v>455</v>
      </c>
      <c r="C160" s="111" t="s">
        <v>196</v>
      </c>
      <c r="D160" s="322">
        <v>203999381.5</v>
      </c>
      <c r="E160" s="99"/>
      <c r="F160" s="113"/>
      <c r="K160" s="334"/>
    </row>
    <row r="161" spans="2:11" ht="15" hidden="1">
      <c r="B161" s="97">
        <v>466</v>
      </c>
      <c r="D161" s="322"/>
      <c r="F161" s="113"/>
      <c r="K161" s="334"/>
    </row>
    <row r="162" spans="2:11" ht="15" hidden="1">
      <c r="B162" s="97">
        <v>467</v>
      </c>
      <c r="C162" t="s">
        <v>197</v>
      </c>
      <c r="D162" s="328">
        <v>92327</v>
      </c>
      <c r="E162" s="104">
        <v>49184207.5</v>
      </c>
      <c r="F162" s="113">
        <f>-'2010'!M7</f>
        <v>871287</v>
      </c>
      <c r="G162" t="s">
        <v>110</v>
      </c>
      <c r="K162" s="334"/>
    </row>
    <row r="163" spans="2:11" ht="15" hidden="1">
      <c r="B163" s="97">
        <v>408</v>
      </c>
      <c r="C163" t="s">
        <v>198</v>
      </c>
      <c r="D163" s="322"/>
      <c r="E163" s="104">
        <v>61023.61</v>
      </c>
      <c r="F163" s="113"/>
      <c r="G163" t="s">
        <v>66</v>
      </c>
      <c r="K163" s="334"/>
    </row>
    <row r="164" spans="2:11" ht="15" hidden="1">
      <c r="B164" s="97">
        <v>5121</v>
      </c>
      <c r="C164" t="s">
        <v>199</v>
      </c>
      <c r="D164" s="322">
        <v>82375.99</v>
      </c>
      <c r="E164" s="104">
        <v>68081.27</v>
      </c>
      <c r="F164" s="113">
        <f>'2010'!M16</f>
        <v>4355.73999999907</v>
      </c>
      <c r="G164" t="s">
        <v>46</v>
      </c>
      <c r="K164" s="334"/>
    </row>
    <row r="165" spans="2:11" ht="15" hidden="1">
      <c r="B165" s="97">
        <v>5122</v>
      </c>
      <c r="C165" t="s">
        <v>200</v>
      </c>
      <c r="D165" s="322">
        <v>126344.33</v>
      </c>
      <c r="E165" s="104">
        <v>175178.23</v>
      </c>
      <c r="F165" s="113">
        <f>'2010'!M17</f>
        <v>32477.7300000002</v>
      </c>
      <c r="G165" t="s">
        <v>46</v>
      </c>
      <c r="K165" s="334"/>
    </row>
    <row r="166" spans="2:11" ht="15" hidden="1">
      <c r="B166" s="97">
        <v>5311</v>
      </c>
      <c r="C166" t="s">
        <v>199</v>
      </c>
      <c r="D166" s="322">
        <v>200</v>
      </c>
      <c r="E166" s="104">
        <v>37500</v>
      </c>
      <c r="F166" s="113"/>
      <c r="G166" t="s">
        <v>46</v>
      </c>
      <c r="K166" s="334"/>
    </row>
    <row r="167" spans="2:11" ht="15" hidden="1">
      <c r="B167" s="97">
        <v>51241</v>
      </c>
      <c r="C167" s="111" t="s">
        <v>199</v>
      </c>
      <c r="D167" s="322">
        <v>139</v>
      </c>
      <c r="G167" s="111" t="s">
        <v>46</v>
      </c>
      <c r="K167" s="334"/>
    </row>
    <row r="168" spans="2:11" s="111" customFormat="1" ht="15" hidden="1">
      <c r="B168" s="326">
        <v>591</v>
      </c>
      <c r="C168" s="111" t="s">
        <v>199</v>
      </c>
      <c r="D168" s="322">
        <v>198078210</v>
      </c>
      <c r="E168" s="322">
        <v>198078211</v>
      </c>
      <c r="G168" s="111" t="s">
        <v>46</v>
      </c>
      <c r="K168" s="334"/>
    </row>
    <row r="169" spans="4:11" ht="15">
      <c r="D169" s="322"/>
      <c r="E169" s="322"/>
      <c r="K169" s="334"/>
    </row>
    <row r="170" spans="4:11" ht="15">
      <c r="D170" s="322"/>
      <c r="E170" s="322"/>
      <c r="K170" s="334"/>
    </row>
    <row r="171" spans="4:11" ht="15">
      <c r="D171" s="322"/>
      <c r="E171" s="322"/>
      <c r="K171" s="334"/>
    </row>
    <row r="172" ht="15">
      <c r="K172" s="334"/>
    </row>
    <row r="173" ht="15">
      <c r="K173" s="334"/>
    </row>
    <row r="174" ht="15">
      <c r="K174" s="334"/>
    </row>
    <row r="175" ht="15">
      <c r="K175" s="334"/>
    </row>
    <row r="176" ht="15">
      <c r="K176" s="334"/>
    </row>
    <row r="177" ht="15">
      <c r="K177" s="334"/>
    </row>
    <row r="178" ht="15">
      <c r="K178" s="334"/>
    </row>
    <row r="179" ht="15">
      <c r="K179" s="334"/>
    </row>
    <row r="180" ht="15">
      <c r="K180" s="334"/>
    </row>
    <row r="181" ht="15">
      <c r="K181" s="334"/>
    </row>
    <row r="182" ht="15">
      <c r="K182" s="334"/>
    </row>
    <row r="183" ht="15">
      <c r="K183" s="334"/>
    </row>
    <row r="184" ht="15">
      <c r="K184" s="334"/>
    </row>
    <row r="185" ht="15">
      <c r="K185" s="334"/>
    </row>
    <row r="186" ht="15">
      <c r="K186" s="334"/>
    </row>
    <row r="187" ht="15">
      <c r="K187" s="334"/>
    </row>
    <row r="188" ht="15">
      <c r="K188" s="334"/>
    </row>
    <row r="189" ht="15">
      <c r="K189" s="334"/>
    </row>
    <row r="190" ht="15">
      <c r="K190" s="334"/>
    </row>
    <row r="191" ht="15">
      <c r="K191" s="334"/>
    </row>
    <row r="192" ht="15">
      <c r="K192" s="334"/>
    </row>
    <row r="193" ht="15">
      <c r="K193" s="334"/>
    </row>
    <row r="194" ht="15">
      <c r="K194" s="334"/>
    </row>
    <row r="195" ht="15">
      <c r="K195" s="334"/>
    </row>
    <row r="196" ht="15">
      <c r="K196" s="334"/>
    </row>
    <row r="197" ht="15">
      <c r="K197" s="334"/>
    </row>
    <row r="198" ht="15">
      <c r="K198" s="334"/>
    </row>
    <row r="199" ht="15">
      <c r="K199" s="334"/>
    </row>
    <row r="200" ht="15">
      <c r="K200" s="334"/>
    </row>
    <row r="201" ht="15">
      <c r="K201" s="334"/>
    </row>
    <row r="202" ht="15">
      <c r="K202" s="334"/>
    </row>
    <row r="203" ht="15">
      <c r="K203" s="334"/>
    </row>
    <row r="204" ht="15">
      <c r="K204" s="334"/>
    </row>
    <row r="205" ht="15">
      <c r="K205" s="334"/>
    </row>
    <row r="206" ht="15">
      <c r="K206" s="334"/>
    </row>
    <row r="207" ht="15">
      <c r="K207" s="334"/>
    </row>
    <row r="208" ht="15">
      <c r="K208" s="334"/>
    </row>
    <row r="212" ht="15"/>
    <row r="213" ht="15"/>
    <row r="214" ht="15"/>
  </sheetData>
  <sheetProtection/>
  <mergeCells count="13">
    <mergeCell ref="E64:E65"/>
    <mergeCell ref="F64:F65"/>
    <mergeCell ref="C59:F59"/>
    <mergeCell ref="C60:F60"/>
    <mergeCell ref="C120:F120"/>
    <mergeCell ref="C121:F121"/>
    <mergeCell ref="A122:B122"/>
    <mergeCell ref="A119:B119"/>
    <mergeCell ref="C1:F1"/>
    <mergeCell ref="C63:F63"/>
    <mergeCell ref="A64:A65"/>
    <mergeCell ref="B64:B65"/>
    <mergeCell ref="C64:C65"/>
  </mergeCells>
  <printOptions/>
  <pageMargins left="0.24" right="0.58" top="0.26" bottom="0.3" header="0.24" footer="0.3"/>
  <pageSetup fitToHeight="1" fitToWidth="1"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36">
      <selection activeCell="A43" sqref="A43:IV65"/>
    </sheetView>
  </sheetViews>
  <sheetFormatPr defaultColWidth="9.140625" defaultRowHeight="15"/>
  <cols>
    <col min="1" max="1" width="6.140625" style="0" customWidth="1"/>
    <col min="2" max="2" width="65.28125" style="0" bestFit="1" customWidth="1"/>
    <col min="4" max="4" width="15.28125" style="111" bestFit="1" customWidth="1"/>
    <col min="5" max="5" width="13.57421875" style="0" bestFit="1" customWidth="1"/>
    <col min="6" max="6" width="13.140625" style="0" hidden="1" customWidth="1"/>
  </cols>
  <sheetData>
    <row r="1" spans="1:6" ht="15.75">
      <c r="A1" s="365" t="s">
        <v>0</v>
      </c>
      <c r="B1" s="365"/>
      <c r="C1" s="365"/>
      <c r="D1" s="365"/>
      <c r="E1" s="365"/>
      <c r="F1" s="365"/>
    </row>
    <row r="2" spans="1:6" ht="15.75">
      <c r="A2" s="55"/>
      <c r="B2" s="366" t="s">
        <v>518</v>
      </c>
      <c r="C2" s="366"/>
      <c r="D2" s="366"/>
      <c r="E2" s="366"/>
      <c r="F2" s="366"/>
    </row>
    <row r="3" spans="1:6" ht="15.75" hidden="1">
      <c r="A3" s="55"/>
      <c r="B3" s="56"/>
      <c r="C3" s="57"/>
      <c r="D3" s="57"/>
      <c r="E3" s="54"/>
      <c r="F3" s="54"/>
    </row>
    <row r="4" spans="1:6" ht="15.75">
      <c r="A4" s="55"/>
      <c r="B4" s="58"/>
      <c r="C4" s="57"/>
      <c r="D4" s="57"/>
      <c r="E4" s="367" t="s">
        <v>1</v>
      </c>
      <c r="F4" s="367"/>
    </row>
    <row r="5" spans="1:6" ht="15.75" customHeight="1">
      <c r="A5" s="59"/>
      <c r="B5" s="363" t="s">
        <v>129</v>
      </c>
      <c r="C5" s="368" t="s">
        <v>130</v>
      </c>
      <c r="D5" s="370" t="s">
        <v>5</v>
      </c>
      <c r="E5" s="370" t="s">
        <v>6</v>
      </c>
      <c r="F5" s="370">
        <v>2011</v>
      </c>
    </row>
    <row r="6" spans="1:6" ht="15.75" customHeight="1">
      <c r="A6" s="59"/>
      <c r="B6" s="364"/>
      <c r="C6" s="369"/>
      <c r="D6" s="370"/>
      <c r="E6" s="370"/>
      <c r="F6" s="370"/>
    </row>
    <row r="7" spans="1:6" ht="15.75">
      <c r="A7" s="60"/>
      <c r="B7" s="61"/>
      <c r="C7" s="62"/>
      <c r="D7" s="62"/>
      <c r="E7" s="62"/>
      <c r="F7" s="62"/>
    </row>
    <row r="8" spans="1:6" ht="26.25" customHeight="1">
      <c r="A8" s="63" t="s">
        <v>42</v>
      </c>
      <c r="B8" s="61" t="s">
        <v>131</v>
      </c>
      <c r="C8" s="62"/>
      <c r="D8" s="337"/>
      <c r="E8" s="62"/>
      <c r="F8" s="62"/>
    </row>
    <row r="9" spans="1:6" ht="17.25" customHeight="1">
      <c r="A9" s="64">
        <v>1</v>
      </c>
      <c r="B9" s="62" t="s">
        <v>132</v>
      </c>
      <c r="C9" s="62"/>
      <c r="D9" s="65">
        <f>PL!D32</f>
        <v>-14079929.49</v>
      </c>
      <c r="E9" s="65">
        <f>PL!E32</f>
        <v>-7015404.420000002</v>
      </c>
      <c r="F9" s="65">
        <v>-2195320.14</v>
      </c>
    </row>
    <row r="10" spans="1:6" ht="17.25" customHeight="1">
      <c r="A10" s="64"/>
      <c r="B10" s="62" t="s">
        <v>133</v>
      </c>
      <c r="C10" s="62"/>
      <c r="D10" s="65"/>
      <c r="E10" s="66"/>
      <c r="F10" s="66"/>
    </row>
    <row r="11" spans="1:6" ht="17.25" customHeight="1">
      <c r="A11" s="64">
        <v>2</v>
      </c>
      <c r="B11" s="62" t="s">
        <v>134</v>
      </c>
      <c r="C11" s="67"/>
      <c r="D11" s="332">
        <f>-PL!D16</f>
        <v>381777</v>
      </c>
      <c r="E11" s="68">
        <f>-PL!E16</f>
        <v>183339</v>
      </c>
      <c r="F11" s="68"/>
    </row>
    <row r="12" spans="1:6" ht="17.25" customHeight="1">
      <c r="A12" s="64">
        <v>3</v>
      </c>
      <c r="B12" s="62" t="s">
        <v>135</v>
      </c>
      <c r="C12" s="67"/>
      <c r="D12" s="336"/>
      <c r="E12" s="68">
        <f>-PL!E24</f>
        <v>-167112.55</v>
      </c>
      <c r="F12" s="68"/>
    </row>
    <row r="13" spans="1:6" ht="17.25" customHeight="1">
      <c r="A13" s="64">
        <v>4</v>
      </c>
      <c r="B13" s="62" t="s">
        <v>136</v>
      </c>
      <c r="C13" s="67"/>
      <c r="D13" s="332"/>
      <c r="E13" s="68"/>
      <c r="F13" s="68"/>
    </row>
    <row r="14" spans="1:6" ht="17.25" customHeight="1">
      <c r="A14" s="64">
        <v>5</v>
      </c>
      <c r="B14" s="62" t="s">
        <v>137</v>
      </c>
      <c r="C14" s="67"/>
      <c r="D14" s="332">
        <f>-PL!D43</f>
        <v>-15224.2</v>
      </c>
      <c r="E14" s="68">
        <f>-PL!E43</f>
        <v>-106.34</v>
      </c>
      <c r="F14" s="68"/>
    </row>
    <row r="15" spans="1:6" ht="17.25" customHeight="1">
      <c r="A15" s="64">
        <v>6</v>
      </c>
      <c r="B15" s="62" t="s">
        <v>138</v>
      </c>
      <c r="C15" s="67"/>
      <c r="D15" s="336">
        <f>-PL!D59</f>
        <v>108133.76</v>
      </c>
      <c r="E15" s="68">
        <f>-PL!E59</f>
        <v>55278.87</v>
      </c>
      <c r="F15" s="68"/>
    </row>
    <row r="16" spans="1:6" ht="26.25" customHeight="1">
      <c r="A16" s="64">
        <v>7</v>
      </c>
      <c r="B16" s="62" t="s">
        <v>139</v>
      </c>
      <c r="C16" s="67"/>
      <c r="D16" s="332">
        <f>BSH!E15-BSH!D15+BSH!E28-BSH!D28+BSH!E51-BSH!D51+BSH!E52-BSH!D52</f>
        <v>-602796244.9</v>
      </c>
      <c r="E16" s="68">
        <f>-BSH!I18-BSH!I28</f>
        <v>-12934077.58</v>
      </c>
      <c r="F16" s="68">
        <v>4645385</v>
      </c>
    </row>
    <row r="17" spans="1:6" ht="26.25" customHeight="1">
      <c r="A17" s="64">
        <v>8</v>
      </c>
      <c r="B17" s="62" t="s">
        <v>140</v>
      </c>
      <c r="C17" s="67"/>
      <c r="D17" s="332"/>
      <c r="E17" s="70"/>
      <c r="F17" s="70"/>
    </row>
    <row r="18" spans="1:6" ht="26.25" customHeight="1">
      <c r="A18" s="64">
        <v>9</v>
      </c>
      <c r="B18" s="62" t="s">
        <v>141</v>
      </c>
      <c r="C18" s="67"/>
      <c r="D18" s="332">
        <f>-(BSH!E82-BSH!D82+BSH!E98-BSH!D98)</f>
        <v>34844026.81</v>
      </c>
      <c r="E18" s="68">
        <f>BSH!I82+BSH!I94+PL!E24</f>
        <v>101165364.82000001</v>
      </c>
      <c r="F18" s="68">
        <v>-2378029</v>
      </c>
    </row>
    <row r="19" spans="1:6" ht="13.5" customHeight="1">
      <c r="A19" s="64">
        <v>10</v>
      </c>
      <c r="B19" s="62" t="s">
        <v>142</v>
      </c>
      <c r="C19" s="67"/>
      <c r="D19" s="338"/>
      <c r="E19" s="68"/>
      <c r="F19" s="68"/>
    </row>
    <row r="20" spans="1:6" ht="12.75" customHeight="1">
      <c r="A20" s="64"/>
      <c r="B20" s="62"/>
      <c r="C20" s="67"/>
      <c r="D20" s="338"/>
      <c r="E20" s="68"/>
      <c r="F20" s="68"/>
    </row>
    <row r="21" spans="1:6" ht="26.25" customHeight="1">
      <c r="A21" s="71"/>
      <c r="B21" s="72" t="s">
        <v>143</v>
      </c>
      <c r="C21" s="73"/>
      <c r="D21" s="339">
        <f>SUM(D9:D20)</f>
        <v>-581557461.02</v>
      </c>
      <c r="E21" s="74">
        <f>SUM(E9:E20)</f>
        <v>81287281.80000001</v>
      </c>
      <c r="F21" s="74">
        <v>72035.85999999987</v>
      </c>
    </row>
    <row r="22" spans="1:6" ht="26.25" customHeight="1" hidden="1">
      <c r="A22" s="64"/>
      <c r="B22" s="62"/>
      <c r="C22" s="67"/>
      <c r="D22" s="332"/>
      <c r="E22" s="68"/>
      <c r="F22" s="68"/>
    </row>
    <row r="23" spans="1:6" ht="18" customHeight="1">
      <c r="A23" s="64"/>
      <c r="B23" s="62" t="s">
        <v>144</v>
      </c>
      <c r="C23" s="67"/>
      <c r="D23" s="332"/>
      <c r="E23" s="68"/>
      <c r="F23" s="68"/>
    </row>
    <row r="24" spans="1:6" ht="18" customHeight="1">
      <c r="A24" s="64"/>
      <c r="B24" s="62" t="s">
        <v>145</v>
      </c>
      <c r="C24" s="67"/>
      <c r="D24" s="332"/>
      <c r="E24" s="68"/>
      <c r="F24" s="68"/>
    </row>
    <row r="25" spans="1:6" ht="26.25" customHeight="1" hidden="1">
      <c r="A25" s="64"/>
      <c r="B25" s="62"/>
      <c r="C25" s="67"/>
      <c r="D25" s="332"/>
      <c r="E25" s="68"/>
      <c r="F25" s="68"/>
    </row>
    <row r="26" spans="1:6" ht="26.25" customHeight="1">
      <c r="A26" s="71"/>
      <c r="B26" s="72" t="s">
        <v>146</v>
      </c>
      <c r="C26" s="73"/>
      <c r="D26" s="340">
        <f>D21-D23-D24</f>
        <v>-581557461.02</v>
      </c>
      <c r="E26" s="75">
        <f>E21-E23-E24</f>
        <v>81287281.80000001</v>
      </c>
      <c r="F26" s="75">
        <v>72035.85999999987</v>
      </c>
    </row>
    <row r="27" spans="1:6" ht="16.5" customHeight="1">
      <c r="A27" s="64"/>
      <c r="B27" s="62"/>
      <c r="C27" s="67"/>
      <c r="D27" s="338"/>
      <c r="E27" s="68"/>
      <c r="F27" s="68"/>
    </row>
    <row r="28" spans="1:6" ht="26.25" customHeight="1">
      <c r="A28" s="63" t="s">
        <v>89</v>
      </c>
      <c r="B28" s="61" t="s">
        <v>147</v>
      </c>
      <c r="C28" s="67"/>
      <c r="D28" s="338"/>
      <c r="E28" s="68"/>
      <c r="F28" s="68"/>
    </row>
    <row r="29" spans="1:6" ht="26.25" customHeight="1" hidden="1">
      <c r="A29" s="64"/>
      <c r="B29" s="62"/>
      <c r="C29" s="67"/>
      <c r="D29" s="338"/>
      <c r="E29" s="68"/>
      <c r="F29" s="68"/>
    </row>
    <row r="30" spans="1:6" ht="26.25" customHeight="1">
      <c r="A30" s="64">
        <v>1</v>
      </c>
      <c r="B30" s="62" t="s">
        <v>148</v>
      </c>
      <c r="C30" s="67"/>
      <c r="D30" s="338"/>
      <c r="E30" s="69"/>
      <c r="F30" s="69"/>
    </row>
    <row r="31" spans="1:6" ht="26.25" customHeight="1">
      <c r="A31" s="64">
        <v>2</v>
      </c>
      <c r="B31" s="62" t="s">
        <v>149</v>
      </c>
      <c r="C31" s="67"/>
      <c r="D31" s="341">
        <f>BSH!E40-BSH!D40</f>
        <v>-100726149</v>
      </c>
      <c r="E31" s="69">
        <f>-BSH!I52-BSH!E145-BSH!H144+1</f>
        <v>-80988183.03999999</v>
      </c>
      <c r="F31" s="69">
        <v>-52758</v>
      </c>
    </row>
    <row r="32" spans="1:6" ht="21" customHeight="1">
      <c r="A32" s="64">
        <v>3</v>
      </c>
      <c r="B32" s="62" t="s">
        <v>150</v>
      </c>
      <c r="C32" s="67"/>
      <c r="D32" s="332"/>
      <c r="E32" s="68"/>
      <c r="F32" s="68"/>
    </row>
    <row r="33" spans="1:6" ht="21" customHeight="1">
      <c r="A33" s="64">
        <v>4</v>
      </c>
      <c r="B33" s="62" t="s">
        <v>151</v>
      </c>
      <c r="C33" s="67"/>
      <c r="D33" s="332">
        <f>-D14</f>
        <v>15224.2</v>
      </c>
      <c r="E33" s="68">
        <f>-E14</f>
        <v>106.34</v>
      </c>
      <c r="F33" s="68"/>
    </row>
    <row r="34" spans="1:6" ht="21" customHeight="1">
      <c r="A34" s="64">
        <v>5</v>
      </c>
      <c r="B34" s="62" t="s">
        <v>152</v>
      </c>
      <c r="C34" s="67"/>
      <c r="D34" s="332"/>
      <c r="E34" s="68"/>
      <c r="F34" s="68"/>
    </row>
    <row r="35" spans="1:6" ht="26.25" customHeight="1" hidden="1">
      <c r="A35" s="64"/>
      <c r="B35" s="62"/>
      <c r="C35" s="67"/>
      <c r="D35" s="332"/>
      <c r="E35" s="68"/>
      <c r="F35" s="68"/>
    </row>
    <row r="36" spans="1:6" ht="26.25" customHeight="1">
      <c r="A36" s="71"/>
      <c r="B36" s="72" t="s">
        <v>153</v>
      </c>
      <c r="C36" s="73"/>
      <c r="D36" s="340">
        <f>SUM(D30:D35)</f>
        <v>-100710924.8</v>
      </c>
      <c r="E36" s="75">
        <f>SUM(E30:E35)</f>
        <v>-80988076.69999999</v>
      </c>
      <c r="F36" s="75">
        <v>-52758</v>
      </c>
    </row>
    <row r="37" spans="1:6" ht="26.25" customHeight="1" hidden="1">
      <c r="A37" s="64"/>
      <c r="B37" s="76"/>
      <c r="C37" s="59"/>
      <c r="D37" s="342"/>
      <c r="E37" s="68"/>
      <c r="F37" s="68"/>
    </row>
    <row r="38" spans="1:6" ht="26.25" customHeight="1">
      <c r="A38" s="63" t="s">
        <v>154</v>
      </c>
      <c r="B38" s="16" t="s">
        <v>155</v>
      </c>
      <c r="C38" s="59"/>
      <c r="D38" s="342"/>
      <c r="E38" s="68"/>
      <c r="F38" s="68"/>
    </row>
    <row r="39" spans="1:6" ht="26.25" customHeight="1" hidden="1">
      <c r="A39" s="64"/>
      <c r="B39" s="76"/>
      <c r="C39" s="59"/>
      <c r="D39" s="342"/>
      <c r="E39" s="68"/>
      <c r="F39" s="68"/>
    </row>
    <row r="40" spans="1:6" ht="26.25" customHeight="1">
      <c r="A40" s="64">
        <v>1</v>
      </c>
      <c r="B40" s="76" t="s">
        <v>156</v>
      </c>
      <c r="C40" s="59"/>
      <c r="D40" s="338">
        <f>BSH!D106-BSH!E106</f>
        <v>880383030</v>
      </c>
      <c r="E40" s="68"/>
      <c r="F40" s="68"/>
    </row>
    <row r="41" spans="1:6" ht="19.5" customHeight="1">
      <c r="A41" s="64">
        <v>2</v>
      </c>
      <c r="B41" s="76" t="s">
        <v>157</v>
      </c>
      <c r="C41" s="59"/>
      <c r="D41" s="342"/>
      <c r="E41" s="68"/>
      <c r="F41" s="68"/>
    </row>
    <row r="42" spans="1:6" ht="19.5" customHeight="1">
      <c r="A42" s="64">
        <v>3</v>
      </c>
      <c r="B42" s="76" t="s">
        <v>158</v>
      </c>
      <c r="C42" s="59"/>
      <c r="D42" s="336">
        <f>PL!D59</f>
        <v>-108133.76</v>
      </c>
      <c r="E42" s="68">
        <f>PL!E59</f>
        <v>-55278.87</v>
      </c>
      <c r="F42" s="68"/>
    </row>
    <row r="43" spans="1:6" ht="19.5" customHeight="1">
      <c r="A43" s="64">
        <v>4</v>
      </c>
      <c r="B43" s="76" t="s">
        <v>159</v>
      </c>
      <c r="C43" s="59"/>
      <c r="D43" s="68"/>
      <c r="E43" s="68"/>
      <c r="F43" s="68"/>
    </row>
    <row r="44" spans="1:6" ht="26.25" customHeight="1" hidden="1">
      <c r="A44" s="64"/>
      <c r="B44" s="76"/>
      <c r="C44" s="59"/>
      <c r="D44" s="68"/>
      <c r="E44" s="68"/>
      <c r="F44" s="68"/>
    </row>
    <row r="45" spans="1:6" ht="26.25" customHeight="1">
      <c r="A45" s="71"/>
      <c r="B45" s="77" t="s">
        <v>160</v>
      </c>
      <c r="C45" s="78"/>
      <c r="D45" s="75">
        <f>SUM(D40:D43)</f>
        <v>880274896.24</v>
      </c>
      <c r="E45" s="75">
        <f>SUM(E40:E43)</f>
        <v>-55278.87</v>
      </c>
      <c r="F45" s="75">
        <v>0</v>
      </c>
    </row>
    <row r="46" spans="1:6" ht="15" customHeight="1">
      <c r="A46" s="64"/>
      <c r="B46" s="76"/>
      <c r="C46" s="59"/>
      <c r="D46" s="59"/>
      <c r="E46" s="68"/>
      <c r="F46" s="68"/>
    </row>
    <row r="47" spans="1:6" ht="18" customHeight="1">
      <c r="A47" s="63"/>
      <c r="B47" s="16" t="s">
        <v>161</v>
      </c>
      <c r="C47" s="60"/>
      <c r="D47" s="79">
        <f>D45+D36++D26</f>
        <v>198006510.42000008</v>
      </c>
      <c r="E47" s="79">
        <f>E45+E36++E26</f>
        <v>243926.23000001907</v>
      </c>
      <c r="F47" s="79">
        <v>19277.85999999987</v>
      </c>
    </row>
    <row r="48" spans="1:6" ht="18" customHeight="1">
      <c r="A48" s="64"/>
      <c r="B48" s="16" t="s">
        <v>162</v>
      </c>
      <c r="C48" s="60"/>
      <c r="D48" s="80">
        <f>E49</f>
        <v>280759.70000001893</v>
      </c>
      <c r="E48" s="80">
        <f>F49</f>
        <v>36833.46999999987</v>
      </c>
      <c r="F48" s="80">
        <v>17555.61</v>
      </c>
    </row>
    <row r="49" spans="1:6" ht="18" customHeight="1">
      <c r="A49" s="63"/>
      <c r="B49" s="16" t="s">
        <v>163</v>
      </c>
      <c r="C49" s="60"/>
      <c r="D49" s="79">
        <f>D47+D48</f>
        <v>198287270.1200001</v>
      </c>
      <c r="E49" s="79">
        <f>E47+E48</f>
        <v>280759.70000001893</v>
      </c>
      <c r="F49" s="79">
        <v>36833.46999999987</v>
      </c>
    </row>
    <row r="50" spans="5:6" ht="15" hidden="1">
      <c r="E50" s="104">
        <f>E49-BSH!E8</f>
        <v>0.20000001892913133</v>
      </c>
      <c r="F50" s="104">
        <f>F49-BSH!F8</f>
        <v>-1.3096723705530167E-10</v>
      </c>
    </row>
    <row r="51" ht="15" hidden="1">
      <c r="D51" s="322">
        <f>BSH!D8-D49</f>
        <v>-0.8000001013278961</v>
      </c>
    </row>
    <row r="52" ht="15">
      <c r="D52" s="322">
        <f>D51/2</f>
        <v>-0.40000005066394806</v>
      </c>
    </row>
    <row r="54" spans="3:6" ht="15.75">
      <c r="C54" s="345" t="s">
        <v>343</v>
      </c>
      <c r="D54" s="345"/>
      <c r="E54" s="345"/>
      <c r="F54" s="345"/>
    </row>
    <row r="55" spans="3:6" ht="17.25">
      <c r="C55" s="346" t="s">
        <v>516</v>
      </c>
      <c r="D55" s="346"/>
      <c r="E55" s="346"/>
      <c r="F55" s="346"/>
    </row>
  </sheetData>
  <sheetProtection/>
  <mergeCells count="10">
    <mergeCell ref="C54:F54"/>
    <mergeCell ref="C55:F55"/>
    <mergeCell ref="B5:B6"/>
    <mergeCell ref="A1:F1"/>
    <mergeCell ref="B2:F2"/>
    <mergeCell ref="E4:F4"/>
    <mergeCell ref="C5:C6"/>
    <mergeCell ref="E5:E6"/>
    <mergeCell ref="F5:F6"/>
    <mergeCell ref="D5:D6"/>
  </mergeCells>
  <printOptions/>
  <pageMargins left="0.24" right="0.34" top="0.29" bottom="0.28" header="0.3" footer="0.3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3" sqref="A43:IV65"/>
    </sheetView>
  </sheetViews>
  <sheetFormatPr defaultColWidth="9.140625" defaultRowHeight="15"/>
  <cols>
    <col min="1" max="1" width="45.7109375" style="0" bestFit="1" customWidth="1"/>
    <col min="2" max="2" width="14.28125" style="0" bestFit="1" customWidth="1"/>
    <col min="6" max="6" width="17.140625" style="0" customWidth="1"/>
    <col min="7" max="7" width="19.7109375" style="0" bestFit="1" customWidth="1"/>
    <col min="9" max="9" width="14.28125" style="0" bestFit="1" customWidth="1"/>
  </cols>
  <sheetData>
    <row r="1" spans="1:4" ht="18.75">
      <c r="A1" s="81" t="s">
        <v>0</v>
      </c>
      <c r="B1" s="82"/>
      <c r="C1" s="82"/>
      <c r="D1" s="82"/>
    </row>
    <row r="2" spans="1:7" ht="16.5">
      <c r="A2" s="371" t="s">
        <v>514</v>
      </c>
      <c r="B2" s="371"/>
      <c r="C2" s="371"/>
      <c r="D2" s="371"/>
      <c r="E2" s="371"/>
      <c r="F2" s="371"/>
      <c r="G2" s="83"/>
    </row>
    <row r="3" spans="1:7" ht="15.75">
      <c r="A3" s="372" t="s">
        <v>164</v>
      </c>
      <c r="B3" s="372"/>
      <c r="C3" s="83"/>
      <c r="D3" s="83"/>
      <c r="E3" s="83"/>
      <c r="F3" s="83"/>
      <c r="G3" s="83"/>
    </row>
    <row r="4" spans="1:7" ht="15.75" hidden="1">
      <c r="A4" s="373"/>
      <c r="B4" s="373"/>
      <c r="C4" s="373"/>
      <c r="D4" s="373"/>
      <c r="E4" s="373"/>
      <c r="F4" s="84"/>
      <c r="G4" s="83"/>
    </row>
    <row r="5" spans="1:7" ht="16.5">
      <c r="A5" s="83"/>
      <c r="B5" s="83"/>
      <c r="C5" s="83"/>
      <c r="D5" s="83"/>
      <c r="E5" s="83"/>
      <c r="F5" s="82" t="s">
        <v>165</v>
      </c>
      <c r="G5" s="82"/>
    </row>
    <row r="6" spans="1:7" ht="54" customHeight="1">
      <c r="A6" s="9"/>
      <c r="B6" s="85" t="s">
        <v>166</v>
      </c>
      <c r="C6" s="85" t="s">
        <v>167</v>
      </c>
      <c r="D6" s="85" t="s">
        <v>168</v>
      </c>
      <c r="E6" s="86" t="s">
        <v>169</v>
      </c>
      <c r="F6" s="86" t="s">
        <v>170</v>
      </c>
      <c r="G6" s="86" t="s">
        <v>171</v>
      </c>
    </row>
    <row r="7" spans="1:9" ht="23.25" customHeight="1">
      <c r="A7" s="87" t="s">
        <v>178</v>
      </c>
      <c r="B7" s="6">
        <f>BSH!E106</f>
        <v>873225000</v>
      </c>
      <c r="C7" s="9"/>
      <c r="D7" s="9"/>
      <c r="E7" s="9"/>
      <c r="F7" s="6">
        <f>BSH!D112</f>
        <v>-10077353.15</v>
      </c>
      <c r="G7" s="6">
        <f>SUM(B7:F7)</f>
        <v>863147646.85</v>
      </c>
      <c r="I7" s="104"/>
    </row>
    <row r="8" spans="1:9" ht="23.25" customHeight="1">
      <c r="A8" s="88" t="s">
        <v>172</v>
      </c>
      <c r="B8" s="7"/>
      <c r="C8" s="8"/>
      <c r="D8" s="8"/>
      <c r="E8" s="8"/>
      <c r="F8" s="89"/>
      <c r="G8" s="6">
        <f aca="true" t="shared" si="0" ref="G8:G15">SUM(B8:F8)</f>
        <v>0</v>
      </c>
      <c r="I8" s="104"/>
    </row>
    <row r="9" spans="1:9" ht="23.25" customHeight="1">
      <c r="A9" s="87" t="s">
        <v>173</v>
      </c>
      <c r="B9" s="6"/>
      <c r="C9" s="9"/>
      <c r="D9" s="9"/>
      <c r="E9" s="9"/>
      <c r="F9" s="6"/>
      <c r="G9" s="6">
        <f t="shared" si="0"/>
        <v>0</v>
      </c>
      <c r="I9" s="104"/>
    </row>
    <row r="10" spans="1:9" ht="23.25" customHeight="1">
      <c r="A10" s="88" t="s">
        <v>174</v>
      </c>
      <c r="B10" s="90"/>
      <c r="C10" s="91"/>
      <c r="D10" s="91"/>
      <c r="E10" s="91"/>
      <c r="F10" s="90">
        <f>BSH!D113</f>
        <v>-14079929.49</v>
      </c>
      <c r="G10" s="6">
        <f t="shared" si="0"/>
        <v>-14079929.49</v>
      </c>
      <c r="I10" s="104"/>
    </row>
    <row r="11" spans="1:9" ht="23.25" customHeight="1">
      <c r="A11" s="5" t="s">
        <v>175</v>
      </c>
      <c r="B11" s="91"/>
      <c r="C11" s="91"/>
      <c r="D11" s="91"/>
      <c r="E11" s="91"/>
      <c r="F11" s="8"/>
      <c r="G11" s="6">
        <f t="shared" si="0"/>
        <v>0</v>
      </c>
      <c r="I11" s="104"/>
    </row>
    <row r="12" spans="1:9" ht="23.25" customHeight="1">
      <c r="A12" s="5" t="s">
        <v>176</v>
      </c>
      <c r="B12" s="90">
        <v>880383030</v>
      </c>
      <c r="C12" s="91"/>
      <c r="D12" s="91"/>
      <c r="E12" s="91"/>
      <c r="F12" s="91"/>
      <c r="G12" s="6">
        <f t="shared" si="0"/>
        <v>880383030</v>
      </c>
      <c r="I12" s="104"/>
    </row>
    <row r="13" spans="1:9" ht="23.25" customHeight="1">
      <c r="A13" s="5" t="s">
        <v>177</v>
      </c>
      <c r="B13" s="7"/>
      <c r="C13" s="7"/>
      <c r="D13" s="7"/>
      <c r="E13" s="7"/>
      <c r="F13" s="92"/>
      <c r="G13" s="6">
        <f t="shared" si="0"/>
        <v>0</v>
      </c>
      <c r="I13" s="104"/>
    </row>
    <row r="14" spans="1:9" ht="23.25" customHeight="1">
      <c r="A14" s="87" t="s">
        <v>515</v>
      </c>
      <c r="B14" s="6">
        <f>SUM(B7:B13)</f>
        <v>1753608030</v>
      </c>
      <c r="C14" s="6">
        <f>SUM(C7:C13)</f>
        <v>0</v>
      </c>
      <c r="D14" s="6">
        <f>SUM(D7:D13)</f>
        <v>0</v>
      </c>
      <c r="E14" s="6">
        <f>SUM(E7:E13)</f>
        <v>0</v>
      </c>
      <c r="F14" s="6">
        <f>SUM(F7:F13)</f>
        <v>-24157282.64</v>
      </c>
      <c r="G14" s="6">
        <f t="shared" si="0"/>
        <v>1729450747.36</v>
      </c>
      <c r="I14" s="104">
        <f>BSH!D115-G14</f>
        <v>0</v>
      </c>
    </row>
    <row r="15" spans="1:7" ht="23.25" customHeight="1">
      <c r="A15" s="8"/>
      <c r="B15" s="7"/>
      <c r="C15" s="7"/>
      <c r="D15" s="7"/>
      <c r="E15" s="7"/>
      <c r="F15" s="7"/>
      <c r="G15" s="6">
        <f t="shared" si="0"/>
        <v>0</v>
      </c>
    </row>
    <row r="16" ht="15">
      <c r="B16" s="107">
        <f>B14-BSH!D106</f>
        <v>0</v>
      </c>
    </row>
    <row r="17" spans="5:7" ht="15.75">
      <c r="E17" s="345" t="s">
        <v>343</v>
      </c>
      <c r="F17" s="345"/>
      <c r="G17" s="345"/>
    </row>
    <row r="18" spans="5:7" ht="17.25">
      <c r="E18" s="346" t="s">
        <v>516</v>
      </c>
      <c r="F18" s="346"/>
      <c r="G18" s="346"/>
    </row>
  </sheetData>
  <sheetProtection/>
  <mergeCells count="5">
    <mergeCell ref="A2:F2"/>
    <mergeCell ref="A3:B3"/>
    <mergeCell ref="A4:E4"/>
    <mergeCell ref="E17:G17"/>
    <mergeCell ref="E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37"/>
  <sheetViews>
    <sheetView zoomScalePageLayoutView="0" workbookViewId="0" topLeftCell="A13">
      <selection activeCell="A15" sqref="A15:C18"/>
    </sheetView>
  </sheetViews>
  <sheetFormatPr defaultColWidth="9.140625" defaultRowHeight="15"/>
  <cols>
    <col min="1" max="1" width="34.421875" style="0" customWidth="1"/>
    <col min="2" max="2" width="11.28125" style="0" bestFit="1" customWidth="1"/>
    <col min="3" max="3" width="11.57421875" style="0" bestFit="1" customWidth="1"/>
    <col min="4" max="5" width="12.00390625" style="0" bestFit="1" customWidth="1"/>
  </cols>
  <sheetData>
    <row r="4" spans="1:3" ht="15">
      <c r="A4" s="116" t="s">
        <v>217</v>
      </c>
      <c r="B4" s="116" t="s">
        <v>218</v>
      </c>
      <c r="C4" s="116" t="s">
        <v>219</v>
      </c>
    </row>
    <row r="5" spans="1:3" ht="15">
      <c r="A5" s="108" t="s">
        <v>220</v>
      </c>
      <c r="B5" s="121">
        <f>B6</f>
        <v>37500</v>
      </c>
      <c r="C5" s="121">
        <f>C6</f>
        <v>0</v>
      </c>
    </row>
    <row r="6" spans="1:3" ht="15">
      <c r="A6" s="109" t="s">
        <v>221</v>
      </c>
      <c r="B6" s="117">
        <f>BSH!E166</f>
        <v>37500</v>
      </c>
      <c r="C6" s="117">
        <v>0</v>
      </c>
    </row>
    <row r="7" spans="1:4" ht="15">
      <c r="A7" s="108" t="s">
        <v>222</v>
      </c>
      <c r="B7" s="118">
        <f>SUM(B8:B9)</f>
        <v>243259.5</v>
      </c>
      <c r="C7" s="118">
        <f>SUM(C8:C9)</f>
        <v>36833.46999999927</v>
      </c>
      <c r="D7" s="115"/>
    </row>
    <row r="8" spans="1:3" ht="15">
      <c r="A8" s="109" t="s">
        <v>221</v>
      </c>
      <c r="B8" s="117">
        <f>BSH!E164</f>
        <v>68081.27</v>
      </c>
      <c r="C8" s="117">
        <f>BSH!F164</f>
        <v>4355.73999999907</v>
      </c>
    </row>
    <row r="9" spans="1:3" ht="15">
      <c r="A9" s="109" t="s">
        <v>223</v>
      </c>
      <c r="B9" s="117">
        <f>BSH!E165</f>
        <v>175178.23</v>
      </c>
      <c r="C9" s="117">
        <f>BSH!F165</f>
        <v>32477.7300000002</v>
      </c>
    </row>
    <row r="10" spans="1:3" ht="15.75" thickBot="1">
      <c r="A10" s="114" t="s">
        <v>224</v>
      </c>
      <c r="B10" s="119">
        <v>0</v>
      </c>
      <c r="C10" s="119"/>
    </row>
    <row r="11" spans="1:3" ht="15.75" thickTop="1">
      <c r="A11" s="108" t="s">
        <v>225</v>
      </c>
      <c r="B11" s="118">
        <f>B10+B8+B6+B9</f>
        <v>280759.5</v>
      </c>
      <c r="C11" s="118">
        <f>C10+C8+C6+C9</f>
        <v>36833.46999999927</v>
      </c>
    </row>
    <row r="12" spans="1:3" ht="15">
      <c r="A12" s="120"/>
      <c r="B12" s="120"/>
      <c r="C12" s="120"/>
    </row>
    <row r="15" spans="1:3" ht="25.5">
      <c r="A15" s="124" t="s">
        <v>53</v>
      </c>
      <c r="B15" s="127" t="s">
        <v>218</v>
      </c>
      <c r="C15" s="127" t="s">
        <v>219</v>
      </c>
    </row>
    <row r="16" spans="1:3" ht="15">
      <c r="A16" s="109" t="s">
        <v>281</v>
      </c>
      <c r="B16" s="126">
        <f>BSH!E136</f>
        <v>180000</v>
      </c>
      <c r="C16" s="126">
        <f>BSH!F136</f>
        <v>180000</v>
      </c>
    </row>
    <row r="17" spans="1:3" ht="15.75" thickBot="1">
      <c r="A17" s="122" t="s">
        <v>282</v>
      </c>
      <c r="B17" s="123">
        <f>BSH!E157</f>
        <v>13759170.31</v>
      </c>
      <c r="C17" s="123">
        <f>BSH!F157</f>
        <v>921035</v>
      </c>
    </row>
    <row r="18" spans="1:3" ht="27" thickTop="1">
      <c r="A18" s="125" t="s">
        <v>283</v>
      </c>
      <c r="B18" s="118">
        <f>SUM(B16:B17)</f>
        <v>13939170.31</v>
      </c>
      <c r="C18" s="118">
        <f>SUM(C16:C17)</f>
        <v>1101035</v>
      </c>
    </row>
    <row r="22" spans="1:5" ht="25.5">
      <c r="A22" s="139" t="s">
        <v>293</v>
      </c>
      <c r="B22" s="128" t="s">
        <v>285</v>
      </c>
      <c r="C22" s="128" t="s">
        <v>188</v>
      </c>
      <c r="D22" s="128" t="s">
        <v>76</v>
      </c>
      <c r="E22" s="129" t="s">
        <v>284</v>
      </c>
    </row>
    <row r="23" spans="1:5" ht="15">
      <c r="A23" s="130" t="s">
        <v>291</v>
      </c>
      <c r="B23" s="131">
        <f>BSH!F149</f>
        <v>52758</v>
      </c>
      <c r="C23" s="131">
        <v>0</v>
      </c>
      <c r="D23" s="131">
        <v>0</v>
      </c>
      <c r="E23" s="132">
        <f>SUM(B23:D23)</f>
        <v>52758</v>
      </c>
    </row>
    <row r="24" spans="1:5" ht="15">
      <c r="A24" s="133" t="s">
        <v>287</v>
      </c>
      <c r="B24" s="134">
        <v>0</v>
      </c>
      <c r="C24" s="134">
        <f>BSH!E145</f>
        <v>2029599.57</v>
      </c>
      <c r="D24" s="134">
        <f>BSH!E144</f>
        <v>878424000</v>
      </c>
      <c r="E24" s="135">
        <f aca="true" t="shared" si="0" ref="E24:E30">SUM(B24:D24)</f>
        <v>880453599.57</v>
      </c>
    </row>
    <row r="25" spans="1:5" ht="15.75" thickBot="1">
      <c r="A25" s="133" t="s">
        <v>288</v>
      </c>
      <c r="B25" s="134">
        <v>0</v>
      </c>
      <c r="C25" s="134">
        <v>0</v>
      </c>
      <c r="D25" s="134">
        <v>0</v>
      </c>
      <c r="E25" s="135">
        <f t="shared" si="0"/>
        <v>0</v>
      </c>
    </row>
    <row r="26" spans="1:5" ht="15.75" thickTop="1">
      <c r="A26" s="138" t="s">
        <v>294</v>
      </c>
      <c r="B26" s="136">
        <f>SUM(B23:B25)</f>
        <v>52758</v>
      </c>
      <c r="C26" s="136">
        <f>SUM(C23:C25)</f>
        <v>2029599.57</v>
      </c>
      <c r="D26" s="136">
        <f>SUM(D23:D25)</f>
        <v>878424000</v>
      </c>
      <c r="E26" s="137">
        <f t="shared" si="0"/>
        <v>880506357.57</v>
      </c>
    </row>
    <row r="27" spans="1:5" ht="15">
      <c r="A27" s="130" t="s">
        <v>289</v>
      </c>
      <c r="B27" s="134"/>
      <c r="C27" s="134"/>
      <c r="D27" s="134"/>
      <c r="E27" s="135"/>
    </row>
    <row r="28" spans="1:5" ht="15">
      <c r="A28" s="130" t="s">
        <v>286</v>
      </c>
      <c r="B28" s="134">
        <v>0</v>
      </c>
      <c r="C28" s="134">
        <v>0</v>
      </c>
      <c r="D28" s="134">
        <v>0</v>
      </c>
      <c r="E28" s="135">
        <f t="shared" si="0"/>
        <v>0</v>
      </c>
    </row>
    <row r="29" spans="1:5" ht="15.75" thickBot="1">
      <c r="A29" s="133" t="s">
        <v>290</v>
      </c>
      <c r="B29" s="134">
        <f>BSH!E150</f>
        <v>-13188</v>
      </c>
      <c r="C29" s="134">
        <f>BSH!E146</f>
        <v>-170151</v>
      </c>
      <c r="D29" s="134">
        <v>0</v>
      </c>
      <c r="E29" s="135">
        <f t="shared" si="0"/>
        <v>-183339</v>
      </c>
    </row>
    <row r="30" spans="1:5" ht="15.75" thickTop="1">
      <c r="A30" s="138" t="s">
        <v>292</v>
      </c>
      <c r="B30" s="136">
        <f>B26+SUM(B28:B29)</f>
        <v>39570</v>
      </c>
      <c r="C30" s="136">
        <f>C26+SUM(C28:C29)</f>
        <v>1859448.57</v>
      </c>
      <c r="D30" s="136">
        <f>D26+SUM(D28:D29)</f>
        <v>878424000</v>
      </c>
      <c r="E30" s="137">
        <f t="shared" si="0"/>
        <v>880323018.57</v>
      </c>
    </row>
    <row r="36" spans="1:3" ht="15.75" thickBot="1">
      <c r="A36" s="140"/>
      <c r="B36" s="141" t="s">
        <v>218</v>
      </c>
      <c r="C36" s="141" t="s">
        <v>219</v>
      </c>
    </row>
    <row r="37" spans="1:3" ht="27" thickTop="1">
      <c r="A37" s="142" t="s">
        <v>283</v>
      </c>
      <c r="B37" s="117">
        <f>BSH!E52</f>
        <v>78844216.47</v>
      </c>
      <c r="C37" s="117">
        <f>BSH!F52</f>
        <v>5184632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2" sqref="N2:N17"/>
    </sheetView>
  </sheetViews>
  <sheetFormatPr defaultColWidth="9.140625" defaultRowHeight="15"/>
  <cols>
    <col min="12" max="13" width="11.28125" style="0" bestFit="1" customWidth="1"/>
    <col min="14" max="14" width="10.57421875" style="0" bestFit="1" customWidth="1"/>
  </cols>
  <sheetData>
    <row r="1" spans="1:13" ht="15">
      <c r="A1" s="111" t="s">
        <v>226</v>
      </c>
      <c r="B1" s="111" t="s">
        <v>227</v>
      </c>
      <c r="C1" s="111" t="s">
        <v>228</v>
      </c>
      <c r="D1" s="111" t="s">
        <v>229</v>
      </c>
      <c r="E1" s="111" t="s">
        <v>230</v>
      </c>
      <c r="F1" s="111" t="s">
        <v>231</v>
      </c>
      <c r="G1" s="111" t="s">
        <v>232</v>
      </c>
      <c r="H1" s="111" t="s">
        <v>233</v>
      </c>
      <c r="I1" s="111" t="s">
        <v>234</v>
      </c>
      <c r="J1" s="111" t="s">
        <v>235</v>
      </c>
      <c r="K1" s="111" t="s">
        <v>236</v>
      </c>
      <c r="L1" s="111" t="s">
        <v>237</v>
      </c>
      <c r="M1" s="111" t="s">
        <v>238</v>
      </c>
    </row>
    <row r="2" spans="1:14" ht="15">
      <c r="A2" s="111"/>
      <c r="B2" s="111">
        <v>101</v>
      </c>
      <c r="C2" s="111" t="s">
        <v>239</v>
      </c>
      <c r="D2" s="111" t="s">
        <v>240</v>
      </c>
      <c r="E2" s="111">
        <v>0</v>
      </c>
      <c r="F2" s="112" t="s">
        <v>241</v>
      </c>
      <c r="G2" s="111"/>
      <c r="H2" s="111" t="s">
        <v>242</v>
      </c>
      <c r="I2" s="113">
        <v>0</v>
      </c>
      <c r="J2" s="113">
        <v>100000</v>
      </c>
      <c r="K2" s="111" t="s">
        <v>243</v>
      </c>
      <c r="L2" s="113">
        <v>100000</v>
      </c>
      <c r="M2" s="110">
        <v>-100000</v>
      </c>
      <c r="N2" s="101">
        <f>L2</f>
        <v>100000</v>
      </c>
    </row>
    <row r="3" spans="1:14" ht="15">
      <c r="A3" s="111"/>
      <c r="B3" s="111">
        <v>108</v>
      </c>
      <c r="C3" s="111" t="s">
        <v>244</v>
      </c>
      <c r="D3" s="111" t="s">
        <v>240</v>
      </c>
      <c r="E3" s="111">
        <v>0</v>
      </c>
      <c r="F3" s="112" t="s">
        <v>241</v>
      </c>
      <c r="G3" s="111"/>
      <c r="H3" s="111" t="s">
        <v>245</v>
      </c>
      <c r="I3" s="113">
        <v>866629.39</v>
      </c>
      <c r="J3" s="113">
        <v>0</v>
      </c>
      <c r="K3" s="111" t="s">
        <v>246</v>
      </c>
      <c r="L3" s="113">
        <v>-866629.39</v>
      </c>
      <c r="M3" s="110">
        <v>866629.39</v>
      </c>
      <c r="N3" s="101">
        <f aca="true" t="shared" si="0" ref="N3:N9">L3</f>
        <v>-866629.39</v>
      </c>
    </row>
    <row r="4" spans="1:14" ht="15">
      <c r="A4" s="111"/>
      <c r="B4" s="111" t="s">
        <v>247</v>
      </c>
      <c r="C4" s="111" t="s">
        <v>248</v>
      </c>
      <c r="D4" s="111" t="s">
        <v>240</v>
      </c>
      <c r="E4" s="111">
        <v>0</v>
      </c>
      <c r="F4" s="112" t="s">
        <v>249</v>
      </c>
      <c r="G4" s="111"/>
      <c r="H4" s="111"/>
      <c r="I4" s="113">
        <v>0</v>
      </c>
      <c r="J4" s="113">
        <v>0</v>
      </c>
      <c r="K4" s="111"/>
      <c r="L4" s="113">
        <v>-2195320.14</v>
      </c>
      <c r="M4" s="110">
        <v>2195320.14</v>
      </c>
      <c r="N4" s="101">
        <f t="shared" si="0"/>
        <v>-2195320.14</v>
      </c>
    </row>
    <row r="5" spans="1:14" ht="15">
      <c r="A5" s="111"/>
      <c r="B5" s="111">
        <v>421</v>
      </c>
      <c r="C5" s="111" t="s">
        <v>193</v>
      </c>
      <c r="D5" s="111" t="s">
        <v>240</v>
      </c>
      <c r="E5" s="111">
        <v>0</v>
      </c>
      <c r="F5" s="112" t="s">
        <v>250</v>
      </c>
      <c r="G5" s="111"/>
      <c r="H5" s="111" t="s">
        <v>251</v>
      </c>
      <c r="I5" s="113">
        <v>1088459</v>
      </c>
      <c r="J5" s="113">
        <v>1448459</v>
      </c>
      <c r="K5" s="111" t="s">
        <v>243</v>
      </c>
      <c r="L5" s="113">
        <v>360000</v>
      </c>
      <c r="M5" s="110">
        <v>-360000</v>
      </c>
      <c r="N5" s="101">
        <f t="shared" si="0"/>
        <v>360000</v>
      </c>
    </row>
    <row r="6" spans="1:14" ht="15">
      <c r="A6" s="111"/>
      <c r="B6" s="111">
        <v>431</v>
      </c>
      <c r="C6" s="111" t="s">
        <v>252</v>
      </c>
      <c r="D6" s="111" t="s">
        <v>240</v>
      </c>
      <c r="E6" s="111">
        <v>0</v>
      </c>
      <c r="F6" s="112" t="s">
        <v>250</v>
      </c>
      <c r="G6" s="111"/>
      <c r="H6" s="111" t="s">
        <v>253</v>
      </c>
      <c r="I6" s="113">
        <v>137855</v>
      </c>
      <c r="J6" s="113">
        <v>161319</v>
      </c>
      <c r="K6" s="111" t="s">
        <v>243</v>
      </c>
      <c r="L6" s="113">
        <v>23464</v>
      </c>
      <c r="M6" s="110">
        <v>-23464</v>
      </c>
      <c r="N6" s="101">
        <f t="shared" si="0"/>
        <v>23464</v>
      </c>
    </row>
    <row r="7" spans="1:14" ht="15">
      <c r="A7" s="111"/>
      <c r="B7" s="111">
        <v>466</v>
      </c>
      <c r="C7" s="111" t="s">
        <v>254</v>
      </c>
      <c r="D7" s="111" t="s">
        <v>240</v>
      </c>
      <c r="E7" s="111">
        <v>0</v>
      </c>
      <c r="F7" s="112" t="s">
        <v>241</v>
      </c>
      <c r="G7" s="111"/>
      <c r="H7" s="111" t="s">
        <v>255</v>
      </c>
      <c r="I7" s="113">
        <v>0</v>
      </c>
      <c r="J7" s="113">
        <v>871287</v>
      </c>
      <c r="K7" s="111" t="s">
        <v>243</v>
      </c>
      <c r="L7" s="113">
        <v>871287</v>
      </c>
      <c r="M7" s="110">
        <v>-871287</v>
      </c>
      <c r="N7" s="101">
        <f t="shared" si="0"/>
        <v>871287</v>
      </c>
    </row>
    <row r="8" spans="1:14" ht="15">
      <c r="A8" s="111"/>
      <c r="B8" s="111">
        <v>2182</v>
      </c>
      <c r="C8" s="111" t="s">
        <v>191</v>
      </c>
      <c r="D8" s="111" t="s">
        <v>42</v>
      </c>
      <c r="E8" s="111">
        <v>0</v>
      </c>
      <c r="F8" s="112" t="s">
        <v>256</v>
      </c>
      <c r="G8" s="111"/>
      <c r="H8" s="111" t="s">
        <v>257</v>
      </c>
      <c r="I8" s="113">
        <v>52758</v>
      </c>
      <c r="J8" s="113">
        <v>0</v>
      </c>
      <c r="K8" s="111" t="s">
        <v>246</v>
      </c>
      <c r="L8" s="113">
        <v>52758</v>
      </c>
      <c r="M8" s="110">
        <v>52758</v>
      </c>
      <c r="N8" s="101">
        <f t="shared" si="0"/>
        <v>52758</v>
      </c>
    </row>
    <row r="9" spans="1:14" ht="15">
      <c r="A9" s="111"/>
      <c r="B9" s="111">
        <v>232</v>
      </c>
      <c r="C9" s="111" t="s">
        <v>258</v>
      </c>
      <c r="D9" s="111" t="s">
        <v>42</v>
      </c>
      <c r="E9" s="111">
        <v>0</v>
      </c>
      <c r="F9" s="112" t="s">
        <v>259</v>
      </c>
      <c r="G9" s="111"/>
      <c r="H9" s="111" t="s">
        <v>260</v>
      </c>
      <c r="I9" s="113">
        <v>5184632</v>
      </c>
      <c r="J9" s="113">
        <v>0</v>
      </c>
      <c r="K9" s="111" t="s">
        <v>246</v>
      </c>
      <c r="L9" s="113">
        <v>5184632</v>
      </c>
      <c r="M9" s="110">
        <v>5184632</v>
      </c>
      <c r="N9" s="101">
        <f t="shared" si="0"/>
        <v>5184632</v>
      </c>
    </row>
    <row r="10" spans="1:14" ht="15">
      <c r="A10" s="111"/>
      <c r="B10" s="111">
        <v>401</v>
      </c>
      <c r="C10" s="111" t="s">
        <v>183</v>
      </c>
      <c r="D10" s="111" t="s">
        <v>42</v>
      </c>
      <c r="E10" s="111">
        <v>0</v>
      </c>
      <c r="F10" s="112" t="s">
        <v>250</v>
      </c>
      <c r="G10" s="111" t="s">
        <v>261</v>
      </c>
      <c r="H10" s="111" t="s">
        <v>262</v>
      </c>
      <c r="I10" s="113">
        <v>177600</v>
      </c>
      <c r="J10" s="113">
        <v>1860164</v>
      </c>
      <c r="K10" s="111" t="s">
        <v>243</v>
      </c>
      <c r="L10" s="113">
        <v>-2371614</v>
      </c>
      <c r="M10" s="110">
        <v>-2371614</v>
      </c>
      <c r="N10" s="101">
        <f>-L10</f>
        <v>2371614</v>
      </c>
    </row>
    <row r="11" spans="1:13" ht="15">
      <c r="A11" s="111"/>
      <c r="B11" s="111">
        <v>419</v>
      </c>
      <c r="C11" s="111" t="s">
        <v>263</v>
      </c>
      <c r="D11" s="111" t="s">
        <v>42</v>
      </c>
      <c r="E11" s="111">
        <v>0</v>
      </c>
      <c r="F11" s="112" t="s">
        <v>264</v>
      </c>
      <c r="G11" s="111"/>
      <c r="H11" s="111" t="s">
        <v>265</v>
      </c>
      <c r="I11" s="113">
        <v>15580000</v>
      </c>
      <c r="J11" s="113">
        <v>15580000</v>
      </c>
      <c r="K11" s="111" t="s">
        <v>243</v>
      </c>
      <c r="L11" s="113">
        <v>0</v>
      </c>
      <c r="M11" s="113">
        <v>0</v>
      </c>
    </row>
    <row r="12" spans="1:14" ht="15">
      <c r="A12" s="111"/>
      <c r="B12" s="111">
        <v>442</v>
      </c>
      <c r="C12" s="111" t="s">
        <v>266</v>
      </c>
      <c r="D12" s="111" t="s">
        <v>42</v>
      </c>
      <c r="E12" s="111">
        <v>0</v>
      </c>
      <c r="F12" s="112" t="s">
        <v>250</v>
      </c>
      <c r="G12" s="111"/>
      <c r="H12" s="111" t="s">
        <v>267</v>
      </c>
      <c r="I12" s="113">
        <v>140182</v>
      </c>
      <c r="J12" s="113">
        <v>152845</v>
      </c>
      <c r="K12" s="111" t="s">
        <v>243</v>
      </c>
      <c r="L12" s="113">
        <v>-12663</v>
      </c>
      <c r="M12" s="110">
        <v>-12663</v>
      </c>
      <c r="N12" s="101">
        <f>-L12</f>
        <v>12663</v>
      </c>
    </row>
    <row r="13" spans="1:14" ht="15">
      <c r="A13" s="111"/>
      <c r="B13" s="111">
        <v>444</v>
      </c>
      <c r="C13" s="111" t="s">
        <v>268</v>
      </c>
      <c r="D13" s="111" t="s">
        <v>42</v>
      </c>
      <c r="E13" s="111">
        <v>0</v>
      </c>
      <c r="F13" s="112" t="s">
        <v>241</v>
      </c>
      <c r="G13" s="111"/>
      <c r="H13" s="111" t="s">
        <v>269</v>
      </c>
      <c r="I13" s="113">
        <v>180000</v>
      </c>
      <c r="J13" s="113">
        <v>0</v>
      </c>
      <c r="K13" s="111" t="s">
        <v>246</v>
      </c>
      <c r="L13" s="113">
        <v>180000</v>
      </c>
      <c r="M13" s="110">
        <v>180000</v>
      </c>
      <c r="N13" s="101">
        <f>L13</f>
        <v>180000</v>
      </c>
    </row>
    <row r="14" spans="1:14" ht="15">
      <c r="A14" s="111"/>
      <c r="B14" s="111">
        <v>4456</v>
      </c>
      <c r="C14" s="111" t="s">
        <v>195</v>
      </c>
      <c r="D14" s="111" t="s">
        <v>42</v>
      </c>
      <c r="E14" s="111">
        <v>0</v>
      </c>
      <c r="F14" s="112" t="s">
        <v>259</v>
      </c>
      <c r="G14" s="111"/>
      <c r="H14" s="111" t="s">
        <v>270</v>
      </c>
      <c r="I14" s="113">
        <v>921035</v>
      </c>
      <c r="J14" s="113">
        <v>0</v>
      </c>
      <c r="K14" s="111" t="s">
        <v>246</v>
      </c>
      <c r="L14" s="113">
        <v>921035</v>
      </c>
      <c r="M14" s="110">
        <v>921035</v>
      </c>
      <c r="N14" s="101">
        <f>L14</f>
        <v>921035</v>
      </c>
    </row>
    <row r="15" spans="1:14" ht="15">
      <c r="A15" s="111"/>
      <c r="B15" s="111">
        <v>455</v>
      </c>
      <c r="C15" s="111" t="s">
        <v>196</v>
      </c>
      <c r="D15" s="111" t="s">
        <v>42</v>
      </c>
      <c r="E15" s="111">
        <v>0</v>
      </c>
      <c r="F15" s="112" t="s">
        <v>271</v>
      </c>
      <c r="G15" s="111" t="s">
        <v>261</v>
      </c>
      <c r="H15" s="111" t="s">
        <v>272</v>
      </c>
      <c r="I15" s="113">
        <v>10040000</v>
      </c>
      <c r="J15" s="113">
        <v>17066780</v>
      </c>
      <c r="K15" s="111" t="s">
        <v>243</v>
      </c>
      <c r="L15" s="113">
        <v>-5698180</v>
      </c>
      <c r="M15" s="113">
        <v>-5698180</v>
      </c>
      <c r="N15" s="101">
        <f>-L15</f>
        <v>5698180</v>
      </c>
    </row>
    <row r="16" spans="1:14" ht="15">
      <c r="A16" s="111"/>
      <c r="B16" s="111">
        <v>5121</v>
      </c>
      <c r="C16" s="111" t="s">
        <v>199</v>
      </c>
      <c r="D16" s="111" t="s">
        <v>42</v>
      </c>
      <c r="E16" s="111">
        <v>0</v>
      </c>
      <c r="F16" s="112" t="s">
        <v>250</v>
      </c>
      <c r="G16" s="111"/>
      <c r="H16" s="111" t="s">
        <v>273</v>
      </c>
      <c r="I16" s="113">
        <v>22987089.81</v>
      </c>
      <c r="J16" s="113">
        <v>22982734.07</v>
      </c>
      <c r="K16" s="111" t="s">
        <v>243</v>
      </c>
      <c r="L16" s="113">
        <v>4355.73999999907</v>
      </c>
      <c r="M16" s="113">
        <v>4355.73999999907</v>
      </c>
      <c r="N16" s="101">
        <f>L16</f>
        <v>4355.73999999907</v>
      </c>
    </row>
    <row r="17" spans="2:14" ht="15">
      <c r="B17" s="111">
        <v>5122</v>
      </c>
      <c r="C17" s="111" t="s">
        <v>200</v>
      </c>
      <c r="D17" s="111" t="s">
        <v>42</v>
      </c>
      <c r="E17" s="111">
        <v>0</v>
      </c>
      <c r="F17" s="112" t="s">
        <v>274</v>
      </c>
      <c r="G17" s="111" t="s">
        <v>261</v>
      </c>
      <c r="H17" s="111" t="s">
        <v>275</v>
      </c>
      <c r="I17" s="113">
        <v>5507676.53</v>
      </c>
      <c r="J17" s="113">
        <v>67600</v>
      </c>
      <c r="K17" s="111" t="s">
        <v>243</v>
      </c>
      <c r="L17" s="113">
        <v>32477.7300000002</v>
      </c>
      <c r="M17" s="113">
        <v>32477.7300000002</v>
      </c>
      <c r="N17" s="101">
        <f>L17</f>
        <v>32477.7300000002</v>
      </c>
    </row>
    <row r="18" spans="2:13" ht="15">
      <c r="B18" s="111">
        <v>5312</v>
      </c>
      <c r="C18" s="111" t="s">
        <v>276</v>
      </c>
      <c r="D18" s="111" t="s">
        <v>42</v>
      </c>
      <c r="E18" s="111">
        <v>0</v>
      </c>
      <c r="F18" s="112" t="s">
        <v>277</v>
      </c>
      <c r="G18" s="111" t="s">
        <v>261</v>
      </c>
      <c r="H18" s="111" t="s">
        <v>278</v>
      </c>
      <c r="I18" s="113">
        <v>2200</v>
      </c>
      <c r="J18" s="113">
        <v>2200</v>
      </c>
      <c r="K18" s="111" t="s">
        <v>243</v>
      </c>
      <c r="L18" s="113">
        <v>0</v>
      </c>
      <c r="M18" s="113">
        <v>0</v>
      </c>
    </row>
    <row r="19" spans="2:13" ht="15">
      <c r="B19" s="111">
        <v>581</v>
      </c>
      <c r="C19" s="111" t="s">
        <v>279</v>
      </c>
      <c r="D19" s="111" t="s">
        <v>42</v>
      </c>
      <c r="E19" s="111">
        <v>0</v>
      </c>
      <c r="F19" s="112" t="s">
        <v>264</v>
      </c>
      <c r="G19" s="111"/>
      <c r="H19" s="111" t="s">
        <v>280</v>
      </c>
      <c r="I19" s="113">
        <v>5480000</v>
      </c>
      <c r="J19" s="113">
        <v>5480000</v>
      </c>
      <c r="K19" s="111" t="s">
        <v>243</v>
      </c>
      <c r="L19" s="113">
        <v>0</v>
      </c>
      <c r="M19" s="1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J62"/>
  <sheetViews>
    <sheetView zoomScalePageLayoutView="0" workbookViewId="0" topLeftCell="A33">
      <selection activeCell="B59" sqref="B59"/>
    </sheetView>
  </sheetViews>
  <sheetFormatPr defaultColWidth="9.140625" defaultRowHeight="15"/>
  <cols>
    <col min="1" max="1" width="40.421875" style="0" bestFit="1" customWidth="1"/>
    <col min="2" max="3" width="11.28125" style="0" bestFit="1" customWidth="1"/>
    <col min="9" max="9" width="43.8515625" style="0" customWidth="1"/>
    <col min="10" max="10" width="11.28125" style="0" bestFit="1" customWidth="1"/>
  </cols>
  <sheetData>
    <row r="4" spans="1:3" ht="15">
      <c r="A4" s="143" t="s">
        <v>98</v>
      </c>
      <c r="B4" s="149" t="s">
        <v>218</v>
      </c>
      <c r="C4" s="149" t="s">
        <v>219</v>
      </c>
    </row>
    <row r="5" spans="1:3" ht="15">
      <c r="A5" s="144" t="s">
        <v>295</v>
      </c>
      <c r="B5" s="147">
        <v>29000</v>
      </c>
      <c r="C5" s="147">
        <v>5000</v>
      </c>
    </row>
    <row r="6" spans="1:3" ht="15">
      <c r="A6" s="144" t="s">
        <v>296</v>
      </c>
      <c r="B6" s="145">
        <v>2500</v>
      </c>
      <c r="C6" s="145">
        <v>2500</v>
      </c>
    </row>
    <row r="7" spans="1:3" ht="15">
      <c r="A7" s="144" t="s">
        <v>297</v>
      </c>
      <c r="B7" s="145">
        <v>0</v>
      </c>
      <c r="C7" s="145">
        <v>694050</v>
      </c>
    </row>
    <row r="8" spans="1:3" ht="15">
      <c r="A8" s="144" t="s">
        <v>298</v>
      </c>
      <c r="B8" s="145">
        <v>650</v>
      </c>
      <c r="C8" s="145">
        <v>650</v>
      </c>
    </row>
    <row r="9" spans="1:3" ht="15">
      <c r="A9" s="144" t="s">
        <v>299</v>
      </c>
      <c r="B9" s="145">
        <v>4400</v>
      </c>
      <c r="C9" s="145">
        <v>2000</v>
      </c>
    </row>
    <row r="10" spans="1:3" ht="15">
      <c r="A10" s="144" t="s">
        <v>300</v>
      </c>
      <c r="B10" s="145">
        <v>202400</v>
      </c>
      <c r="C10" s="145">
        <v>168310</v>
      </c>
    </row>
    <row r="11" spans="1:3" ht="15">
      <c r="A11" s="144" t="s">
        <v>301</v>
      </c>
      <c r="B11" s="145">
        <v>52822992.2</v>
      </c>
      <c r="C11" s="145">
        <v>1491498</v>
      </c>
    </row>
    <row r="12" spans="1:3" ht="15">
      <c r="A12" s="144" t="s">
        <v>302</v>
      </c>
      <c r="B12" s="145">
        <v>5016690</v>
      </c>
      <c r="C12" s="145">
        <v>7606</v>
      </c>
    </row>
    <row r="13" spans="1:3" ht="15">
      <c r="A13" s="144" t="s">
        <v>303</v>
      </c>
      <c r="B13" s="145">
        <v>2000</v>
      </c>
      <c r="C13" s="145"/>
    </row>
    <row r="14" spans="1:3" ht="15">
      <c r="A14" s="144" t="s">
        <v>304</v>
      </c>
      <c r="B14" s="145">
        <v>71784.63</v>
      </c>
      <c r="C14" s="145"/>
    </row>
    <row r="15" spans="1:3" ht="15">
      <c r="A15" s="144" t="s">
        <v>305</v>
      </c>
      <c r="B15" s="145">
        <v>6835.58</v>
      </c>
      <c r="C15" s="145"/>
    </row>
    <row r="16" spans="1:3" ht="15">
      <c r="A16" s="144" t="s">
        <v>306</v>
      </c>
      <c r="B16" s="145">
        <v>60312</v>
      </c>
      <c r="C16" s="145"/>
    </row>
    <row r="17" spans="1:3" ht="15">
      <c r="A17" s="144" t="s">
        <v>307</v>
      </c>
      <c r="B17" s="145">
        <v>24000</v>
      </c>
      <c r="C17" s="145"/>
    </row>
    <row r="18" spans="1:3" ht="15">
      <c r="A18" s="144" t="s">
        <v>308</v>
      </c>
      <c r="B18" s="145">
        <v>3800</v>
      </c>
      <c r="C18" s="145"/>
    </row>
    <row r="19" spans="1:3" ht="15">
      <c r="A19" s="148" t="s">
        <v>309</v>
      </c>
      <c r="B19" s="146">
        <f>SUM(B5:B18)</f>
        <v>58247364.410000004</v>
      </c>
      <c r="C19" s="146">
        <f>SUM(C5:C18)</f>
        <v>2371614</v>
      </c>
    </row>
    <row r="20" spans="2:3" ht="15">
      <c r="B20" s="113">
        <f>B19-BSH!E77</f>
        <v>-0.04999999701976776</v>
      </c>
      <c r="C20" s="101">
        <f>C19-BSH!F77</f>
        <v>0</v>
      </c>
    </row>
    <row r="22" spans="1:3" ht="15">
      <c r="A22" s="150"/>
      <c r="B22" s="150"/>
      <c r="C22" s="150"/>
    </row>
    <row r="23" spans="1:3" ht="15.75" thickBot="1">
      <c r="A23" s="153"/>
      <c r="B23" s="151" t="s">
        <v>218</v>
      </c>
      <c r="C23" s="151" t="s">
        <v>219</v>
      </c>
    </row>
    <row r="24" spans="1:3" ht="15.75" thickTop="1">
      <c r="A24" s="154" t="s">
        <v>99</v>
      </c>
      <c r="B24" s="152">
        <f>BSH!E78</f>
        <v>487428</v>
      </c>
      <c r="C24" s="152">
        <f>BSH!F78</f>
        <v>360000</v>
      </c>
    </row>
    <row r="29" spans="1:3" ht="15">
      <c r="A29" s="155" t="s">
        <v>110</v>
      </c>
      <c r="B29" s="156" t="s">
        <v>218</v>
      </c>
      <c r="C29" s="156" t="s">
        <v>219</v>
      </c>
    </row>
    <row r="30" spans="1:3" ht="15">
      <c r="A30" s="109" t="s">
        <v>310</v>
      </c>
      <c r="B30" s="126">
        <f>BSH!E138</f>
        <v>1505459.31</v>
      </c>
      <c r="C30" s="126">
        <f>BSH!F151</f>
        <v>0</v>
      </c>
    </row>
    <row r="31" spans="1:3" ht="15.75" thickBot="1">
      <c r="A31" s="122" t="s">
        <v>312</v>
      </c>
      <c r="B31" s="123">
        <f>BSH!E162+BSH!E159</f>
        <v>50055494.5</v>
      </c>
      <c r="C31" s="123">
        <f>BSH!F162+BSH!F159</f>
        <v>6569467</v>
      </c>
    </row>
    <row r="32" spans="1:3" ht="18.75" customHeight="1" thickTop="1">
      <c r="A32" s="125" t="s">
        <v>311</v>
      </c>
      <c r="B32" s="118">
        <f>SUM(B30:B31)</f>
        <v>51560953.81</v>
      </c>
      <c r="C32" s="118">
        <f>SUM(C30:C31)</f>
        <v>6569467</v>
      </c>
    </row>
    <row r="38" spans="1:3" ht="15">
      <c r="A38" s="155" t="s">
        <v>321</v>
      </c>
      <c r="B38" s="156" t="s">
        <v>218</v>
      </c>
      <c r="C38" s="156" t="s">
        <v>219</v>
      </c>
    </row>
    <row r="39" spans="1:3" s="111" customFormat="1" ht="15">
      <c r="A39" s="111" t="s">
        <v>202</v>
      </c>
      <c r="B39" s="160">
        <f>PL!E43</f>
        <v>106.34</v>
      </c>
      <c r="C39" s="160">
        <v>0</v>
      </c>
    </row>
    <row r="40" spans="1:3" s="111" customFormat="1" ht="15.75" thickBot="1">
      <c r="A40" s="122" t="s">
        <v>201</v>
      </c>
      <c r="B40" s="123">
        <f>PL!E45+PL!E60</f>
        <v>167112.55</v>
      </c>
      <c r="C40" s="123">
        <v>0</v>
      </c>
    </row>
    <row r="41" spans="1:3" s="111" customFormat="1" ht="15.75" thickTop="1">
      <c r="A41" s="158" t="s">
        <v>322</v>
      </c>
      <c r="B41" s="161">
        <f>SUM(B39:B40)</f>
        <v>167218.88999999998</v>
      </c>
      <c r="C41" s="161">
        <f>SUM(C39:C40)</f>
        <v>0</v>
      </c>
    </row>
    <row r="42" spans="1:3" s="111" customFormat="1" ht="15">
      <c r="A42" s="158"/>
      <c r="B42" s="159"/>
      <c r="C42" s="159"/>
    </row>
    <row r="43" spans="1:3" s="111" customFormat="1" ht="15">
      <c r="A43" s="155" t="s">
        <v>323</v>
      </c>
      <c r="B43" s="156"/>
      <c r="C43" s="156"/>
    </row>
    <row r="44" spans="1:10" ht="15">
      <c r="A44" s="120" t="s">
        <v>313</v>
      </c>
      <c r="B44" s="157">
        <f>-PL!E47</f>
        <v>34767.1</v>
      </c>
      <c r="C44" s="157">
        <v>2000</v>
      </c>
      <c r="I44" s="111"/>
      <c r="J44" s="113"/>
    </row>
    <row r="45" spans="1:10" ht="15">
      <c r="A45" s="120" t="s">
        <v>314</v>
      </c>
      <c r="B45" s="157">
        <f>-PL!E49</f>
        <v>4526179.4</v>
      </c>
      <c r="C45" s="157">
        <v>309859</v>
      </c>
      <c r="I45" s="111"/>
      <c r="J45" s="113"/>
    </row>
    <row r="46" spans="1:10" s="111" customFormat="1" ht="15">
      <c r="A46" s="120" t="s">
        <v>325</v>
      </c>
      <c r="B46" s="157">
        <f>-PL!E48</f>
        <v>183146.6</v>
      </c>
      <c r="C46" s="157"/>
      <c r="J46" s="113"/>
    </row>
    <row r="47" spans="1:10" ht="15">
      <c r="A47" s="120" t="s">
        <v>315</v>
      </c>
      <c r="B47" s="157">
        <f>-PL!E54</f>
        <v>22120</v>
      </c>
      <c r="C47" s="157">
        <v>73940</v>
      </c>
      <c r="I47" s="111"/>
      <c r="J47" s="113"/>
    </row>
    <row r="48" spans="1:10" ht="15">
      <c r="A48" s="120" t="s">
        <v>316</v>
      </c>
      <c r="B48" s="157">
        <f>-PL!E55</f>
        <v>1678653</v>
      </c>
      <c r="C48" s="157">
        <v>1448459</v>
      </c>
      <c r="I48" s="111"/>
      <c r="J48" s="113"/>
    </row>
    <row r="49" spans="1:10" ht="15">
      <c r="A49" s="120" t="s">
        <v>317</v>
      </c>
      <c r="B49" s="157">
        <f>-PL!E56</f>
        <v>172146</v>
      </c>
      <c r="C49" s="157">
        <v>96562</v>
      </c>
      <c r="I49" s="111"/>
      <c r="J49" s="113"/>
    </row>
    <row r="50" spans="1:10" ht="15">
      <c r="A50" s="120" t="s">
        <v>318</v>
      </c>
      <c r="B50" s="157"/>
      <c r="C50" s="157">
        <v>87500</v>
      </c>
      <c r="I50" s="111"/>
      <c r="J50" s="113"/>
    </row>
    <row r="51" spans="1:10" ht="15">
      <c r="A51" s="120" t="s">
        <v>319</v>
      </c>
      <c r="B51" s="157"/>
      <c r="C51" s="157">
        <v>60693</v>
      </c>
      <c r="I51" s="111"/>
      <c r="J51" s="113"/>
    </row>
    <row r="52" spans="1:10" s="111" customFormat="1" ht="15">
      <c r="A52" s="120" t="s">
        <v>329</v>
      </c>
      <c r="B52" s="157">
        <f>-PL!E59-PL!E53</f>
        <v>62760.87</v>
      </c>
      <c r="C52" s="157"/>
      <c r="J52" s="113"/>
    </row>
    <row r="53" spans="1:10" s="111" customFormat="1" ht="15">
      <c r="A53" s="120" t="s">
        <v>289</v>
      </c>
      <c r="B53" s="157">
        <f>-PL!E61-PL!E62</f>
        <v>183339</v>
      </c>
      <c r="C53" s="157"/>
      <c r="J53" s="113"/>
    </row>
    <row r="54" spans="1:10" s="111" customFormat="1" ht="15">
      <c r="A54" s="120" t="s">
        <v>326</v>
      </c>
      <c r="B54" s="157">
        <f>-PL!E50</f>
        <v>48990.44</v>
      </c>
      <c r="C54" s="157"/>
      <c r="J54" s="113"/>
    </row>
    <row r="55" spans="1:10" s="111" customFormat="1" ht="15">
      <c r="A55" s="120" t="s">
        <v>327</v>
      </c>
      <c r="B55" s="157">
        <f>-PL!E52</f>
        <v>60312</v>
      </c>
      <c r="C55" s="157"/>
      <c r="J55" s="113"/>
    </row>
    <row r="56" spans="1:10" s="111" customFormat="1" ht="15">
      <c r="A56" s="120" t="s">
        <v>328</v>
      </c>
      <c r="B56" s="157">
        <f>-PL!E51</f>
        <v>40141.9</v>
      </c>
      <c r="C56" s="157"/>
      <c r="J56" s="113"/>
    </row>
    <row r="57" spans="1:10" s="111" customFormat="1" ht="15">
      <c r="A57" s="120" t="s">
        <v>212</v>
      </c>
      <c r="B57" s="157">
        <f>-PL!E58</f>
        <v>170067</v>
      </c>
      <c r="C57" s="157"/>
      <c r="J57" s="113"/>
    </row>
    <row r="58" spans="1:10" ht="15.75" thickBot="1">
      <c r="A58" s="122" t="s">
        <v>320</v>
      </c>
      <c r="B58" s="123"/>
      <c r="C58" s="123">
        <v>116307</v>
      </c>
      <c r="I58" s="111"/>
      <c r="J58" s="113"/>
    </row>
    <row r="59" spans="1:10" ht="15.75" thickTop="1">
      <c r="A59" s="125" t="s">
        <v>324</v>
      </c>
      <c r="B59" s="118">
        <f>SUM(B44:B58)</f>
        <v>7182623.3100000005</v>
      </c>
      <c r="C59" s="118">
        <f>SUM(C44:C58)</f>
        <v>2195320</v>
      </c>
      <c r="I59" s="111"/>
      <c r="J59" s="113"/>
    </row>
    <row r="60" spans="1:3" ht="15.75" thickBot="1">
      <c r="A60" s="162"/>
      <c r="B60" s="162"/>
      <c r="C60" s="162"/>
    </row>
    <row r="61" spans="1:3" ht="15.75" thickTop="1">
      <c r="A61" s="115" t="s">
        <v>126</v>
      </c>
      <c r="B61" s="163">
        <f>B41-B59</f>
        <v>-7015404.420000001</v>
      </c>
      <c r="C61" s="163">
        <f>C41-C59</f>
        <v>-2195320</v>
      </c>
    </row>
    <row r="62" spans="2:3" ht="15">
      <c r="B62" s="101">
        <f>B61-BSH!E113</f>
        <v>0</v>
      </c>
      <c r="C62" s="101">
        <f>C61-BSH!F113</f>
        <v>0.14000000013038516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8">
      <selection activeCell="A43" sqref="A43:IV65"/>
    </sheetView>
  </sheetViews>
  <sheetFormatPr defaultColWidth="16.00390625" defaultRowHeight="15"/>
  <cols>
    <col min="1" max="1" width="5.140625" style="111" customWidth="1"/>
    <col min="2" max="2" width="21.140625" style="111" customWidth="1"/>
    <col min="3" max="3" width="9.421875" style="111" customWidth="1"/>
    <col min="4" max="4" width="16.00390625" style="111" bestFit="1" customWidth="1"/>
    <col min="5" max="5" width="13.421875" style="111" customWidth="1"/>
    <col min="6" max="6" width="12.00390625" style="111" customWidth="1"/>
    <col min="7" max="7" width="16.00390625" style="111" bestFit="1" customWidth="1"/>
    <col min="8" max="249" width="9.140625" style="111" customWidth="1"/>
    <col min="250" max="250" width="5.140625" style="111" customWidth="1"/>
    <col min="251" max="251" width="21.140625" style="111" customWidth="1"/>
    <col min="252" max="252" width="9.421875" style="111" customWidth="1"/>
    <col min="253" max="253" width="16.00390625" style="111" bestFit="1" customWidth="1"/>
    <col min="254" max="254" width="13.421875" style="111" customWidth="1"/>
    <col min="255" max="255" width="12.00390625" style="111" customWidth="1"/>
    <col min="256" max="16384" width="16.00390625" style="111" bestFit="1" customWidth="1"/>
  </cols>
  <sheetData>
    <row r="1" spans="2:3" ht="15">
      <c r="B1" s="166" t="s">
        <v>330</v>
      </c>
      <c r="C1" s="167" t="s">
        <v>485</v>
      </c>
    </row>
    <row r="2" spans="2:3" ht="15">
      <c r="B2" s="166" t="s">
        <v>331</v>
      </c>
      <c r="C2" s="167" t="s">
        <v>486</v>
      </c>
    </row>
    <row r="3" ht="15">
      <c r="B3" s="166"/>
    </row>
    <row r="4" spans="2:7" ht="15.75">
      <c r="B4" s="378" t="s">
        <v>519</v>
      </c>
      <c r="C4" s="378"/>
      <c r="D4" s="378"/>
      <c r="E4" s="378"/>
      <c r="F4" s="378"/>
      <c r="G4" s="378"/>
    </row>
    <row r="6" spans="1:7" ht="15">
      <c r="A6" s="374" t="s">
        <v>332</v>
      </c>
      <c r="B6" s="376" t="s">
        <v>333</v>
      </c>
      <c r="C6" s="374" t="s">
        <v>334</v>
      </c>
      <c r="D6" s="168" t="s">
        <v>335</v>
      </c>
      <c r="E6" s="374" t="s">
        <v>287</v>
      </c>
      <c r="F6" s="374" t="s">
        <v>288</v>
      </c>
      <c r="G6" s="168" t="s">
        <v>335</v>
      </c>
    </row>
    <row r="7" spans="1:8" ht="15">
      <c r="A7" s="375"/>
      <c r="B7" s="377"/>
      <c r="C7" s="375"/>
      <c r="D7" s="169">
        <v>40909</v>
      </c>
      <c r="E7" s="375"/>
      <c r="F7" s="375"/>
      <c r="G7" s="169">
        <v>41274</v>
      </c>
      <c r="H7" s="150"/>
    </row>
    <row r="8" spans="1:8" ht="15">
      <c r="A8" s="170">
        <v>1</v>
      </c>
      <c r="B8" s="173" t="s">
        <v>76</v>
      </c>
      <c r="C8" s="170"/>
      <c r="D8" s="272">
        <f>Aktivi!D24</f>
        <v>878424000</v>
      </c>
      <c r="E8" s="272">
        <f>BSH!D144-BSH!E144</f>
        <v>100726149</v>
      </c>
      <c r="F8" s="272"/>
      <c r="G8" s="272">
        <f aca="true" t="shared" si="0" ref="G8:G16">D8+E8-F8</f>
        <v>979150149</v>
      </c>
      <c r="H8" s="150"/>
    </row>
    <row r="9" spans="1:8" ht="15">
      <c r="A9" s="170">
        <v>2</v>
      </c>
      <c r="B9" s="173" t="s">
        <v>337</v>
      </c>
      <c r="C9" s="170"/>
      <c r="D9" s="273"/>
      <c r="E9" s="273"/>
      <c r="F9" s="273"/>
      <c r="G9" s="273">
        <f t="shared" si="0"/>
        <v>0</v>
      </c>
      <c r="H9" s="172"/>
    </row>
    <row r="10" spans="1:8" ht="15">
      <c r="A10" s="170">
        <v>3</v>
      </c>
      <c r="B10" s="173" t="s">
        <v>338</v>
      </c>
      <c r="C10" s="170"/>
      <c r="D10" s="273"/>
      <c r="E10" s="273"/>
      <c r="F10" s="273"/>
      <c r="G10" s="273">
        <f t="shared" si="0"/>
        <v>0</v>
      </c>
      <c r="H10" s="172"/>
    </row>
    <row r="11" spans="1:8" ht="15">
      <c r="A11" s="170">
        <v>4</v>
      </c>
      <c r="B11" s="173" t="s">
        <v>336</v>
      </c>
      <c r="C11" s="170"/>
      <c r="D11" s="273">
        <f>Aktivi!C24</f>
        <v>2029599.57</v>
      </c>
      <c r="E11" s="273"/>
      <c r="F11" s="273"/>
      <c r="G11" s="273">
        <f t="shared" si="0"/>
        <v>2029599.57</v>
      </c>
      <c r="H11" s="172"/>
    </row>
    <row r="12" spans="1:8" ht="15">
      <c r="A12" s="170">
        <v>5</v>
      </c>
      <c r="B12" s="173" t="s">
        <v>339</v>
      </c>
      <c r="C12" s="170"/>
      <c r="D12" s="273">
        <f>Aktivi!B23</f>
        <v>52758</v>
      </c>
      <c r="E12" s="278"/>
      <c r="F12" s="273"/>
      <c r="G12" s="273">
        <f t="shared" si="0"/>
        <v>52758</v>
      </c>
      <c r="H12" s="172"/>
    </row>
    <row r="13" spans="1:8" ht="15">
      <c r="A13" s="170">
        <v>1</v>
      </c>
      <c r="B13" s="173" t="s">
        <v>340</v>
      </c>
      <c r="C13" s="170"/>
      <c r="D13" s="273"/>
      <c r="E13" s="273"/>
      <c r="F13" s="273"/>
      <c r="G13" s="273">
        <f t="shared" si="0"/>
        <v>0</v>
      </c>
      <c r="H13" s="172"/>
    </row>
    <row r="14" spans="1:8" ht="15">
      <c r="A14" s="170">
        <v>2</v>
      </c>
      <c r="B14" s="174"/>
      <c r="C14" s="170"/>
      <c r="D14" s="273"/>
      <c r="E14" s="273"/>
      <c r="F14" s="273"/>
      <c r="G14" s="273">
        <f t="shared" si="0"/>
        <v>0</v>
      </c>
      <c r="H14" s="150"/>
    </row>
    <row r="15" spans="1:8" ht="15">
      <c r="A15" s="170">
        <v>3</v>
      </c>
      <c r="B15" s="174"/>
      <c r="C15" s="170"/>
      <c r="D15" s="273"/>
      <c r="E15" s="273"/>
      <c r="F15" s="273"/>
      <c r="G15" s="273">
        <f t="shared" si="0"/>
        <v>0</v>
      </c>
      <c r="H15" s="150"/>
    </row>
    <row r="16" spans="1:8" ht="15.75" thickBot="1">
      <c r="A16" s="175">
        <v>4</v>
      </c>
      <c r="B16" s="176"/>
      <c r="C16" s="175"/>
      <c r="D16" s="277"/>
      <c r="E16" s="277"/>
      <c r="F16" s="277"/>
      <c r="G16" s="277">
        <f t="shared" si="0"/>
        <v>0</v>
      </c>
      <c r="H16" s="150"/>
    </row>
    <row r="17" spans="1:7" ht="15.75" thickBot="1">
      <c r="A17" s="178"/>
      <c r="B17" s="179" t="s">
        <v>341</v>
      </c>
      <c r="C17" s="180"/>
      <c r="D17" s="181">
        <f>SUM(D8:D16)</f>
        <v>880506357.57</v>
      </c>
      <c r="E17" s="181">
        <f>SUM(E8:E16)</f>
        <v>100726149</v>
      </c>
      <c r="F17" s="181">
        <f>SUM(F8:F16)</f>
        <v>0</v>
      </c>
      <c r="G17" s="182">
        <f>SUM(G8:G16)</f>
        <v>981232506.57</v>
      </c>
    </row>
    <row r="20" spans="2:7" ht="15.75">
      <c r="B20" s="378" t="s">
        <v>521</v>
      </c>
      <c r="C20" s="378"/>
      <c r="D20" s="378"/>
      <c r="E20" s="378"/>
      <c r="F20" s="378"/>
      <c r="G20" s="378"/>
    </row>
    <row r="22" spans="1:7" ht="15">
      <c r="A22" s="374" t="s">
        <v>332</v>
      </c>
      <c r="B22" s="376" t="s">
        <v>333</v>
      </c>
      <c r="C22" s="374" t="s">
        <v>334</v>
      </c>
      <c r="D22" s="168" t="s">
        <v>335</v>
      </c>
      <c r="E22" s="374" t="s">
        <v>287</v>
      </c>
      <c r="F22" s="374" t="s">
        <v>288</v>
      </c>
      <c r="G22" s="168" t="s">
        <v>335</v>
      </c>
    </row>
    <row r="23" spans="1:7" ht="15">
      <c r="A23" s="375"/>
      <c r="B23" s="377"/>
      <c r="C23" s="375"/>
      <c r="D23" s="169">
        <v>40909</v>
      </c>
      <c r="E23" s="375"/>
      <c r="F23" s="375"/>
      <c r="G23" s="169">
        <v>41274</v>
      </c>
    </row>
    <row r="24" spans="1:7" ht="15">
      <c r="A24" s="170">
        <v>1</v>
      </c>
      <c r="B24" s="173" t="s">
        <v>76</v>
      </c>
      <c r="C24" s="274"/>
      <c r="D24" s="272"/>
      <c r="E24" s="272"/>
      <c r="F24" s="272"/>
      <c r="G24" s="272">
        <f aca="true" t="shared" si="1" ref="G24:G29">D24+E24-F24</f>
        <v>0</v>
      </c>
    </row>
    <row r="25" spans="1:7" ht="15">
      <c r="A25" s="170">
        <v>2</v>
      </c>
      <c r="B25" s="173" t="s">
        <v>337</v>
      </c>
      <c r="C25" s="274"/>
      <c r="D25" s="272"/>
      <c r="E25" s="272"/>
      <c r="F25" s="272"/>
      <c r="G25" s="272">
        <f t="shared" si="1"/>
        <v>0</v>
      </c>
    </row>
    <row r="26" spans="1:7" ht="15">
      <c r="A26" s="170">
        <v>3</v>
      </c>
      <c r="B26" s="173" t="s">
        <v>342</v>
      </c>
      <c r="C26" s="274"/>
      <c r="D26" s="272"/>
      <c r="E26" s="275"/>
      <c r="F26" s="272"/>
      <c r="G26" s="272">
        <f t="shared" si="1"/>
        <v>0</v>
      </c>
    </row>
    <row r="27" spans="1:7" ht="15">
      <c r="A27" s="170">
        <v>4</v>
      </c>
      <c r="B27" s="173" t="s">
        <v>336</v>
      </c>
      <c r="C27" s="274"/>
      <c r="D27" s="272">
        <f>-BSH!E146</f>
        <v>170151</v>
      </c>
      <c r="E27" s="272">
        <f>-PL!D61</f>
        <v>371886</v>
      </c>
      <c r="F27" s="272"/>
      <c r="G27" s="272">
        <f t="shared" si="1"/>
        <v>542037</v>
      </c>
    </row>
    <row r="28" spans="1:7" ht="15">
      <c r="A28" s="170">
        <v>5</v>
      </c>
      <c r="B28" s="173" t="s">
        <v>339</v>
      </c>
      <c r="C28" s="274"/>
      <c r="D28" s="272">
        <f>-BSH!E150</f>
        <v>13188</v>
      </c>
      <c r="E28" s="275">
        <f>-PL!D62</f>
        <v>9891</v>
      </c>
      <c r="F28" s="272"/>
      <c r="G28" s="272">
        <f t="shared" si="1"/>
        <v>23079</v>
      </c>
    </row>
    <row r="29" spans="1:7" ht="15">
      <c r="A29" s="170">
        <v>1</v>
      </c>
      <c r="B29" s="173" t="s">
        <v>340</v>
      </c>
      <c r="C29" s="274"/>
      <c r="D29" s="272"/>
      <c r="E29" s="272"/>
      <c r="F29" s="272"/>
      <c r="G29" s="272">
        <f t="shared" si="1"/>
        <v>0</v>
      </c>
    </row>
    <row r="30" spans="1:7" ht="15">
      <c r="A30" s="170">
        <v>2</v>
      </c>
      <c r="B30" s="174"/>
      <c r="C30" s="274"/>
      <c r="D30" s="272"/>
      <c r="E30" s="272"/>
      <c r="F30" s="272"/>
      <c r="G30" s="183"/>
    </row>
    <row r="31" spans="1:7" ht="15">
      <c r="A31" s="170">
        <v>3</v>
      </c>
      <c r="B31" s="174"/>
      <c r="C31" s="170"/>
      <c r="D31" s="183"/>
      <c r="E31" s="183"/>
      <c r="F31" s="183"/>
      <c r="G31" s="183"/>
    </row>
    <row r="32" spans="1:7" ht="15.75" thickBot="1">
      <c r="A32" s="175">
        <v>4</v>
      </c>
      <c r="B32" s="176"/>
      <c r="C32" s="175"/>
      <c r="D32" s="177"/>
      <c r="E32" s="177"/>
      <c r="F32" s="177"/>
      <c r="G32" s="177">
        <f>D32+E32-F32</f>
        <v>0</v>
      </c>
    </row>
    <row r="33" spans="1:8" ht="15.75" thickBot="1">
      <c r="A33" s="178"/>
      <c r="B33" s="179" t="s">
        <v>341</v>
      </c>
      <c r="C33" s="180"/>
      <c r="D33" s="181">
        <f>SUM(D24:D32)</f>
        <v>183339</v>
      </c>
      <c r="E33" s="181">
        <f>SUM(E24:E32)</f>
        <v>381777</v>
      </c>
      <c r="F33" s="181">
        <f>SUM(F24:F32)</f>
        <v>0</v>
      </c>
      <c r="G33" s="182">
        <f>SUM(G24:G32)</f>
        <v>565116</v>
      </c>
      <c r="H33" s="184"/>
    </row>
    <row r="34" ht="15">
      <c r="G34" s="184"/>
    </row>
    <row r="36" spans="2:7" ht="15.75">
      <c r="B36" s="378" t="s">
        <v>520</v>
      </c>
      <c r="C36" s="378"/>
      <c r="D36" s="378"/>
      <c r="E36" s="378"/>
      <c r="F36" s="378"/>
      <c r="G36" s="378"/>
    </row>
    <row r="38" spans="1:7" ht="15">
      <c r="A38" s="374" t="s">
        <v>332</v>
      </c>
      <c r="B38" s="376" t="s">
        <v>333</v>
      </c>
      <c r="C38" s="374" t="s">
        <v>334</v>
      </c>
      <c r="D38" s="168" t="s">
        <v>335</v>
      </c>
      <c r="E38" s="374" t="s">
        <v>287</v>
      </c>
      <c r="F38" s="374" t="s">
        <v>288</v>
      </c>
      <c r="G38" s="168" t="s">
        <v>335</v>
      </c>
    </row>
    <row r="39" spans="1:7" ht="15">
      <c r="A39" s="375"/>
      <c r="B39" s="377"/>
      <c r="C39" s="375"/>
      <c r="D39" s="169">
        <v>40909</v>
      </c>
      <c r="E39" s="375"/>
      <c r="F39" s="375"/>
      <c r="G39" s="169">
        <v>41274</v>
      </c>
    </row>
    <row r="40" spans="1:7" ht="15">
      <c r="A40" s="170">
        <v>1</v>
      </c>
      <c r="B40" s="171" t="s">
        <v>76</v>
      </c>
      <c r="C40" s="274"/>
      <c r="D40" s="272">
        <f>D8</f>
        <v>878424000</v>
      </c>
      <c r="E40" s="272">
        <f>E8</f>
        <v>100726149</v>
      </c>
      <c r="F40" s="272">
        <v>0</v>
      </c>
      <c r="G40" s="272">
        <f aca="true" t="shared" si="2" ref="G40:G48">D40+E40-F40</f>
        <v>979150149</v>
      </c>
    </row>
    <row r="41" spans="1:7" ht="15">
      <c r="A41" s="170">
        <v>2</v>
      </c>
      <c r="B41" s="173" t="s">
        <v>337</v>
      </c>
      <c r="C41" s="274"/>
      <c r="D41" s="272"/>
      <c r="E41" s="272"/>
      <c r="F41" s="272"/>
      <c r="G41" s="272">
        <f t="shared" si="2"/>
        <v>0</v>
      </c>
    </row>
    <row r="42" spans="1:7" ht="15">
      <c r="A42" s="170">
        <v>3</v>
      </c>
      <c r="B42" s="173" t="s">
        <v>342</v>
      </c>
      <c r="C42" s="274"/>
      <c r="D42" s="272"/>
      <c r="E42" s="113">
        <f>E10-E26</f>
        <v>0</v>
      </c>
      <c r="F42" s="272"/>
      <c r="G42" s="272">
        <f t="shared" si="2"/>
        <v>0</v>
      </c>
    </row>
    <row r="43" spans="1:7" ht="15">
      <c r="A43" s="170">
        <v>4</v>
      </c>
      <c r="B43" s="173" t="s">
        <v>336</v>
      </c>
      <c r="C43" s="274"/>
      <c r="D43" s="272">
        <f>D11-D27</f>
        <v>1859448.57</v>
      </c>
      <c r="E43" s="272">
        <f>E11-E27</f>
        <v>-371886</v>
      </c>
      <c r="F43" s="272"/>
      <c r="G43" s="272">
        <f t="shared" si="2"/>
        <v>1487562.57</v>
      </c>
    </row>
    <row r="44" spans="1:7" ht="15">
      <c r="A44" s="170">
        <v>5</v>
      </c>
      <c r="B44" s="173" t="s">
        <v>339</v>
      </c>
      <c r="C44" s="274"/>
      <c r="D44" s="272">
        <f aca="true" t="shared" si="3" ref="D44:F45">D12-D28</f>
        <v>39570</v>
      </c>
      <c r="E44" s="272">
        <f>E12-E28</f>
        <v>-9891</v>
      </c>
      <c r="F44" s="272">
        <f>F12+F28</f>
        <v>0</v>
      </c>
      <c r="G44" s="272">
        <f>D44+E44+F44</f>
        <v>29679</v>
      </c>
    </row>
    <row r="45" spans="1:7" ht="15">
      <c r="A45" s="170">
        <v>1</v>
      </c>
      <c r="B45" s="173" t="s">
        <v>340</v>
      </c>
      <c r="C45" s="274"/>
      <c r="D45" s="272">
        <f t="shared" si="3"/>
        <v>0</v>
      </c>
      <c r="E45" s="272">
        <f t="shared" si="3"/>
        <v>0</v>
      </c>
      <c r="F45" s="272">
        <f t="shared" si="3"/>
        <v>0</v>
      </c>
      <c r="G45" s="272">
        <f t="shared" si="2"/>
        <v>0</v>
      </c>
    </row>
    <row r="46" spans="1:7" ht="15">
      <c r="A46" s="170">
        <v>2</v>
      </c>
      <c r="B46" s="173"/>
      <c r="C46" s="274"/>
      <c r="D46" s="272"/>
      <c r="E46" s="272"/>
      <c r="F46" s="272"/>
      <c r="G46" s="272">
        <f t="shared" si="2"/>
        <v>0</v>
      </c>
    </row>
    <row r="47" spans="1:7" ht="15">
      <c r="A47" s="170">
        <v>3</v>
      </c>
      <c r="B47" s="174"/>
      <c r="C47" s="274"/>
      <c r="D47" s="272"/>
      <c r="E47" s="272"/>
      <c r="F47" s="272"/>
      <c r="G47" s="272">
        <f t="shared" si="2"/>
        <v>0</v>
      </c>
    </row>
    <row r="48" spans="1:7" ht="15.75" thickBot="1">
      <c r="A48" s="175">
        <v>4</v>
      </c>
      <c r="B48" s="176"/>
      <c r="C48" s="276"/>
      <c r="D48" s="277"/>
      <c r="E48" s="277"/>
      <c r="F48" s="277"/>
      <c r="G48" s="277">
        <f t="shared" si="2"/>
        <v>0</v>
      </c>
    </row>
    <row r="49" spans="1:7" ht="15.75" thickBot="1">
      <c r="A49" s="178"/>
      <c r="B49" s="179" t="s">
        <v>341</v>
      </c>
      <c r="C49" s="180"/>
      <c r="D49" s="181">
        <f>SUM(D40:D48)</f>
        <v>880323018.57</v>
      </c>
      <c r="E49" s="181">
        <f>SUM(E40:E48)</f>
        <v>100344372</v>
      </c>
      <c r="F49" s="181">
        <f>SUM(F40:F48)</f>
        <v>0</v>
      </c>
      <c r="G49" s="182">
        <f>SUM(G40:G48)</f>
        <v>980667390.57</v>
      </c>
    </row>
    <row r="50" spans="6:7" s="150" customFormat="1" ht="15" hidden="1">
      <c r="F50" s="45"/>
      <c r="G50" s="185"/>
    </row>
    <row r="51" spans="4:7" ht="15" hidden="1">
      <c r="D51" s="107"/>
      <c r="G51" s="107"/>
    </row>
    <row r="52" spans="4:7" ht="15" hidden="1">
      <c r="D52" s="107"/>
      <c r="G52" s="107"/>
    </row>
    <row r="53" spans="5:7" ht="15.75">
      <c r="E53" s="345" t="s">
        <v>343</v>
      </c>
      <c r="F53" s="345"/>
      <c r="G53" s="345"/>
    </row>
    <row r="54" spans="5:7" ht="17.25">
      <c r="E54" s="346" t="s">
        <v>516</v>
      </c>
      <c r="F54" s="346"/>
      <c r="G54" s="346"/>
    </row>
  </sheetData>
  <sheetProtection/>
  <mergeCells count="20">
    <mergeCell ref="B36:G36"/>
    <mergeCell ref="B20:G20"/>
    <mergeCell ref="B4:G4"/>
    <mergeCell ref="A6:A7"/>
    <mergeCell ref="B6:B7"/>
    <mergeCell ref="C6:C7"/>
    <mergeCell ref="E6:E7"/>
    <mergeCell ref="F6:F7"/>
    <mergeCell ref="A22:A23"/>
    <mergeCell ref="B22:B23"/>
    <mergeCell ref="C22:C23"/>
    <mergeCell ref="E22:E23"/>
    <mergeCell ref="F22:F23"/>
    <mergeCell ref="E54:G54"/>
    <mergeCell ref="A38:A39"/>
    <mergeCell ref="B38:B39"/>
    <mergeCell ref="C38:C39"/>
    <mergeCell ref="E38:E39"/>
    <mergeCell ref="F38:F39"/>
    <mergeCell ref="E53:G53"/>
  </mergeCells>
  <printOptions/>
  <pageMargins left="0.24" right="0.7" top="0.42" bottom="0.5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a.mihali</dc:creator>
  <cp:keywords/>
  <dc:description/>
  <cp:lastModifiedBy>a.mihali</cp:lastModifiedBy>
  <cp:lastPrinted>2013-03-29T08:20:07Z</cp:lastPrinted>
  <dcterms:created xsi:type="dcterms:W3CDTF">2012-02-24T09:39:13Z</dcterms:created>
  <dcterms:modified xsi:type="dcterms:W3CDTF">2013-03-29T08:37:50Z</dcterms:modified>
  <cp:category/>
  <cp:version/>
  <cp:contentType/>
  <cp:contentStatus/>
</cp:coreProperties>
</file>